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docs.live.net/46727419e4acd384/Documents/Polaris Affordable/Foster Hamilton/SD 427/Normal Heights_North Park_Linda Vista App/"/>
    </mc:Choice>
  </mc:AlternateContent>
  <xr:revisionPtr revIDLastSave="268" documentId="8_{4A1D5817-2339-4836-AEDE-2B173443B39E}" xr6:coauthVersionLast="47" xr6:coauthVersionMax="47" xr10:uidLastSave="{EF710861-E522-4777-AC1D-3249E6240B09}"/>
  <bookViews>
    <workbookView xWindow="-110" yWindow="-110" windowWidth="19420" windowHeight="11500" firstSheet="8" activeTab="9" xr2:uid="{00000000-000D-0000-FFFF-FFFF00000000}"/>
  </bookViews>
  <sheets>
    <sheet name="Instructions-App Completion " sheetId="1" r:id="rId1"/>
    <sheet name="Instructions-Electronic Submit" sheetId="2" r:id="rId2"/>
    <sheet name="Application Checklist" sheetId="3" r:id="rId3"/>
    <sheet name="Application" sheetId="4" r:id="rId4"/>
    <sheet name="Sources and Uses Budget" sheetId="5" r:id="rId5"/>
    <sheet name="Sources and Basis Breakdown" sheetId="6" r:id="rId6"/>
    <sheet name="CalHFA Addendum" sheetId="7" r:id="rId7"/>
    <sheet name="Basis &amp; Credits" sheetId="8" r:id="rId8"/>
    <sheet name="Points System" sheetId="9" r:id="rId9"/>
    <sheet name="Tie Breaker" sheetId="10" r:id="rId10"/>
    <sheet name="Subsidy Contract Calculation" sheetId="11" r:id="rId11"/>
    <sheet name="15 Year Pro Forma" sheetId="12" r:id="rId12"/>
    <sheet name="Post-award Instructions" sheetId="13" r:id="rId13"/>
    <sheet name="Post-award Project Cost Changes" sheetId="14" r:id="rId14"/>
  </sheets>
  <definedNames>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108ED151_3495_4EE7_8471_65DDD3B06F50_.wvu.FilterData" localSheetId="6" hidden="1">'CalHFA Addendum'!$BM$8:$BM$13</definedName>
    <definedName name="Z_48A1B9AA_9520_4513_968D_1FB22989E0AF_.wvu.Cols" localSheetId="7">'Basis &amp; Credits'!$AO:$IV</definedName>
    <definedName name="Z_48A1B9AA_9520_4513_968D_1FB22989E0AF_.wvu.Cols" localSheetId="8">'Points System'!$AN:$CC</definedName>
    <definedName name="Z_48A1B9AA_9520_4513_968D_1FB22989E0AF_.wvu.Cols" localSheetId="5">'Sources and Basis Breakdown'!$K:$IV</definedName>
    <definedName name="Z_48A1B9AA_9520_4513_968D_1FB22989E0AF_.wvu.PrintArea" localSheetId="7">'Basis &amp; Credits'!$A$1:$AN$83</definedName>
    <definedName name="Z_48A1B9AA_9520_4513_968D_1FB22989E0AF_.wvu.PrintArea" localSheetId="8">'Points System'!$A$1:$AM$895</definedName>
    <definedName name="Z_48A1B9AA_9520_4513_968D_1FB22989E0AF_.wvu.PrintArea" localSheetId="5">'Sources and Basis Breakdown'!$A$1:$J$143</definedName>
    <definedName name="Z_48A1B9AA_9520_4513_968D_1FB22989E0AF_.wvu.PrintTitles" localSheetId="5">'Sources and Basis Breakdown'!$1:$2</definedName>
    <definedName name="Z_57D4A208_C97E_4F24_BF45_BC698B192FEC_.wvu.FilterData" localSheetId="9" hidden="1">'Tie Breaker'!$L$19:$U$54</definedName>
    <definedName name="Z_7F1A70EC_2F97_4690_91E6_0056E2A93485_.wvu.FilterData" localSheetId="3" hidden="1">Application!$BD$2:$BF$110</definedName>
    <definedName name="Z_ACB87C9A_02C3_4C83_BBE4_E2C44A4D81CD_.wvu.Cols" localSheetId="3">Application!$AZ:$JI</definedName>
    <definedName name="Z_ACB87C9A_02C3_4C83_BBE4_E2C44A4D81CD_.wvu.Cols" localSheetId="2">'Application Checklist'!$H:$IR</definedName>
    <definedName name="Z_ACB87C9A_02C3_4C83_BBE4_E2C44A4D81CD_.wvu.Cols" localSheetId="0">'Instructions-App Completion '!$AM:$IV</definedName>
    <definedName name="Z_ACB87C9A_02C3_4C83_BBE4_E2C44A4D81CD_.wvu.Cols" localSheetId="1">'Instructions-Electronic Submit'!$K:$IV</definedName>
    <definedName name="Z_ACB87C9A_02C3_4C83_BBE4_E2C44A4D81CD_.wvu.Cols" localSheetId="4">'Sources and Uses Budget'!$V:$IV</definedName>
    <definedName name="Z_ACB87C9A_02C3_4C83_BBE4_E2C44A4D81CD_.wvu.PrintArea" localSheetId="11">'15 Year Pro Forma'!$A$1:$AH$77</definedName>
    <definedName name="Z_ACB87C9A_02C3_4C83_BBE4_E2C44A4D81CD_.wvu.PrintArea" localSheetId="3">Application!$A$1:$AL$1135</definedName>
    <definedName name="Z_ACB87C9A_02C3_4C83_BBE4_E2C44A4D81CD_.wvu.PrintArea" localSheetId="2">'Application Checklist'!$A$1:$G$855</definedName>
    <definedName name="Z_ACB87C9A_02C3_4C83_BBE4_E2C44A4D81CD_.wvu.PrintArea" localSheetId="0">'Instructions-App Completion '!$A$1:$AL$392</definedName>
    <definedName name="Z_ACB87C9A_02C3_4C83_BBE4_E2C44A4D81CD_.wvu.PrintArea" localSheetId="13">'Post-award Project Cost Changes'!$A$1:$F$107</definedName>
    <definedName name="Z_ACB87C9A_02C3_4C83_BBE4_E2C44A4D81CD_.wvu.PrintArea" localSheetId="4">'Sources and Uses Budget'!$A$1:$T$140</definedName>
    <definedName name="Z_ACB87C9A_02C3_4C83_BBE4_E2C44A4D81CD_.wvu.PrintTitles" localSheetId="4">'Sources and Uses Budget'!$1:$2</definedName>
    <definedName name="Z_ACB87C9A_02C3_4C83_BBE4_E2C44A4D81CD_.wvu.Rows" localSheetId="13">'Post-award Project Cost Changes'!$109:$19913</definedName>
  </definedNames>
  <calcPr calcId="191029" iterate="1"/>
  <customWorkbookViews>
    <customWorkbookView name="CDLAC_Data filter view" guid="{7F1A70EC-2F97-4690-91E6-0056E2A93485}" maximized="1" windowWidth="0" windowHeight="0" activeSheetId="0"/>
    <customWorkbookView name="Table25 filter view" guid="{108ED151-3495-4EE7-8471-65DDD3B06F50}" maximized="1" windowWidth="0" windowHeight="0" activeSheetId="0"/>
    <customWorkbookView name="Cdlac filter view" guid="{57D4A208-C97E-4F24-BF45-BC698B192FE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7" i="12" l="1"/>
  <c r="AM566" i="4"/>
  <c r="AO637" i="4"/>
  <c r="S45" i="5"/>
  <c r="T99" i="5" l="1"/>
  <c r="AA925" i="4" l="1"/>
  <c r="AO638" i="4"/>
  <c r="AO636" i="4"/>
  <c r="AO647" i="4" s="1"/>
  <c r="C104" i="14" l="1"/>
  <c r="B104" i="14"/>
  <c r="A104" i="14"/>
  <c r="C103" i="14"/>
  <c r="B103" i="14"/>
  <c r="C102" i="14"/>
  <c r="B102" i="14"/>
  <c r="C101" i="14"/>
  <c r="B101" i="14"/>
  <c r="C100" i="14"/>
  <c r="B100" i="14"/>
  <c r="C96" i="14"/>
  <c r="B96" i="14"/>
  <c r="C95" i="14"/>
  <c r="B95" i="14"/>
  <c r="C94" i="14"/>
  <c r="B94" i="14"/>
  <c r="C93" i="14"/>
  <c r="B93" i="14"/>
  <c r="C92" i="14"/>
  <c r="B92" i="14"/>
  <c r="C91" i="14"/>
  <c r="B91" i="14"/>
  <c r="C90" i="14"/>
  <c r="B90" i="14"/>
  <c r="C89" i="14"/>
  <c r="B89" i="14"/>
  <c r="C88" i="14"/>
  <c r="D88" i="14" s="1"/>
  <c r="B88" i="14"/>
  <c r="C87" i="14"/>
  <c r="B87" i="14"/>
  <c r="C86" i="14"/>
  <c r="B86" i="14"/>
  <c r="C85" i="14"/>
  <c r="B85" i="14"/>
  <c r="C84" i="14"/>
  <c r="B84" i="14"/>
  <c r="C81" i="14"/>
  <c r="B81" i="14"/>
  <c r="C80" i="14"/>
  <c r="B80" i="14"/>
  <c r="C77" i="14"/>
  <c r="B77" i="14"/>
  <c r="C76" i="14"/>
  <c r="B76" i="14"/>
  <c r="C75" i="14"/>
  <c r="B75" i="14"/>
  <c r="C74" i="14"/>
  <c r="B74" i="14"/>
  <c r="C73" i="14"/>
  <c r="B73" i="14"/>
  <c r="C70" i="14"/>
  <c r="B70" i="14"/>
  <c r="A70" i="14"/>
  <c r="C69" i="14"/>
  <c r="B69" i="14"/>
  <c r="C68" i="14"/>
  <c r="B68" i="14"/>
  <c r="C67" i="14"/>
  <c r="B67" i="14"/>
  <c r="C66" i="14"/>
  <c r="B66" i="14"/>
  <c r="C62" i="14"/>
  <c r="B62" i="14"/>
  <c r="A62" i="14"/>
  <c r="C61" i="14"/>
  <c r="B61" i="14"/>
  <c r="C60" i="14"/>
  <c r="B60" i="14"/>
  <c r="C59" i="14"/>
  <c r="B59" i="14"/>
  <c r="C58" i="14"/>
  <c r="B58" i="14"/>
  <c r="C57" i="14"/>
  <c r="B57" i="14"/>
  <c r="C54" i="14"/>
  <c r="D54" i="14" s="1"/>
  <c r="B54" i="14"/>
  <c r="A54" i="14"/>
  <c r="C53" i="14"/>
  <c r="B53" i="14"/>
  <c r="C52" i="14"/>
  <c r="B52" i="14"/>
  <c r="C51" i="14"/>
  <c r="B51" i="14"/>
  <c r="C50" i="14"/>
  <c r="B50" i="14"/>
  <c r="C49" i="14"/>
  <c r="B49" i="14"/>
  <c r="C48" i="14"/>
  <c r="B48" i="14"/>
  <c r="C47" i="14"/>
  <c r="B47" i="14"/>
  <c r="C46" i="14"/>
  <c r="B46" i="14"/>
  <c r="C44" i="14"/>
  <c r="B44" i="14"/>
  <c r="C42" i="14"/>
  <c r="B42" i="14"/>
  <c r="C41" i="14"/>
  <c r="B41" i="14"/>
  <c r="C38" i="14"/>
  <c r="B38" i="14"/>
  <c r="A38" i="14"/>
  <c r="C37" i="14"/>
  <c r="B37" i="14"/>
  <c r="C36" i="14"/>
  <c r="B36" i="14"/>
  <c r="C35" i="14"/>
  <c r="B35" i="14"/>
  <c r="C34" i="14"/>
  <c r="B34" i="14"/>
  <c r="C33" i="14"/>
  <c r="B33" i="14"/>
  <c r="C32" i="14"/>
  <c r="B32" i="14"/>
  <c r="C31" i="14"/>
  <c r="B31" i="14"/>
  <c r="C30" i="14"/>
  <c r="B30" i="14"/>
  <c r="C28" i="14"/>
  <c r="B28" i="14"/>
  <c r="C26" i="14"/>
  <c r="B26" i="14"/>
  <c r="A26" i="14"/>
  <c r="C25" i="14"/>
  <c r="B25" i="14"/>
  <c r="C24" i="14"/>
  <c r="B24" i="14"/>
  <c r="C23" i="14"/>
  <c r="B23" i="14"/>
  <c r="C22" i="14"/>
  <c r="B22" i="14"/>
  <c r="C21" i="14"/>
  <c r="B21" i="14"/>
  <c r="C20" i="14"/>
  <c r="B20" i="14"/>
  <c r="C19" i="14"/>
  <c r="B19" i="14"/>
  <c r="C18" i="14"/>
  <c r="B18" i="14"/>
  <c r="C16" i="14"/>
  <c r="B16" i="14"/>
  <c r="C15" i="14"/>
  <c r="B15" i="14"/>
  <c r="C14" i="14"/>
  <c r="B14" i="14"/>
  <c r="C11" i="14"/>
  <c r="B11" i="14"/>
  <c r="C10" i="14"/>
  <c r="B10" i="14"/>
  <c r="C8" i="14"/>
  <c r="B8" i="14"/>
  <c r="C7" i="14"/>
  <c r="B7" i="14"/>
  <c r="C6" i="14"/>
  <c r="B6" i="14"/>
  <c r="C5" i="14"/>
  <c r="B5" i="14"/>
  <c r="G69" i="12"/>
  <c r="I69" i="12" s="1"/>
  <c r="K69" i="12" s="1"/>
  <c r="M69" i="12" s="1"/>
  <c r="O69" i="12" s="1"/>
  <c r="Q69" i="12" s="1"/>
  <c r="S69" i="12" s="1"/>
  <c r="U69" i="12" s="1"/>
  <c r="W69" i="12" s="1"/>
  <c r="Y69" i="12" s="1"/>
  <c r="AA69" i="12" s="1"/>
  <c r="AC69" i="12" s="1"/>
  <c r="AE69" i="12" s="1"/>
  <c r="AG69" i="12" s="1"/>
  <c r="G68" i="12"/>
  <c r="I68" i="12" s="1"/>
  <c r="K68" i="12" s="1"/>
  <c r="M68" i="12" s="1"/>
  <c r="O68" i="12" s="1"/>
  <c r="Q68" i="12" s="1"/>
  <c r="S68" i="12" s="1"/>
  <c r="U68" i="12" s="1"/>
  <c r="W68" i="12" s="1"/>
  <c r="Y68" i="12" s="1"/>
  <c r="AA68" i="12" s="1"/>
  <c r="AC68" i="12" s="1"/>
  <c r="AE68" i="12" s="1"/>
  <c r="AG68" i="12" s="1"/>
  <c r="E58" i="12"/>
  <c r="G57" i="12"/>
  <c r="I57" i="12" s="1"/>
  <c r="K57" i="12" s="1"/>
  <c r="M57" i="12" s="1"/>
  <c r="O57" i="12" s="1"/>
  <c r="Q57" i="12" s="1"/>
  <c r="S57" i="12" s="1"/>
  <c r="U57" i="12" s="1"/>
  <c r="W57" i="12" s="1"/>
  <c r="Y57" i="12" s="1"/>
  <c r="AA57" i="12" s="1"/>
  <c r="AC57" i="12" s="1"/>
  <c r="AE57" i="12" s="1"/>
  <c r="AG57" i="12" s="1"/>
  <c r="G56" i="12"/>
  <c r="I56" i="12" s="1"/>
  <c r="K56" i="12" s="1"/>
  <c r="M56" i="12" s="1"/>
  <c r="O56" i="12" s="1"/>
  <c r="Q56" i="12" s="1"/>
  <c r="S56" i="12" s="1"/>
  <c r="U56" i="12" s="1"/>
  <c r="W56" i="12" s="1"/>
  <c r="Y56" i="12" s="1"/>
  <c r="AA56" i="12" s="1"/>
  <c r="AC56" i="12" s="1"/>
  <c r="AE56" i="12" s="1"/>
  <c r="AG56" i="12" s="1"/>
  <c r="G55" i="12"/>
  <c r="I55" i="12" s="1"/>
  <c r="K55" i="12" s="1"/>
  <c r="M55" i="12" s="1"/>
  <c r="O55" i="12" s="1"/>
  <c r="Q55" i="12" s="1"/>
  <c r="S55" i="12" s="1"/>
  <c r="U55" i="12" s="1"/>
  <c r="W55" i="12" s="1"/>
  <c r="Y55" i="12" s="1"/>
  <c r="AA55" i="12" s="1"/>
  <c r="AC55" i="12" s="1"/>
  <c r="AE55" i="12" s="1"/>
  <c r="AG55" i="12" s="1"/>
  <c r="G54" i="12"/>
  <c r="I54" i="12" s="1"/>
  <c r="K54" i="12" s="1"/>
  <c r="M54" i="12" s="1"/>
  <c r="O54" i="12" s="1"/>
  <c r="Q54" i="12" s="1"/>
  <c r="S54" i="12" s="1"/>
  <c r="U54" i="12" s="1"/>
  <c r="W54" i="12" s="1"/>
  <c r="Y54" i="12" s="1"/>
  <c r="AA54" i="12" s="1"/>
  <c r="AC54" i="12" s="1"/>
  <c r="AE54" i="12" s="1"/>
  <c r="AG54" i="12" s="1"/>
  <c r="G53" i="12"/>
  <c r="I53" i="12" s="1"/>
  <c r="AG42" i="12"/>
  <c r="AE42" i="12"/>
  <c r="AC42" i="12"/>
  <c r="AA42" i="12"/>
  <c r="Y42" i="12"/>
  <c r="W42" i="12"/>
  <c r="U42" i="12"/>
  <c r="S42" i="12"/>
  <c r="Q42" i="12"/>
  <c r="O42" i="12"/>
  <c r="M42" i="12"/>
  <c r="K42" i="12"/>
  <c r="I42" i="12"/>
  <c r="G42" i="12"/>
  <c r="AG41" i="12"/>
  <c r="AE41" i="12"/>
  <c r="AC41" i="12"/>
  <c r="AA41" i="12"/>
  <c r="Y41" i="12"/>
  <c r="W41" i="12"/>
  <c r="U41" i="12"/>
  <c r="S41" i="12"/>
  <c r="Q41" i="12"/>
  <c r="O41" i="12"/>
  <c r="M41" i="12"/>
  <c r="K41" i="12"/>
  <c r="I41" i="12"/>
  <c r="G41" i="12"/>
  <c r="A40" i="12"/>
  <c r="E33" i="12"/>
  <c r="G33" i="12" s="1"/>
  <c r="I33" i="12" s="1"/>
  <c r="K33" i="12" s="1"/>
  <c r="M33" i="12" s="1"/>
  <c r="O33" i="12" s="1"/>
  <c r="Q33" i="12" s="1"/>
  <c r="S33" i="12" s="1"/>
  <c r="U33" i="12" s="1"/>
  <c r="W33" i="12" s="1"/>
  <c r="Y33" i="12" s="1"/>
  <c r="AA33" i="12" s="1"/>
  <c r="AC33" i="12" s="1"/>
  <c r="AE33" i="12" s="1"/>
  <c r="AG33" i="12" s="1"/>
  <c r="A33" i="12"/>
  <c r="E32" i="12"/>
  <c r="G32" i="12" s="1"/>
  <c r="I32" i="12" s="1"/>
  <c r="K32" i="12" s="1"/>
  <c r="M32" i="12" s="1"/>
  <c r="O32" i="12" s="1"/>
  <c r="Q32" i="12" s="1"/>
  <c r="S32" i="12" s="1"/>
  <c r="U32" i="12" s="1"/>
  <c r="W32" i="12" s="1"/>
  <c r="Y32" i="12" s="1"/>
  <c r="AA32" i="12" s="1"/>
  <c r="AC32" i="12" s="1"/>
  <c r="AE32" i="12" s="1"/>
  <c r="AG32" i="12" s="1"/>
  <c r="A32" i="12"/>
  <c r="E31" i="12"/>
  <c r="G31" i="12" s="1"/>
  <c r="I31" i="12" s="1"/>
  <c r="K31" i="12" s="1"/>
  <c r="M31" i="12" s="1"/>
  <c r="O31" i="12" s="1"/>
  <c r="Q31" i="12" s="1"/>
  <c r="S31" i="12" s="1"/>
  <c r="U31" i="12" s="1"/>
  <c r="W31" i="12" s="1"/>
  <c r="Y31" i="12" s="1"/>
  <c r="AA31" i="12" s="1"/>
  <c r="AC31" i="12" s="1"/>
  <c r="AE31" i="12" s="1"/>
  <c r="AG31" i="12" s="1"/>
  <c r="E30" i="12"/>
  <c r="G30" i="12" s="1"/>
  <c r="I30" i="12" s="1"/>
  <c r="K30" i="12" s="1"/>
  <c r="M30" i="12" s="1"/>
  <c r="O30" i="12" s="1"/>
  <c r="Q30" i="12" s="1"/>
  <c r="S30" i="12" s="1"/>
  <c r="U30" i="12" s="1"/>
  <c r="W30" i="12" s="1"/>
  <c r="Y30" i="12" s="1"/>
  <c r="AA30" i="12" s="1"/>
  <c r="AC30" i="12" s="1"/>
  <c r="AE30" i="12" s="1"/>
  <c r="AG30" i="12" s="1"/>
  <c r="E29" i="12"/>
  <c r="E28" i="12"/>
  <c r="W28" i="12" s="1"/>
  <c r="E27" i="12"/>
  <c r="G27" i="12" s="1"/>
  <c r="I27" i="12" s="1"/>
  <c r="K27" i="12" s="1"/>
  <c r="M27" i="12" s="1"/>
  <c r="O27" i="12" s="1"/>
  <c r="Q27" i="12" s="1"/>
  <c r="S27" i="12" s="1"/>
  <c r="U27" i="12" s="1"/>
  <c r="W27" i="12" s="1"/>
  <c r="AA27" i="12" s="1"/>
  <c r="AC27" i="12" s="1"/>
  <c r="AE27" i="12" s="1"/>
  <c r="AG27" i="12" s="1"/>
  <c r="E26" i="12"/>
  <c r="G26" i="12" s="1"/>
  <c r="I26" i="12" s="1"/>
  <c r="K26" i="12" s="1"/>
  <c r="M26" i="12" s="1"/>
  <c r="O26" i="12" s="1"/>
  <c r="Q26" i="12" s="1"/>
  <c r="S26" i="12" s="1"/>
  <c r="U26" i="12" s="1"/>
  <c r="W26" i="12" s="1"/>
  <c r="Y26" i="12" s="1"/>
  <c r="AA26" i="12" s="1"/>
  <c r="AC26" i="12" s="1"/>
  <c r="AE26" i="12" s="1"/>
  <c r="AG26" i="12" s="1"/>
  <c r="G24" i="12"/>
  <c r="I24" i="12" s="1"/>
  <c r="K24" i="12" s="1"/>
  <c r="M24" i="12" s="1"/>
  <c r="O24" i="12" s="1"/>
  <c r="Q24" i="12" s="1"/>
  <c r="S24" i="12" s="1"/>
  <c r="U24" i="12" s="1"/>
  <c r="W24" i="12" s="1"/>
  <c r="Y24" i="12" s="1"/>
  <c r="AA24" i="12" s="1"/>
  <c r="AC24" i="12" s="1"/>
  <c r="AE24" i="12" s="1"/>
  <c r="AG24" i="12" s="1"/>
  <c r="E19" i="12"/>
  <c r="G19" i="12" s="1"/>
  <c r="I19" i="12" s="1"/>
  <c r="K19" i="12" s="1"/>
  <c r="M19" i="12" s="1"/>
  <c r="O19" i="12" s="1"/>
  <c r="Q19" i="12" s="1"/>
  <c r="S19" i="12" s="1"/>
  <c r="U19" i="12" s="1"/>
  <c r="W19" i="12" s="1"/>
  <c r="Y19" i="12" s="1"/>
  <c r="AA19" i="12" s="1"/>
  <c r="AC19" i="12" s="1"/>
  <c r="AE19" i="12" s="1"/>
  <c r="AG19" i="12" s="1"/>
  <c r="E16" i="12"/>
  <c r="G16" i="12" s="1"/>
  <c r="I16" i="12" s="1"/>
  <c r="K16" i="12" s="1"/>
  <c r="M16" i="12" s="1"/>
  <c r="O16" i="12" s="1"/>
  <c r="Q16" i="12" s="1"/>
  <c r="S16" i="12" s="1"/>
  <c r="U16" i="12" s="1"/>
  <c r="W16" i="12" s="1"/>
  <c r="Y16" i="12" s="1"/>
  <c r="AA16" i="12" s="1"/>
  <c r="AC16" i="12" s="1"/>
  <c r="AE16" i="12" s="1"/>
  <c r="AG16" i="12" s="1"/>
  <c r="C9" i="12"/>
  <c r="C7" i="12"/>
  <c r="C5" i="12"/>
  <c r="J38" i="11"/>
  <c r="I38" i="11"/>
  <c r="D38" i="11"/>
  <c r="B38" i="11"/>
  <c r="G38" i="11" s="1"/>
  <c r="A38" i="11"/>
  <c r="J37" i="11"/>
  <c r="I37" i="11"/>
  <c r="D37" i="11"/>
  <c r="B37" i="11"/>
  <c r="G37" i="11" s="1"/>
  <c r="A37" i="11"/>
  <c r="J36" i="11"/>
  <c r="I36" i="11"/>
  <c r="D36" i="11"/>
  <c r="B36" i="11"/>
  <c r="G36" i="11" s="1"/>
  <c r="A36" i="11"/>
  <c r="J35" i="11"/>
  <c r="I35" i="11"/>
  <c r="D35" i="11"/>
  <c r="B35" i="11"/>
  <c r="G35" i="11" s="1"/>
  <c r="A35" i="11"/>
  <c r="J34" i="11"/>
  <c r="I34" i="11"/>
  <c r="D34" i="11"/>
  <c r="B34" i="11"/>
  <c r="G34" i="11" s="1"/>
  <c r="A34" i="11"/>
  <c r="J33" i="11"/>
  <c r="I33" i="11"/>
  <c r="D33" i="11"/>
  <c r="B33" i="11"/>
  <c r="G33" i="11" s="1"/>
  <c r="A33" i="11"/>
  <c r="J32" i="11"/>
  <c r="I32" i="11"/>
  <c r="D32" i="11"/>
  <c r="B32" i="11"/>
  <c r="G32" i="11" s="1"/>
  <c r="A32" i="11"/>
  <c r="J31" i="11"/>
  <c r="I31" i="11"/>
  <c r="D31" i="11"/>
  <c r="B31" i="11"/>
  <c r="G31" i="11" s="1"/>
  <c r="A31" i="11"/>
  <c r="J30" i="11"/>
  <c r="I30" i="11"/>
  <c r="D30" i="11"/>
  <c r="B30" i="11"/>
  <c r="G30" i="11" s="1"/>
  <c r="A30" i="11"/>
  <c r="J29" i="11"/>
  <c r="I29" i="11"/>
  <c r="D29" i="11"/>
  <c r="B29" i="11"/>
  <c r="G29" i="11" s="1"/>
  <c r="A29" i="11"/>
  <c r="J28" i="11"/>
  <c r="I28" i="11"/>
  <c r="D28" i="11"/>
  <c r="B28" i="11"/>
  <c r="G28" i="11" s="1"/>
  <c r="A28" i="11"/>
  <c r="J27" i="11"/>
  <c r="I27" i="11"/>
  <c r="D27" i="11"/>
  <c r="B27" i="11"/>
  <c r="G27" i="11" s="1"/>
  <c r="A27" i="11"/>
  <c r="J26" i="11"/>
  <c r="I26" i="11"/>
  <c r="D26" i="11"/>
  <c r="B26" i="11"/>
  <c r="G26" i="11" s="1"/>
  <c r="A26" i="11"/>
  <c r="J25" i="11"/>
  <c r="I25" i="11"/>
  <c r="D25" i="11"/>
  <c r="B25" i="11"/>
  <c r="G25" i="11" s="1"/>
  <c r="A25" i="11"/>
  <c r="J24" i="11"/>
  <c r="I24" i="11"/>
  <c r="D24" i="11"/>
  <c r="B24" i="11"/>
  <c r="G24" i="11" s="1"/>
  <c r="A24" i="11"/>
  <c r="J23" i="11"/>
  <c r="I23" i="11"/>
  <c r="D23" i="11"/>
  <c r="B23" i="11"/>
  <c r="G23" i="11" s="1"/>
  <c r="A23" i="11"/>
  <c r="J22" i="11"/>
  <c r="I22" i="11"/>
  <c r="D22" i="11"/>
  <c r="B22" i="11"/>
  <c r="G22" i="11" s="1"/>
  <c r="A22" i="11"/>
  <c r="J21" i="11"/>
  <c r="I21" i="11"/>
  <c r="D21" i="11"/>
  <c r="B21" i="11"/>
  <c r="G21" i="11" s="1"/>
  <c r="A21" i="11"/>
  <c r="J20" i="11"/>
  <c r="I20" i="11"/>
  <c r="D20" i="11"/>
  <c r="B20" i="11"/>
  <c r="G20" i="11" s="1"/>
  <c r="A20" i="11"/>
  <c r="J19" i="11"/>
  <c r="I19" i="11"/>
  <c r="D19" i="11"/>
  <c r="B19" i="11"/>
  <c r="G19" i="11" s="1"/>
  <c r="A19" i="11"/>
  <c r="J18" i="11"/>
  <c r="I18" i="11"/>
  <c r="D18" i="11"/>
  <c r="B18" i="11"/>
  <c r="G18" i="11" s="1"/>
  <c r="A18" i="11"/>
  <c r="J17" i="11"/>
  <c r="I17" i="11"/>
  <c r="D17" i="11"/>
  <c r="B17" i="11"/>
  <c r="G17" i="11" s="1"/>
  <c r="A17" i="11"/>
  <c r="J16" i="11"/>
  <c r="I16" i="11"/>
  <c r="D16" i="11"/>
  <c r="B16" i="11"/>
  <c r="G16" i="11" s="1"/>
  <c r="A16" i="11"/>
  <c r="J15" i="11"/>
  <c r="I15" i="11"/>
  <c r="D15" i="11"/>
  <c r="B15" i="11"/>
  <c r="G15" i="11" s="1"/>
  <c r="A15" i="11"/>
  <c r="J14" i="11"/>
  <c r="I14" i="11"/>
  <c r="D14" i="11"/>
  <c r="B14" i="11"/>
  <c r="G14" i="11" s="1"/>
  <c r="A14" i="11"/>
  <c r="J13" i="11"/>
  <c r="I13" i="11"/>
  <c r="D13" i="11"/>
  <c r="B13" i="11"/>
  <c r="G13" i="11" s="1"/>
  <c r="A13" i="11"/>
  <c r="J12" i="11"/>
  <c r="I12" i="11"/>
  <c r="D12" i="11"/>
  <c r="B12" i="11"/>
  <c r="G12" i="11" s="1"/>
  <c r="A12" i="11"/>
  <c r="J11" i="11"/>
  <c r="I11" i="11"/>
  <c r="D11" i="11"/>
  <c r="B11" i="11"/>
  <c r="G11" i="11" s="1"/>
  <c r="A11" i="11"/>
  <c r="J10" i="11"/>
  <c r="I10" i="11"/>
  <c r="D10" i="11"/>
  <c r="B10" i="11"/>
  <c r="G10" i="11" s="1"/>
  <c r="A10" i="11"/>
  <c r="J9" i="11"/>
  <c r="I9" i="11"/>
  <c r="D9" i="11"/>
  <c r="B9" i="11"/>
  <c r="G9" i="11" s="1"/>
  <c r="A9" i="11"/>
  <c r="J8" i="11"/>
  <c r="I8" i="11"/>
  <c r="D8" i="11"/>
  <c r="B8" i="11"/>
  <c r="G8" i="11" s="1"/>
  <c r="A8" i="11"/>
  <c r="J7" i="11"/>
  <c r="I7" i="11"/>
  <c r="D7" i="11"/>
  <c r="B7" i="11"/>
  <c r="G7" i="11" s="1"/>
  <c r="A7" i="11"/>
  <c r="J6" i="11"/>
  <c r="I6" i="11"/>
  <c r="D6" i="11"/>
  <c r="B6" i="11"/>
  <c r="G6" i="11" s="1"/>
  <c r="A6" i="11"/>
  <c r="J5" i="11"/>
  <c r="I5" i="11"/>
  <c r="D5" i="11"/>
  <c r="B5" i="11"/>
  <c r="G5" i="11" s="1"/>
  <c r="A5" i="11"/>
  <c r="J4" i="11"/>
  <c r="I4" i="11"/>
  <c r="D4" i="11"/>
  <c r="B4" i="11"/>
  <c r="G4" i="11" s="1"/>
  <c r="A4" i="11"/>
  <c r="G154" i="10"/>
  <c r="G151" i="10"/>
  <c r="E153" i="10" s="1"/>
  <c r="G123" i="10"/>
  <c r="G108" i="10"/>
  <c r="B106" i="10"/>
  <c r="E102" i="10"/>
  <c r="G100" i="10"/>
  <c r="B96" i="10"/>
  <c r="L94" i="10"/>
  <c r="L93" i="10"/>
  <c r="E93" i="10"/>
  <c r="L92" i="10"/>
  <c r="L91" i="10"/>
  <c r="L90" i="10"/>
  <c r="L89" i="10"/>
  <c r="L88" i="10"/>
  <c r="L87" i="10"/>
  <c r="G86" i="10"/>
  <c r="G92" i="10" s="1" a="1"/>
  <c r="G92" i="10" s="1"/>
  <c r="G84" i="10"/>
  <c r="G90" i="10" s="1"/>
  <c r="B81" i="10"/>
  <c r="G75" i="10"/>
  <c r="G72" i="10"/>
  <c r="G68" i="10"/>
  <c r="G67" i="10"/>
  <c r="B58" i="10"/>
  <c r="O54" i="10"/>
  <c r="N54" i="10"/>
  <c r="M54" i="10"/>
  <c r="T54" i="10" s="1"/>
  <c r="L54" i="10"/>
  <c r="N53" i="10"/>
  <c r="M53" i="10"/>
  <c r="R53" i="10" s="1" a="1"/>
  <c r="R53" i="10" s="1"/>
  <c r="L53" i="10"/>
  <c r="N52" i="10"/>
  <c r="M52" i="10"/>
  <c r="S52" i="10" s="1"/>
  <c r="L52" i="10"/>
  <c r="N51" i="10"/>
  <c r="M51" i="10"/>
  <c r="T51" i="10" s="1"/>
  <c r="L51" i="10"/>
  <c r="N50" i="10"/>
  <c r="M50" i="10"/>
  <c r="R50" i="10" s="1" a="1"/>
  <c r="R50" i="10" s="1"/>
  <c r="L50" i="10"/>
  <c r="N49" i="10"/>
  <c r="M49" i="10"/>
  <c r="U49" i="10" s="1"/>
  <c r="L49" i="10"/>
  <c r="B49" i="10"/>
  <c r="N48" i="10"/>
  <c r="M48" i="10"/>
  <c r="P48" i="10" s="1" a="1"/>
  <c r="P48" i="10" s="1"/>
  <c r="L48" i="10"/>
  <c r="N47" i="10"/>
  <c r="M47" i="10"/>
  <c r="T47" i="10" s="1"/>
  <c r="L47" i="10"/>
  <c r="N46" i="10"/>
  <c r="M46" i="10"/>
  <c r="P46" i="10" s="1" a="1"/>
  <c r="P46" i="10" s="1"/>
  <c r="L46" i="10"/>
  <c r="G46" i="10"/>
  <c r="N45" i="10"/>
  <c r="M45" i="10"/>
  <c r="T45" i="10" s="1"/>
  <c r="L45" i="10"/>
  <c r="N44" i="10"/>
  <c r="M44" i="10"/>
  <c r="P44" i="10" s="1" a="1"/>
  <c r="P44" i="10" s="1"/>
  <c r="L44" i="10"/>
  <c r="N43" i="10"/>
  <c r="M43" i="10"/>
  <c r="O43" i="10" s="1"/>
  <c r="L43" i="10"/>
  <c r="N42" i="10"/>
  <c r="M42" i="10"/>
  <c r="O42" i="10" s="1"/>
  <c r="L42" i="10"/>
  <c r="N41" i="10"/>
  <c r="M41" i="10"/>
  <c r="T41" i="10" s="1"/>
  <c r="L41" i="10"/>
  <c r="N40" i="10"/>
  <c r="M40" i="10"/>
  <c r="R40" i="10" s="1" a="1"/>
  <c r="R40" i="10" s="1"/>
  <c r="L40" i="10"/>
  <c r="N39" i="10"/>
  <c r="M39" i="10"/>
  <c r="L39" i="10"/>
  <c r="N38" i="10"/>
  <c r="M38" i="10"/>
  <c r="L38" i="10"/>
  <c r="N37" i="10"/>
  <c r="M37" i="10"/>
  <c r="U37" i="10" s="1"/>
  <c r="L37" i="10"/>
  <c r="N36" i="10"/>
  <c r="M36" i="10"/>
  <c r="U36" i="10" s="1"/>
  <c r="L36" i="10"/>
  <c r="N35" i="10"/>
  <c r="M35" i="10"/>
  <c r="L35" i="10"/>
  <c r="B35" i="10"/>
  <c r="N34" i="10"/>
  <c r="M34" i="10"/>
  <c r="T34" i="10" s="1"/>
  <c r="L34" i="10"/>
  <c r="N33" i="10"/>
  <c r="M33" i="10"/>
  <c r="L33" i="10"/>
  <c r="N32" i="10"/>
  <c r="M32" i="10"/>
  <c r="T32" i="10" s="1"/>
  <c r="L32" i="10"/>
  <c r="N31" i="10"/>
  <c r="M31" i="10"/>
  <c r="T31" i="10" s="1"/>
  <c r="L31" i="10"/>
  <c r="T30" i="10"/>
  <c r="L30" i="10"/>
  <c r="N29" i="10"/>
  <c r="M29" i="10"/>
  <c r="U29" i="10" s="1"/>
  <c r="L29" i="10"/>
  <c r="N28" i="10"/>
  <c r="M28" i="10"/>
  <c r="T28" i="10" s="1"/>
  <c r="L28" i="10"/>
  <c r="D28" i="10"/>
  <c r="N27" i="10"/>
  <c r="M27" i="10"/>
  <c r="T27" i="10" s="1"/>
  <c r="L27" i="10"/>
  <c r="D27" i="10"/>
  <c r="N26" i="10"/>
  <c r="M26" i="10"/>
  <c r="T26" i="10" s="1"/>
  <c r="L26" i="10"/>
  <c r="N25" i="10"/>
  <c r="M25" i="10"/>
  <c r="T25" i="10" s="1"/>
  <c r="L25" i="10"/>
  <c r="N24" i="10"/>
  <c r="M24" i="10"/>
  <c r="U24" i="10" s="1"/>
  <c r="L24" i="10"/>
  <c r="T23" i="10"/>
  <c r="L23" i="10"/>
  <c r="N22" i="10"/>
  <c r="M22" i="10"/>
  <c r="L22" i="10"/>
  <c r="N21" i="10"/>
  <c r="M21" i="10"/>
  <c r="L21" i="10"/>
  <c r="N20" i="10"/>
  <c r="M20" i="10"/>
  <c r="T20" i="10" s="1"/>
  <c r="L20" i="10"/>
  <c r="B20" i="10"/>
  <c r="P18" i="10"/>
  <c r="I14" i="10"/>
  <c r="AF892" i="9"/>
  <c r="A891" i="9"/>
  <c r="A890" i="9"/>
  <c r="A889" i="9"/>
  <c r="B887" i="9"/>
  <c r="A887" i="9"/>
  <c r="B886" i="9"/>
  <c r="A886" i="9"/>
  <c r="B876" i="9"/>
  <c r="AJ817" i="9"/>
  <c r="AJ808" i="9"/>
  <c r="AJ797" i="9"/>
  <c r="AJ781" i="9"/>
  <c r="AJ769" i="9"/>
  <c r="AJ753" i="9"/>
  <c r="AJ741" i="9"/>
  <c r="AX702" i="9"/>
  <c r="AJ700" i="9"/>
  <c r="AJ665" i="9"/>
  <c r="AJ653" i="9"/>
  <c r="AJ634" i="9"/>
  <c r="AO610" i="9"/>
  <c r="AP596" i="9"/>
  <c r="AG536" i="9"/>
  <c r="AG532" i="9"/>
  <c r="AG528" i="9"/>
  <c r="AG525" i="9"/>
  <c r="AG521" i="9"/>
  <c r="AG516" i="9"/>
  <c r="AG511" i="9"/>
  <c r="AG509" i="9"/>
  <c r="AG505" i="9"/>
  <c r="AG500" i="9"/>
  <c r="AG498" i="9"/>
  <c r="AG493" i="9"/>
  <c r="U387" i="9"/>
  <c r="AP386" i="9"/>
  <c r="AP385" i="9"/>
  <c r="AP384" i="9"/>
  <c r="AP383" i="9"/>
  <c r="AP382" i="9"/>
  <c r="AP381" i="9"/>
  <c r="AP378" i="9"/>
  <c r="AP377" i="9"/>
  <c r="AP376" i="9"/>
  <c r="AP375" i="9"/>
  <c r="AP374" i="9"/>
  <c r="AP373" i="9"/>
  <c r="AP372" i="9"/>
  <c r="AP371" i="9"/>
  <c r="AP370" i="9"/>
  <c r="AK351" i="9"/>
  <c r="T888" i="9" s="1"/>
  <c r="AP307" i="9"/>
  <c r="AP306" i="9"/>
  <c r="AK298" i="9"/>
  <c r="T886" i="9" s="1"/>
  <c r="AF886" i="9" s="1"/>
  <c r="BE78" i="4" s="1"/>
  <c r="AB244" i="9"/>
  <c r="AB246" i="9" s="1"/>
  <c r="AB232" i="9"/>
  <c r="AB231" i="9"/>
  <c r="AB230" i="9"/>
  <c r="AB229" i="9"/>
  <c r="AB228" i="9"/>
  <c r="AB227" i="9"/>
  <c r="AB226" i="9"/>
  <c r="AB225" i="9"/>
  <c r="AB224" i="9"/>
  <c r="AB223" i="9"/>
  <c r="AJ179" i="9"/>
  <c r="T882" i="9" s="1"/>
  <c r="C177" i="9"/>
  <c r="AJ165" i="9"/>
  <c r="T881" i="9" s="1"/>
  <c r="AQ135" i="9"/>
  <c r="AO135" i="9"/>
  <c r="AQ134" i="9"/>
  <c r="AO134" i="9"/>
  <c r="AQ133" i="9"/>
  <c r="AO133" i="9"/>
  <c r="AQ132" i="9"/>
  <c r="AO132" i="9"/>
  <c r="AQ131" i="9"/>
  <c r="AO131" i="9"/>
  <c r="AQ130" i="9"/>
  <c r="AO130" i="9"/>
  <c r="AQ129" i="9"/>
  <c r="AO129" i="9"/>
  <c r="AQ128" i="9"/>
  <c r="AO128" i="9"/>
  <c r="AQ127" i="9"/>
  <c r="AO127" i="9"/>
  <c r="AQ126" i="9"/>
  <c r="AO126" i="9"/>
  <c r="AQ125" i="9"/>
  <c r="AO125" i="9"/>
  <c r="AQ124" i="9"/>
  <c r="AO124" i="9"/>
  <c r="AQ123" i="9"/>
  <c r="AO123" i="9"/>
  <c r="AQ122" i="9"/>
  <c r="AO122" i="9"/>
  <c r="AQ121" i="9"/>
  <c r="AO121" i="9"/>
  <c r="AV120" i="9" a="1"/>
  <c r="AV120" i="9" s="1"/>
  <c r="AU120" i="9"/>
  <c r="AQ120" i="9"/>
  <c r="AO120" i="9"/>
  <c r="AV119" i="9" a="1"/>
  <c r="AV119" i="9" s="1"/>
  <c r="AU119" i="9"/>
  <c r="AQ119" i="9"/>
  <c r="AO119" i="9"/>
  <c r="AV118" i="9" a="1"/>
  <c r="AV118" i="9" s="1"/>
  <c r="AU118" i="9"/>
  <c r="AQ118" i="9"/>
  <c r="AO118" i="9"/>
  <c r="AV117" i="9" a="1"/>
  <c r="AV117" i="9" s="1"/>
  <c r="AU117" i="9"/>
  <c r="AQ117" i="9"/>
  <c r="AO117" i="9"/>
  <c r="AV116" i="9" a="1"/>
  <c r="AV116" i="9" s="1"/>
  <c r="AU116" i="9"/>
  <c r="AQ116" i="9"/>
  <c r="AO116" i="9"/>
  <c r="AV115" i="9" a="1"/>
  <c r="AV115" i="9" s="1"/>
  <c r="AU115" i="9"/>
  <c r="AQ115" i="9"/>
  <c r="AO115" i="9"/>
  <c r="AQ114" i="9"/>
  <c r="AO114" i="9"/>
  <c r="AQ113" i="9"/>
  <c r="AO113" i="9"/>
  <c r="AQ112" i="9"/>
  <c r="AO112" i="9"/>
  <c r="AQ111" i="9"/>
  <c r="AO111" i="9"/>
  <c r="AP94" i="9"/>
  <c r="AO70" i="9"/>
  <c r="AO69" i="9"/>
  <c r="AO68" i="9"/>
  <c r="AO67" i="9"/>
  <c r="AO71" i="9" s="1"/>
  <c r="AO56" i="9"/>
  <c r="AO55" i="9"/>
  <c r="AO46" i="9"/>
  <c r="AO45" i="9"/>
  <c r="AO44" i="9"/>
  <c r="AO43" i="9"/>
  <c r="AO33" i="9"/>
  <c r="AO32" i="9"/>
  <c r="AO31" i="9"/>
  <c r="AO30" i="9"/>
  <c r="AO26" i="9"/>
  <c r="AO60" i="9" s="1"/>
  <c r="AK61" i="9" s="1"/>
  <c r="AO20" i="9"/>
  <c r="AD67" i="8"/>
  <c r="Y67" i="8"/>
  <c r="Y64" i="8"/>
  <c r="A61" i="8"/>
  <c r="T25" i="8"/>
  <c r="Y7" i="8" s="1"/>
  <c r="AI20" i="8"/>
  <c r="AI22" i="8" s="1"/>
  <c r="AD20" i="8"/>
  <c r="AD22" i="8" s="1"/>
  <c r="Y20" i="8"/>
  <c r="Y22" i="8" s="1"/>
  <c r="T20" i="8"/>
  <c r="T22" i="8" s="1"/>
  <c r="A3" i="8"/>
  <c r="AC211" i="7"/>
  <c r="Y211" i="7"/>
  <c r="U211" i="7"/>
  <c r="O198" i="7"/>
  <c r="AU187" i="7"/>
  <c r="O75" i="7"/>
  <c r="B64" i="7"/>
  <c r="B63" i="7"/>
  <c r="B62" i="7"/>
  <c r="B61" i="7"/>
  <c r="B60" i="7"/>
  <c r="Z57" i="7"/>
  <c r="R57" i="7"/>
  <c r="AS47" i="7"/>
  <c r="AS46" i="7"/>
  <c r="AS45" i="7"/>
  <c r="AS44" i="7"/>
  <c r="AS43" i="7"/>
  <c r="AS42" i="7"/>
  <c r="AS41" i="7"/>
  <c r="AS40" i="7"/>
  <c r="AS39" i="7"/>
  <c r="AS38" i="7"/>
  <c r="AS37" i="7"/>
  <c r="AS36" i="7"/>
  <c r="AN28" i="7"/>
  <c r="AH28" i="7"/>
  <c r="AB28" i="7"/>
  <c r="V28" i="7"/>
  <c r="P28" i="7"/>
  <c r="J28" i="7" s="1"/>
  <c r="AN24" i="7" a="1"/>
  <c r="AN24" i="7" s="1"/>
  <c r="AH24" i="7" a="1"/>
  <c r="AH24" i="7" s="1"/>
  <c r="AB24" i="7" a="1"/>
  <c r="AB24" i="7" s="1"/>
  <c r="V24" i="7" a="1"/>
  <c r="V24" i="7" s="1"/>
  <c r="P24" i="7" a="1"/>
  <c r="P24" i="7" s="1"/>
  <c r="AN23" i="7" a="1"/>
  <c r="AN23" i="7" s="1"/>
  <c r="AH23" i="7" a="1"/>
  <c r="AH23" i="7" s="1"/>
  <c r="AB23" i="7" a="1"/>
  <c r="AB23" i="7" s="1"/>
  <c r="V23" i="7" a="1"/>
  <c r="V23" i="7" s="1"/>
  <c r="P23" i="7" a="1"/>
  <c r="P23" i="7" s="1"/>
  <c r="AN22" i="7" a="1"/>
  <c r="AN22" i="7" s="1"/>
  <c r="AH22" i="7" a="1"/>
  <c r="AH22" i="7" s="1"/>
  <c r="AB22" i="7" a="1"/>
  <c r="AB22" i="7" s="1"/>
  <c r="V22" i="7" a="1"/>
  <c r="V22" i="7" s="1"/>
  <c r="P22" i="7" a="1"/>
  <c r="P22" i="7" s="1"/>
  <c r="AN21" i="7" a="1"/>
  <c r="AN21" i="7" s="1"/>
  <c r="AH21" i="7" a="1"/>
  <c r="AH21" i="7" s="1"/>
  <c r="AB21" i="7" a="1"/>
  <c r="AB21" i="7" s="1"/>
  <c r="V21" i="7" a="1"/>
  <c r="V21" i="7" s="1"/>
  <c r="P21" i="7" a="1"/>
  <c r="P21" i="7" s="1"/>
  <c r="AN20" i="7" a="1"/>
  <c r="AN20" i="7" s="1"/>
  <c r="AH20" i="7" a="1"/>
  <c r="AH20" i="7" s="1"/>
  <c r="AB20" i="7" a="1"/>
  <c r="AB20" i="7" s="1"/>
  <c r="V20" i="7" a="1"/>
  <c r="V20" i="7" s="1"/>
  <c r="P20" i="7" a="1"/>
  <c r="P20" i="7" s="1"/>
  <c r="AN19" i="7" a="1"/>
  <c r="AN19" i="7" s="1"/>
  <c r="AH19" i="7" a="1"/>
  <c r="AH19" i="7" s="1"/>
  <c r="AB19" i="7" a="1"/>
  <c r="AB19" i="7" s="1"/>
  <c r="V19" i="7" a="1"/>
  <c r="V19" i="7" s="1"/>
  <c r="P19" i="7" a="1"/>
  <c r="P19" i="7" s="1"/>
  <c r="S15" i="7"/>
  <c r="AO13" i="7"/>
  <c r="N11" i="7"/>
  <c r="N10" i="7"/>
  <c r="AB8" i="7"/>
  <c r="L6" i="7"/>
  <c r="L4" i="7"/>
  <c r="H106" i="6"/>
  <c r="E106" i="6"/>
  <c r="I104" i="6"/>
  <c r="G104" i="6"/>
  <c r="D104" i="6"/>
  <c r="H103" i="6"/>
  <c r="E103" i="6"/>
  <c r="B103" i="6"/>
  <c r="A103" i="6"/>
  <c r="H102" i="6"/>
  <c r="E102" i="6"/>
  <c r="B102" i="6"/>
  <c r="H101" i="6"/>
  <c r="E101" i="6"/>
  <c r="B101" i="6"/>
  <c r="H100" i="6"/>
  <c r="E100" i="6"/>
  <c r="B100" i="6"/>
  <c r="H99" i="6"/>
  <c r="J99" i="6" s="1"/>
  <c r="J104" i="6" s="1"/>
  <c r="E99" i="6"/>
  <c r="F99" i="6" s="1"/>
  <c r="F104" i="6" s="1"/>
  <c r="B99" i="6"/>
  <c r="C99" i="6" s="1"/>
  <c r="C104" i="6" s="1"/>
  <c r="J96" i="6"/>
  <c r="I96" i="6"/>
  <c r="G96" i="6"/>
  <c r="D96" i="6"/>
  <c r="H95" i="6"/>
  <c r="E95" i="6"/>
  <c r="B95" i="6"/>
  <c r="A95" i="6"/>
  <c r="H94" i="6"/>
  <c r="E94" i="6"/>
  <c r="B94" i="6"/>
  <c r="A94" i="6"/>
  <c r="H93" i="6"/>
  <c r="E93" i="6"/>
  <c r="B93" i="6"/>
  <c r="A93" i="6"/>
  <c r="H92" i="6"/>
  <c r="E92" i="6"/>
  <c r="B92" i="6"/>
  <c r="H91" i="6"/>
  <c r="E91" i="6"/>
  <c r="B91" i="6"/>
  <c r="C91" i="6" s="1"/>
  <c r="H90" i="6"/>
  <c r="B90" i="6"/>
  <c r="C90" i="6" s="1"/>
  <c r="H89" i="6"/>
  <c r="E89" i="6"/>
  <c r="B89" i="6"/>
  <c r="B88" i="6"/>
  <c r="H87" i="6"/>
  <c r="E87" i="6"/>
  <c r="B87" i="6"/>
  <c r="H86" i="6"/>
  <c r="B86" i="6"/>
  <c r="C86" i="6" s="1"/>
  <c r="H85" i="6"/>
  <c r="E85" i="6"/>
  <c r="B85" i="6"/>
  <c r="H84" i="6"/>
  <c r="B84" i="6"/>
  <c r="C84" i="6" s="1"/>
  <c r="B83" i="6"/>
  <c r="C83" i="6" s="1"/>
  <c r="J81" i="6"/>
  <c r="I81" i="6"/>
  <c r="G81" i="6"/>
  <c r="D81" i="6"/>
  <c r="H80" i="6"/>
  <c r="B80" i="6"/>
  <c r="C80" i="6" s="1"/>
  <c r="H79" i="6"/>
  <c r="B79" i="6"/>
  <c r="C79" i="6" s="1"/>
  <c r="D77" i="6"/>
  <c r="B76" i="6"/>
  <c r="C76" i="6" s="1"/>
  <c r="A76" i="6"/>
  <c r="B75" i="6"/>
  <c r="C75" i="6" s="1"/>
  <c r="B74" i="6"/>
  <c r="B73" i="6"/>
  <c r="B72" i="6"/>
  <c r="J70" i="6"/>
  <c r="I70" i="6"/>
  <c r="G70" i="6"/>
  <c r="D70" i="6"/>
  <c r="H69" i="6"/>
  <c r="E69" i="6"/>
  <c r="F69" i="6" s="1"/>
  <c r="B69" i="6"/>
  <c r="C69" i="6" s="1"/>
  <c r="A69" i="6"/>
  <c r="H68" i="6"/>
  <c r="E68" i="6"/>
  <c r="B68" i="6"/>
  <c r="H67" i="6"/>
  <c r="E67" i="6"/>
  <c r="B67" i="6"/>
  <c r="H66" i="6"/>
  <c r="E66" i="6"/>
  <c r="B66" i="6"/>
  <c r="H65" i="6"/>
  <c r="B65" i="6"/>
  <c r="C65" i="6" s="1"/>
  <c r="D62" i="6"/>
  <c r="C62" i="6"/>
  <c r="B61" i="6"/>
  <c r="A61" i="6"/>
  <c r="B60" i="6"/>
  <c r="B59" i="6"/>
  <c r="B58" i="6"/>
  <c r="B57" i="6"/>
  <c r="B56" i="6"/>
  <c r="J54" i="6"/>
  <c r="I54" i="6"/>
  <c r="G54" i="6"/>
  <c r="D54" i="6"/>
  <c r="H53" i="6"/>
  <c r="B53" i="6"/>
  <c r="C53" i="6" s="1"/>
  <c r="A53" i="6"/>
  <c r="H52" i="6"/>
  <c r="B52" i="6"/>
  <c r="C52" i="6" s="1"/>
  <c r="H51" i="6"/>
  <c r="E51" i="6"/>
  <c r="B51" i="6"/>
  <c r="H50" i="6"/>
  <c r="B50" i="6"/>
  <c r="C50" i="6" s="1"/>
  <c r="H49" i="6"/>
  <c r="E49" i="6"/>
  <c r="B49" i="6"/>
  <c r="C49" i="6" s="1"/>
  <c r="H48" i="6"/>
  <c r="E48" i="6"/>
  <c r="B48" i="6"/>
  <c r="H47" i="6"/>
  <c r="E47" i="6"/>
  <c r="B47" i="6"/>
  <c r="H46" i="6"/>
  <c r="B46" i="6"/>
  <c r="C46" i="6" s="1"/>
  <c r="H45" i="6"/>
  <c r="E45" i="6"/>
  <c r="F45" i="6" s="1"/>
  <c r="B45" i="6"/>
  <c r="C45" i="6" s="1"/>
  <c r="H43" i="6"/>
  <c r="B43" i="6"/>
  <c r="C43" i="6" s="1"/>
  <c r="J42" i="6"/>
  <c r="I42" i="6"/>
  <c r="G42" i="6"/>
  <c r="D42" i="6"/>
  <c r="H41" i="6"/>
  <c r="E41" i="6"/>
  <c r="B41" i="6"/>
  <c r="H40" i="6"/>
  <c r="B40" i="6"/>
  <c r="C40" i="6" s="1"/>
  <c r="C42" i="6" s="1"/>
  <c r="J38" i="6"/>
  <c r="I38" i="6"/>
  <c r="G38" i="6"/>
  <c r="F38" i="6"/>
  <c r="D38" i="6"/>
  <c r="C38" i="6"/>
  <c r="H37" i="6"/>
  <c r="E37" i="6"/>
  <c r="B37" i="6"/>
  <c r="A37" i="6"/>
  <c r="H36" i="6"/>
  <c r="E36" i="6"/>
  <c r="B36" i="6"/>
  <c r="H35" i="6"/>
  <c r="E35" i="6"/>
  <c r="B35" i="6"/>
  <c r="H34" i="6"/>
  <c r="E34" i="6"/>
  <c r="B34" i="6"/>
  <c r="H33" i="6"/>
  <c r="E33" i="6"/>
  <c r="B33" i="6"/>
  <c r="H32" i="6"/>
  <c r="E32" i="6"/>
  <c r="B32" i="6"/>
  <c r="H31" i="6"/>
  <c r="E31" i="6"/>
  <c r="B31" i="6"/>
  <c r="H30" i="6"/>
  <c r="E30" i="6"/>
  <c r="B30" i="6"/>
  <c r="H29" i="6"/>
  <c r="E29" i="6"/>
  <c r="B29" i="6"/>
  <c r="H27" i="6"/>
  <c r="B27" i="6"/>
  <c r="C27" i="6" s="1"/>
  <c r="J26" i="6"/>
  <c r="I26" i="6"/>
  <c r="G26" i="6"/>
  <c r="D26" i="6"/>
  <c r="H25" i="6"/>
  <c r="B25" i="6"/>
  <c r="C25" i="6" s="1"/>
  <c r="A25" i="6"/>
  <c r="H24" i="6"/>
  <c r="E24" i="6"/>
  <c r="B24" i="6"/>
  <c r="H23" i="6"/>
  <c r="B23" i="6"/>
  <c r="C23" i="6" s="1"/>
  <c r="H22" i="6"/>
  <c r="E22" i="6"/>
  <c r="B22" i="6"/>
  <c r="H21" i="6"/>
  <c r="B21" i="6"/>
  <c r="C21" i="6" s="1"/>
  <c r="H20" i="6"/>
  <c r="B20" i="6"/>
  <c r="C20" i="6" s="1"/>
  <c r="H19" i="6"/>
  <c r="B19" i="6"/>
  <c r="C19" i="6" s="1"/>
  <c r="H18" i="6"/>
  <c r="B18" i="6"/>
  <c r="C18" i="6" s="1"/>
  <c r="H17" i="6"/>
  <c r="E17" i="6"/>
  <c r="B17" i="6"/>
  <c r="H15" i="6"/>
  <c r="E15" i="6"/>
  <c r="B15" i="6"/>
  <c r="H14" i="6"/>
  <c r="E14" i="6"/>
  <c r="B14" i="6"/>
  <c r="H13" i="6"/>
  <c r="E13" i="6"/>
  <c r="B13" i="6"/>
  <c r="I11" i="6"/>
  <c r="C11" i="6"/>
  <c r="H10" i="6"/>
  <c r="E10" i="6"/>
  <c r="B10" i="6"/>
  <c r="B9" i="6"/>
  <c r="D9" i="6" s="1"/>
  <c r="D11" i="6" s="1"/>
  <c r="C8" i="6"/>
  <c r="B7" i="6"/>
  <c r="B6" i="6"/>
  <c r="B5" i="6"/>
  <c r="B4" i="6"/>
  <c r="D4" i="6" s="1"/>
  <c r="D8" i="6" s="1"/>
  <c r="B131" i="5"/>
  <c r="Q108" i="5"/>
  <c r="P108" i="5"/>
  <c r="O108" i="5"/>
  <c r="N108" i="5"/>
  <c r="M108" i="5"/>
  <c r="L108" i="5"/>
  <c r="K108" i="5"/>
  <c r="J108" i="5"/>
  <c r="I108" i="5"/>
  <c r="H108" i="5"/>
  <c r="F108" i="5"/>
  <c r="E108" i="5"/>
  <c r="T104" i="5"/>
  <c r="S104" i="5"/>
  <c r="E104" i="6" s="1"/>
  <c r="Q104" i="5"/>
  <c r="P104" i="5"/>
  <c r="O104" i="5"/>
  <c r="N104" i="5"/>
  <c r="M104" i="5"/>
  <c r="L104" i="5"/>
  <c r="K104" i="5"/>
  <c r="J104" i="5"/>
  <c r="G104" i="5"/>
  <c r="F104" i="5"/>
  <c r="D104" i="5"/>
  <c r="C104" i="5"/>
  <c r="B104" i="6" s="1"/>
  <c r="R103" i="5"/>
  <c r="B103" i="5"/>
  <c r="R102" i="5"/>
  <c r="B102" i="5"/>
  <c r="R101" i="5"/>
  <c r="B101" i="5"/>
  <c r="R100" i="5"/>
  <c r="B100" i="5"/>
  <c r="H99" i="5"/>
  <c r="H104" i="5" s="1"/>
  <c r="B99" i="5"/>
  <c r="T96" i="5"/>
  <c r="H96" i="6" s="1"/>
  <c r="Q96" i="5"/>
  <c r="P96" i="5"/>
  <c r="O96" i="5"/>
  <c r="N96" i="5"/>
  <c r="M96" i="5"/>
  <c r="L96" i="5"/>
  <c r="K96" i="5"/>
  <c r="J96" i="5"/>
  <c r="I96" i="5"/>
  <c r="H96" i="5"/>
  <c r="G96" i="5"/>
  <c r="F96" i="5"/>
  <c r="D96" i="5"/>
  <c r="C96" i="5"/>
  <c r="B96" i="6" s="1"/>
  <c r="R95" i="5"/>
  <c r="B95" i="5"/>
  <c r="R94" i="5"/>
  <c r="B94" i="5"/>
  <c r="R93" i="5"/>
  <c r="B93" i="5"/>
  <c r="R92" i="5"/>
  <c r="B92" i="5"/>
  <c r="E91" i="5"/>
  <c r="R91" i="5" s="1"/>
  <c r="B91" i="5"/>
  <c r="E90" i="5"/>
  <c r="R90" i="5" s="1"/>
  <c r="S90" i="5" s="1"/>
  <c r="E90" i="6" s="1"/>
  <c r="F90" i="6" s="1"/>
  <c r="B90" i="5"/>
  <c r="R89" i="5"/>
  <c r="B89" i="5"/>
  <c r="R88" i="5"/>
  <c r="B88" i="5"/>
  <c r="R87" i="5"/>
  <c r="B87" i="5"/>
  <c r="E86" i="5"/>
  <c r="R86" i="5" s="1"/>
  <c r="S86" i="5" s="1"/>
  <c r="E86" i="6" s="1"/>
  <c r="F86" i="6" s="1"/>
  <c r="B86" i="5"/>
  <c r="R85" i="5"/>
  <c r="B85" i="5"/>
  <c r="E84" i="5"/>
  <c r="R84" i="5" s="1"/>
  <c r="S84" i="5" s="1"/>
  <c r="B84" i="5"/>
  <c r="E83" i="5"/>
  <c r="B83" i="5"/>
  <c r="T81" i="5"/>
  <c r="H81" i="6" s="1"/>
  <c r="Q81" i="5"/>
  <c r="P81" i="5"/>
  <c r="O81" i="5"/>
  <c r="N81" i="5"/>
  <c r="M81" i="5"/>
  <c r="L81" i="5"/>
  <c r="K81" i="5"/>
  <c r="J81" i="5"/>
  <c r="I81" i="5"/>
  <c r="H81" i="5"/>
  <c r="G81" i="5"/>
  <c r="F81" i="5"/>
  <c r="D81" i="5"/>
  <c r="C81" i="5"/>
  <c r="E80" i="5"/>
  <c r="R80" i="5" s="1"/>
  <c r="S80" i="5" s="1"/>
  <c r="E80" i="6" s="1"/>
  <c r="F80" i="6" s="1"/>
  <c r="B80" i="5"/>
  <c r="E79" i="5"/>
  <c r="R79" i="5" s="1"/>
  <c r="B79" i="5"/>
  <c r="Q77" i="5"/>
  <c r="P77" i="5"/>
  <c r="O77" i="5"/>
  <c r="N77" i="5"/>
  <c r="M77" i="5"/>
  <c r="L77" i="5"/>
  <c r="K77" i="5"/>
  <c r="J77" i="5"/>
  <c r="I77" i="5"/>
  <c r="H77" i="5"/>
  <c r="G77" i="5"/>
  <c r="F77" i="5"/>
  <c r="D77" i="5"/>
  <c r="C77" i="5"/>
  <c r="E76" i="5"/>
  <c r="R76" i="5" s="1"/>
  <c r="B76" i="5"/>
  <c r="E75" i="5"/>
  <c r="R75" i="5" s="1"/>
  <c r="B75" i="5"/>
  <c r="R74" i="5"/>
  <c r="B74" i="5"/>
  <c r="R73" i="5"/>
  <c r="B73" i="5"/>
  <c r="R72" i="5"/>
  <c r="B72" i="5"/>
  <c r="T70" i="5"/>
  <c r="H70" i="6" s="1"/>
  <c r="Q70" i="5"/>
  <c r="P70" i="5"/>
  <c r="O70" i="5"/>
  <c r="N70" i="5"/>
  <c r="M70" i="5"/>
  <c r="L70" i="5"/>
  <c r="K70" i="5"/>
  <c r="J70" i="5"/>
  <c r="I70" i="5"/>
  <c r="H70" i="5"/>
  <c r="G70" i="5"/>
  <c r="F70" i="5"/>
  <c r="D70" i="5"/>
  <c r="C70" i="5"/>
  <c r="B70" i="6" s="1"/>
  <c r="E69" i="5"/>
  <c r="R69" i="5" s="1"/>
  <c r="B69" i="5"/>
  <c r="R68" i="5"/>
  <c r="B68" i="5"/>
  <c r="R67" i="5"/>
  <c r="B67" i="5"/>
  <c r="R66" i="5"/>
  <c r="B66" i="5"/>
  <c r="E65" i="5"/>
  <c r="B65" i="5"/>
  <c r="Q62" i="5"/>
  <c r="P62" i="5"/>
  <c r="O62" i="5"/>
  <c r="N62" i="5"/>
  <c r="M62" i="5"/>
  <c r="L62" i="5"/>
  <c r="K62" i="5"/>
  <c r="J62" i="5"/>
  <c r="I62" i="5"/>
  <c r="H62" i="5"/>
  <c r="G62" i="5"/>
  <c r="F62" i="5"/>
  <c r="E62" i="5"/>
  <c r="D62" i="5"/>
  <c r="C62" i="5"/>
  <c r="R61" i="5"/>
  <c r="B61" i="5"/>
  <c r="R60" i="5"/>
  <c r="B60" i="5"/>
  <c r="R59" i="5"/>
  <c r="B59" i="5"/>
  <c r="R58" i="5"/>
  <c r="B58" i="5"/>
  <c r="R57" i="5"/>
  <c r="B57" i="5"/>
  <c r="R56" i="5"/>
  <c r="B56" i="5"/>
  <c r="T54" i="5"/>
  <c r="H54" i="6" s="1"/>
  <c r="Q54" i="5"/>
  <c r="P54" i="5"/>
  <c r="O54" i="5"/>
  <c r="N54" i="5"/>
  <c r="M54" i="5"/>
  <c r="L54" i="5"/>
  <c r="K54" i="5"/>
  <c r="J54" i="5"/>
  <c r="H54" i="5"/>
  <c r="G54" i="5"/>
  <c r="F54" i="5"/>
  <c r="D54" i="5"/>
  <c r="C54" i="5"/>
  <c r="E53" i="5"/>
  <c r="R53" i="5" s="1"/>
  <c r="S53" i="5" s="1"/>
  <c r="E53" i="6" s="1"/>
  <c r="F53" i="6" s="1"/>
  <c r="B53" i="5"/>
  <c r="E52" i="5"/>
  <c r="R52" i="5" s="1"/>
  <c r="S52" i="5" s="1"/>
  <c r="E52" i="6" s="1"/>
  <c r="F52" i="6" s="1"/>
  <c r="B52" i="5"/>
  <c r="R51" i="5"/>
  <c r="B51" i="5"/>
  <c r="E50" i="5"/>
  <c r="R50" i="5" s="1"/>
  <c r="S50" i="5" s="1"/>
  <c r="E50" i="6" s="1"/>
  <c r="F50" i="6" s="1"/>
  <c r="B50" i="5"/>
  <c r="E49" i="5"/>
  <c r="R49" i="5" s="1"/>
  <c r="B49" i="5"/>
  <c r="R48" i="5"/>
  <c r="B48" i="5"/>
  <c r="R47" i="5"/>
  <c r="B47" i="5"/>
  <c r="E46" i="5"/>
  <c r="B46" i="5"/>
  <c r="I45" i="5"/>
  <c r="I54" i="5" s="1"/>
  <c r="B45" i="5"/>
  <c r="E43" i="5"/>
  <c r="R43" i="5" s="1"/>
  <c r="S43" i="5" s="1"/>
  <c r="E43" i="6" s="1"/>
  <c r="F43" i="6" s="1"/>
  <c r="B43" i="5"/>
  <c r="T42" i="5"/>
  <c r="H42" i="6" s="1"/>
  <c r="Q42" i="5"/>
  <c r="P42" i="5"/>
  <c r="O42" i="5"/>
  <c r="N42" i="5"/>
  <c r="M42" i="5"/>
  <c r="L42" i="5"/>
  <c r="K42" i="5"/>
  <c r="J42" i="5"/>
  <c r="I42" i="5"/>
  <c r="H42" i="5"/>
  <c r="G42" i="5"/>
  <c r="F42" i="5"/>
  <c r="D42" i="5"/>
  <c r="C42" i="5"/>
  <c r="B42" i="6" s="1"/>
  <c r="R41" i="5"/>
  <c r="B41" i="5"/>
  <c r="E40" i="5"/>
  <c r="E42" i="5" s="1"/>
  <c r="B40" i="5"/>
  <c r="T38" i="5"/>
  <c r="H38" i="6" s="1"/>
  <c r="S38" i="5"/>
  <c r="E38" i="6" s="1"/>
  <c r="Q38" i="5"/>
  <c r="P38" i="5"/>
  <c r="O38" i="5"/>
  <c r="N38" i="5"/>
  <c r="M38" i="5"/>
  <c r="L38" i="5"/>
  <c r="K38" i="5"/>
  <c r="J38" i="5"/>
  <c r="I38" i="5"/>
  <c r="H38" i="5"/>
  <c r="G38" i="5"/>
  <c r="F38" i="5"/>
  <c r="E38" i="5"/>
  <c r="D38" i="5"/>
  <c r="C38" i="5"/>
  <c r="B38" i="6" s="1"/>
  <c r="R37" i="5"/>
  <c r="B37" i="5"/>
  <c r="R36" i="5"/>
  <c r="B36" i="5"/>
  <c r="R35" i="5"/>
  <c r="B35" i="5"/>
  <c r="R34" i="5"/>
  <c r="B34" i="5"/>
  <c r="R33" i="5"/>
  <c r="B33" i="5"/>
  <c r="R32" i="5"/>
  <c r="B32" i="5"/>
  <c r="R31" i="5"/>
  <c r="B31" i="5"/>
  <c r="R30" i="5"/>
  <c r="B30" i="5"/>
  <c r="R29" i="5"/>
  <c r="B29" i="5"/>
  <c r="E27" i="5"/>
  <c r="R27" i="5" s="1"/>
  <c r="S27" i="5" s="1"/>
  <c r="E27" i="6" s="1"/>
  <c r="F27" i="6" s="1"/>
  <c r="B27" i="5"/>
  <c r="T26" i="5"/>
  <c r="H26" i="6" s="1"/>
  <c r="Q26" i="5"/>
  <c r="P26" i="5"/>
  <c r="O26" i="5"/>
  <c r="N26" i="5"/>
  <c r="M26" i="5"/>
  <c r="L26" i="5"/>
  <c r="K26" i="5"/>
  <c r="J26" i="5"/>
  <c r="I26" i="5"/>
  <c r="H26" i="5"/>
  <c r="G26" i="5"/>
  <c r="F26" i="5"/>
  <c r="D26" i="5"/>
  <c r="C26" i="5"/>
  <c r="E25" i="5"/>
  <c r="R25" i="5" s="1"/>
  <c r="S25" i="5" s="1"/>
  <c r="E25" i="6" s="1"/>
  <c r="F25" i="6" s="1"/>
  <c r="B25" i="5"/>
  <c r="R24" i="5"/>
  <c r="B24" i="5"/>
  <c r="E23" i="5"/>
  <c r="R23" i="5" s="1"/>
  <c r="S23" i="5" s="1"/>
  <c r="E23" i="6" s="1"/>
  <c r="F23" i="6" s="1"/>
  <c r="B23" i="5"/>
  <c r="R22" i="5"/>
  <c r="B22" i="5"/>
  <c r="E21" i="5"/>
  <c r="R21" i="5" s="1"/>
  <c r="S21" i="5" s="1"/>
  <c r="E21" i="6" s="1"/>
  <c r="F21" i="6" s="1"/>
  <c r="B21" i="5"/>
  <c r="E20" i="5"/>
  <c r="R20" i="5" s="1"/>
  <c r="S20" i="5" s="1"/>
  <c r="E20" i="6" s="1"/>
  <c r="F20" i="6" s="1"/>
  <c r="B20" i="5"/>
  <c r="E19" i="5"/>
  <c r="R19" i="5" s="1"/>
  <c r="S19" i="5" s="1"/>
  <c r="E19" i="6" s="1"/>
  <c r="F19" i="6" s="1"/>
  <c r="B19" i="5"/>
  <c r="E18" i="5"/>
  <c r="R18" i="5" s="1"/>
  <c r="S18" i="5" s="1"/>
  <c r="B18" i="5"/>
  <c r="R17" i="5"/>
  <c r="B17" i="5"/>
  <c r="R15" i="5"/>
  <c r="B15" i="5"/>
  <c r="AD209" i="9" s="1"/>
  <c r="R14" i="5"/>
  <c r="B14" i="5"/>
  <c r="R13" i="5"/>
  <c r="B13" i="5"/>
  <c r="Q11" i="5"/>
  <c r="O11" i="5"/>
  <c r="N11" i="5"/>
  <c r="M11" i="5"/>
  <c r="L11" i="5"/>
  <c r="K11" i="5"/>
  <c r="J11" i="5"/>
  <c r="I11" i="5"/>
  <c r="H11" i="5"/>
  <c r="D11" i="5"/>
  <c r="C11" i="5"/>
  <c r="R10" i="5"/>
  <c r="B10" i="5"/>
  <c r="B9" i="5"/>
  <c r="Q8" i="5"/>
  <c r="O8" i="5"/>
  <c r="O12" i="5" s="1"/>
  <c r="N8" i="5"/>
  <c r="M8" i="5"/>
  <c r="L8" i="5"/>
  <c r="K8" i="5"/>
  <c r="J8" i="5"/>
  <c r="I8" i="5"/>
  <c r="H8" i="5"/>
  <c r="G8" i="5"/>
  <c r="E8" i="5"/>
  <c r="D8" i="5"/>
  <c r="D12" i="5" s="1"/>
  <c r="C8" i="5"/>
  <c r="C12" i="5" s="1"/>
  <c r="B12" i="6" s="1"/>
  <c r="R7" i="5"/>
  <c r="B7" i="5"/>
  <c r="R6" i="5"/>
  <c r="B6" i="5"/>
  <c r="R5" i="5"/>
  <c r="B5" i="5"/>
  <c r="F4" i="5"/>
  <c r="F8" i="5" s="1"/>
  <c r="B4" i="5"/>
  <c r="BE23" i="4" s="1"/>
  <c r="Q2" i="5"/>
  <c r="P2" i="5"/>
  <c r="O2" i="5"/>
  <c r="N2" i="5"/>
  <c r="M2" i="5"/>
  <c r="L2" i="5"/>
  <c r="K2" i="5"/>
  <c r="J2" i="5"/>
  <c r="I2" i="5"/>
  <c r="H2" i="5"/>
  <c r="G2" i="5"/>
  <c r="F2" i="5"/>
  <c r="BA1059" i="4"/>
  <c r="AZ1054" i="4"/>
  <c r="AZ1052" i="4"/>
  <c r="AZ1056" i="4" s="1"/>
  <c r="BA1048" i="4"/>
  <c r="AJ1048" i="4"/>
  <c r="BA1047" i="4"/>
  <c r="BA1053" i="4" s="1"/>
  <c r="BA1045" i="4"/>
  <c r="AJ1039" i="4"/>
  <c r="AJ1036" i="4"/>
  <c r="AY1034" i="4"/>
  <c r="AF1033" i="4"/>
  <c r="AJ1032" i="4"/>
  <c r="AY1030" i="4"/>
  <c r="AY1029" i="4"/>
  <c r="AY1028" i="4"/>
  <c r="AF1028" i="4"/>
  <c r="AY1027" i="4"/>
  <c r="AJ1027" i="4"/>
  <c r="AY1026" i="4"/>
  <c r="AY1025" i="4"/>
  <c r="AY1024" i="4"/>
  <c r="AY1023" i="4"/>
  <c r="AJ1023" i="4"/>
  <c r="AY1022" i="4"/>
  <c r="AY1021" i="4"/>
  <c r="AY1020" i="4"/>
  <c r="AJ1020" i="4"/>
  <c r="AJ1018" i="4"/>
  <c r="AJ1014" i="4"/>
  <c r="AJ1008" i="4"/>
  <c r="AJ1001" i="4"/>
  <c r="AW925" i="4"/>
  <c r="AG925" i="4" s="1"/>
  <c r="Z909" i="4"/>
  <c r="W886" i="4"/>
  <c r="E21" i="12" s="1"/>
  <c r="G21" i="12" s="1"/>
  <c r="I21" i="12" s="1"/>
  <c r="K21" i="12" s="1"/>
  <c r="M21" i="12" s="1"/>
  <c r="O21" i="12" s="1"/>
  <c r="Q21" i="12" s="1"/>
  <c r="S21" i="12" s="1"/>
  <c r="U21" i="12" s="1"/>
  <c r="W21" i="12" s="1"/>
  <c r="Y21" i="12" s="1"/>
  <c r="AA21" i="12" s="1"/>
  <c r="AC21" i="12" s="1"/>
  <c r="AE21" i="12" s="1"/>
  <c r="AG21" i="12" s="1"/>
  <c r="W879" i="4"/>
  <c r="E20" i="12" s="1"/>
  <c r="G20" i="12" s="1"/>
  <c r="I20" i="12" s="1"/>
  <c r="K20" i="12" s="1"/>
  <c r="M20" i="12" s="1"/>
  <c r="O20" i="12" s="1"/>
  <c r="Q20" i="12" s="1"/>
  <c r="S20" i="12" s="1"/>
  <c r="U20" i="12" s="1"/>
  <c r="W20" i="12" s="1"/>
  <c r="Y20" i="12" s="1"/>
  <c r="AA20" i="12" s="1"/>
  <c r="AC20" i="12" s="1"/>
  <c r="AE20" i="12" s="1"/>
  <c r="AG20" i="12" s="1"/>
  <c r="W868" i="4"/>
  <c r="E18" i="12" s="1"/>
  <c r="G18" i="12" s="1"/>
  <c r="I18" i="12" s="1"/>
  <c r="K18" i="12" s="1"/>
  <c r="M18" i="12" s="1"/>
  <c r="O18" i="12" s="1"/>
  <c r="Q18" i="12" s="1"/>
  <c r="S18" i="12" s="1"/>
  <c r="U18" i="12" s="1"/>
  <c r="W18" i="12" s="1"/>
  <c r="Y18" i="12" s="1"/>
  <c r="AA18" i="12" s="1"/>
  <c r="AC18" i="12" s="1"/>
  <c r="AE18" i="12" s="1"/>
  <c r="AG18" i="12" s="1"/>
  <c r="W861" i="4"/>
  <c r="E17" i="12" s="1"/>
  <c r="G17" i="12" s="1"/>
  <c r="I17" i="12" s="1"/>
  <c r="K17" i="12" s="1"/>
  <c r="M17" i="12" s="1"/>
  <c r="O17" i="12" s="1"/>
  <c r="Q17" i="12" s="1"/>
  <c r="S17" i="12" s="1"/>
  <c r="U17" i="12" s="1"/>
  <c r="W17" i="12" s="1"/>
  <c r="Y17" i="12" s="1"/>
  <c r="AA17" i="12" s="1"/>
  <c r="AC17" i="12" s="1"/>
  <c r="AE17" i="12" s="1"/>
  <c r="AG17" i="12" s="1"/>
  <c r="W853" i="4"/>
  <c r="E15" i="12" s="1"/>
  <c r="AG838" i="4"/>
  <c r="AC838" i="4"/>
  <c r="Y838" i="4"/>
  <c r="U838" i="4"/>
  <c r="Q838" i="4"/>
  <c r="M838" i="4"/>
  <c r="Z823" i="4"/>
  <c r="O803" i="4"/>
  <c r="C804" i="4" s="1"/>
  <c r="DO802" i="4"/>
  <c r="ET802" i="4" s="1"/>
  <c r="DJ802" i="4"/>
  <c r="EO802" i="4" s="1"/>
  <c r="DE802" i="4"/>
  <c r="EJ802" i="4" s="1"/>
  <c r="CZ802" i="4"/>
  <c r="EE802" i="4" s="1"/>
  <c r="CU802" i="4"/>
  <c r="DZ802" i="4" s="1"/>
  <c r="CP802" i="4"/>
  <c r="DU802" i="4" s="1"/>
  <c r="AC802" i="4"/>
  <c r="DO801" i="4"/>
  <c r="ET801" i="4" s="1"/>
  <c r="DJ801" i="4"/>
  <c r="EO801" i="4" s="1"/>
  <c r="DE801" i="4"/>
  <c r="EJ801" i="4" s="1"/>
  <c r="CZ801" i="4"/>
  <c r="EE801" i="4" s="1"/>
  <c r="CU801" i="4"/>
  <c r="DZ801" i="4" s="1"/>
  <c r="CP801" i="4"/>
  <c r="DU801" i="4" s="1"/>
  <c r="AC801" i="4"/>
  <c r="DO800" i="4"/>
  <c r="ET800" i="4" s="1"/>
  <c r="DJ800" i="4"/>
  <c r="EO800" i="4" s="1"/>
  <c r="DE800" i="4"/>
  <c r="EJ800" i="4" s="1"/>
  <c r="CZ800" i="4"/>
  <c r="EE800" i="4" s="1"/>
  <c r="CU800" i="4"/>
  <c r="DZ800" i="4" s="1"/>
  <c r="CP800" i="4"/>
  <c r="DU800" i="4" s="1"/>
  <c r="AC800" i="4"/>
  <c r="DO799" i="4"/>
  <c r="ET799" i="4" s="1"/>
  <c r="DJ799" i="4"/>
  <c r="EO799" i="4" s="1"/>
  <c r="DE799" i="4"/>
  <c r="EJ799" i="4" s="1"/>
  <c r="CZ799" i="4"/>
  <c r="EE799" i="4" s="1"/>
  <c r="CU799" i="4"/>
  <c r="DZ799" i="4" s="1"/>
  <c r="CP799" i="4"/>
  <c r="DU799" i="4" s="1"/>
  <c r="AC799" i="4"/>
  <c r="DO798" i="4"/>
  <c r="ET798" i="4" s="1"/>
  <c r="DJ798" i="4"/>
  <c r="EO798" i="4" s="1"/>
  <c r="DE798" i="4"/>
  <c r="EJ798" i="4" s="1"/>
  <c r="CZ798" i="4"/>
  <c r="EE798" i="4" s="1"/>
  <c r="CU798" i="4"/>
  <c r="DZ798" i="4" s="1"/>
  <c r="CP798" i="4"/>
  <c r="DU798" i="4" s="1"/>
  <c r="AC798" i="4"/>
  <c r="DO797" i="4"/>
  <c r="ET797" i="4" s="1"/>
  <c r="DJ797" i="4"/>
  <c r="EO797" i="4" s="1"/>
  <c r="DE797" i="4"/>
  <c r="EJ797" i="4" s="1"/>
  <c r="CZ797" i="4"/>
  <c r="EE797" i="4" s="1"/>
  <c r="CU797" i="4"/>
  <c r="DZ797" i="4" s="1"/>
  <c r="CP797" i="4"/>
  <c r="DU797" i="4" s="1"/>
  <c r="AC797" i="4"/>
  <c r="DO796" i="4"/>
  <c r="ET796" i="4" s="1"/>
  <c r="DJ796" i="4"/>
  <c r="EO796" i="4" s="1"/>
  <c r="DE796" i="4"/>
  <c r="EJ796" i="4" s="1"/>
  <c r="CZ796" i="4"/>
  <c r="EE796" i="4" s="1"/>
  <c r="CU796" i="4"/>
  <c r="DZ796" i="4" s="1"/>
  <c r="CP796" i="4"/>
  <c r="DU796" i="4" s="1"/>
  <c r="AC796" i="4"/>
  <c r="DO795" i="4"/>
  <c r="ET795" i="4" s="1"/>
  <c r="DJ795" i="4"/>
  <c r="EO795" i="4" s="1"/>
  <c r="DE795" i="4"/>
  <c r="EJ795" i="4" s="1"/>
  <c r="CZ795" i="4"/>
  <c r="EE795" i="4" s="1"/>
  <c r="CU795" i="4"/>
  <c r="DZ795" i="4" s="1"/>
  <c r="CP795" i="4"/>
  <c r="DU795" i="4" s="1"/>
  <c r="AC795" i="4"/>
  <c r="DO794" i="4"/>
  <c r="ET794" i="4" s="1"/>
  <c r="DJ794" i="4"/>
  <c r="DE794" i="4"/>
  <c r="EJ794" i="4" s="1"/>
  <c r="CZ794" i="4"/>
  <c r="EE794" i="4" s="1"/>
  <c r="CU794" i="4"/>
  <c r="DZ794" i="4" s="1"/>
  <c r="CP794" i="4"/>
  <c r="DU794" i="4" s="1"/>
  <c r="AC794" i="4"/>
  <c r="DO793" i="4"/>
  <c r="ET793" i="4" s="1"/>
  <c r="DJ793" i="4"/>
  <c r="EO793" i="4" s="1"/>
  <c r="DE793" i="4"/>
  <c r="CZ793" i="4"/>
  <c r="EE793" i="4" s="1"/>
  <c r="CU793" i="4"/>
  <c r="CP793" i="4"/>
  <c r="DU793" i="4" s="1"/>
  <c r="AC793" i="4"/>
  <c r="O783" i="4"/>
  <c r="DO782" i="4"/>
  <c r="DJ782" i="4"/>
  <c r="DE782" i="4"/>
  <c r="CZ782" i="4"/>
  <c r="CU782" i="4"/>
  <c r="CP782" i="4"/>
  <c r="AC782" i="4"/>
  <c r="DO781" i="4"/>
  <c r="DJ781" i="4"/>
  <c r="DE781" i="4"/>
  <c r="CZ781" i="4"/>
  <c r="CU781" i="4"/>
  <c r="CP781" i="4"/>
  <c r="AC781" i="4"/>
  <c r="DO780" i="4"/>
  <c r="DJ780" i="4"/>
  <c r="DE780" i="4"/>
  <c r="CZ780" i="4"/>
  <c r="CU780" i="4"/>
  <c r="CP780" i="4"/>
  <c r="AC780" i="4"/>
  <c r="DO779" i="4"/>
  <c r="DJ779" i="4"/>
  <c r="DE779" i="4"/>
  <c r="CZ779" i="4"/>
  <c r="CU779" i="4"/>
  <c r="CP779" i="4"/>
  <c r="AC779" i="4"/>
  <c r="O759" i="4"/>
  <c r="D40" i="11" s="1"/>
  <c r="G759" i="4"/>
  <c r="ET758" i="4"/>
  <c r="EO758" i="4"/>
  <c r="EJ758" i="4"/>
  <c r="EE758" i="4"/>
  <c r="DZ758" i="4"/>
  <c r="DU758" i="4"/>
  <c r="DO758" i="4"/>
  <c r="FY758" i="4" s="1"/>
  <c r="DJ758" i="4"/>
  <c r="FT758" i="4" s="1"/>
  <c r="DE758" i="4"/>
  <c r="FO758" i="4" s="1"/>
  <c r="CZ758" i="4"/>
  <c r="FJ758" i="4" s="1"/>
  <c r="CU758" i="4"/>
  <c r="FE758" i="4" s="1"/>
  <c r="CP758" i="4"/>
  <c r="EZ758" i="4" s="1"/>
  <c r="CK758" i="4"/>
  <c r="CM758" i="4" s="1"/>
  <c r="CG758" i="4"/>
  <c r="CI758" i="4" s="1"/>
  <c r="BS758" i="4"/>
  <c r="BF758" i="4"/>
  <c r="AZ758" i="4"/>
  <c r="AH758" i="4"/>
  <c r="X758" i="4"/>
  <c r="ET757" i="4"/>
  <c r="EO757" i="4"/>
  <c r="EJ757" i="4"/>
  <c r="EE757" i="4"/>
  <c r="DZ757" i="4"/>
  <c r="DU757" i="4"/>
  <c r="DO757" i="4"/>
  <c r="FY757" i="4" s="1"/>
  <c r="DJ757" i="4"/>
  <c r="FT757" i="4" s="1"/>
  <c r="DE757" i="4"/>
  <c r="FO757" i="4" s="1"/>
  <c r="CZ757" i="4"/>
  <c r="FJ757" i="4" s="1"/>
  <c r="CU757" i="4"/>
  <c r="FE757" i="4" s="1"/>
  <c r="CP757" i="4"/>
  <c r="EZ757" i="4" s="1"/>
  <c r="CK757" i="4"/>
  <c r="CM757" i="4" s="1"/>
  <c r="CG757" i="4"/>
  <c r="CI757" i="4" s="1"/>
  <c r="BS757" i="4"/>
  <c r="BF757" i="4"/>
  <c r="AZ757" i="4"/>
  <c r="AH757" i="4"/>
  <c r="X757" i="4"/>
  <c r="ET756" i="4"/>
  <c r="EO756" i="4"/>
  <c r="EJ756" i="4"/>
  <c r="EE756" i="4"/>
  <c r="DZ756" i="4"/>
  <c r="DU756" i="4"/>
  <c r="DO756" i="4"/>
  <c r="FY756" i="4" s="1"/>
  <c r="DJ756" i="4"/>
  <c r="FT756" i="4" s="1"/>
  <c r="DE756" i="4"/>
  <c r="FO756" i="4" s="1"/>
  <c r="CZ756" i="4"/>
  <c r="FJ756" i="4" s="1"/>
  <c r="CU756" i="4"/>
  <c r="FE756" i="4" s="1"/>
  <c r="CP756" i="4"/>
  <c r="EZ756" i="4" s="1"/>
  <c r="CK756" i="4"/>
  <c r="CM756" i="4" s="1"/>
  <c r="CG756" i="4"/>
  <c r="CI756" i="4" s="1"/>
  <c r="BS756" i="4"/>
  <c r="BF756" i="4"/>
  <c r="AZ756" i="4"/>
  <c r="AH756" i="4"/>
  <c r="X756" i="4"/>
  <c r="ET755" i="4"/>
  <c r="EO755" i="4"/>
  <c r="EJ755" i="4"/>
  <c r="EE755" i="4"/>
  <c r="DZ755" i="4"/>
  <c r="DU755" i="4"/>
  <c r="DO755" i="4"/>
  <c r="FY755" i="4" s="1"/>
  <c r="DJ755" i="4"/>
  <c r="FT755" i="4" s="1"/>
  <c r="DE755" i="4"/>
  <c r="FO755" i="4" s="1"/>
  <c r="CZ755" i="4"/>
  <c r="FJ755" i="4" s="1"/>
  <c r="CU755" i="4"/>
  <c r="FE755" i="4" s="1"/>
  <c r="CP755" i="4"/>
  <c r="EZ755" i="4" s="1"/>
  <c r="CK755" i="4"/>
  <c r="CM755" i="4" s="1"/>
  <c r="CG755" i="4"/>
  <c r="CI755" i="4" s="1"/>
  <c r="BS755" i="4"/>
  <c r="BF755" i="4"/>
  <c r="AZ755" i="4"/>
  <c r="AH755" i="4"/>
  <c r="X755" i="4"/>
  <c r="ET754" i="4"/>
  <c r="EO754" i="4"/>
  <c r="EJ754" i="4"/>
  <c r="EE754" i="4"/>
  <c r="DZ754" i="4"/>
  <c r="DU754" i="4"/>
  <c r="DO754" i="4"/>
  <c r="FY754" i="4" s="1"/>
  <c r="DJ754" i="4"/>
  <c r="FT754" i="4" s="1"/>
  <c r="DE754" i="4"/>
  <c r="FO754" i="4" s="1"/>
  <c r="CZ754" i="4"/>
  <c r="FJ754" i="4" s="1"/>
  <c r="CU754" i="4"/>
  <c r="FE754" i="4" s="1"/>
  <c r="CP754" i="4"/>
  <c r="EZ754" i="4" s="1"/>
  <c r="CK754" i="4"/>
  <c r="CM754" i="4" s="1"/>
  <c r="CG754" i="4"/>
  <c r="CI754" i="4" s="1"/>
  <c r="BS754" i="4"/>
  <c r="BF754" i="4"/>
  <c r="AZ754" i="4"/>
  <c r="AH754" i="4"/>
  <c r="X754" i="4"/>
  <c r="ET753" i="4"/>
  <c r="EO753" i="4"/>
  <c r="EJ753" i="4"/>
  <c r="EE753" i="4"/>
  <c r="DZ753" i="4"/>
  <c r="DU753" i="4"/>
  <c r="DO753" i="4"/>
  <c r="FY753" i="4" s="1"/>
  <c r="DJ753" i="4"/>
  <c r="FT753" i="4" s="1"/>
  <c r="DE753" i="4"/>
  <c r="FO753" i="4" s="1"/>
  <c r="CZ753" i="4"/>
  <c r="FJ753" i="4" s="1"/>
  <c r="CU753" i="4"/>
  <c r="FE753" i="4" s="1"/>
  <c r="CP753" i="4"/>
  <c r="EZ753" i="4" s="1"/>
  <c r="CK753" i="4"/>
  <c r="CM753" i="4" s="1"/>
  <c r="CG753" i="4"/>
  <c r="CI753" i="4" s="1"/>
  <c r="BS753" i="4"/>
  <c r="BF753" i="4"/>
  <c r="AZ753" i="4"/>
  <c r="AH753" i="4"/>
  <c r="X753" i="4"/>
  <c r="ET752" i="4"/>
  <c r="EO752" i="4"/>
  <c r="EJ752" i="4"/>
  <c r="EE752" i="4"/>
  <c r="DZ752" i="4"/>
  <c r="DU752" i="4"/>
  <c r="DO752" i="4"/>
  <c r="FY752" i="4" s="1"/>
  <c r="DJ752" i="4"/>
  <c r="FT752" i="4" s="1"/>
  <c r="DE752" i="4"/>
  <c r="FO752" i="4" s="1"/>
  <c r="CZ752" i="4"/>
  <c r="FJ752" i="4" s="1"/>
  <c r="CU752" i="4"/>
  <c r="FE752" i="4" s="1"/>
  <c r="CP752" i="4"/>
  <c r="EZ752" i="4" s="1"/>
  <c r="CK752" i="4"/>
  <c r="CM752" i="4" s="1"/>
  <c r="CG752" i="4"/>
  <c r="CI752" i="4" s="1"/>
  <c r="BS752" i="4"/>
  <c r="BF752" i="4"/>
  <c r="AZ752" i="4"/>
  <c r="AH752" i="4"/>
  <c r="X752" i="4"/>
  <c r="ET751" i="4"/>
  <c r="EO751" i="4"/>
  <c r="EJ751" i="4"/>
  <c r="EE751" i="4"/>
  <c r="DZ751" i="4"/>
  <c r="DU751" i="4"/>
  <c r="DO751" i="4"/>
  <c r="FY751" i="4" s="1"/>
  <c r="DJ751" i="4"/>
  <c r="FT751" i="4" s="1"/>
  <c r="DE751" i="4"/>
  <c r="FO751" i="4" s="1"/>
  <c r="CZ751" i="4"/>
  <c r="FJ751" i="4" s="1"/>
  <c r="CU751" i="4"/>
  <c r="FE751" i="4" s="1"/>
  <c r="CP751" i="4"/>
  <c r="EZ751" i="4" s="1"/>
  <c r="CK751" i="4"/>
  <c r="CM751" i="4" s="1"/>
  <c r="CG751" i="4"/>
  <c r="CI751" i="4" s="1"/>
  <c r="BS751" i="4"/>
  <c r="BF751" i="4"/>
  <c r="AZ751" i="4"/>
  <c r="AH751" i="4"/>
  <c r="X751" i="4"/>
  <c r="ET750" i="4"/>
  <c r="EO750" i="4"/>
  <c r="EJ750" i="4"/>
  <c r="EE750" i="4"/>
  <c r="DZ750" i="4"/>
  <c r="DU750" i="4"/>
  <c r="DO750" i="4"/>
  <c r="FY750" i="4" s="1"/>
  <c r="DJ750" i="4"/>
  <c r="FT750" i="4" s="1"/>
  <c r="DE750" i="4"/>
  <c r="FO750" i="4" s="1"/>
  <c r="CZ750" i="4"/>
  <c r="FJ750" i="4" s="1"/>
  <c r="CU750" i="4"/>
  <c r="FE750" i="4" s="1"/>
  <c r="CP750" i="4"/>
  <c r="EZ750" i="4" s="1"/>
  <c r="CK750" i="4"/>
  <c r="CM750" i="4" s="1"/>
  <c r="CG750" i="4"/>
  <c r="CI750" i="4" s="1"/>
  <c r="BS750" i="4"/>
  <c r="BF750" i="4"/>
  <c r="AZ750" i="4"/>
  <c r="AH750" i="4"/>
  <c r="X750" i="4"/>
  <c r="ET749" i="4"/>
  <c r="EO749" i="4"/>
  <c r="EJ749" i="4"/>
  <c r="EE749" i="4"/>
  <c r="DZ749" i="4"/>
  <c r="DU749" i="4"/>
  <c r="DO749" i="4"/>
  <c r="FY749" i="4" s="1"/>
  <c r="DJ749" i="4"/>
  <c r="FT749" i="4" s="1"/>
  <c r="DE749" i="4"/>
  <c r="FO749" i="4" s="1"/>
  <c r="CZ749" i="4"/>
  <c r="FJ749" i="4" s="1"/>
  <c r="CU749" i="4"/>
  <c r="FE749" i="4" s="1"/>
  <c r="CP749" i="4"/>
  <c r="EZ749" i="4" s="1"/>
  <c r="CK749" i="4"/>
  <c r="CM749" i="4" s="1"/>
  <c r="CG749" i="4"/>
  <c r="CI749" i="4" s="1"/>
  <c r="BS749" i="4"/>
  <c r="BF749" i="4"/>
  <c r="AZ749" i="4"/>
  <c r="AH749" i="4"/>
  <c r="X749" i="4"/>
  <c r="ET748" i="4"/>
  <c r="EO748" i="4"/>
  <c r="EJ748" i="4"/>
  <c r="EE748" i="4"/>
  <c r="DZ748" i="4"/>
  <c r="DU748" i="4"/>
  <c r="DO748" i="4"/>
  <c r="FY748" i="4" s="1"/>
  <c r="DJ748" i="4"/>
  <c r="FT748" i="4" s="1"/>
  <c r="DE748" i="4"/>
  <c r="FO748" i="4" s="1"/>
  <c r="CZ748" i="4"/>
  <c r="FJ748" i="4" s="1"/>
  <c r="CU748" i="4"/>
  <c r="FE748" i="4" s="1"/>
  <c r="CP748" i="4"/>
  <c r="EZ748" i="4" s="1"/>
  <c r="CK748" i="4"/>
  <c r="CM748" i="4" s="1"/>
  <c r="CG748" i="4"/>
  <c r="CI748" i="4" s="1"/>
  <c r="BS748" i="4"/>
  <c r="BF748" i="4"/>
  <c r="AZ748" i="4"/>
  <c r="AH748" i="4"/>
  <c r="X748" i="4"/>
  <c r="ET747" i="4"/>
  <c r="EO747" i="4"/>
  <c r="EJ747" i="4"/>
  <c r="EE747" i="4"/>
  <c r="DZ747" i="4"/>
  <c r="DU747" i="4"/>
  <c r="DO747" i="4"/>
  <c r="FY747" i="4" s="1"/>
  <c r="DJ747" i="4"/>
  <c r="FT747" i="4" s="1"/>
  <c r="DE747" i="4"/>
  <c r="FO747" i="4" s="1"/>
  <c r="CZ747" i="4"/>
  <c r="FJ747" i="4" s="1"/>
  <c r="CU747" i="4"/>
  <c r="FE747" i="4" s="1"/>
  <c r="CP747" i="4"/>
  <c r="EZ747" i="4" s="1"/>
  <c r="CK747" i="4"/>
  <c r="CM747" i="4" s="1"/>
  <c r="CG747" i="4"/>
  <c r="CI747" i="4" s="1"/>
  <c r="BS747" i="4"/>
  <c r="BF747" i="4"/>
  <c r="AZ747" i="4"/>
  <c r="AH747" i="4"/>
  <c r="X747" i="4"/>
  <c r="ET746" i="4"/>
  <c r="EO746" i="4"/>
  <c r="EJ746" i="4"/>
  <c r="EE746" i="4"/>
  <c r="DZ746" i="4"/>
  <c r="DU746" i="4"/>
  <c r="DO746" i="4"/>
  <c r="FY746" i="4" s="1"/>
  <c r="DJ746" i="4"/>
  <c r="FT746" i="4" s="1"/>
  <c r="DE746" i="4"/>
  <c r="FO746" i="4" s="1"/>
  <c r="CZ746" i="4"/>
  <c r="FJ746" i="4" s="1"/>
  <c r="CU746" i="4"/>
  <c r="FE746" i="4" s="1"/>
  <c r="CP746" i="4"/>
  <c r="EZ746" i="4" s="1"/>
  <c r="CK746" i="4"/>
  <c r="CM746" i="4" s="1"/>
  <c r="CG746" i="4"/>
  <c r="CI746" i="4" s="1"/>
  <c r="BS746" i="4"/>
  <c r="BF746" i="4"/>
  <c r="AZ746" i="4"/>
  <c r="AH746" i="4"/>
  <c r="X746" i="4"/>
  <c r="ET745" i="4"/>
  <c r="EO745" i="4"/>
  <c r="EJ745" i="4"/>
  <c r="EE745" i="4"/>
  <c r="DZ745" i="4"/>
  <c r="DU745" i="4"/>
  <c r="DO745" i="4"/>
  <c r="FY745" i="4" s="1"/>
  <c r="DJ745" i="4"/>
  <c r="FT745" i="4" s="1"/>
  <c r="DE745" i="4"/>
  <c r="FO745" i="4" s="1"/>
  <c r="CZ745" i="4"/>
  <c r="FJ745" i="4" s="1"/>
  <c r="CU745" i="4"/>
  <c r="FE745" i="4" s="1"/>
  <c r="CP745" i="4"/>
  <c r="EZ745" i="4" s="1"/>
  <c r="CK745" i="4"/>
  <c r="CM745" i="4" s="1"/>
  <c r="CG745" i="4"/>
  <c r="CI745" i="4" s="1"/>
  <c r="BS745" i="4"/>
  <c r="BF745" i="4"/>
  <c r="AZ745" i="4"/>
  <c r="AH745" i="4"/>
  <c r="X745" i="4"/>
  <c r="ET744" i="4"/>
  <c r="EO744" i="4"/>
  <c r="EJ744" i="4"/>
  <c r="EE744" i="4"/>
  <c r="DZ744" i="4"/>
  <c r="DU744" i="4"/>
  <c r="DO744" i="4"/>
  <c r="FY744" i="4" s="1"/>
  <c r="DJ744" i="4"/>
  <c r="FT744" i="4" s="1"/>
  <c r="DE744" i="4"/>
  <c r="FO744" i="4" s="1"/>
  <c r="CZ744" i="4"/>
  <c r="FJ744" i="4" s="1"/>
  <c r="CU744" i="4"/>
  <c r="FE744" i="4" s="1"/>
  <c r="CP744" i="4"/>
  <c r="EZ744" i="4" s="1"/>
  <c r="CK744" i="4"/>
  <c r="CM744" i="4" s="1"/>
  <c r="CG744" i="4"/>
  <c r="CI744" i="4" s="1"/>
  <c r="BS744" i="4"/>
  <c r="BF744" i="4"/>
  <c r="AZ744" i="4"/>
  <c r="AH744" i="4"/>
  <c r="X744" i="4"/>
  <c r="ET743" i="4"/>
  <c r="EO743" i="4"/>
  <c r="EJ743" i="4"/>
  <c r="EE743" i="4"/>
  <c r="DZ743" i="4"/>
  <c r="DU743" i="4"/>
  <c r="DO743" i="4"/>
  <c r="FY743" i="4" s="1"/>
  <c r="DJ743" i="4"/>
  <c r="FT743" i="4" s="1"/>
  <c r="DE743" i="4"/>
  <c r="FO743" i="4" s="1"/>
  <c r="CZ743" i="4"/>
  <c r="FJ743" i="4" s="1"/>
  <c r="CU743" i="4"/>
  <c r="FE743" i="4" s="1"/>
  <c r="CP743" i="4"/>
  <c r="EZ743" i="4" s="1"/>
  <c r="CK743" i="4"/>
  <c r="CM743" i="4" s="1"/>
  <c r="CG743" i="4"/>
  <c r="CI743" i="4" s="1"/>
  <c r="BS743" i="4"/>
  <c r="BF743" i="4"/>
  <c r="AZ743" i="4"/>
  <c r="X743" i="4"/>
  <c r="ET742" i="4"/>
  <c r="EO742" i="4"/>
  <c r="EJ742" i="4"/>
  <c r="EE742" i="4"/>
  <c r="DZ742" i="4"/>
  <c r="DU742" i="4"/>
  <c r="DO742" i="4"/>
  <c r="FY742" i="4" s="1"/>
  <c r="DJ742" i="4"/>
  <c r="FT742" i="4" s="1"/>
  <c r="DE742" i="4"/>
  <c r="FO742" i="4" s="1"/>
  <c r="CZ742" i="4"/>
  <c r="FJ742" i="4" s="1"/>
  <c r="CU742" i="4"/>
  <c r="FE742" i="4" s="1"/>
  <c r="CP742" i="4"/>
  <c r="EZ742" i="4" s="1"/>
  <c r="CK742" i="4"/>
  <c r="CM742" i="4" s="1"/>
  <c r="CG742" i="4"/>
  <c r="CI742" i="4" s="1"/>
  <c r="BS742" i="4"/>
  <c r="BF742" i="4"/>
  <c r="AZ742" i="4"/>
  <c r="X742" i="4"/>
  <c r="ET741" i="4"/>
  <c r="EO741" i="4"/>
  <c r="EJ741" i="4"/>
  <c r="EE741" i="4"/>
  <c r="DZ741" i="4"/>
  <c r="DU741" i="4"/>
  <c r="DO741" i="4"/>
  <c r="FY741" i="4" s="1"/>
  <c r="DJ741" i="4"/>
  <c r="FT741" i="4" s="1"/>
  <c r="DE741" i="4"/>
  <c r="FO741" i="4" s="1"/>
  <c r="CZ741" i="4"/>
  <c r="FJ741" i="4" s="1"/>
  <c r="CU741" i="4"/>
  <c r="FE741" i="4" s="1"/>
  <c r="CP741" i="4"/>
  <c r="EZ741" i="4" s="1"/>
  <c r="CK741" i="4"/>
  <c r="CM741" i="4" s="1"/>
  <c r="CG741" i="4"/>
  <c r="CI741" i="4" s="1"/>
  <c r="BS741" i="4"/>
  <c r="BF741" i="4"/>
  <c r="AZ741" i="4"/>
  <c r="X741" i="4"/>
  <c r="AH741" i="4" s="1"/>
  <c r="ET740" i="4"/>
  <c r="EO740" i="4"/>
  <c r="EJ740" i="4"/>
  <c r="EE740" i="4"/>
  <c r="DZ740" i="4"/>
  <c r="DU740" i="4"/>
  <c r="DO740" i="4"/>
  <c r="FY740" i="4" s="1"/>
  <c r="DJ740" i="4"/>
  <c r="FT740" i="4" s="1"/>
  <c r="DE740" i="4"/>
  <c r="FO740" i="4" s="1"/>
  <c r="CZ740" i="4"/>
  <c r="FJ740" i="4" s="1"/>
  <c r="CU740" i="4"/>
  <c r="FE740" i="4" s="1"/>
  <c r="CP740" i="4"/>
  <c r="EZ740" i="4" s="1"/>
  <c r="CK740" i="4"/>
  <c r="CM740" i="4" s="1"/>
  <c r="CG740" i="4"/>
  <c r="CI740" i="4" s="1"/>
  <c r="BS740" i="4"/>
  <c r="BF740" i="4"/>
  <c r="AZ740" i="4"/>
  <c r="X740" i="4"/>
  <c r="ET739" i="4"/>
  <c r="EO739" i="4"/>
  <c r="EJ739" i="4"/>
  <c r="EE739" i="4"/>
  <c r="DZ739" i="4"/>
  <c r="DU739" i="4"/>
  <c r="DO739" i="4"/>
  <c r="FY739" i="4" s="1"/>
  <c r="DJ739" i="4"/>
  <c r="FT739" i="4" s="1"/>
  <c r="DE739" i="4"/>
  <c r="FO739" i="4" s="1"/>
  <c r="CZ739" i="4"/>
  <c r="FJ739" i="4" s="1"/>
  <c r="CU739" i="4"/>
  <c r="FE739" i="4" s="1"/>
  <c r="CP739" i="4"/>
  <c r="EZ739" i="4" s="1"/>
  <c r="CK739" i="4"/>
  <c r="CM739" i="4" s="1"/>
  <c r="CG739" i="4"/>
  <c r="CI739" i="4" s="1"/>
  <c r="BS739" i="4"/>
  <c r="BF739" i="4"/>
  <c r="AZ739" i="4"/>
  <c r="X739" i="4"/>
  <c r="ET738" i="4"/>
  <c r="EO738" i="4"/>
  <c r="EJ738" i="4"/>
  <c r="EE738" i="4"/>
  <c r="DZ738" i="4"/>
  <c r="DU738" i="4"/>
  <c r="DO738" i="4"/>
  <c r="FY738" i="4" s="1"/>
  <c r="DJ738" i="4"/>
  <c r="FT738" i="4" s="1"/>
  <c r="DE738" i="4"/>
  <c r="FO738" i="4" s="1"/>
  <c r="CZ738" i="4"/>
  <c r="FJ738" i="4" s="1"/>
  <c r="CU738" i="4"/>
  <c r="FE738" i="4" s="1"/>
  <c r="CP738" i="4"/>
  <c r="EZ738" i="4" s="1"/>
  <c r="CK738" i="4"/>
  <c r="CM738" i="4" s="1"/>
  <c r="CG738" i="4"/>
  <c r="CI738" i="4" s="1"/>
  <c r="BS738" i="4"/>
  <c r="BF738" i="4"/>
  <c r="AZ738" i="4"/>
  <c r="X738" i="4"/>
  <c r="ET737" i="4"/>
  <c r="EO737" i="4"/>
  <c r="EJ737" i="4"/>
  <c r="EE737" i="4"/>
  <c r="DZ737" i="4"/>
  <c r="DU737" i="4"/>
  <c r="DO737" i="4"/>
  <c r="FY737" i="4" s="1"/>
  <c r="DJ737" i="4"/>
  <c r="FT737" i="4" s="1"/>
  <c r="DE737" i="4"/>
  <c r="FO737" i="4" s="1"/>
  <c r="CZ737" i="4"/>
  <c r="FJ737" i="4" s="1"/>
  <c r="CU737" i="4"/>
  <c r="FE737" i="4" s="1"/>
  <c r="CP737" i="4"/>
  <c r="EZ737" i="4" s="1"/>
  <c r="CK737" i="4"/>
  <c r="CM737" i="4" s="1"/>
  <c r="CG737" i="4"/>
  <c r="CI737" i="4" s="1"/>
  <c r="BS737" i="4"/>
  <c r="BF737" i="4"/>
  <c r="AZ737" i="4"/>
  <c r="X737" i="4"/>
  <c r="ET736" i="4"/>
  <c r="EO736" i="4"/>
  <c r="EJ736" i="4"/>
  <c r="EE736" i="4"/>
  <c r="DZ736" i="4"/>
  <c r="DU736" i="4"/>
  <c r="DO736" i="4"/>
  <c r="FY736" i="4" s="1"/>
  <c r="DJ736" i="4"/>
  <c r="FT736" i="4" s="1"/>
  <c r="DE736" i="4"/>
  <c r="FO736" i="4" s="1"/>
  <c r="CZ736" i="4"/>
  <c r="FJ736" i="4" s="1"/>
  <c r="CU736" i="4"/>
  <c r="FE736" i="4" s="1"/>
  <c r="CP736" i="4"/>
  <c r="EZ736" i="4" s="1"/>
  <c r="CK736" i="4"/>
  <c r="CM736" i="4" s="1"/>
  <c r="CG736" i="4"/>
  <c r="CI736" i="4" s="1"/>
  <c r="BS736" i="4"/>
  <c r="BF736" i="4"/>
  <c r="AZ736" i="4"/>
  <c r="X736" i="4"/>
  <c r="ET735" i="4"/>
  <c r="EO735" i="4"/>
  <c r="EJ735" i="4"/>
  <c r="EE735" i="4"/>
  <c r="DZ735" i="4"/>
  <c r="DU735" i="4"/>
  <c r="DO735" i="4"/>
  <c r="FY735" i="4" s="1"/>
  <c r="DJ735" i="4"/>
  <c r="FT735" i="4" s="1"/>
  <c r="DE735" i="4"/>
  <c r="FO735" i="4" s="1"/>
  <c r="CZ735" i="4"/>
  <c r="FJ735" i="4" s="1"/>
  <c r="CU735" i="4"/>
  <c r="FE735" i="4" s="1"/>
  <c r="CP735" i="4"/>
  <c r="EZ735" i="4" s="1"/>
  <c r="CK735" i="4"/>
  <c r="CM735" i="4" s="1"/>
  <c r="CG735" i="4"/>
  <c r="CI735" i="4" s="1"/>
  <c r="BS735" i="4"/>
  <c r="BF735" i="4"/>
  <c r="AZ735" i="4"/>
  <c r="X735" i="4"/>
  <c r="ET734" i="4"/>
  <c r="EO734" i="4"/>
  <c r="EJ734" i="4"/>
  <c r="EE734" i="4"/>
  <c r="DZ734" i="4"/>
  <c r="DU734" i="4"/>
  <c r="DO734" i="4"/>
  <c r="FY734" i="4" s="1"/>
  <c r="DJ734" i="4"/>
  <c r="FT734" i="4" s="1"/>
  <c r="DE734" i="4"/>
  <c r="FO734" i="4" s="1"/>
  <c r="CZ734" i="4"/>
  <c r="FJ734" i="4" s="1"/>
  <c r="CU734" i="4"/>
  <c r="FE734" i="4" s="1"/>
  <c r="CP734" i="4"/>
  <c r="EZ734" i="4" s="1"/>
  <c r="CK734" i="4"/>
  <c r="CM734" i="4" s="1"/>
  <c r="CG734" i="4"/>
  <c r="CI734" i="4" s="1"/>
  <c r="BS734" i="4"/>
  <c r="BF734" i="4"/>
  <c r="AZ734" i="4"/>
  <c r="X734" i="4"/>
  <c r="ET733" i="4"/>
  <c r="EO733" i="4"/>
  <c r="EJ733" i="4"/>
  <c r="EE733" i="4"/>
  <c r="DZ733" i="4"/>
  <c r="DU733" i="4"/>
  <c r="DO733" i="4"/>
  <c r="FY733" i="4" s="1"/>
  <c r="DJ733" i="4"/>
  <c r="FT733" i="4" s="1"/>
  <c r="DE733" i="4"/>
  <c r="FO733" i="4" s="1"/>
  <c r="CZ733" i="4"/>
  <c r="FJ733" i="4" s="1"/>
  <c r="CU733" i="4"/>
  <c r="FE733" i="4" s="1"/>
  <c r="CP733" i="4"/>
  <c r="EZ733" i="4" s="1"/>
  <c r="CK733" i="4"/>
  <c r="CM733" i="4" s="1"/>
  <c r="CG733" i="4"/>
  <c r="CI733" i="4" s="1"/>
  <c r="BS733" i="4"/>
  <c r="BF733" i="4"/>
  <c r="AZ733" i="4"/>
  <c r="X733" i="4"/>
  <c r="ET732" i="4"/>
  <c r="EO732" i="4"/>
  <c r="EJ732" i="4"/>
  <c r="EE732" i="4"/>
  <c r="DZ732" i="4"/>
  <c r="DU732" i="4"/>
  <c r="DO732" i="4"/>
  <c r="FY732" i="4" s="1"/>
  <c r="DJ732" i="4"/>
  <c r="FT732" i="4" s="1"/>
  <c r="DE732" i="4"/>
  <c r="FO732" i="4" s="1"/>
  <c r="CZ732" i="4"/>
  <c r="FJ732" i="4" s="1"/>
  <c r="CU732" i="4"/>
  <c r="FE732" i="4" s="1"/>
  <c r="CP732" i="4"/>
  <c r="EZ732" i="4" s="1"/>
  <c r="CK732" i="4"/>
  <c r="CM732" i="4" s="1"/>
  <c r="CG732" i="4"/>
  <c r="CI732" i="4" s="1"/>
  <c r="BS732" i="4"/>
  <c r="BF732" i="4"/>
  <c r="AZ732" i="4"/>
  <c r="X732" i="4"/>
  <c r="ET731" i="4"/>
  <c r="EO731" i="4"/>
  <c r="EJ731" i="4"/>
  <c r="EE731" i="4"/>
  <c r="DZ731" i="4"/>
  <c r="DU731" i="4"/>
  <c r="DO731" i="4"/>
  <c r="FY731" i="4" s="1"/>
  <c r="DJ731" i="4"/>
  <c r="FT731" i="4" s="1"/>
  <c r="DE731" i="4"/>
  <c r="FO731" i="4" s="1"/>
  <c r="CZ731" i="4"/>
  <c r="FJ731" i="4" s="1"/>
  <c r="CU731" i="4"/>
  <c r="FE731" i="4" s="1"/>
  <c r="CP731" i="4"/>
  <c r="EZ731" i="4" s="1"/>
  <c r="CK731" i="4"/>
  <c r="CM731" i="4" s="1"/>
  <c r="CG731" i="4"/>
  <c r="CI731" i="4" s="1"/>
  <c r="BS731" i="4"/>
  <c r="BF731" i="4"/>
  <c r="AZ731" i="4"/>
  <c r="X731" i="4"/>
  <c r="ET730" i="4"/>
  <c r="EO730" i="4"/>
  <c r="EJ730" i="4"/>
  <c r="EE730" i="4"/>
  <c r="DZ730" i="4"/>
  <c r="DU730" i="4"/>
  <c r="DO730" i="4"/>
  <c r="FY730" i="4" s="1"/>
  <c r="DJ730" i="4"/>
  <c r="FT730" i="4" s="1"/>
  <c r="DE730" i="4"/>
  <c r="FO730" i="4" s="1"/>
  <c r="CZ730" i="4"/>
  <c r="FJ730" i="4" s="1"/>
  <c r="CU730" i="4"/>
  <c r="FE730" i="4" s="1"/>
  <c r="CP730" i="4"/>
  <c r="EZ730" i="4" s="1"/>
  <c r="CK730" i="4"/>
  <c r="CM730" i="4" s="1"/>
  <c r="CG730" i="4"/>
  <c r="CI730" i="4" s="1"/>
  <c r="BS730" i="4"/>
  <c r="BF730" i="4"/>
  <c r="AZ730" i="4"/>
  <c r="X730" i="4"/>
  <c r="ET729" i="4"/>
  <c r="EO729" i="4"/>
  <c r="EJ729" i="4"/>
  <c r="EE729" i="4"/>
  <c r="DZ729" i="4"/>
  <c r="DU729" i="4"/>
  <c r="DO729" i="4"/>
  <c r="FY729" i="4" s="1"/>
  <c r="DJ729" i="4"/>
  <c r="FT729" i="4" s="1"/>
  <c r="DE729" i="4"/>
  <c r="FO729" i="4" s="1"/>
  <c r="CZ729" i="4"/>
  <c r="FJ729" i="4" s="1"/>
  <c r="CU729" i="4"/>
  <c r="FE729" i="4" s="1"/>
  <c r="CP729" i="4"/>
  <c r="EZ729" i="4" s="1"/>
  <c r="CK729" i="4"/>
  <c r="CM729" i="4" s="1"/>
  <c r="CG729" i="4"/>
  <c r="CI729" i="4" s="1"/>
  <c r="BS729" i="4"/>
  <c r="BF729" i="4"/>
  <c r="AZ729" i="4"/>
  <c r="X729" i="4"/>
  <c r="ET728" i="4"/>
  <c r="EO728" i="4"/>
  <c r="EJ728" i="4"/>
  <c r="EE728" i="4"/>
  <c r="DZ728" i="4"/>
  <c r="DU728" i="4"/>
  <c r="DO728" i="4"/>
  <c r="FY728" i="4" s="1"/>
  <c r="DJ728" i="4"/>
  <c r="FT728" i="4" s="1"/>
  <c r="DE728" i="4"/>
  <c r="FO728" i="4" s="1"/>
  <c r="CZ728" i="4"/>
  <c r="FJ728" i="4" s="1"/>
  <c r="CU728" i="4"/>
  <c r="FE728" i="4" s="1"/>
  <c r="CP728" i="4"/>
  <c r="EZ728" i="4" s="1"/>
  <c r="CK728" i="4"/>
  <c r="CM728" i="4" s="1"/>
  <c r="CG728" i="4"/>
  <c r="CI728" i="4" s="1"/>
  <c r="BS728" i="4"/>
  <c r="BF728" i="4"/>
  <c r="AZ728" i="4"/>
  <c r="X728" i="4"/>
  <c r="ET727" i="4"/>
  <c r="EO727" i="4"/>
  <c r="EJ727" i="4"/>
  <c r="EE727" i="4"/>
  <c r="DZ727" i="4"/>
  <c r="DU727" i="4"/>
  <c r="DO727" i="4"/>
  <c r="FY727" i="4" s="1"/>
  <c r="DJ727" i="4"/>
  <c r="FT727" i="4" s="1"/>
  <c r="DE727" i="4"/>
  <c r="FO727" i="4" s="1"/>
  <c r="CZ727" i="4"/>
  <c r="FJ727" i="4" s="1"/>
  <c r="CU727" i="4"/>
  <c r="CP727" i="4"/>
  <c r="EZ727" i="4" s="1"/>
  <c r="CK727" i="4"/>
  <c r="CM727" i="4" s="1"/>
  <c r="CG727" i="4"/>
  <c r="CI727" i="4" s="1"/>
  <c r="BS727" i="4"/>
  <c r="BF727" i="4"/>
  <c r="AZ727" i="4"/>
  <c r="X727" i="4"/>
  <c r="ET726" i="4"/>
  <c r="EO726" i="4"/>
  <c r="EJ726" i="4"/>
  <c r="EE726" i="4"/>
  <c r="DZ726" i="4"/>
  <c r="DU726" i="4"/>
  <c r="DO726" i="4"/>
  <c r="DJ726" i="4"/>
  <c r="FT726" i="4" s="1"/>
  <c r="DE726" i="4"/>
  <c r="FO726" i="4" s="1"/>
  <c r="CZ726" i="4"/>
  <c r="FJ726" i="4" s="1"/>
  <c r="CU726" i="4"/>
  <c r="FE726" i="4" s="1"/>
  <c r="CP726" i="4"/>
  <c r="CK726" i="4"/>
  <c r="CM726" i="4" s="1"/>
  <c r="CG726" i="4"/>
  <c r="CI726" i="4" s="1"/>
  <c r="BS726" i="4"/>
  <c r="BF726" i="4"/>
  <c r="AZ726" i="4"/>
  <c r="X726" i="4"/>
  <c r="W708" i="4"/>
  <c r="BE69" i="4" s="1"/>
  <c r="Z691" i="4"/>
  <c r="G691" i="4"/>
  <c r="Z683" i="4"/>
  <c r="G683" i="4"/>
  <c r="Z675" i="4"/>
  <c r="G675" i="4"/>
  <c r="Z667" i="4"/>
  <c r="G667" i="4"/>
  <c r="Z659" i="4"/>
  <c r="G659" i="4"/>
  <c r="Z651" i="4"/>
  <c r="G651" i="4"/>
  <c r="AT646" i="4"/>
  <c r="AT645" i="4"/>
  <c r="AT644" i="4"/>
  <c r="AT643" i="4"/>
  <c r="AT642" i="4"/>
  <c r="AT641" i="4"/>
  <c r="AT640" i="4"/>
  <c r="AT639" i="4"/>
  <c r="AT638" i="4"/>
  <c r="AT637" i="4"/>
  <c r="AT636" i="4"/>
  <c r="AA926" i="4"/>
  <c r="AF635" i="4"/>
  <c r="Z617" i="4"/>
  <c r="G617" i="4"/>
  <c r="Z609" i="4"/>
  <c r="G609" i="4"/>
  <c r="Z601" i="4"/>
  <c r="G601" i="4"/>
  <c r="Z593" i="4"/>
  <c r="G593" i="4"/>
  <c r="Z585" i="4"/>
  <c r="G585" i="4"/>
  <c r="Z576" i="4"/>
  <c r="G576" i="4"/>
  <c r="BI575" i="4"/>
  <c r="BI574" i="4"/>
  <c r="AT573" i="4"/>
  <c r="AT572" i="4"/>
  <c r="AT571" i="4"/>
  <c r="AT570" i="4"/>
  <c r="AT569" i="4"/>
  <c r="AT568" i="4"/>
  <c r="BI567" i="4"/>
  <c r="AT567" i="4"/>
  <c r="BI566" i="4"/>
  <c r="AT566" i="4"/>
  <c r="AM574" i="4"/>
  <c r="AT565" i="4"/>
  <c r="AT564" i="4"/>
  <c r="AT563" i="4"/>
  <c r="BI559" i="4"/>
  <c r="BI558" i="4"/>
  <c r="BI551" i="4"/>
  <c r="BI550" i="4"/>
  <c r="BA487" i="4"/>
  <c r="BA486" i="4"/>
  <c r="BA478" i="4"/>
  <c r="BA477" i="4"/>
  <c r="BA470" i="4"/>
  <c r="BA469" i="4"/>
  <c r="BA463" i="4"/>
  <c r="BA462" i="4"/>
  <c r="AG459" i="4"/>
  <c r="BE24" i="4" s="1"/>
  <c r="AG453" i="4"/>
  <c r="AG450" i="4"/>
  <c r="AF427" i="4"/>
  <c r="AP595" i="9" s="1"/>
  <c r="W427" i="4"/>
  <c r="BH256" i="4"/>
  <c r="BG250" i="4"/>
  <c r="BG249" i="4"/>
  <c r="BG248" i="4"/>
  <c r="BG247" i="4"/>
  <c r="BG246" i="4"/>
  <c r="BG245" i="4"/>
  <c r="BG243" i="4"/>
  <c r="BG242" i="4"/>
  <c r="BG241" i="4"/>
  <c r="M241" i="4"/>
  <c r="BG239" i="4"/>
  <c r="BG238" i="4"/>
  <c r="BG237" i="4"/>
  <c r="BG236" i="4"/>
  <c r="BG235" i="4"/>
  <c r="Y229" i="4"/>
  <c r="Z229" i="4" s="1"/>
  <c r="Y228" i="4"/>
  <c r="Z228" i="4" s="1"/>
  <c r="Y227" i="4"/>
  <c r="Z227" i="4" s="1"/>
  <c r="Y226" i="4"/>
  <c r="Z226" i="4" s="1"/>
  <c r="Y225" i="4"/>
  <c r="Z225" i="4" s="1"/>
  <c r="T212" i="4"/>
  <c r="I184" i="4"/>
  <c r="BN150" i="4"/>
  <c r="DG122" i="4"/>
  <c r="R995" i="4" s="1"/>
  <c r="BE110" i="4"/>
  <c r="BE109" i="4"/>
  <c r="BE108" i="4"/>
  <c r="BE107" i="4"/>
  <c r="BE106" i="4"/>
  <c r="BE105" i="4"/>
  <c r="BE104" i="4"/>
  <c r="BE103" i="4"/>
  <c r="BE102" i="4"/>
  <c r="BE100" i="4"/>
  <c r="BE99" i="4"/>
  <c r="BE98" i="4"/>
  <c r="BE97" i="4"/>
  <c r="BE96" i="4"/>
  <c r="BE95" i="4"/>
  <c r="BE94" i="4"/>
  <c r="BE93" i="4"/>
  <c r="BE92" i="4"/>
  <c r="BE91" i="4"/>
  <c r="BE90" i="4"/>
  <c r="BE89" i="4"/>
  <c r="BE88" i="4"/>
  <c r="BE87" i="4"/>
  <c r="BE86" i="4"/>
  <c r="BE85" i="4"/>
  <c r="BE84" i="4"/>
  <c r="BE77" i="4"/>
  <c r="BE67" i="4"/>
  <c r="BE66" i="4"/>
  <c r="BE65" i="4"/>
  <c r="BE64" i="4"/>
  <c r="BE63" i="4"/>
  <c r="BE62" i="4"/>
  <c r="BE61" i="4"/>
  <c r="BE60" i="4"/>
  <c r="BE59" i="4"/>
  <c r="BE58" i="4"/>
  <c r="BE57" i="4"/>
  <c r="BE56" i="4"/>
  <c r="BE55" i="4"/>
  <c r="BE54" i="4"/>
  <c r="BE53" i="4"/>
  <c r="BE52" i="4"/>
  <c r="BE51" i="4"/>
  <c r="BE50" i="4"/>
  <c r="BE49" i="4"/>
  <c r="BE48" i="4"/>
  <c r="BE47" i="4"/>
  <c r="BE46" i="4"/>
  <c r="BE45" i="4"/>
  <c r="BE41" i="4"/>
  <c r="BE40" i="4"/>
  <c r="BE39" i="4"/>
  <c r="BE38" i="4"/>
  <c r="BE37" i="4"/>
  <c r="BE36" i="4"/>
  <c r="BE35" i="4"/>
  <c r="BE34" i="4"/>
  <c r="BE33" i="4"/>
  <c r="BE32" i="4"/>
  <c r="BE31" i="4"/>
  <c r="BE30" i="4"/>
  <c r="BE29" i="4"/>
  <c r="BE28" i="4"/>
  <c r="BE27" i="4"/>
  <c r="BE26" i="4"/>
  <c r="BE25" i="4"/>
  <c r="BE21" i="4"/>
  <c r="BE18" i="4"/>
  <c r="BE17" i="4"/>
  <c r="BE16" i="4"/>
  <c r="BE5" i="4"/>
  <c r="BE3" i="4"/>
  <c r="D41" i="14" l="1"/>
  <c r="D51" i="14"/>
  <c r="D25" i="14"/>
  <c r="B12" i="14"/>
  <c r="D6" i="14"/>
  <c r="D11" i="14"/>
  <c r="D32" i="14"/>
  <c r="R40" i="5"/>
  <c r="S48" i="10"/>
  <c r="AH739" i="4"/>
  <c r="D49" i="14"/>
  <c r="D74" i="14"/>
  <c r="O41" i="10"/>
  <c r="D14" i="14"/>
  <c r="D19" i="14"/>
  <c r="D28" i="14"/>
  <c r="U48" i="10"/>
  <c r="AH743" i="4"/>
  <c r="C12" i="6"/>
  <c r="D34" i="14"/>
  <c r="D38" i="14"/>
  <c r="AH733" i="4"/>
  <c r="D31" i="14"/>
  <c r="D95" i="14"/>
  <c r="D102" i="14"/>
  <c r="D76" i="14"/>
  <c r="D7" i="14"/>
  <c r="D36" i="14"/>
  <c r="D60" i="14"/>
  <c r="AP308" i="9"/>
  <c r="D15" i="14"/>
  <c r="D24" i="14"/>
  <c r="C43" i="14"/>
  <c r="D57" i="14"/>
  <c r="D77" i="14"/>
  <c r="L63" i="5"/>
  <c r="L97" i="5" s="1"/>
  <c r="L105" i="5" s="1"/>
  <c r="R62" i="5"/>
  <c r="AK182" i="9"/>
  <c r="D18" i="14"/>
  <c r="D22" i="14"/>
  <c r="D53" i="14"/>
  <c r="D62" i="14"/>
  <c r="D90" i="14"/>
  <c r="AH740" i="4"/>
  <c r="O63" i="5"/>
  <c r="O97" i="5" s="1"/>
  <c r="O105" i="5" s="1"/>
  <c r="B42" i="5"/>
  <c r="D50" i="14"/>
  <c r="D87" i="14"/>
  <c r="CP783" i="4"/>
  <c r="CT784" i="4" s="1"/>
  <c r="AO47" i="9"/>
  <c r="D42" i="14"/>
  <c r="AH726" i="4"/>
  <c r="AH730" i="4"/>
  <c r="J12" i="5"/>
  <c r="L12" i="5"/>
  <c r="G63" i="6"/>
  <c r="G97" i="6" s="1"/>
  <c r="G105" i="6" s="1"/>
  <c r="G107" i="6" s="1"/>
  <c r="O48" i="10"/>
  <c r="G113" i="10"/>
  <c r="D33" i="14"/>
  <c r="B63" i="14"/>
  <c r="D85" i="14"/>
  <c r="D96" i="14"/>
  <c r="AH742" i="4"/>
  <c r="D16" i="14"/>
  <c r="D58" i="14"/>
  <c r="D86" i="14"/>
  <c r="B104" i="5"/>
  <c r="M63" i="5"/>
  <c r="M97" i="5" s="1"/>
  <c r="M105" i="5" s="1"/>
  <c r="R42" i="5"/>
  <c r="D10" i="14"/>
  <c r="D35" i="14"/>
  <c r="B43" i="14"/>
  <c r="D52" i="14"/>
  <c r="D61" i="14"/>
  <c r="D91" i="14"/>
  <c r="D101" i="14"/>
  <c r="AC803" i="4"/>
  <c r="J63" i="5"/>
  <c r="J97" i="5" s="1"/>
  <c r="J105" i="5" s="1"/>
  <c r="I63" i="6"/>
  <c r="I97" i="6" s="1"/>
  <c r="I105" i="6" s="1"/>
  <c r="I107" i="6" s="1"/>
  <c r="AO57" i="9"/>
  <c r="R39" i="10" a="1"/>
  <c r="R39" i="10" s="1"/>
  <c r="D30" i="14"/>
  <c r="AB233" i="9"/>
  <c r="AB249" i="9" s="1"/>
  <c r="AB251" i="9" s="1"/>
  <c r="AB253" i="9" s="1"/>
  <c r="AB259" i="9" s="1"/>
  <c r="AD208" i="9" s="1"/>
  <c r="AD210" i="9" s="1"/>
  <c r="AP379" i="9"/>
  <c r="AQ379" i="9" s="1"/>
  <c r="AS375" i="9" s="1"/>
  <c r="AS371" i="9" s="1"/>
  <c r="AK482" i="9" s="1"/>
  <c r="T889" i="9" s="1"/>
  <c r="AF889" i="9" s="1"/>
  <c r="BE80" i="4" s="1"/>
  <c r="AK548" i="9"/>
  <c r="T885" i="9" s="1"/>
  <c r="AP388" i="9"/>
  <c r="AQ388" i="9" s="1"/>
  <c r="G77" i="10"/>
  <c r="G79" i="10" s="1"/>
  <c r="D59" i="14"/>
  <c r="D75" i="14"/>
  <c r="D89" i="14"/>
  <c r="D93" i="14"/>
  <c r="D103" i="14"/>
  <c r="U53" i="10"/>
  <c r="D8" i="14"/>
  <c r="D48" i="14"/>
  <c r="D94" i="14"/>
  <c r="B105" i="14"/>
  <c r="AC783" i="4"/>
  <c r="I63" i="5"/>
  <c r="I97" i="5" s="1"/>
  <c r="T880" i="9"/>
  <c r="AF880" i="9" s="1"/>
  <c r="BE75" i="4" s="1"/>
  <c r="R33" i="10" a="1"/>
  <c r="R33" i="10" s="1"/>
  <c r="S45" i="10"/>
  <c r="K12" i="5"/>
  <c r="R4" i="5"/>
  <c r="R8" i="5" s="1"/>
  <c r="F9" i="5"/>
  <c r="F11" i="5" s="1"/>
  <c r="F63" i="5" s="1"/>
  <c r="F97" i="5" s="1"/>
  <c r="F105" i="5" s="1"/>
  <c r="B54" i="5"/>
  <c r="B81" i="5"/>
  <c r="U45" i="10"/>
  <c r="D26" i="14"/>
  <c r="D104" i="14"/>
  <c r="AH731" i="4"/>
  <c r="T44" i="10"/>
  <c r="P47" i="10" a="1"/>
  <c r="P47" i="10" s="1"/>
  <c r="P50" i="10" a="1"/>
  <c r="P50" i="10" s="1"/>
  <c r="I28" i="12"/>
  <c r="S28" i="12"/>
  <c r="U47" i="10"/>
  <c r="P41" i="10" a="1"/>
  <c r="P41" i="10" s="1"/>
  <c r="Y28" i="12"/>
  <c r="AH728" i="4"/>
  <c r="AC891" i="4"/>
  <c r="AZ1059" i="4"/>
  <c r="R41" i="10" a="1"/>
  <c r="R41" i="10" s="1"/>
  <c r="P43" i="10" a="1"/>
  <c r="P43" i="10" s="1"/>
  <c r="P54" i="10" a="1"/>
  <c r="P54" i="10" s="1"/>
  <c r="T7" i="8"/>
  <c r="T887" i="9"/>
  <c r="AF887" i="9" s="1"/>
  <c r="BE79" i="4" s="1"/>
  <c r="U41" i="10"/>
  <c r="U43" i="10"/>
  <c r="O45" i="10"/>
  <c r="R46" i="10" a="1"/>
  <c r="R46" i="10" s="1"/>
  <c r="P49" i="10" a="1"/>
  <c r="P49" i="10" s="1"/>
  <c r="P51" i="10" a="1"/>
  <c r="P51" i="10" s="1"/>
  <c r="P53" i="10" a="1"/>
  <c r="P53" i="10" s="1"/>
  <c r="U54" i="10"/>
  <c r="BG252" i="4"/>
  <c r="BO254" i="4" s="1"/>
  <c r="T276" i="4" s="1"/>
  <c r="P45" i="10" a="1"/>
  <c r="P45" i="10" s="1"/>
  <c r="S51" i="10"/>
  <c r="T53" i="10"/>
  <c r="DU803" i="4"/>
  <c r="T52" i="10"/>
  <c r="AH738" i="4"/>
  <c r="U52" i="10"/>
  <c r="O46" i="10"/>
  <c r="R45" i="10" a="1"/>
  <c r="R45" i="10" s="1"/>
  <c r="O47" i="10"/>
  <c r="O49" i="10"/>
  <c r="O50" i="10"/>
  <c r="AC28" i="12"/>
  <c r="AE28" i="12"/>
  <c r="DE803" i="4"/>
  <c r="DI804" i="4" s="1"/>
  <c r="R996" i="4"/>
  <c r="S46" i="10"/>
  <c r="CU783" i="4"/>
  <c r="CY784" i="4" s="1"/>
  <c r="T46" i="10"/>
  <c r="R47" i="10" a="1"/>
  <c r="R47" i="10" s="1"/>
  <c r="R49" i="10" a="1"/>
  <c r="R49" i="10" s="1"/>
  <c r="P52" i="10" a="1"/>
  <c r="P52" i="10" s="1"/>
  <c r="AH734" i="4"/>
  <c r="CZ783" i="4"/>
  <c r="DD784" i="4" s="1"/>
  <c r="R37" i="10" a="1"/>
  <c r="R37" i="10" s="1"/>
  <c r="S41" i="10"/>
  <c r="U46" i="10"/>
  <c r="S47" i="10"/>
  <c r="S49" i="10"/>
  <c r="M28" i="12"/>
  <c r="O28" i="12"/>
  <c r="T37" i="10"/>
  <c r="T35" i="10"/>
  <c r="U34" i="10"/>
  <c r="AH737" i="4"/>
  <c r="AH736" i="4"/>
  <c r="J40" i="11"/>
  <c r="Z815" i="4" s="1"/>
  <c r="E6" i="12" s="1"/>
  <c r="G6" i="12" s="1"/>
  <c r="BF759" i="4"/>
  <c r="BG752" i="4" s="1"/>
  <c r="BH752" i="4" s="1"/>
  <c r="BS759" i="4"/>
  <c r="BT740" i="4" s="1"/>
  <c r="AH729" i="4"/>
  <c r="M18" i="10"/>
  <c r="U20" i="10"/>
  <c r="E25" i="10"/>
  <c r="F25" i="10" s="1"/>
  <c r="G25" i="10" s="1"/>
  <c r="AH735" i="4"/>
  <c r="CP759" i="4"/>
  <c r="DX667" i="4" s="1"/>
  <c r="EO759" i="4"/>
  <c r="AH732" i="4"/>
  <c r="EE759" i="4"/>
  <c r="E28" i="10"/>
  <c r="AN29" i="7"/>
  <c r="CU759" i="4"/>
  <c r="EC672" i="4" s="1"/>
  <c r="EJ759" i="4"/>
  <c r="DJ759" i="4"/>
  <c r="ER675" i="4" s="1"/>
  <c r="DZ759" i="4"/>
  <c r="J23" i="7"/>
  <c r="AH727" i="4"/>
  <c r="DU759" i="4"/>
  <c r="E27" i="10"/>
  <c r="J21" i="7"/>
  <c r="D100" i="14"/>
  <c r="D92" i="14"/>
  <c r="C96" i="6"/>
  <c r="B96" i="5"/>
  <c r="D81" i="14"/>
  <c r="B82" i="14"/>
  <c r="S79" i="5"/>
  <c r="E79" i="6" s="1"/>
  <c r="F79" i="6" s="1"/>
  <c r="R81" i="5"/>
  <c r="D80" i="14"/>
  <c r="R77" i="5"/>
  <c r="C77" i="6"/>
  <c r="D70" i="14"/>
  <c r="D66" i="14"/>
  <c r="C70" i="6"/>
  <c r="B70" i="5"/>
  <c r="D44" i="14"/>
  <c r="D21" i="14"/>
  <c r="D20" i="14"/>
  <c r="C26" i="6"/>
  <c r="D63" i="6"/>
  <c r="D97" i="6" s="1"/>
  <c r="D105" i="6" s="1"/>
  <c r="AF636" i="4"/>
  <c r="E40" i="12" s="1"/>
  <c r="AG454" i="4"/>
  <c r="AI27" i="8" s="1"/>
  <c r="AD7" i="8"/>
  <c r="AI7" i="8"/>
  <c r="AB29" i="7"/>
  <c r="AH29" i="7"/>
  <c r="CI759" i="4"/>
  <c r="FO759" i="4"/>
  <c r="CM759" i="4"/>
  <c r="X1059" i="4" s="1"/>
  <c r="FT759" i="4"/>
  <c r="Y807" i="4"/>
  <c r="E4" i="12" s="1"/>
  <c r="EE803" i="4"/>
  <c r="ET803" i="4"/>
  <c r="FJ759" i="4"/>
  <c r="DO803" i="4"/>
  <c r="E103" i="9"/>
  <c r="AX703" i="9"/>
  <c r="E104" i="9"/>
  <c r="DE783" i="4"/>
  <c r="DI784" i="4" s="1"/>
  <c r="BA1049" i="4"/>
  <c r="BD1058" i="4" s="1" a="1"/>
  <c r="BD1058" i="4" s="1"/>
  <c r="AF1021" i="4"/>
  <c r="EZ726" i="4"/>
  <c r="CP803" i="4"/>
  <c r="R994" i="4"/>
  <c r="AJ1043" i="4"/>
  <c r="I15" i="10" s="1"/>
  <c r="B62" i="5"/>
  <c r="B62" i="6"/>
  <c r="BE6" i="4"/>
  <c r="CZ759" i="4"/>
  <c r="EH653" i="4" s="1"/>
  <c r="FE727" i="4"/>
  <c r="FE759" i="4" s="1"/>
  <c r="G153" i="10"/>
  <c r="G155" i="10" s="1"/>
  <c r="I16" i="10" s="1"/>
  <c r="DO759" i="4"/>
  <c r="EW660" i="4" s="1"/>
  <c r="FY726" i="4"/>
  <c r="CU803" i="4"/>
  <c r="CY804" i="4" s="1"/>
  <c r="DZ793" i="4"/>
  <c r="DZ803" i="4" s="1"/>
  <c r="CZ803" i="4"/>
  <c r="DD804" i="4" s="1"/>
  <c r="AC890" i="4"/>
  <c r="AY1010" i="4"/>
  <c r="M12" i="5"/>
  <c r="S40" i="5"/>
  <c r="J24" i="7"/>
  <c r="E96" i="5"/>
  <c r="R83" i="5"/>
  <c r="R96" i="5" s="1"/>
  <c r="G108" i="5"/>
  <c r="H63" i="5"/>
  <c r="H97" i="5" s="1"/>
  <c r="H105" i="5" s="1"/>
  <c r="H12" i="5"/>
  <c r="Q63" i="5"/>
  <c r="Q97" i="5" s="1"/>
  <c r="Q105" i="5" s="1"/>
  <c r="Q12" i="5"/>
  <c r="J19" i="7"/>
  <c r="E70" i="5"/>
  <c r="R65" i="5"/>
  <c r="DJ783" i="4"/>
  <c r="DN784" i="4" s="1"/>
  <c r="E8" i="12"/>
  <c r="R993" i="4"/>
  <c r="R997" i="4"/>
  <c r="E18" i="6"/>
  <c r="F18" i="6" s="1"/>
  <c r="F26" i="6" s="1"/>
  <c r="S26" i="5"/>
  <c r="P63" i="5"/>
  <c r="P97" i="5" s="1"/>
  <c r="P105" i="5" s="1"/>
  <c r="B77" i="5"/>
  <c r="B77" i="6"/>
  <c r="S96" i="5"/>
  <c r="E96" i="6" s="1"/>
  <c r="E84" i="6"/>
  <c r="F84" i="6" s="1"/>
  <c r="F96" i="6" s="1"/>
  <c r="DO783" i="4"/>
  <c r="DS784" i="4" s="1"/>
  <c r="AY1031" i="4"/>
  <c r="AF1024" i="4" s="1"/>
  <c r="R38" i="5"/>
  <c r="D12" i="6"/>
  <c r="Y620" i="9"/>
  <c r="AP600" i="9"/>
  <c r="DE759" i="4"/>
  <c r="EM658" i="4" s="1"/>
  <c r="ET759" i="4"/>
  <c r="C763" i="4"/>
  <c r="EJ793" i="4"/>
  <c r="EJ803" i="4" s="1"/>
  <c r="EO794" i="4"/>
  <c r="EO803" i="4" s="1"/>
  <c r="DJ803" i="4"/>
  <c r="DN804" i="4" s="1"/>
  <c r="G9" i="5"/>
  <c r="K63" i="5"/>
  <c r="K97" i="5" s="1"/>
  <c r="K105" i="5" s="1"/>
  <c r="H104" i="6"/>
  <c r="BA1065" i="4"/>
  <c r="C54" i="6"/>
  <c r="G15" i="12"/>
  <c r="E22" i="12"/>
  <c r="E35" i="12" s="1"/>
  <c r="R26" i="5"/>
  <c r="B38" i="5"/>
  <c r="D63" i="5"/>
  <c r="D97" i="5" s="1"/>
  <c r="D105" i="5" s="1"/>
  <c r="E77" i="5"/>
  <c r="B81" i="6"/>
  <c r="J20" i="7"/>
  <c r="AO34" i="9"/>
  <c r="B8" i="5"/>
  <c r="B8" i="6"/>
  <c r="E54" i="5"/>
  <c r="P29" i="7"/>
  <c r="E26" i="5"/>
  <c r="B26" i="5"/>
  <c r="R46" i="5"/>
  <c r="S46" i="5" s="1"/>
  <c r="B26" i="6"/>
  <c r="B54" i="6"/>
  <c r="V29" i="7"/>
  <c r="J22" i="7"/>
  <c r="T876" i="9"/>
  <c r="AF876" i="9" s="1"/>
  <c r="BE71" i="4" s="1"/>
  <c r="G37" i="10"/>
  <c r="AK83" i="9"/>
  <c r="N183" i="7"/>
  <c r="C81" i="6"/>
  <c r="N12" i="5"/>
  <c r="F81" i="6"/>
  <c r="AV121" i="9"/>
  <c r="AW120" i="9" s="1"/>
  <c r="I12" i="5"/>
  <c r="B11" i="5"/>
  <c r="I99" i="5"/>
  <c r="R45" i="5"/>
  <c r="C63" i="5"/>
  <c r="N63" i="5"/>
  <c r="N97" i="5" s="1"/>
  <c r="N105" i="5" s="1"/>
  <c r="E81" i="5"/>
  <c r="B11" i="6"/>
  <c r="U22" i="10"/>
  <c r="R23" i="10" a="1"/>
  <c r="R23" i="10" s="1"/>
  <c r="U26" i="10"/>
  <c r="T29" i="10"/>
  <c r="U39" i="10"/>
  <c r="R25" i="10" a="1"/>
  <c r="R25" i="10" s="1"/>
  <c r="R28" i="10" a="1"/>
  <c r="R28" i="10" s="1"/>
  <c r="T33" i="10"/>
  <c r="T36" i="10"/>
  <c r="T40" i="10"/>
  <c r="S43" i="10"/>
  <c r="R43" i="10" a="1"/>
  <c r="R43" i="10" s="1"/>
  <c r="U44" i="10"/>
  <c r="T48" i="10"/>
  <c r="R20" i="10" a="1"/>
  <c r="R20" i="10" s="1"/>
  <c r="U23" i="10"/>
  <c r="R30" i="10" a="1"/>
  <c r="R30" i="10" s="1"/>
  <c r="U30" i="10"/>
  <c r="R31" i="10" a="1"/>
  <c r="R31" i="10" s="1"/>
  <c r="U33" i="10"/>
  <c r="R34" i="10" a="1"/>
  <c r="R34" i="10" s="1"/>
  <c r="U40" i="10"/>
  <c r="P42" i="10" a="1"/>
  <c r="P42" i="10" s="1"/>
  <c r="Y68" i="8"/>
  <c r="R21" i="10" a="1"/>
  <c r="R21" i="10" s="1"/>
  <c r="E24" i="10"/>
  <c r="U28" i="10"/>
  <c r="R38" i="10" a="1"/>
  <c r="R38" i="10" s="1"/>
  <c r="S50" i="10"/>
  <c r="G40" i="11"/>
  <c r="U25" i="10"/>
  <c r="R35" i="10" a="1"/>
  <c r="R35" i="10" s="1"/>
  <c r="R42" i="10" a="1"/>
  <c r="R42" i="10" s="1"/>
  <c r="O44" i="10"/>
  <c r="T50" i="10"/>
  <c r="G51" i="10"/>
  <c r="T21" i="10"/>
  <c r="R22" i="10" a="1"/>
  <c r="R22" i="10" s="1"/>
  <c r="R24" i="10" a="1"/>
  <c r="R24" i="10" s="1"/>
  <c r="E26" i="10"/>
  <c r="R26" i="10" a="1"/>
  <c r="R26" i="10" s="1"/>
  <c r="R27" i="10" a="1"/>
  <c r="R27" i="10" s="1"/>
  <c r="U27" i="10"/>
  <c r="U31" i="10"/>
  <c r="R32" i="10" a="1"/>
  <c r="R32" i="10" s="1"/>
  <c r="T38" i="10"/>
  <c r="S42" i="10"/>
  <c r="U50" i="10"/>
  <c r="U21" i="10"/>
  <c r="R29" i="10" a="1"/>
  <c r="R29" i="10" s="1"/>
  <c r="U38" i="10"/>
  <c r="T42" i="10"/>
  <c r="R44" i="10" a="1"/>
  <c r="R44" i="10" s="1"/>
  <c r="T22" i="10"/>
  <c r="T24" i="10"/>
  <c r="U32" i="10"/>
  <c r="U35" i="10"/>
  <c r="R36" i="10" a="1"/>
  <c r="R36" i="10" s="1"/>
  <c r="T39" i="10"/>
  <c r="U42" i="10"/>
  <c r="T43" i="10"/>
  <c r="S44" i="10"/>
  <c r="R48" i="10" a="1"/>
  <c r="R48" i="10" s="1"/>
  <c r="R51" i="10" a="1"/>
  <c r="R51" i="10" s="1"/>
  <c r="O51" i="10"/>
  <c r="U51" i="10"/>
  <c r="O52" i="10"/>
  <c r="R52" i="10" a="1"/>
  <c r="R52" i="10" s="1"/>
  <c r="S53" i="10"/>
  <c r="O53" i="10"/>
  <c r="S54" i="10"/>
  <c r="R54" i="10" a="1"/>
  <c r="R54" i="10" s="1"/>
  <c r="Y29" i="12"/>
  <c r="I29" i="12"/>
  <c r="W29" i="12"/>
  <c r="G29" i="12"/>
  <c r="S29" i="12"/>
  <c r="AE29" i="12"/>
  <c r="O29" i="12"/>
  <c r="AC29" i="12"/>
  <c r="M29" i="12"/>
  <c r="D23" i="14"/>
  <c r="D47" i="14"/>
  <c r="T49" i="10"/>
  <c r="K29" i="12"/>
  <c r="G58" i="12"/>
  <c r="C27" i="14"/>
  <c r="C71" i="14"/>
  <c r="Q29" i="12"/>
  <c r="I58" i="12"/>
  <c r="K53" i="12"/>
  <c r="B9" i="14"/>
  <c r="C12" i="14"/>
  <c r="D12" i="14" s="1"/>
  <c r="B39" i="14"/>
  <c r="B78" i="14"/>
  <c r="U29" i="12"/>
  <c r="C9" i="14"/>
  <c r="D5" i="14"/>
  <c r="D73" i="14"/>
  <c r="C78" i="14"/>
  <c r="AA29" i="12"/>
  <c r="C63" i="14"/>
  <c r="D63" i="14" s="1"/>
  <c r="C82" i="14"/>
  <c r="AG29" i="12"/>
  <c r="B27" i="14"/>
  <c r="C39" i="14"/>
  <c r="B55" i="14"/>
  <c r="B97" i="14"/>
  <c r="C55" i="14"/>
  <c r="D46" i="14"/>
  <c r="B71" i="14"/>
  <c r="D84" i="14"/>
  <c r="K28" i="12"/>
  <c r="AA28" i="12"/>
  <c r="C105" i="14"/>
  <c r="Q28" i="12"/>
  <c r="AG28" i="12"/>
  <c r="C97" i="14"/>
  <c r="U28" i="12"/>
  <c r="G28" i="12"/>
  <c r="AS373" i="9" l="1"/>
  <c r="BU740" i="4"/>
  <c r="Y806" i="4"/>
  <c r="AC892" i="4"/>
  <c r="D82" i="14"/>
  <c r="D43" i="14"/>
  <c r="D27" i="14"/>
  <c r="D105" i="14"/>
  <c r="F12" i="5"/>
  <c r="D39" i="14"/>
  <c r="D97" i="14"/>
  <c r="T27" i="8"/>
  <c r="ET805" i="4"/>
  <c r="BT753" i="4"/>
  <c r="BU753" i="4" s="1"/>
  <c r="BT757" i="4"/>
  <c r="BU757" i="4" s="1"/>
  <c r="BG744" i="4"/>
  <c r="BH744" i="4" s="1"/>
  <c r="BG737" i="4"/>
  <c r="BH737" i="4" s="1"/>
  <c r="BG758" i="4"/>
  <c r="BH758" i="4" s="1"/>
  <c r="DX664" i="4"/>
  <c r="BG754" i="4"/>
  <c r="BH754" i="4" s="1"/>
  <c r="BT747" i="4"/>
  <c r="BU747" i="4" s="1"/>
  <c r="BT730" i="4"/>
  <c r="BU730" i="4" s="1"/>
  <c r="BT746" i="4"/>
  <c r="BU746" i="4" s="1"/>
  <c r="E7" i="12"/>
  <c r="BG743" i="4"/>
  <c r="BH743" i="4" s="1"/>
  <c r="BG726" i="4"/>
  <c r="BH726" i="4" s="1"/>
  <c r="BT727" i="4"/>
  <c r="BU727" i="4" s="1"/>
  <c r="BT754" i="4"/>
  <c r="BU754" i="4" s="1"/>
  <c r="BT735" i="4"/>
  <c r="BU735" i="4" s="1"/>
  <c r="BG728" i="4"/>
  <c r="BH728" i="4" s="1"/>
  <c r="BT745" i="4"/>
  <c r="BU745" i="4" s="1"/>
  <c r="BT744" i="4"/>
  <c r="BU744" i="4" s="1"/>
  <c r="BG748" i="4"/>
  <c r="BH748" i="4" s="1"/>
  <c r="BT738" i="4"/>
  <c r="BU738" i="4" s="1"/>
  <c r="BT750" i="4"/>
  <c r="BU750" i="4" s="1"/>
  <c r="BG735" i="4"/>
  <c r="BH735" i="4" s="1"/>
  <c r="BT736" i="4"/>
  <c r="BU736" i="4" s="1"/>
  <c r="BT731" i="4"/>
  <c r="BU731" i="4" s="1"/>
  <c r="BG745" i="4"/>
  <c r="BH745" i="4" s="1"/>
  <c r="BG749" i="4"/>
  <c r="BH749" i="4" s="1"/>
  <c r="BG730" i="4"/>
  <c r="BH730" i="4" s="1"/>
  <c r="BG731" i="4"/>
  <c r="BH731" i="4" s="1"/>
  <c r="BG751" i="4"/>
  <c r="BH751" i="4" s="1"/>
  <c r="BG732" i="4"/>
  <c r="BH732" i="4" s="1"/>
  <c r="BG739" i="4"/>
  <c r="BH739" i="4" s="1"/>
  <c r="BT751" i="4"/>
  <c r="BU751" i="4" s="1"/>
  <c r="BT729" i="4"/>
  <c r="BU729" i="4" s="1"/>
  <c r="BT758" i="4"/>
  <c r="BU758" i="4" s="1"/>
  <c r="BT756" i="4"/>
  <c r="BU756" i="4" s="1"/>
  <c r="BG727" i="4"/>
  <c r="BH727" i="4" s="1"/>
  <c r="BG756" i="4"/>
  <c r="BH756" i="4" s="1"/>
  <c r="BG740" i="4"/>
  <c r="BH740" i="4" s="1"/>
  <c r="BG755" i="4"/>
  <c r="BH755" i="4" s="1"/>
  <c r="BT742" i="4"/>
  <c r="BU742" i="4" s="1"/>
  <c r="BT739" i="4"/>
  <c r="BU739" i="4" s="1"/>
  <c r="BT733" i="4"/>
  <c r="BU733" i="4" s="1"/>
  <c r="BT741" i="4"/>
  <c r="BU741" i="4" s="1"/>
  <c r="BG753" i="4"/>
  <c r="BH753" i="4" s="1"/>
  <c r="BG750" i="4"/>
  <c r="BH750" i="4" s="1"/>
  <c r="BG729" i="4"/>
  <c r="BH729" i="4" s="1"/>
  <c r="BG736" i="4"/>
  <c r="BH736" i="4" s="1"/>
  <c r="BG738" i="4"/>
  <c r="BH738" i="4" s="1"/>
  <c r="BT728" i="4"/>
  <c r="BU728" i="4" s="1"/>
  <c r="BT748" i="4"/>
  <c r="BU748" i="4" s="1"/>
  <c r="BT737" i="4"/>
  <c r="BU737" i="4" s="1"/>
  <c r="BT749" i="4"/>
  <c r="BU749" i="4" s="1"/>
  <c r="BG757" i="4"/>
  <c r="BH757" i="4" s="1"/>
  <c r="BG741" i="4"/>
  <c r="BH741" i="4" s="1"/>
  <c r="BG742" i="4"/>
  <c r="BH742" i="4" s="1"/>
  <c r="BG746" i="4"/>
  <c r="BH746" i="4" s="1"/>
  <c r="BG734" i="4"/>
  <c r="BH734" i="4" s="1"/>
  <c r="BG733" i="4"/>
  <c r="BH733" i="4" s="1"/>
  <c r="BG747" i="4"/>
  <c r="BH747" i="4" s="1"/>
  <c r="BT755" i="4"/>
  <c r="BU755" i="4" s="1"/>
  <c r="BT752" i="4"/>
  <c r="BU752" i="4" s="1"/>
  <c r="BT726" i="4"/>
  <c r="BU726" i="4" s="1"/>
  <c r="BT734" i="4"/>
  <c r="BU734" i="4" s="1"/>
  <c r="BT732" i="4"/>
  <c r="BU732" i="4" s="1"/>
  <c r="BT743" i="4"/>
  <c r="BU743" i="4" s="1"/>
  <c r="Z824" i="4"/>
  <c r="DX671" i="4"/>
  <c r="DX669" i="4"/>
  <c r="DX645" i="4"/>
  <c r="DX651" i="4"/>
  <c r="DX657" i="4"/>
  <c r="DX661" i="4"/>
  <c r="CP808" i="4"/>
  <c r="AB993" i="4" s="1"/>
  <c r="AJ993" i="4" s="1"/>
  <c r="DX653" i="4"/>
  <c r="DX670" i="4"/>
  <c r="DX660" i="4"/>
  <c r="DX644" i="4"/>
  <c r="CT761" i="4"/>
  <c r="DX648" i="4"/>
  <c r="DX652" i="4"/>
  <c r="DX666" i="4"/>
  <c r="DX646" i="4"/>
  <c r="DX656" i="4"/>
  <c r="DX676" i="4"/>
  <c r="DX674" i="4"/>
  <c r="DX650" i="4"/>
  <c r="DX647" i="4"/>
  <c r="DX663" i="4"/>
  <c r="DX677" i="4"/>
  <c r="DX675" i="4"/>
  <c r="DX665" i="4"/>
  <c r="DX655" i="4"/>
  <c r="DX654" i="4"/>
  <c r="DX649" i="4"/>
  <c r="DX672" i="4"/>
  <c r="DX659" i="4"/>
  <c r="DX668" i="4"/>
  <c r="DX673" i="4"/>
  <c r="DX658" i="4"/>
  <c r="DX662" i="4"/>
  <c r="ER666" i="4"/>
  <c r="EC667" i="4"/>
  <c r="ER657" i="4"/>
  <c r="ER646" i="4"/>
  <c r="EC677" i="4"/>
  <c r="EC648" i="4"/>
  <c r="ER659" i="4"/>
  <c r="ER661" i="4"/>
  <c r="EC654" i="4"/>
  <c r="ER656" i="4"/>
  <c r="EW653" i="4"/>
  <c r="EC644" i="4"/>
  <c r="ER674" i="4"/>
  <c r="EC676" i="4"/>
  <c r="ER647" i="4"/>
  <c r="DN761" i="4"/>
  <c r="AX705" i="9"/>
  <c r="ER672" i="4"/>
  <c r="ER668" i="4"/>
  <c r="EC675" i="4"/>
  <c r="ER653" i="4"/>
  <c r="ER649" i="4"/>
  <c r="ER662" i="4"/>
  <c r="ER670" i="4"/>
  <c r="EC673" i="4"/>
  <c r="ER643" i="4"/>
  <c r="ER660" i="4"/>
  <c r="ER655" i="4"/>
  <c r="ER671" i="4"/>
  <c r="EC670" i="4"/>
  <c r="ER652" i="4"/>
  <c r="ER648" i="4"/>
  <c r="ER669" i="4"/>
  <c r="ER677" i="4"/>
  <c r="EC668" i="4"/>
  <c r="ER664" i="4"/>
  <c r="ER650" i="4"/>
  <c r="EC657" i="4"/>
  <c r="EC661" i="4"/>
  <c r="EC674" i="4"/>
  <c r="EC662" i="4"/>
  <c r="EC671" i="4"/>
  <c r="EC656" i="4"/>
  <c r="EC652" i="4"/>
  <c r="EC665" i="4"/>
  <c r="CY761" i="4"/>
  <c r="EC645" i="4"/>
  <c r="EC646" i="4"/>
  <c r="EC649" i="4"/>
  <c r="EC658" i="4"/>
  <c r="EC666" i="4"/>
  <c r="EC659" i="4"/>
  <c r="EC664" i="4"/>
  <c r="EC651" i="4"/>
  <c r="EC655" i="4"/>
  <c r="EC660" i="4"/>
  <c r="EC650" i="4"/>
  <c r="EC653" i="4"/>
  <c r="EC669" i="4"/>
  <c r="EC663" i="4"/>
  <c r="EC647" i="4"/>
  <c r="EC643" i="4"/>
  <c r="ER665" i="4"/>
  <c r="ER651" i="4"/>
  <c r="ER676" i="4"/>
  <c r="ER645" i="4"/>
  <c r="ER644" i="4"/>
  <c r="ER663" i="4"/>
  <c r="ER673" i="4"/>
  <c r="EW667" i="4"/>
  <c r="ER658" i="4"/>
  <c r="ER654" i="4"/>
  <c r="ER667" i="4"/>
  <c r="AW116" i="9"/>
  <c r="AW118" i="9"/>
  <c r="AW119" i="9"/>
  <c r="EW662" i="4"/>
  <c r="EW666" i="4"/>
  <c r="AW117" i="9"/>
  <c r="S81" i="5"/>
  <c r="E81" i="6" s="1"/>
  <c r="D78" i="14"/>
  <c r="C63" i="6"/>
  <c r="C97" i="6" s="1"/>
  <c r="C105" i="6" s="1"/>
  <c r="O40" i="12"/>
  <c r="O43" i="12" s="1"/>
  <c r="M40" i="12"/>
  <c r="M43" i="12" s="1"/>
  <c r="E43" i="12"/>
  <c r="AA40" i="12"/>
  <c r="AA43" i="12" s="1"/>
  <c r="Y40" i="12"/>
  <c r="Y43" i="12" s="1"/>
  <c r="W40" i="12"/>
  <c r="W43" i="12" s="1"/>
  <c r="U40" i="12"/>
  <c r="U43" i="12" s="1"/>
  <c r="AE40" i="12"/>
  <c r="AE43" i="12" s="1"/>
  <c r="S40" i="12"/>
  <c r="S43" i="12" s="1"/>
  <c r="I40" i="12"/>
  <c r="I43" i="12" s="1"/>
  <c r="AC40" i="12"/>
  <c r="AC43" i="12" s="1"/>
  <c r="K40" i="12"/>
  <c r="K43" i="12" s="1"/>
  <c r="AG40" i="12"/>
  <c r="AG43" i="12" s="1"/>
  <c r="G40" i="12"/>
  <c r="G43" i="12" s="1"/>
  <c r="Q40" i="12"/>
  <c r="Q43" i="12" s="1"/>
  <c r="AB48" i="8"/>
  <c r="AO649" i="4"/>
  <c r="Y27" i="8"/>
  <c r="AD27" i="8"/>
  <c r="B64" i="14"/>
  <c r="B98" i="14" s="1"/>
  <c r="B106" i="14" s="1"/>
  <c r="B13" i="14"/>
  <c r="G7" i="12"/>
  <c r="I6" i="12"/>
  <c r="E26" i="6"/>
  <c r="S65" i="5"/>
  <c r="R70" i="5"/>
  <c r="EZ759" i="4"/>
  <c r="DX643" i="4"/>
  <c r="EM670" i="4"/>
  <c r="EW656" i="4"/>
  <c r="EH671" i="4"/>
  <c r="EH652" i="4"/>
  <c r="EM655" i="4"/>
  <c r="EM653" i="4"/>
  <c r="EH674" i="4"/>
  <c r="M53" i="12"/>
  <c r="K58" i="12"/>
  <c r="T877" i="9"/>
  <c r="AF877" i="9" s="1"/>
  <c r="BE72" i="4" s="1"/>
  <c r="AK190" i="9"/>
  <c r="T883" i="9" s="1"/>
  <c r="AF883" i="9" s="1"/>
  <c r="BE76" i="4" s="1"/>
  <c r="BE68" i="4"/>
  <c r="EM656" i="4"/>
  <c r="I1059" i="4"/>
  <c r="AY1013" i="4" s="1"/>
  <c r="I1055" i="4"/>
  <c r="EW643" i="4"/>
  <c r="FY759" i="4"/>
  <c r="DD761" i="4"/>
  <c r="EH665" i="4"/>
  <c r="EH656" i="4"/>
  <c r="EH676" i="4"/>
  <c r="EH673" i="4"/>
  <c r="EH661" i="4"/>
  <c r="EH657" i="4"/>
  <c r="EH645" i="4"/>
  <c r="EH672" i="4"/>
  <c r="EH660" i="4"/>
  <c r="EH670" i="4"/>
  <c r="EH654" i="4"/>
  <c r="EH644" i="4"/>
  <c r="EH651" i="4"/>
  <c r="EH667" i="4"/>
  <c r="CZ808" i="4"/>
  <c r="AB995" i="4" s="1"/>
  <c r="AJ995" i="4" s="1"/>
  <c r="EH650" i="4"/>
  <c r="EM676" i="4"/>
  <c r="EM651" i="4"/>
  <c r="EH669" i="4"/>
  <c r="EW650" i="4"/>
  <c r="EH655" i="4"/>
  <c r="EM673" i="4"/>
  <c r="EM674" i="4"/>
  <c r="C64" i="14"/>
  <c r="C13" i="14"/>
  <c r="D9" i="14"/>
  <c r="G159" i="10"/>
  <c r="I17" i="10" s="1"/>
  <c r="C39" i="10"/>
  <c r="E46" i="6"/>
  <c r="F46" i="6" s="1"/>
  <c r="F54" i="6" s="1"/>
  <c r="S54" i="5"/>
  <c r="E54" i="6" s="1"/>
  <c r="J29" i="7"/>
  <c r="BB5" i="7" s="1" a="1"/>
  <c r="BB5" i="7" s="1"/>
  <c r="AX706" i="9"/>
  <c r="EW671" i="4"/>
  <c r="EW673" i="4"/>
  <c r="DS761" i="4"/>
  <c r="EW668" i="4"/>
  <c r="EW674" i="4"/>
  <c r="EW659" i="4"/>
  <c r="EW655" i="4"/>
  <c r="EW658" i="4"/>
  <c r="EW675" i="4"/>
  <c r="EW654" i="4"/>
  <c r="EW651" i="4"/>
  <c r="EW664" i="4"/>
  <c r="EW672" i="4"/>
  <c r="EW647" i="4"/>
  <c r="EM650" i="4"/>
  <c r="EM666" i="4"/>
  <c r="EH649" i="4"/>
  <c r="EW652" i="4"/>
  <c r="EW646" i="4"/>
  <c r="EM668" i="4"/>
  <c r="EW670" i="4"/>
  <c r="EW649" i="4"/>
  <c r="EH663" i="4"/>
  <c r="EW645" i="4"/>
  <c r="EW665" i="4"/>
  <c r="EM647" i="4"/>
  <c r="EH677" i="4"/>
  <c r="EW663" i="4"/>
  <c r="EH662" i="4"/>
  <c r="DU784" i="4"/>
  <c r="EW669" i="4"/>
  <c r="EH648" i="4"/>
  <c r="D71" i="14"/>
  <c r="B63" i="6"/>
  <c r="C97" i="5"/>
  <c r="EM675" i="4"/>
  <c r="CT804" i="4"/>
  <c r="DU805" i="4"/>
  <c r="EM665" i="4"/>
  <c r="EM644" i="4"/>
  <c r="EH664" i="4"/>
  <c r="EW648" i="4"/>
  <c r="EM662" i="4"/>
  <c r="EM659" i="4"/>
  <c r="DU783" i="4"/>
  <c r="EH668" i="4"/>
  <c r="D55" i="14"/>
  <c r="G42" i="10" a="1"/>
  <c r="G42" i="10" s="1"/>
  <c r="G43" i="10" s="1"/>
  <c r="O40" i="10" s="1"/>
  <c r="P40" i="10" s="1" a="1"/>
  <c r="P40" i="10" s="1"/>
  <c r="S40" i="10" s="1"/>
  <c r="T18" i="10"/>
  <c r="G60" i="10" s="1"/>
  <c r="E29" i="10"/>
  <c r="F24" i="10"/>
  <c r="R54" i="5"/>
  <c r="AW115" i="9"/>
  <c r="EW657" i="4"/>
  <c r="G8" i="12"/>
  <c r="E9" i="12"/>
  <c r="S42" i="5"/>
  <c r="E42" i="6" s="1"/>
  <c r="E40" i="6"/>
  <c r="F40" i="6" s="1"/>
  <c r="F42" i="6" s="1"/>
  <c r="EW676" i="4"/>
  <c r="EH643" i="4"/>
  <c r="EW644" i="4"/>
  <c r="EM672" i="4"/>
  <c r="EM660" i="4"/>
  <c r="DJ808" i="4"/>
  <c r="EH666" i="4"/>
  <c r="EM648" i="4"/>
  <c r="DO760" i="4"/>
  <c r="E5" i="12"/>
  <c r="G4" i="12"/>
  <c r="EH659" i="4"/>
  <c r="AG1056" i="4"/>
  <c r="X1055" i="4"/>
  <c r="BA1046" i="4"/>
  <c r="BA1055" i="4" s="1" a="1"/>
  <c r="BA1055" i="4" s="1"/>
  <c r="I104" i="5"/>
  <c r="I105" i="5" s="1"/>
  <c r="E99" i="5"/>
  <c r="G22" i="12"/>
  <c r="G35" i="12" s="1"/>
  <c r="I15" i="12"/>
  <c r="G11" i="5"/>
  <c r="E9" i="5"/>
  <c r="BE7" i="4"/>
  <c r="EM643" i="4"/>
  <c r="EM671" i="4"/>
  <c r="EH646" i="4"/>
  <c r="EW677" i="4"/>
  <c r="N184" i="7"/>
  <c r="N190" i="7" s="1"/>
  <c r="B63" i="5"/>
  <c r="B12" i="5"/>
  <c r="AX704" i="9"/>
  <c r="EM661" i="4"/>
  <c r="DI761" i="4"/>
  <c r="EM663" i="4"/>
  <c r="EM664" i="4"/>
  <c r="EM677" i="4"/>
  <c r="DE808" i="4"/>
  <c r="AB996" i="4" s="1"/>
  <c r="AJ996" i="4" s="1"/>
  <c r="EM669" i="4"/>
  <c r="EM649" i="4"/>
  <c r="EM657" i="4"/>
  <c r="EM667" i="4"/>
  <c r="EM645" i="4"/>
  <c r="EM646" i="4"/>
  <c r="EM652" i="4"/>
  <c r="DO808" i="4"/>
  <c r="DS804" i="4"/>
  <c r="EH658" i="4"/>
  <c r="EW661" i="4"/>
  <c r="EH647" i="4"/>
  <c r="CU808" i="4"/>
  <c r="AB994" i="4" s="1"/>
  <c r="EH675" i="4"/>
  <c r="EM654" i="4"/>
  <c r="D13" i="14" l="1"/>
  <c r="O37" i="10"/>
  <c r="P37" i="10" s="1" a="1"/>
  <c r="P37" i="10" s="1"/>
  <c r="S37" i="10" s="1"/>
  <c r="O39" i="10"/>
  <c r="P39" i="10" s="1" a="1"/>
  <c r="P39" i="10" s="1"/>
  <c r="S39" i="10" s="1"/>
  <c r="O38" i="10"/>
  <c r="P38" i="10" s="1" a="1"/>
  <c r="P38" i="10" s="1"/>
  <c r="S38" i="10" s="1"/>
  <c r="O21" i="10"/>
  <c r="P21" i="10" s="1" a="1"/>
  <c r="P21" i="10" s="1"/>
  <c r="S21" i="10" s="1"/>
  <c r="O36" i="10"/>
  <c r="P36" i="10" s="1" a="1"/>
  <c r="P36" i="10" s="1"/>
  <c r="S36" i="10" s="1"/>
  <c r="O35" i="10"/>
  <c r="P35" i="10" s="1" a="1"/>
  <c r="P35" i="10" s="1"/>
  <c r="S35" i="10" s="1"/>
  <c r="E11" i="12"/>
  <c r="E37" i="12" s="1"/>
  <c r="E49" i="12" s="1"/>
  <c r="BT759" i="4"/>
  <c r="BH759" i="4"/>
  <c r="AC759" i="4" s="1"/>
  <c r="BE42" i="4" s="1"/>
  <c r="BG759" i="4"/>
  <c r="DX678" i="4"/>
  <c r="E129" i="9" s="1"/>
  <c r="E132" i="9" s="1"/>
  <c r="E135" i="9" s="1"/>
  <c r="EC678" i="4"/>
  <c r="J129" i="9" s="1"/>
  <c r="J132" i="9" s="1"/>
  <c r="J135" i="9" s="1"/>
  <c r="AX707" i="9"/>
  <c r="AX708" i="9" s="1"/>
  <c r="AO708" i="9" s="1"/>
  <c r="AB997" i="4"/>
  <c r="AJ997" i="4" s="1"/>
  <c r="ER678" i="4"/>
  <c r="Y129" i="9" s="1"/>
  <c r="Y132" i="9" s="1"/>
  <c r="Y135" i="9" s="1"/>
  <c r="AW121" i="9"/>
  <c r="DU761" i="4"/>
  <c r="O762" i="4" s="1"/>
  <c r="F63" i="6"/>
  <c r="AT24" i="7"/>
  <c r="AT22" i="7"/>
  <c r="AT20" i="7"/>
  <c r="BB4" i="7" a="1"/>
  <c r="BB4" i="7" s="1"/>
  <c r="BB6" i="7" a="1"/>
  <c r="BB6" i="7" s="1"/>
  <c r="G63" i="5"/>
  <c r="G97" i="5" s="1"/>
  <c r="G105" i="5" s="1"/>
  <c r="G12" i="5"/>
  <c r="O34" i="10"/>
  <c r="P34" i="10" s="1" a="1"/>
  <c r="P34" i="10" s="1"/>
  <c r="S34" i="10" s="1"/>
  <c r="O20" i="10"/>
  <c r="P20" i="10" s="1" a="1"/>
  <c r="P20" i="10" s="1"/>
  <c r="S20" i="10" s="1"/>
  <c r="O24" i="10"/>
  <c r="P24" i="10" s="1" a="1"/>
  <c r="P24" i="10" s="1"/>
  <c r="S24" i="10" s="1"/>
  <c r="O23" i="10"/>
  <c r="P23" i="10" s="1" a="1"/>
  <c r="P23" i="10" s="1"/>
  <c r="S23" i="10" s="1"/>
  <c r="O26" i="10"/>
  <c r="P26" i="10" s="1" a="1"/>
  <c r="P26" i="10" s="1"/>
  <c r="S26" i="10" s="1"/>
  <c r="O29" i="10"/>
  <c r="P29" i="10" s="1" a="1"/>
  <c r="P29" i="10" s="1"/>
  <c r="S29" i="10" s="1"/>
  <c r="O30" i="10"/>
  <c r="P30" i="10" s="1" a="1"/>
  <c r="P30" i="10" s="1"/>
  <c r="S30" i="10" s="1"/>
  <c r="O33" i="10"/>
  <c r="P33" i="10" s="1" a="1"/>
  <c r="P33" i="10" s="1"/>
  <c r="S33" i="10" s="1"/>
  <c r="EW678" i="4"/>
  <c r="AD129" i="9" s="1"/>
  <c r="AD132" i="9" s="1"/>
  <c r="AD135" i="9" s="1"/>
  <c r="EH678" i="4"/>
  <c r="O129" i="9" s="1"/>
  <c r="O132" i="9" s="1"/>
  <c r="O135" i="9" s="1"/>
  <c r="K15" i="12"/>
  <c r="I22" i="12"/>
  <c r="I35" i="12" s="1"/>
  <c r="AG1052" i="4"/>
  <c r="AY1012" i="4"/>
  <c r="C105" i="5"/>
  <c r="B97" i="6"/>
  <c r="B97" i="5"/>
  <c r="E65" i="6"/>
  <c r="F65" i="6" s="1"/>
  <c r="F70" i="6" s="1"/>
  <c r="F97" i="6" s="1"/>
  <c r="F105" i="6" s="1"/>
  <c r="F107" i="6" s="1"/>
  <c r="S70" i="5"/>
  <c r="E70" i="6" s="1"/>
  <c r="S63" i="5"/>
  <c r="AJ994" i="4"/>
  <c r="BE8" i="4"/>
  <c r="O32" i="10"/>
  <c r="P32" i="10" s="1" a="1"/>
  <c r="P32" i="10" s="1"/>
  <c r="S32" i="10" s="1"/>
  <c r="AT27" i="7"/>
  <c r="AT26" i="7"/>
  <c r="AT29" i="7"/>
  <c r="AT25" i="7"/>
  <c r="AY36" i="7"/>
  <c r="AY44" i="7"/>
  <c r="AY39" i="7"/>
  <c r="AY37" i="7"/>
  <c r="AY47" i="7"/>
  <c r="AY40" i="7"/>
  <c r="AY45" i="7"/>
  <c r="AT28" i="7"/>
  <c r="AT23" i="7"/>
  <c r="AT21" i="7"/>
  <c r="AY43" i="7"/>
  <c r="AY38" i="7"/>
  <c r="AY41" i="7"/>
  <c r="AY46" i="7"/>
  <c r="AY42" i="7"/>
  <c r="BU759" i="4"/>
  <c r="AH759" i="4" s="1"/>
  <c r="BE43" i="4" s="1"/>
  <c r="AT19" i="7"/>
  <c r="M58" i="12"/>
  <c r="O53" i="12"/>
  <c r="K6" i="12"/>
  <c r="I7" i="12"/>
  <c r="E104" i="5"/>
  <c r="R99" i="5"/>
  <c r="R104" i="5" s="1"/>
  <c r="G24" i="10"/>
  <c r="O25" i="10"/>
  <c r="P25" i="10" s="1" a="1"/>
  <c r="P25" i="10" s="1"/>
  <c r="S25" i="10" s="1"/>
  <c r="O28" i="10"/>
  <c r="P28" i="10" s="1" a="1"/>
  <c r="P28" i="10" s="1"/>
  <c r="S28" i="10" s="1"/>
  <c r="I4" i="12"/>
  <c r="G5" i="12"/>
  <c r="G52" i="10"/>
  <c r="G54" i="10" s="1"/>
  <c r="G56" i="10" s="1"/>
  <c r="E12" i="10" s="1"/>
  <c r="F27" i="10"/>
  <c r="G61" i="10"/>
  <c r="G63" i="10" s="1"/>
  <c r="G65" i="10" s="1"/>
  <c r="F28" i="10"/>
  <c r="G28" i="10" s="1"/>
  <c r="D64" i="14"/>
  <c r="C98" i="14"/>
  <c r="O22" i="10"/>
  <c r="P22" i="10" s="1" a="1"/>
  <c r="P22" i="10" s="1"/>
  <c r="S22" i="10" s="1"/>
  <c r="O27" i="10"/>
  <c r="P27" i="10" s="1" a="1"/>
  <c r="P27" i="10" s="1"/>
  <c r="S27" i="10" s="1"/>
  <c r="EM678" i="4"/>
  <c r="T129" i="9" s="1"/>
  <c r="T132" i="9" s="1"/>
  <c r="T135" i="9" s="1"/>
  <c r="R9" i="5"/>
  <c r="E11" i="5"/>
  <c r="I8" i="12"/>
  <c r="G9" i="12"/>
  <c r="DU806" i="4"/>
  <c r="E102" i="9"/>
  <c r="E105" i="9" s="1"/>
  <c r="AP105" i="9" s="1"/>
  <c r="AK108" i="9" s="1"/>
  <c r="T878" i="9" s="1"/>
  <c r="AF878" i="9" s="1"/>
  <c r="O31" i="10"/>
  <c r="P31" i="10" s="1" a="1"/>
  <c r="P31" i="10" s="1"/>
  <c r="S31" i="10" s="1"/>
  <c r="E92" i="9" l="1"/>
  <c r="E93" i="9" s="1"/>
  <c r="E94" i="9" s="1"/>
  <c r="E45" i="12"/>
  <c r="E48" i="12" s="1"/>
  <c r="AJ999" i="4"/>
  <c r="AJ1052" i="4" s="1"/>
  <c r="AP565" i="9" s="1"/>
  <c r="AB998" i="4"/>
  <c r="AY708" i="9"/>
  <c r="E11" i="10"/>
  <c r="DU808" i="4"/>
  <c r="U386" i="9" s="1"/>
  <c r="G11" i="12"/>
  <c r="G37" i="12" s="1"/>
  <c r="G45" i="12" s="1"/>
  <c r="T11" i="8"/>
  <c r="T23" i="8" s="1"/>
  <c r="T26" i="8" s="1"/>
  <c r="T28" i="8" s="1"/>
  <c r="BE9" i="4"/>
  <c r="BE10" i="4" s="1"/>
  <c r="BE11" i="4" s="1"/>
  <c r="S97" i="5"/>
  <c r="E63" i="6"/>
  <c r="M6" i="12"/>
  <c r="K7" i="12"/>
  <c r="E12" i="5"/>
  <c r="E63" i="5"/>
  <c r="E97" i="5" s="1"/>
  <c r="E105" i="5" s="1"/>
  <c r="Q53" i="12"/>
  <c r="O58" i="12"/>
  <c r="BE73" i="4"/>
  <c r="T9" i="5"/>
  <c r="R11" i="5"/>
  <c r="G27" i="10"/>
  <c r="F26" i="10"/>
  <c r="K22" i="12"/>
  <c r="K35" i="12" s="1"/>
  <c r="M15" i="12"/>
  <c r="P430" i="4"/>
  <c r="I9" i="12"/>
  <c r="K8" i="12"/>
  <c r="AP719" i="9"/>
  <c r="AP718" i="9"/>
  <c r="AJ727" i="9" s="1"/>
  <c r="AK819" i="9" s="1"/>
  <c r="T891" i="9" s="1"/>
  <c r="AF891" i="9" s="1"/>
  <c r="BE82" i="4" s="1"/>
  <c r="B105" i="5"/>
  <c r="B105" i="6"/>
  <c r="AG268" i="9"/>
  <c r="BE101" i="4"/>
  <c r="AC464" i="4"/>
  <c r="G45" i="10"/>
  <c r="G47" i="10" s="1"/>
  <c r="E10" i="10" s="1"/>
  <c r="E137" i="9"/>
  <c r="E138" i="9" s="1"/>
  <c r="AK142" i="9" s="1"/>
  <c r="T879" i="9" s="1"/>
  <c r="AF879" i="9" s="1"/>
  <c r="BE74" i="4" s="1"/>
  <c r="K4" i="12"/>
  <c r="I5" i="12"/>
  <c r="C106" i="14"/>
  <c r="D106" i="14" s="1"/>
  <c r="D98" i="14"/>
  <c r="AJ1056" i="4" l="1"/>
  <c r="AP566" i="9" s="1"/>
  <c r="E47" i="12"/>
  <c r="E60" i="12"/>
  <c r="E66" i="12" s="1"/>
  <c r="AP563" i="9"/>
  <c r="G49" i="12"/>
  <c r="BE12" i="4"/>
  <c r="BE13" i="4" s="1"/>
  <c r="BE14" i="4" s="1"/>
  <c r="BE15" i="4" s="1"/>
  <c r="I11" i="12"/>
  <c r="I37" i="12" s="1"/>
  <c r="I49" i="12" s="1"/>
  <c r="E97" i="6"/>
  <c r="S105" i="5"/>
  <c r="AZ1053" i="4"/>
  <c r="M22" i="12"/>
  <c r="M35" i="12" s="1"/>
  <c r="O15" i="12"/>
  <c r="M8" i="12"/>
  <c r="K9" i="12"/>
  <c r="S53" i="12"/>
  <c r="Q58" i="12"/>
  <c r="G26" i="10"/>
  <c r="G29" i="10"/>
  <c r="F29" i="10"/>
  <c r="M4" i="12"/>
  <c r="K5" i="12"/>
  <c r="R63" i="5"/>
  <c r="R97" i="5" s="1"/>
  <c r="R105" i="5" s="1"/>
  <c r="R12" i="5"/>
  <c r="G48" i="12"/>
  <c r="G60" i="12"/>
  <c r="G47" i="12"/>
  <c r="T11" i="5"/>
  <c r="H9" i="6"/>
  <c r="J9" i="6" s="1"/>
  <c r="J11" i="6" s="1"/>
  <c r="J63" i="6" s="1"/>
  <c r="J97" i="6" s="1"/>
  <c r="J105" i="6" s="1"/>
  <c r="J107" i="6" s="1"/>
  <c r="O6" i="12"/>
  <c r="M7" i="12"/>
  <c r="AB47" i="8"/>
  <c r="AB49" i="8" s="1"/>
  <c r="N180" i="7"/>
  <c r="BE22" i="4"/>
  <c r="AC463" i="4"/>
  <c r="BE44" i="4" s="1"/>
  <c r="AB265" i="9"/>
  <c r="AG267" i="9" s="1"/>
  <c r="AG269" i="9" s="1"/>
  <c r="AK272" i="9" s="1"/>
  <c r="T884" i="9" s="1"/>
  <c r="AP567" i="9" l="1"/>
  <c r="E62" i="12"/>
  <c r="E67" i="12"/>
  <c r="E70" i="12" s="1"/>
  <c r="AJ1060" i="4"/>
  <c r="AP570" i="9" s="1"/>
  <c r="AP569" i="9" s="1"/>
  <c r="AP572" i="9" s="1"/>
  <c r="AF565" i="9" s="1"/>
  <c r="K11" i="12"/>
  <c r="K37" i="12" s="1"/>
  <c r="K45" i="12" s="1"/>
  <c r="I45" i="12"/>
  <c r="I60" i="12" s="1"/>
  <c r="T63" i="5"/>
  <c r="H11" i="6"/>
  <c r="S107" i="5"/>
  <c r="E105" i="6"/>
  <c r="U53" i="12"/>
  <c r="S58" i="12"/>
  <c r="G125" i="10"/>
  <c r="G93" i="10"/>
  <c r="G94" i="10" s="1"/>
  <c r="E15" i="10" s="1"/>
  <c r="G110" i="10"/>
  <c r="G31" i="10"/>
  <c r="G33" i="10" s="1"/>
  <c r="E9" i="10" s="1"/>
  <c r="G102" i="10"/>
  <c r="G104" i="10" s="1"/>
  <c r="E16" i="10" s="1"/>
  <c r="O8" i="12"/>
  <c r="M9" i="12"/>
  <c r="G62" i="12"/>
  <c r="G67" i="12"/>
  <c r="G66" i="12"/>
  <c r="O4" i="12"/>
  <c r="M5" i="12"/>
  <c r="N181" i="7"/>
  <c r="N191" i="7"/>
  <c r="AB54" i="8"/>
  <c r="AB55" i="8" s="1"/>
  <c r="Q15" i="12"/>
  <c r="O22" i="12"/>
  <c r="O35" i="12" s="1"/>
  <c r="Q6" i="12"/>
  <c r="O7" i="12"/>
  <c r="E72" i="12" l="1"/>
  <c r="K49" i="12"/>
  <c r="T24" i="8"/>
  <c r="M11" i="12"/>
  <c r="M37" i="12" s="1"/>
  <c r="M45" i="12" s="1"/>
  <c r="I48" i="12"/>
  <c r="I47" i="12"/>
  <c r="G70" i="12"/>
  <c r="G72" i="12" s="1"/>
  <c r="S6" i="12"/>
  <c r="Q7" i="12"/>
  <c r="E107" i="6"/>
  <c r="Y11" i="8" s="1"/>
  <c r="Y23" i="8" s="1"/>
  <c r="Y26" i="8" s="1"/>
  <c r="Y28" i="8" s="1"/>
  <c r="Q22" i="12"/>
  <c r="Q35" i="12" s="1"/>
  <c r="S15" i="12"/>
  <c r="G115" i="10"/>
  <c r="G127" i="10"/>
  <c r="G111" i="10"/>
  <c r="Q8" i="12"/>
  <c r="O9" i="12"/>
  <c r="K60" i="12"/>
  <c r="K48" i="12"/>
  <c r="K47" i="12"/>
  <c r="Q4" i="12"/>
  <c r="O5" i="12"/>
  <c r="T97" i="5"/>
  <c r="H63" i="6"/>
  <c r="W53" i="12"/>
  <c r="U58" i="12"/>
  <c r="I66" i="12"/>
  <c r="I67" i="12"/>
  <c r="I62" i="12"/>
  <c r="M49" i="12" l="1"/>
  <c r="O11" i="12"/>
  <c r="O37" i="12" s="1"/>
  <c r="O45" i="12" s="1"/>
  <c r="M47" i="12"/>
  <c r="M60" i="12"/>
  <c r="M48" i="12"/>
  <c r="K62" i="12"/>
  <c r="K67" i="12"/>
  <c r="K66" i="12"/>
  <c r="I70" i="12"/>
  <c r="I72" i="12" s="1"/>
  <c r="W58" i="12"/>
  <c r="Y53" i="12"/>
  <c r="H97" i="6"/>
  <c r="AZ1055" i="4"/>
  <c r="T105" i="5"/>
  <c r="S8" i="12"/>
  <c r="Q9" i="12"/>
  <c r="G129" i="10"/>
  <c r="E17" i="10" s="1"/>
  <c r="E14" i="10" s="1"/>
  <c r="E18" i="10" s="1"/>
  <c r="H3" i="10" s="1"/>
  <c r="S4" i="12"/>
  <c r="Q5" i="12"/>
  <c r="S22" i="12"/>
  <c r="S35" i="12" s="1"/>
  <c r="U15" i="12"/>
  <c r="U6" i="12"/>
  <c r="S7" i="12"/>
  <c r="Q11" i="12" l="1"/>
  <c r="Q37" i="12" s="1"/>
  <c r="Q45" i="12" s="1"/>
  <c r="O49" i="12"/>
  <c r="K70" i="12"/>
  <c r="K72" i="12" s="1"/>
  <c r="AZ1058" i="4"/>
  <c r="BA1062" i="4" s="1"/>
  <c r="BA1066" i="4" s="1"/>
  <c r="BA1063" i="4"/>
  <c r="M62" i="12"/>
  <c r="M66" i="12"/>
  <c r="M67" i="12"/>
  <c r="Q49" i="12"/>
  <c r="U4" i="12"/>
  <c r="S5" i="12"/>
  <c r="Y58" i="12"/>
  <c r="AA53" i="12"/>
  <c r="W6" i="12"/>
  <c r="U7" i="12"/>
  <c r="W15" i="12"/>
  <c r="U22" i="12"/>
  <c r="U35" i="12" s="1"/>
  <c r="O47" i="12"/>
  <c r="O48" i="12"/>
  <c r="O60" i="12"/>
  <c r="U8" i="12"/>
  <c r="S9" i="12"/>
  <c r="T107" i="5"/>
  <c r="H105" i="6"/>
  <c r="I9" i="10"/>
  <c r="S11" i="12" l="1"/>
  <c r="S37" i="12" s="1"/>
  <c r="S45" i="12" s="1"/>
  <c r="S49" i="12"/>
  <c r="H107" i="6"/>
  <c r="AF564" i="9"/>
  <c r="AF566" i="9" s="1"/>
  <c r="AK572" i="9" s="1"/>
  <c r="T890" i="9" s="1"/>
  <c r="AF890" i="9" s="1"/>
  <c r="AC465" i="4"/>
  <c r="AA1063" i="4"/>
  <c r="AA1064" i="4" s="1"/>
  <c r="G1065" i="4" s="1"/>
  <c r="Q48" i="12"/>
  <c r="Q60" i="12"/>
  <c r="Q47" i="12"/>
  <c r="W8" i="12"/>
  <c r="U9" i="12"/>
  <c r="O66" i="12"/>
  <c r="O67" i="12"/>
  <c r="O62" i="12"/>
  <c r="AC53" i="12"/>
  <c r="AA58" i="12"/>
  <c r="M70" i="12"/>
  <c r="M72" i="12" s="1"/>
  <c r="W7" i="12"/>
  <c r="Y6" i="12"/>
  <c r="G166" i="10"/>
  <c r="G165" i="10"/>
  <c r="W22" i="12"/>
  <c r="W35" i="12" s="1"/>
  <c r="Y15" i="12"/>
  <c r="U5" i="12"/>
  <c r="W4" i="12"/>
  <c r="U11" i="12" l="1"/>
  <c r="U37" i="12" s="1"/>
  <c r="U49" i="12" s="1"/>
  <c r="O70" i="12"/>
  <c r="O72" i="12" s="1"/>
  <c r="AC58" i="12"/>
  <c r="AE53" i="12"/>
  <c r="Q67" i="12"/>
  <c r="Q62" i="12"/>
  <c r="Q66" i="12"/>
  <c r="AA6" i="12"/>
  <c r="Y7" i="12"/>
  <c r="Y4" i="12"/>
  <c r="W5" i="12"/>
  <c r="BE81" i="4"/>
  <c r="AF893" i="9"/>
  <c r="BE70" i="4" s="1"/>
  <c r="AD11" i="8"/>
  <c r="AD23" i="8" s="1"/>
  <c r="AI11" i="8"/>
  <c r="AI23" i="8" s="1"/>
  <c r="AI26" i="8" s="1"/>
  <c r="AI28" i="8" s="1"/>
  <c r="Y8" i="12"/>
  <c r="W9" i="12"/>
  <c r="S47" i="12"/>
  <c r="S48" i="12"/>
  <c r="S60" i="12"/>
  <c r="Y22" i="12"/>
  <c r="Y35" i="12" s="1"/>
  <c r="AA15" i="12"/>
  <c r="U45" i="12" l="1"/>
  <c r="U60" i="12" s="1"/>
  <c r="Q70" i="12"/>
  <c r="Q72" i="12" s="1"/>
  <c r="W11" i="12"/>
  <c r="W37" i="12" s="1"/>
  <c r="W45" i="12" s="1"/>
  <c r="AC6" i="12"/>
  <c r="AA7" i="12"/>
  <c r="AD26" i="8"/>
  <c r="AD28" i="8" s="1"/>
  <c r="AD38" i="8" s="1"/>
  <c r="AD40" i="8" s="1"/>
  <c r="Y38" i="8"/>
  <c r="Y40" i="8" s="1"/>
  <c r="AA22" i="12"/>
  <c r="AA35" i="12" s="1"/>
  <c r="AC15" i="12"/>
  <c r="S62" i="12"/>
  <c r="S66" i="12"/>
  <c r="S67" i="12"/>
  <c r="Y9" i="12"/>
  <c r="AA8" i="12"/>
  <c r="AA4" i="12"/>
  <c r="Y5" i="12"/>
  <c r="AG53" i="12"/>
  <c r="AG58" i="12" s="1"/>
  <c r="AE58" i="12"/>
  <c r="U48" i="12" l="1"/>
  <c r="Y11" i="12"/>
  <c r="Y37" i="12" s="1"/>
  <c r="Y49" i="12" s="1"/>
  <c r="U47" i="12"/>
  <c r="W49" i="12"/>
  <c r="Y41" i="8"/>
  <c r="AB56" i="8" s="1"/>
  <c r="AB57" i="8" s="1"/>
  <c r="S70" i="12"/>
  <c r="S72" i="12" s="1"/>
  <c r="AD64" i="8"/>
  <c r="AD68" i="8" s="1"/>
  <c r="Y69" i="8" s="1"/>
  <c r="T29" i="8"/>
  <c r="AC22" i="12"/>
  <c r="AC35" i="12" s="1"/>
  <c r="AE15" i="12"/>
  <c r="U66" i="12"/>
  <c r="U67" i="12"/>
  <c r="U62" i="12"/>
  <c r="AE6" i="12"/>
  <c r="AC7" i="12"/>
  <c r="AC4" i="12"/>
  <c r="AA5" i="12"/>
  <c r="AC8" i="12"/>
  <c r="AA9" i="12"/>
  <c r="W48" i="12"/>
  <c r="W47" i="12"/>
  <c r="W60" i="12"/>
  <c r="Y45" i="12" l="1"/>
  <c r="Y48" i="12" s="1"/>
  <c r="AA11" i="12"/>
  <c r="AA37" i="12" s="1"/>
  <c r="AA45" i="12" s="1"/>
  <c r="M26" i="4"/>
  <c r="P204" i="4" s="1"/>
  <c r="AE22" i="12"/>
  <c r="AE35" i="12" s="1"/>
  <c r="AG15" i="12"/>
  <c r="AG22" i="12" s="1"/>
  <c r="AG35" i="12" s="1"/>
  <c r="AB59" i="8"/>
  <c r="AB77" i="8" s="1"/>
  <c r="AB78" i="8" s="1"/>
  <c r="AE4" i="12"/>
  <c r="AC5" i="12"/>
  <c r="W62" i="12"/>
  <c r="W67" i="12"/>
  <c r="W66" i="12"/>
  <c r="U70" i="12"/>
  <c r="U72" i="12" s="1"/>
  <c r="AG6" i="12"/>
  <c r="AG7" i="12" s="1"/>
  <c r="AE7" i="12"/>
  <c r="AE8" i="12"/>
  <c r="AC9" i="12"/>
  <c r="Y60" i="12"/>
  <c r="Y47" i="12"/>
  <c r="AA49" i="12" l="1"/>
  <c r="AC11" i="12"/>
  <c r="AC37" i="12" s="1"/>
  <c r="AC45" i="12" s="1"/>
  <c r="BE19" i="4"/>
  <c r="W70" i="12"/>
  <c r="W72" i="12" s="1"/>
  <c r="AG4" i="12"/>
  <c r="AE5" i="12"/>
  <c r="I10" i="10"/>
  <c r="I11" i="10" s="1"/>
  <c r="I18" i="10" s="1"/>
  <c r="H4" i="10" s="1"/>
  <c r="H5" i="10" s="1"/>
  <c r="BE83" i="4" s="1"/>
  <c r="AB79" i="8"/>
  <c r="AB81" i="8" s="1"/>
  <c r="J82" i="8" s="1"/>
  <c r="M27" i="4"/>
  <c r="Y66" i="12"/>
  <c r="Y62" i="12"/>
  <c r="Y67" i="12"/>
  <c r="AA60" i="12"/>
  <c r="AA48" i="12"/>
  <c r="AA47" i="12"/>
  <c r="AG8" i="12"/>
  <c r="AG9" i="12" s="1"/>
  <c r="AE9" i="12"/>
  <c r="AC49" i="12" l="1"/>
  <c r="AE11" i="12"/>
  <c r="AE37" i="12" s="1"/>
  <c r="AE49" i="12" s="1"/>
  <c r="P205" i="4"/>
  <c r="BE20" i="4"/>
  <c r="AA62" i="12"/>
  <c r="AA67" i="12"/>
  <c r="AA66" i="12"/>
  <c r="AG5" i="12"/>
  <c r="AG11" i="12" s="1"/>
  <c r="AG37" i="12" s="1"/>
  <c r="Y70" i="12"/>
  <c r="Y72" i="12" s="1"/>
  <c r="AC47" i="12"/>
  <c r="AC48" i="12"/>
  <c r="AC60" i="12"/>
  <c r="AA70" i="12" l="1"/>
  <c r="AA72" i="12" s="1"/>
  <c r="AE45" i="12"/>
  <c r="AE48" i="12" s="1"/>
  <c r="AG49" i="12"/>
  <c r="AG45" i="12"/>
  <c r="AC62" i="12"/>
  <c r="AC66" i="12"/>
  <c r="AC67" i="12"/>
  <c r="AE47" i="12" l="1"/>
  <c r="AE60" i="12"/>
  <c r="AE66" i="12" s="1"/>
  <c r="AC70" i="12"/>
  <c r="AC72" i="12" s="1"/>
  <c r="AG48" i="12"/>
  <c r="AG60" i="12"/>
  <c r="AG47" i="12"/>
  <c r="AE62" i="12" l="1"/>
  <c r="AE67" i="12"/>
  <c r="AE70" i="12" s="1"/>
  <c r="AG67" i="12"/>
  <c r="AG62" i="12"/>
  <c r="AG66" i="12"/>
  <c r="AG70" i="12" l="1"/>
  <c r="AG72" i="12" s="1"/>
  <c r="AE7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367" authorId="0" shapeId="0" xr:uid="{00000000-0006-0000-0000-000001000000}">
      <text>
        <r>
          <rPr>
            <sz val="10"/>
            <color rgb="FF000000"/>
            <rFont val="Arial"/>
            <scheme val="minor"/>
          </rPr>
          <t xml:space="preserve">SooHoo, D: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Z205" authorId="0" shapeId="0" xr:uid="{00000000-0006-0000-0300-000005000000}">
      <text>
        <r>
          <rPr>
            <sz val="10"/>
            <color rgb="FF000000"/>
            <rFont val="Arial"/>
            <scheme val="minor"/>
          </rPr>
          <t>Please contact CTCAC staff if you need assistance in selecting the type of state credit.  For 2026, the 15% set-aside is available to rehabilitation projects only. State Farmworker Credit pursuant to 10310(b)(2)(D) does not include any portion of the $500M enhanced state credit.</t>
        </r>
      </text>
    </comment>
    <comment ref="AA344" authorId="0" shapeId="0" xr:uid="{00000000-0006-0000-0300-000001000000}">
      <text>
        <r>
          <rPr>
            <sz val="10"/>
            <color rgb="FF000000"/>
            <rFont val="Arial"/>
            <scheme val="minor"/>
          </rPr>
          <t>Experienced property management company requesting points must be listed here.</t>
        </r>
      </text>
    </comment>
    <comment ref="M559" authorId="0" shapeId="0" xr:uid="{00000000-0006-0000-0300-000006000000}">
      <text>
        <r>
          <rPr>
            <sz val="10"/>
            <color rgb="FF000000"/>
            <rFont val="Arial"/>
            <scheme val="minor"/>
          </rPr>
          <t>Separate taxable and tax-exempt bond amounts. This section is linked to the tie breaker. Multiple tranches of tax-exempt bonds may be separated. Ensure recycled bonds are marked as such.</t>
        </r>
      </text>
    </comment>
    <comment ref="J785" authorId="0" shapeId="0" xr:uid="{00000000-0006-0000-0300-000002000000}">
      <text>
        <r>
          <rPr>
            <sz val="10"/>
            <color rgb="FF000000"/>
            <rFont val="Arial"/>
            <scheme val="minor"/>
          </rPr>
          <t>Include prior approval of Executive Director in Tab 10 when selecting this option.</t>
        </r>
      </text>
    </comment>
    <comment ref="Z815" authorId="0" shapeId="0" xr:uid="{00000000-0006-0000-0300-000003000000}">
      <text>
        <r>
          <rPr>
            <sz val="10"/>
            <color rgb="FF000000"/>
            <rFont val="Arial"/>
            <scheme val="minor"/>
          </rPr>
          <t xml:space="preserve">Complete the Subsidy Contract Calculation tab, the annual rental subsidy overhang amount will automatically populate
</t>
        </r>
      </text>
    </comment>
    <comment ref="AA925" authorId="0" shapeId="0" xr:uid="{00000000-0006-0000-0300-000004000000}">
      <text>
        <r>
          <rPr>
            <sz val="10"/>
            <color rgb="FF000000"/>
            <rFont val="Arial"/>
            <scheme val="minor"/>
          </rPr>
          <t xml:space="preserve">Must match the sum of "Loan, Tax-Exempt" in Construction Financing table. This number should also match the PDF Joint Application submitted.
</t>
        </r>
      </text>
    </comment>
    <comment ref="R993" authorId="0" shapeId="0" xr:uid="{00000000-0006-0000-0300-000007000000}">
      <text>
        <r>
          <rPr>
            <sz val="10"/>
            <color rgb="FF000000"/>
            <rFont val="Arial"/>
            <scheme val="minor"/>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00000000-0006-0000-0400-000008000000}">
      <text>
        <r>
          <rPr>
            <sz val="10"/>
            <color rgb="FF000000"/>
            <rFont val="Arial"/>
            <scheme val="minor"/>
          </rPr>
          <t xml:space="preserve">Lower of appraised "as-is" value or purchase price
</t>
        </r>
      </text>
    </comment>
    <comment ref="B15" authorId="0" shapeId="0" xr:uid="{00000000-0006-0000-0400-000001000000}">
      <text>
        <r>
          <rPr>
            <sz val="10"/>
            <color rgb="FF000000"/>
            <rFont val="Arial"/>
            <scheme val="minor"/>
          </rPr>
          <t>If the purchase price exceeds appraised value, input the overage amount in this row, unless a waiver has been obtained pursuant to CTCAC regulations Section 10327(c)(6)</t>
        </r>
      </text>
    </comment>
    <comment ref="A74" authorId="0" shapeId="0" xr:uid="{00000000-0006-0000-0400-000003000000}">
      <text>
        <r>
          <rPr>
            <sz val="10"/>
            <color rgb="FF000000"/>
            <rFont val="Arial"/>
            <scheme val="minor"/>
          </rPr>
          <t>For projects subject to a CTCAC Capital Needs Covenant</t>
        </r>
      </text>
    </comment>
    <comment ref="A75" authorId="0" shapeId="0" xr:uid="{00000000-0006-0000-0400-000002000000}">
      <text>
        <r>
          <rPr>
            <sz val="10"/>
            <color rgb="FF000000"/>
            <rFont val="Arial"/>
            <scheme val="minor"/>
          </rPr>
          <t xml:space="preserve">Three months of operating expenses and debt service as shown in the 15 year pro forma.
</t>
        </r>
      </text>
    </comment>
    <comment ref="B101" authorId="0" shapeId="0" xr:uid="{00000000-0006-0000-0400-000007000000}">
      <text>
        <r>
          <rPr>
            <sz val="10"/>
            <color rgb="FF000000"/>
            <rFont val="Arial"/>
            <scheme val="minor"/>
          </rPr>
          <t xml:space="preserve">Any project fees paid as brokerage to a related party are part of developer fee.
</t>
        </r>
      </text>
    </comment>
    <comment ref="B102" authorId="0" shapeId="0" xr:uid="{00000000-0006-0000-0400-000005000000}">
      <text>
        <r>
          <rPr>
            <sz val="10"/>
            <color rgb="FF000000"/>
            <rFont val="Arial"/>
            <scheme val="minor"/>
          </rPr>
          <t xml:space="preserve">Any construction management oversight paid to developer or related party are part of developer fees.
</t>
        </r>
      </text>
    </comment>
    <comment ref="S104" authorId="0" shapeId="0" xr:uid="{00000000-0006-0000-0400-000004000000}">
      <text>
        <r>
          <rPr>
            <sz val="10"/>
            <color rgb="FF000000"/>
            <rFont val="Arial"/>
            <scheme val="minor"/>
          </rPr>
          <t>Cannot exceed 15% of cell S97 (for BIPOC project, max is 20%) or $1,000,000+5% of cell S97-$6,666,667. See CTCAC Reg. Section 10327(c)(2)(B) for deferral/equity contribution requirements.</t>
        </r>
      </text>
    </comment>
    <comment ref="T104" authorId="0" shapeId="0" xr:uid="{00000000-0006-0000-0400-000006000000}">
      <text>
        <r>
          <rPr>
            <sz val="10"/>
            <color rgb="FF000000"/>
            <rFont val="Arial"/>
            <scheme val="minor"/>
          </rPr>
          <t xml:space="preserve">Acquisition Credits cannot exceed 5% of cell T97 (or 15% if regulatory requirements are met). See 
CTCAC Reg. Section 10327(c)(2)(B) for deferral/ equity contribution requirements.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24" authorId="0" shapeId="0" xr:uid="{00000000-0006-0000-0700-000002000000}">
      <text>
        <r>
          <rPr>
            <sz val="10"/>
            <color rgb="FF000000"/>
            <rFont val="Arial"/>
            <scheme val="minor"/>
          </rPr>
          <t>The Total Requested Unadjusted Eligible Basis must not exceed the Total Adjusted Threshold Basis Limit.</t>
        </r>
      </text>
    </comment>
    <comment ref="T25" authorId="0" shapeId="0" xr:uid="{00000000-0006-0000-0700-000003000000}">
      <text>
        <r>
          <rPr>
            <sz val="10"/>
            <color rgb="FF000000"/>
            <rFont val="Arial"/>
            <scheme val="minor"/>
          </rPr>
          <t>130% adjustment only for sites located in a DDA/QCT.</t>
        </r>
      </text>
    </comment>
    <comment ref="Y25" authorId="0" shapeId="0" xr:uid="{00000000-0006-0000-0700-000001000000}">
      <text>
        <r>
          <rPr>
            <sz val="10"/>
            <color rgb="FF000000"/>
            <rFont val="Arial"/>
            <scheme val="minor"/>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177" authorId="0" shapeId="0" xr:uid="{00000000-0006-0000-0800-000002000000}">
      <text>
        <r>
          <rPr>
            <sz val="10"/>
            <color rgb="FF000000"/>
            <rFont val="Arial"/>
            <scheme val="minor"/>
          </rPr>
          <t>Enter in Development Team section of Application tab. If there are two property management companies, the one requesting points must be first.</t>
        </r>
      </text>
    </comment>
    <comment ref="AG305" authorId="0" shapeId="0" xr:uid="{00000000-0006-0000-0800-000001000000}">
      <text>
        <r>
          <rPr>
            <sz val="10"/>
            <color rgb="FF000000"/>
            <rFont val="Arial"/>
            <scheme val="minor"/>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0" shapeId="0" xr:uid="{00000000-0006-0000-0800-000003000000}">
      <text>
        <r>
          <rPr>
            <sz val="10"/>
            <color rgb="FF000000"/>
            <rFont val="Arial"/>
            <scheme val="minor"/>
          </rPr>
          <t xml:space="preserve">Do not select item (ii) unless the project is applying under the Rural set-aside.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I9" authorId="0" shapeId="0" xr:uid="{00000000-0006-0000-0900-000001000000}">
      <text>
        <r>
          <rPr>
            <sz val="10"/>
            <color rgb="FF000000"/>
            <rFont val="Arial"/>
            <scheme val="minor"/>
          </rPr>
          <t xml:space="preserve">Assumes the greater of: 
• 27.5% of the aggregated depreciable basis plus land basis or 
• the actual amount requested </t>
        </r>
      </text>
    </comment>
    <comment ref="I10" authorId="0" shapeId="0" xr:uid="{00000000-0006-0000-0900-000005000000}">
      <text>
        <r>
          <rPr>
            <sz val="10"/>
            <color rgb="FF000000"/>
            <rFont val="Arial"/>
            <scheme val="minor"/>
          </rPr>
          <t>Excludes state credits for Farmworker Housing</t>
        </r>
      </text>
    </comment>
    <comment ref="F22" authorId="0" shapeId="0" xr:uid="{00000000-0006-0000-0900-000002000000}">
      <text>
        <r>
          <rPr>
            <sz val="10"/>
            <color rgb="FF000000"/>
            <rFont val="Arial"/>
            <scheme val="minor"/>
          </rPr>
          <t>3-bedroom units beyond 30% of the total units shall be counted as 2-bedroom units.
4-bedroom units beyond 10% of the total units shall be counted as 2-bedroom units.</t>
        </r>
      </text>
    </comment>
    <comment ref="C87" authorId="0" shapeId="0" xr:uid="{00000000-0006-0000-0900-000004000000}">
      <text>
        <r>
          <rPr>
            <sz val="10"/>
            <color rgb="FF000000"/>
            <rFont val="Arial"/>
            <scheme val="minor"/>
          </rPr>
          <t>*as specified on the HCD Neighborhood Change Map</t>
        </r>
      </text>
    </comment>
    <comment ref="C140" authorId="0" shapeId="0" xr:uid="{00000000-0006-0000-0900-000003000000}">
      <text>
        <r>
          <rPr>
            <sz val="10"/>
            <color rgb="FF000000"/>
            <rFont val="Arial"/>
            <scheme val="minor"/>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C62" authorId="0" shapeId="0" xr:uid="{00000000-0006-0000-0B00-000002000000}">
      <text>
        <r>
          <rPr>
            <sz val="10"/>
            <color rgb="FF000000"/>
            <rFont val="Arial"/>
            <scheme val="minor"/>
          </rPr>
          <t>INSERT PERCENTAGE SHARE OF RESIDUAL RECEIPTS CASH FLOW</t>
        </r>
      </text>
    </comment>
    <comment ref="C65" authorId="0" shapeId="0" xr:uid="{00000000-0006-0000-0B00-000001000000}">
      <text>
        <r>
          <rPr>
            <sz val="10"/>
            <color rgb="FF000000"/>
            <rFont val="Arial"/>
            <scheme val="minor"/>
          </rPr>
          <t>INSERT PERCENTAGE SHARE OF RESIDUAL RECEIPTS CASH FLOW</t>
        </r>
      </text>
    </comment>
  </commentList>
</comments>
</file>

<file path=xl/sharedStrings.xml><?xml version="1.0" encoding="utf-8"?>
<sst xmlns="http://schemas.openxmlformats.org/spreadsheetml/2006/main" count="5282" uniqueCount="2824">
  <si>
    <t>NOT APPLICABLE TO JOINT APPLICATIONS WHEN THE ONLINE APPLICATION IS REQUIRED</t>
  </si>
  <si>
    <t xml:space="preserve">Attachments – Electronic Submission Guide </t>
  </si>
  <si>
    <t>I. INSTRUCTIONS - SECTION 1: INSTRUCTIONS</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</si>
  <si>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</si>
  <si>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</si>
  <si>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rPr>
        <sz val="10"/>
        <color theme="1"/>
        <rFont val="Arial"/>
      </rPr>
      <t xml:space="preserve">When compiling the flash drive, it is requested that applicants order folders according to the Application Checklist.  The Electronic Application MUST be an </t>
    </r>
    <r>
      <rPr>
        <u/>
        <sz val="10"/>
        <color theme="1"/>
        <rFont val="Arial"/>
      </rPr>
      <t>Excel file</t>
    </r>
    <r>
      <rPr>
        <sz val="10"/>
        <color theme="1"/>
        <rFont val="Arial"/>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color theme="1"/>
        <rFont val="Calibri"/>
      </rPr>
      <t xml:space="preserve"> </t>
    </r>
  </si>
  <si>
    <t>I</t>
  </si>
  <si>
    <t>Instructions</t>
  </si>
  <si>
    <t>Please do not create multiple "N/A" PDF sheets or folders within folders unnecessarily for non-applicable items.</t>
  </si>
  <si>
    <t xml:space="preserve"> </t>
  </si>
  <si>
    <t xml:space="preserve">Please refer to the following visual as a guide: </t>
  </si>
  <si>
    <t>2026 CDLAC-CTCAC JOINT APPLICATION CHECKLIST</t>
  </si>
  <si>
    <t>A</t>
  </si>
  <si>
    <t>Overview</t>
  </si>
  <si>
    <t>TAX-EXEMPT BOND FINANCED PROJECTS WITH LOW-INCOME HOUSING TAX CREDITS</t>
  </si>
  <si>
    <t>The Electronic California Tax Credit Allocation Committee (CTCAC) Application was designed to enhance consistency of information, increase efficiency in the application process, and reduce the amount of paperwork required for a CTCAC tax credit application.</t>
  </si>
  <si>
    <t>Please do not rely solely on this checklist when completing your application.  
Please verify that all requirements in the regulations have been met.</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</si>
  <si>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</si>
  <si>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</si>
  <si>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TAB 1 Site Control and Land Cost</t>
  </si>
  <si>
    <t>or paid online at:</t>
  </si>
  <si>
    <t>https://www.treasurer.ca.gov/ctcac/payment.asp</t>
  </si>
  <si>
    <t>Demonstrate Site Control (Part II - Application - Section 5 - C) and 
Land Cost (Sources and Uses Budget)</t>
  </si>
  <si>
    <t>Reg. §§ 10325(f)(2), 10322(h)(9), 10327(c)(6)</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</si>
  <si>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</si>
  <si>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</si>
  <si>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</si>
  <si>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t>(select one)</t>
  </si>
  <si>
    <t>Include a summary explanation of the site control and value(s); especially for applications with multiple or non-contiguous parcels, scattered sites, lot line adjustments, phased projects, or other complex land transactions. Provide:</t>
  </si>
  <si>
    <r>
      <rPr>
        <b/>
        <sz val="10"/>
        <color rgb="FFFF0000"/>
        <rFont val="Arial"/>
      </rPr>
      <t xml:space="preserve">Please contact Sarah.Gullikson@treasurer.ca.gov if you find any errors in the electronic application. </t>
    </r>
    <r>
      <rPr>
        <b/>
        <sz val="10"/>
        <color rgb="FFFF0000"/>
        <rFont val="Arial"/>
      </rPr>
      <t>For general application questions, please contact the regional analyst.</t>
    </r>
  </si>
  <si>
    <t>Attachments - Exhibit A: Site Control tabs</t>
  </si>
  <si>
    <t>A current title report (within 90 days of application) including a legal description. Include reports for all parcels listed on:</t>
  </si>
  <si>
    <t>http://www.treasurer.ca.gov/ctcac/assignments.asp</t>
  </si>
  <si>
    <t>Attachments - Exhibit A: Parcels tab</t>
  </si>
  <si>
    <t>For tribal trust land, a title status report (TSR) or an attorney's opinion regarding chain of title and current title status.</t>
  </si>
  <si>
    <t>http://www.treasurer.ca.gov/ctcac/contacts.asp</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</si>
  <si>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</si>
  <si>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B</t>
  </si>
  <si>
    <t>Application General Information</t>
  </si>
  <si>
    <t>1)</t>
  </si>
  <si>
    <t>Instructions for preparing the electronic version</t>
  </si>
  <si>
    <t>a)</t>
  </si>
  <si>
    <t xml:space="preserve">Many of the required calculations in the application are automatically performed by the spreadsheet program.  </t>
  </si>
  <si>
    <t>If the site or improvement acquisition involves a related party, the applicant shall disclose the relationship in the CTCAC application.</t>
  </si>
  <si>
    <t>(i)</t>
  </si>
  <si>
    <t>Use this spreadsheet with Microsoft Excel 97 or above.</t>
  </si>
  <si>
    <t>b)</t>
  </si>
  <si>
    <r>
      <rPr>
        <u/>
        <sz val="10"/>
        <color theme="1"/>
        <rFont val="Arial"/>
      </rPr>
      <t>Joint Applications:</t>
    </r>
    <r>
      <rPr>
        <sz val="10"/>
        <color theme="1"/>
        <rFont val="Arial"/>
      </rPr>
      <t xml:space="preserve"> Applicants must submit the joint application including this Excel file using the CDLAC online application portal. </t>
    </r>
    <r>
      <rPr>
        <u/>
        <sz val="10"/>
        <color theme="1"/>
        <rFont val="Arial"/>
      </rPr>
      <t>Non-Joint Applications</t>
    </r>
    <r>
      <rPr>
        <sz val="10"/>
        <color theme="1"/>
        <rFont val="Arial"/>
      </rPr>
      <t>: Applicants must submit the application on a flash drive.</t>
    </r>
  </si>
  <si>
    <t>Appraisals are required for: 
● all rehabilitation applications except as noted in Regulation § 10322(h)(9)(A), and 
● all new construction applications involving a land sale from a related party.
Note: Appraisals shall not include the value of favorable financing.</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</si>
  <si>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</si>
  <si>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</si>
  <si>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</si>
  <si>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</si>
  <si>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</si>
  <si>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</si>
  <si>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</si>
  <si>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2)</t>
  </si>
  <si>
    <t>Submission Requirements</t>
  </si>
  <si>
    <r>
      <rPr>
        <sz val="10"/>
        <color theme="1"/>
        <rFont val="Arial"/>
      </rPr>
      <t xml:space="preserve">Applicants </t>
    </r>
    <r>
      <rPr>
        <b/>
        <u/>
        <sz val="10"/>
        <color rgb="FFFF0000"/>
        <rFont val="Arial"/>
      </rPr>
      <t>must</t>
    </r>
    <r>
      <rPr>
        <sz val="10"/>
        <color theme="1"/>
        <rFont val="Arial"/>
      </rPr>
      <t xml:space="preserve"> submit:</t>
    </r>
  </si>
  <si>
    <t>ONE COMPLETE APPLICATION, SUBMITTED ONLINE THROUGH THE CDLAC WEBSITE</t>
  </si>
  <si>
    <t>FOR JOINT APPLICATIONS</t>
  </si>
  <si>
    <t>or</t>
  </si>
  <si>
    <t>If you have questions, please contact your regional analyst via email:</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</si>
  <si>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</si>
  <si>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http://www.treasurer.ca.gov/CTCAC/assignments.asp</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</si>
  <si>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</si>
  <si>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</si>
  <si>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</si>
  <si>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</si>
  <si>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</si>
  <si>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Rehabilitation appraisals. Except as noted in Reg. § 10322(h)(9)(A), an “as-is” appraisal prepared within 120 days before or after the execution of a purchase contract or the transfer of ownership by all the parties, by an independent third party appraiser.</t>
  </si>
  <si>
    <t>http://www.treasurer.ca.gov/CTCAC/contacts.asp</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</si>
  <si>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</si>
  <si>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</si>
  <si>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</si>
  <si>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http://www.treasurer.ca.gov/cdlac/contacts.asp</t>
  </si>
  <si>
    <t>Applicants must provide evidence that the property is within control of the application.
May be evidenced by one of the options listed in Reg. § 10325(f)(2).</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</si>
  <si>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</si>
  <si>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</si>
  <si>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</si>
  <si>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Provide details on:</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</si>
  <si>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</si>
  <si>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</si>
  <si>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</si>
  <si>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</si>
  <si>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</si>
  <si>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</si>
  <si>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</si>
  <si>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</si>
  <si>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</si>
  <si>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</si>
  <si>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</si>
  <si>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</si>
  <si>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Projects with a lease. Provide an executed lease agreement or lease option for the length of time the project will be regulated under this program connecting the applicant and the owner of the subject property.</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</si>
  <si>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</si>
  <si>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</si>
  <si>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</si>
  <si>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</si>
  <si>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</si>
  <si>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</si>
  <si>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</si>
  <si>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</si>
  <si>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</si>
  <si>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Projects with a disposition and development agreement (DDA).
Provide an executed DDA connecting the applicant and the public agency.</t>
  </si>
  <si>
    <t>The remaining instructions pertain to each particular section of the application. Although many of the items may appear obvious, follow instructions provided in this section.</t>
  </si>
  <si>
    <t>II</t>
  </si>
  <si>
    <t>Projects with a purchase agreement or option.
Provide a valid, current, enforceable contingent purchase and sale agreement or option agreement connecting the applicant and the owner of the subject property.</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</si>
  <si>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</si>
  <si>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</si>
  <si>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</si>
  <si>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</si>
  <si>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</si>
  <si>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</si>
  <si>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</si>
  <si>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</si>
  <si>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Evidence that all extensions and other conditions necessary to keep the agreement current through the application filing deadline have been executed</t>
  </si>
  <si>
    <t>Federal Credit Amount requested</t>
  </si>
  <si>
    <r>
      <rPr>
        <sz val="10"/>
        <color theme="1"/>
        <rFont val="Arial"/>
      </rPr>
      <t xml:space="preserve">The </t>
    </r>
    <r>
      <rPr>
        <sz val="10"/>
        <color theme="1"/>
        <rFont val="Arial"/>
      </rPr>
      <t>annual</t>
    </r>
    <r>
      <rPr>
        <sz val="10"/>
        <color theme="1"/>
        <rFont val="Arial"/>
      </rPr>
      <t xml:space="preserve"> federal credit amount will auto-populate after credits have been calculated in</t>
    </r>
  </si>
  <si>
    <t>the Basis and Credits sheet.</t>
  </si>
  <si>
    <t>4)</t>
  </si>
  <si>
    <t>Applicant Statement</t>
  </si>
  <si>
    <r>
      <rPr>
        <sz val="10"/>
        <color theme="1"/>
        <rFont val="Arial"/>
      </rPr>
      <t>After carefully reading the</t>
    </r>
    <r>
      <rPr>
        <b/>
        <sz val="10"/>
        <color theme="1"/>
        <rFont val="Arial"/>
      </rPr>
      <t xml:space="preserve"> </t>
    </r>
    <r>
      <rPr>
        <u/>
        <sz val="10"/>
        <color theme="1"/>
        <rFont val="Arial"/>
      </rPr>
      <t>applicant statement and certification,</t>
    </r>
    <r>
      <rPr>
        <sz val="10"/>
        <color theme="1"/>
        <rFont val="Arial"/>
      </rPr>
      <t xml:space="preserve"> the applicant must provide </t>
    </r>
  </si>
  <si>
    <t>TAB 2 Financial Feasibility</t>
  </si>
  <si>
    <t>a signed applicant certification.</t>
  </si>
  <si>
    <t>5)</t>
  </si>
  <si>
    <t>Local Jurisdiction</t>
  </si>
  <si>
    <r>
      <rPr>
        <sz val="10"/>
        <color theme="1"/>
        <rFont val="Arial"/>
      </rPr>
      <t>Provide the name and contact information of the local jurisdiction's City Manager or equivalent</t>
    </r>
    <r>
      <rPr>
        <sz val="10"/>
        <color theme="1"/>
        <rFont val="Arial"/>
      </rPr>
      <t>.</t>
    </r>
  </si>
  <si>
    <t>Section 2</t>
  </si>
  <si>
    <t>General and Summary Information</t>
  </si>
  <si>
    <t>Application Type</t>
  </si>
  <si>
    <t>Provide the requested information.</t>
  </si>
  <si>
    <t>Financial Feasibility (Part III - Application - Sections 1-4; Part IV)</t>
  </si>
  <si>
    <t>Project Information</t>
  </si>
  <si>
    <t>C</t>
  </si>
  <si>
    <t>Credit Amounts Requested</t>
  </si>
  <si>
    <t>Reg. §§ 10325(f)(5), 10326(g)(4), 10327(c), and 10322(h)(16)</t>
  </si>
  <si>
    <r>
      <rPr>
        <sz val="10"/>
        <color theme="1"/>
        <rFont val="Arial"/>
      </rPr>
      <t xml:space="preserve">Select "Yes" or "No" to indicate whether requesting State </t>
    </r>
    <r>
      <rPr>
        <u/>
        <sz val="10"/>
        <color theme="1"/>
        <rFont val="Arial"/>
      </rPr>
      <t>Farmworker</t>
    </r>
    <r>
      <rPr>
        <sz val="10"/>
        <color theme="1"/>
        <rFont val="Arial"/>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</si>
  <si>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</si>
  <si>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</si>
  <si>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</si>
  <si>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</si>
  <si>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r>
      <rPr>
        <u/>
        <sz val="10"/>
        <color theme="1"/>
        <rFont val="Arial"/>
      </rPr>
      <t xml:space="preserve">Financing plan </t>
    </r>
    <r>
      <rPr>
        <sz val="10"/>
        <color theme="1"/>
        <rFont val="Arial"/>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</si>
  <si>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</si>
  <si>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</si>
  <si>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</si>
  <si>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</si>
  <si>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</si>
  <si>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</si>
  <si>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</si>
  <si>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</si>
  <si>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</si>
  <si>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</si>
  <si>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</si>
  <si>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</si>
  <si>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</si>
  <si>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</si>
  <si>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</si>
  <si>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</si>
  <si>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</si>
  <si>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</si>
  <si>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</si>
  <si>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</si>
  <si>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</si>
  <si>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</si>
  <si>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</si>
  <si>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</si>
  <si>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</si>
  <si>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</si>
  <si>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</si>
  <si>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</si>
  <si>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</si>
  <si>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</si>
  <si>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</si>
  <si>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</si>
  <si>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</si>
  <si>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 xml:space="preserve">Provide a brief description of the bond sale structure, followed by commitment(s) on letterhead for credit enhancement or private placement bond purchase.   </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</si>
  <si>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</si>
  <si>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</si>
  <si>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</si>
  <si>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</si>
  <si>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</si>
  <si>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</si>
  <si>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Submit proof of all firm commitment(s) from credit enhancement provider(s) and private placement bond purchaser(s).  For FHA financed projects not seeking a CDLAC Forward Commitment, a HUD Acknowledgement Letter must be included.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</si>
  <si>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</si>
  <si>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</si>
  <si>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</si>
  <si>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</si>
  <si>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</si>
  <si>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</si>
  <si>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</si>
  <si>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</si>
  <si>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</si>
  <si>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</si>
  <si>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 xml:space="preserve">Provide information on the disposition of current outstanding liens:  lender/loan, amount, disposition, corresponding exception number from title.  </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</si>
  <si>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</si>
  <si>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</si>
  <si>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</si>
  <si>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</si>
  <si>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</si>
  <si>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Attachments - Exhibit A: Site Control tabs, Current Outstanding Liens section</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</si>
  <si>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</si>
  <si>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</si>
  <si>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</si>
  <si>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</si>
  <si>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 xml:space="preserve">A waiver request of the Bond Sale Structure restrictions associated with a prior Bond Default or bankruptcy.  </t>
  </si>
  <si>
    <t>Project Unit Number and Square Footage</t>
  </si>
  <si>
    <t>Fill in all highlighted lines.  Totals will be auto-populated as the highlighted items are entered.</t>
  </si>
  <si>
    <t>H</t>
  </si>
  <si>
    <t>Tenant Population Data</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</si>
  <si>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</si>
  <si>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</si>
  <si>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</si>
  <si>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</si>
  <si>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</si>
  <si>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</si>
  <si>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</si>
  <si>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</si>
  <si>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</si>
  <si>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</si>
  <si>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</si>
  <si>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</si>
  <si>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</si>
  <si>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</si>
  <si>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</si>
  <si>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</si>
  <si>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</si>
  <si>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</si>
  <si>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</si>
  <si>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</si>
  <si>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</si>
  <si>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</si>
  <si>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</si>
  <si>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</si>
  <si>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</si>
  <si>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</si>
  <si>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</si>
  <si>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</si>
  <si>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</si>
  <si>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</si>
  <si>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</si>
  <si>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</si>
  <si>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Income Information</t>
  </si>
  <si>
    <t>Income categories should begin with the placed-in-service date and year.</t>
  </si>
  <si>
    <r>
      <rPr>
        <b/>
        <sz val="10"/>
        <color rgb="FFFF0000"/>
        <rFont val="Arial"/>
      </rPr>
      <t xml:space="preserve">List </t>
    </r>
    <r>
      <rPr>
        <b/>
        <u/>
        <sz val="10"/>
        <color rgb="FFFF0000"/>
        <rFont val="Arial"/>
      </rPr>
      <t>annual</t>
    </r>
    <r>
      <rPr>
        <b/>
        <sz val="10"/>
        <color rgb="FFFF0000"/>
        <rFont val="Arial"/>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</si>
  <si>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</si>
  <si>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</si>
  <si>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</si>
  <si>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</si>
  <si>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</si>
  <si>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</si>
  <si>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</si>
  <si>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</si>
  <si>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</si>
  <si>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</si>
  <si>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</si>
  <si>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CTCAC developer fee limitations and deferral / equity contribution requirements: 
confirm project complies with the CTCAC limits per Reg. Section 10327(c)(2)(B).</t>
  </si>
  <si>
    <t>Manager Unit(s)</t>
  </si>
  <si>
    <t>Fill in the appropriate information by unit type in ascending order similar to the low-income units.</t>
  </si>
  <si>
    <t>Market Rate Units</t>
  </si>
  <si>
    <t>CDLAC_Data</t>
  </si>
  <si>
    <t>Fill in the appropriate information by unit type in ascending order similar to the low-income units</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</si>
  <si>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</si>
  <si>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if applicable.</t>
  </si>
  <si>
    <t>Rental Subsidy Income/Operating Subsidy</t>
  </si>
  <si>
    <t>Complete as appropriate.  Amounts should be consistent and verifiable with information in the application</t>
  </si>
  <si>
    <t>and Checklist attachments.</t>
  </si>
  <si>
    <t>Key</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</si>
  <si>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</si>
  <si>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Miscellaneous Income</t>
  </si>
  <si>
    <t>Complete as appropriate.  Amounts should be verifiable from information in the application and/or</t>
  </si>
  <si>
    <t>Checklist attachments.</t>
  </si>
  <si>
    <t>Value</t>
  </si>
  <si>
    <t xml:space="preserve">Monthly Resident Utility Allowance by Unit Size </t>
  </si>
  <si>
    <t>Notes</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</si>
  <si>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</si>
  <si>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</si>
  <si>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</si>
  <si>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</si>
  <si>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</si>
  <si>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</si>
  <si>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rPr>
        <b/>
        <sz val="10"/>
        <color rgb="FFFF0000"/>
        <rFont val="Arial"/>
      </rPr>
      <t xml:space="preserve">List </t>
    </r>
    <r>
      <rPr>
        <b/>
        <u/>
        <sz val="10"/>
        <color rgb="FFFF0000"/>
        <rFont val="Arial"/>
      </rPr>
      <t>annual</t>
    </r>
    <r>
      <rPr>
        <b/>
        <sz val="10"/>
        <color rgb="FFFF0000"/>
        <rFont val="Arial"/>
      </rPr>
      <t xml:space="preserve"> expenses </t>
    </r>
  </si>
  <si>
    <t>CDLAC Region</t>
  </si>
  <si>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</si>
  <si>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</si>
  <si>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</si>
  <si>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</si>
  <si>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</si>
  <si>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</si>
  <si>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</si>
  <si>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</si>
  <si>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</si>
  <si>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Pool</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</si>
  <si>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</si>
  <si>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</si>
  <si>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</si>
  <si>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</si>
  <si>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</si>
  <si>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</si>
  <si>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20% AMI Units</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</si>
  <si>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</si>
  <si>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</si>
  <si>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</si>
  <si>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</si>
  <si>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</si>
  <si>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</si>
  <si>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includes all units below 20% AMI, if any</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</si>
  <si>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</si>
  <si>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</si>
  <si>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</si>
  <si>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</si>
  <si>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25% AMI Units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</si>
  <si>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</si>
  <si>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</si>
  <si>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</si>
  <si>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</si>
  <si>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</si>
  <si>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</si>
  <si>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</si>
  <si>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</si>
  <si>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</si>
  <si>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30% AMI Units</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</si>
  <si>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</si>
  <si>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</si>
  <si>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</si>
  <si>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</si>
  <si>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CALIFORNIA TAX CREDIT ALLOCATION COMMITTEE</t>
  </si>
  <si>
    <t>https://www.treasurer.ca.gov/CTCAC/cuac/index.asp</t>
  </si>
  <si>
    <t xml:space="preserve">Sources and Basis Breakdown by DDA/QCT and non-DDA/non-QCT </t>
  </si>
  <si>
    <r>
      <rPr>
        <b/>
        <u/>
        <sz val="10"/>
        <color rgb="FFFF0000"/>
        <rFont val="Arial"/>
      </rPr>
      <t>Use ONLY IF</t>
    </r>
    <r>
      <rPr>
        <b/>
        <sz val="10"/>
        <color rgb="FFFF0000"/>
        <rFont val="Arial"/>
      </rPr>
      <t xml:space="preserve">: Project consists of </t>
    </r>
    <r>
      <rPr>
        <b/>
        <u/>
        <sz val="10"/>
        <color rgb="FFFF0000"/>
        <rFont val="Arial"/>
      </rPr>
      <t>both:</t>
    </r>
    <r>
      <rPr>
        <b/>
        <sz val="10"/>
        <color rgb="FFFF0000"/>
        <rFont val="Arial"/>
      </rPr>
      <t xml:space="preserve"> 
1) Building(s) located in a DDA/QCT area; AND
2) Building(s) located in a non-DDA/non-QCT area. 
If not applicable, skip this section and go to V. Basis and Credits.</t>
    </r>
  </si>
  <si>
    <t>35% AMI Units</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</si>
  <si>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</si>
  <si>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</si>
  <si>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ATTACHMENT 40 FOR CDLAC-CTCAC JOINT APPLICATION</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</si>
  <si>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</si>
  <si>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V</t>
  </si>
  <si>
    <t>40% AMI Units</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</si>
  <si>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</si>
  <si>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</si>
  <si>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</si>
  <si>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</si>
  <si>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</si>
  <si>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</si>
  <si>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</si>
  <si>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15 Year Pro Forma
For projects with private conventional lender and equity partners using 2% gross income and 3% operating expense underwriting assumptions, provide evidence of the assumptions, if applicable. Reg. § 10327(g)(1)</t>
  </si>
  <si>
    <t>in this section and previous sections.</t>
  </si>
  <si>
    <t>2026 4% FEDERAL LOW-INCOME HOUSING TAX CREDITS WITH TAX-EXEMPT BONDS</t>
  </si>
  <si>
    <t>Projects w/ building(s) located in both DDA/QCT &amp; Non-DDA/Non-QCT areas must bifurcate by DDA/QCT and non-DDA/non-QCT.</t>
  </si>
  <si>
    <t>45% AMI Unis</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</si>
  <si>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</si>
  <si>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</si>
  <si>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</si>
  <si>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</si>
  <si>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INCLUDING STATE CREDITS</t>
  </si>
  <si>
    <t>Determination of Minimum Federal Credit Necessary For Feasibility</t>
  </si>
  <si>
    <t>For projects with commercial income
Include a 15 year pro forma of all commercial revenue and expense projections using CTCAC underwriting standards in Reg. §§ 10322(h)(23), 10325(f)(5), and 10327(g)(7).</t>
  </si>
  <si>
    <t>50% AMI Units</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</si>
  <si>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</si>
  <si>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</si>
  <si>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</si>
  <si>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TAB 3 CTCAC Set-Aside Designation</t>
  </si>
  <si>
    <t>June 19, 2026 Version</t>
  </si>
  <si>
    <t>Determination of State Credits</t>
  </si>
  <si>
    <t>55% AMI Units</t>
  </si>
  <si>
    <t>previous sections (if applicable).</t>
  </si>
  <si>
    <t>LEAVE BLANK / NOT APPLICABLE</t>
  </si>
  <si>
    <t>Determination of Minimum State Credit Necessary for Feasibility</t>
  </si>
  <si>
    <t>Complete the highlighted cell for the state tax credit factor.</t>
  </si>
  <si>
    <t>SEE TAB 36 FOR CDLAC POOLS AND SET-ASIDES</t>
  </si>
  <si>
    <t>II. APPLICATION - SECTION 1: CTCAC APPLICANT STATEMENT AND CERTIFICATION</t>
  </si>
  <si>
    <t>The tax credit factor must match the required syndication letter or tax credit factor certification. ATTACHMENT 16: Terms of Syndication Agreement must include a separate tax credit factor for state tax credit if requested.</t>
  </si>
  <si>
    <t>TAB 4 Housing Type</t>
  </si>
  <si>
    <t>Ranking System for $500M State Credit Applications</t>
  </si>
  <si>
    <t xml:space="preserve">All cells will be auto-populated after highlighted cells have been completed in this section and </t>
  </si>
  <si>
    <t>Housing Type -Additional Threshold Requirements
(Part II - Application - Section 2 - E)</t>
  </si>
  <si>
    <t>60% AMI Units</t>
  </si>
  <si>
    <t>Reg. § 10322(h).and 10325(g)</t>
  </si>
  <si>
    <r>
      <rPr>
        <sz val="10"/>
        <color theme="1"/>
        <rFont val="Arial"/>
      </rPr>
      <t xml:space="preserve">NOTES: </t>
    </r>
    <r>
      <rPr>
        <b/>
        <sz val="10"/>
        <color theme="1"/>
        <rFont val="Arial"/>
      </rPr>
      <t xml:space="preserve">
</t>
    </r>
    <r>
      <rPr>
        <sz val="10"/>
        <color theme="1"/>
        <rFont val="Arial"/>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</si>
  <si>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70% AMI Units</t>
  </si>
  <si>
    <t xml:space="preserve">Large Family Projects </t>
  </si>
  <si>
    <t xml:space="preserve">Provide evidence of eligibility and complete: </t>
  </si>
  <si>
    <t xml:space="preserve">     </t>
  </si>
  <si>
    <t>Attachments - Exhibit A: Housing Type tab, Large Family section</t>
  </si>
  <si>
    <t>80% AMI Units</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</si>
  <si>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</si>
  <si>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CTCAC APPLICANT:</t>
  </si>
  <si>
    <t xml:space="preserve">Senior Projects </t>
  </si>
  <si>
    <t xml:space="preserve">427 SD Housing, LP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</si>
  <si>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</si>
  <si>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</si>
  <si>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</si>
  <si>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</si>
  <si>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</si>
  <si>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MIP Amount</t>
  </si>
  <si>
    <t>PROJECT NAME:</t>
  </si>
  <si>
    <t xml:space="preserve">At-Risk Projects 
</t>
  </si>
  <si>
    <t>CalHFA MIP Loan</t>
  </si>
  <si>
    <t>Attachments - Exhibit A: Housing Type tab, At-Risk section</t>
  </si>
  <si>
    <t xml:space="preserve">SRO Projects </t>
  </si>
  <si>
    <t>Annual Federal Request</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</si>
  <si>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</si>
  <si>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</si>
  <si>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PLEASE INCLUDE APPLICATION FEE WITH APPLICATION SUBMISSION</t>
  </si>
  <si>
    <t>State Credit Request</t>
  </si>
  <si>
    <t xml:space="preserve">Check Only </t>
  </si>
  <si>
    <t>Copy of approval letter from Executive Director granting any waivers or exemptions</t>
  </si>
  <si>
    <t xml:space="preserve">TAB 5 Applicant / Development Team </t>
  </si>
  <si>
    <t>Construction Bond Tax-Exempt</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</si>
  <si>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</si>
  <si>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</si>
  <si>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</si>
  <si>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</si>
  <si>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Total Project Cost</t>
  </si>
  <si>
    <t>Residential &amp; Commercial</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</si>
  <si>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</si>
  <si>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The undersigned CTCAC Applicant hereby makes application to the California Tax Credit Allocation Committee (“CTCAC”) for a reservation of Federal and State Low-Income Housing Tax Credits (“Credits”) in the amount(s) of:</t>
  </si>
  <si>
    <t>Total Land Cost</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</si>
  <si>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</si>
  <si>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Square Footage Of Structures</t>
  </si>
  <si>
    <t xml:space="preserve">For CTCAC, if not receiving CDLAC points for experience, provide evidence that a general partner meets the minimum scoring standards of Section 10325(c)(1)(A) and include a signed: </t>
  </si>
  <si>
    <t>IV. SOURCES AND USES BUDGET - SECTION 1: SOURCES AND USES BUDGET</t>
  </si>
  <si>
    <t>Attachments - Exhibit B: GP Exp tab</t>
  </si>
  <si>
    <t>Federal Set Aside</t>
  </si>
  <si>
    <t>Permanent Sources</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</si>
  <si>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</si>
  <si>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annual Federal Credits</t>
  </si>
  <si>
    <t>Legal Status of CTCAC Applicant</t>
  </si>
  <si>
    <t>Adaptive Reuse</t>
  </si>
  <si>
    <t>Attachments - Exhibit B: LSQ tab</t>
  </si>
  <si>
    <t>TOTAL PROJECT
COST</t>
  </si>
  <si>
    <t>Identities of Interest/Related Parties Disclosure for applicant entity and all general partners. Reg. § 10322(h)(6)</t>
  </si>
  <si>
    <t>RES. COST</t>
  </si>
  <si>
    <t>COM'L. COST</t>
  </si>
  <si>
    <t>TAX CREDIT EQUITY</t>
  </si>
  <si>
    <t>total State Credits</t>
  </si>
  <si>
    <t xml:space="preserve">TAB 6 Development Team Information </t>
  </si>
  <si>
    <t>New Construction</t>
  </si>
  <si>
    <t>Development Team Information (Part II - Application - Section 4 - A)</t>
  </si>
  <si>
    <t>Project Participants</t>
  </si>
  <si>
    <t xml:space="preserve">Provide evidence that the property management company meets the minimum scoring standards of Section 10325(c)(1)(B) and include a signed: </t>
  </si>
  <si>
    <t>Rehabilitation</t>
  </si>
  <si>
    <t>Attachments - Exhibit B: MC Exp tab</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</si>
  <si>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</si>
  <si>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</si>
  <si>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Acq and Rehabilitation</t>
  </si>
  <si>
    <t>Demolition</t>
  </si>
  <si>
    <t>If additional contact information for project participants not identified in "Part II - Application - Section 4 - A" of this application is available, please provide here. 
Reg. § 10322(h)(5)</t>
  </si>
  <si>
    <t>SUBTOTAL</t>
  </si>
  <si>
    <t>30% PVC for New Const/Rehab</t>
  </si>
  <si>
    <t>30% PVC for Acquisition</t>
  </si>
  <si>
    <t>Housing Type</t>
  </si>
  <si>
    <t>TAB 7 Acquisition and Rehabilitation Credit Applicants</t>
  </si>
  <si>
    <t>LAND COST/ACQUISITION</t>
  </si>
  <si>
    <t>Acquisition and Rehabilitation Credit Applicants
(Including Rehabilitation-Only Applicants)</t>
  </si>
  <si>
    <t>Acquisition (Part II - Application - Section 5 - B)</t>
  </si>
  <si>
    <t>Acquisition Credit Application. Reg. § 10322(h)(25)</t>
  </si>
  <si>
    <t>Units For Homeless Individuals</t>
  </si>
  <si>
    <t>Chain of title report (for tribal trust land, an attorney's opinion regarding chain of title can be substituted). Reg. § 10322(h)(25)(A)</t>
  </si>
  <si>
    <t>Land Cost or Value</t>
  </si>
  <si>
    <t xml:space="preserve">Election to sell ("certificate') state credits: </t>
  </si>
  <si>
    <t>An applicant statement that the acquisition is exempt from, or a third party tax attorney's opinion stating that the acquisition meets the requirements of IRC § 42(d)(2)(B)(ii) as to the 10-year placed-in-service rule. Reg. § 10322(h)(25)(B)</t>
  </si>
  <si>
    <t>No</t>
  </si>
  <si>
    <t>By selecting "Yes" or "No" in the box immediately before, I hereby make an election to</t>
  </si>
  <si>
    <t>CTCAC Region</t>
  </si>
  <si>
    <t xml:space="preserve">If 10-year rule waiver is necessary, letter from federal official stating that project qualifies under IRC § 42(d)(6). Reg. § 10322(h)(25)(C) </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</si>
  <si>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</si>
  <si>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TAB 8 Rehabilitation </t>
  </si>
  <si>
    <t>Project Address</t>
  </si>
  <si>
    <t>Rehabilitation (Part II - Application - Section 5 - B)</t>
  </si>
  <si>
    <t>Reg. § 10322(h)(26)</t>
  </si>
  <si>
    <t>Legal</t>
  </si>
  <si>
    <t>Project Address Description</t>
  </si>
  <si>
    <t xml:space="preserve">Appraisal. Reg. §§ 10322(h)(9) and (26)(A)  </t>
  </si>
  <si>
    <t>Land Lease Rent Prepayment</t>
  </si>
  <si>
    <t>Project City</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</si>
  <si>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</si>
  <si>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Total Land Cost or Value</t>
  </si>
  <si>
    <t>Project County</t>
  </si>
  <si>
    <t>Project Zip</t>
  </si>
  <si>
    <t>Evidence from the applicable third party(ies) of the total outstanding principal balances for the assumed debt. Reg. § 10322(h)(9)</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</si>
  <si>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</si>
  <si>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Purchase contract (if not included in Tab 1). Reg. § 10322(h)(9)(A)(vi).</t>
  </si>
  <si>
    <t>Total Units</t>
  </si>
  <si>
    <t>Existing Improvements Value</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</si>
  <si>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</si>
  <si>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Off-Site Improvements</t>
  </si>
  <si>
    <t>Average Target Affordability</t>
  </si>
  <si>
    <t>Total Acquisition Cost</t>
  </si>
  <si>
    <t>Average Actual Affordability</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</si>
  <si>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</si>
  <si>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Cost Per Unit</t>
  </si>
  <si>
    <t>Total Land Cost / Acquisition Cost</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</si>
  <si>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</si>
  <si>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Predevelopment Interest/Holding Cost</t>
  </si>
  <si>
    <t>Residential Buildings</t>
  </si>
  <si>
    <t>Assumed, Accrued Interest on Existing Debt (Rehabilitation/Acquisition)</t>
  </si>
  <si>
    <t>Attachments - Exhibit A: Rehab tab</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</si>
  <si>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</si>
  <si>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</si>
  <si>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Excess Purchase Price Over Appraisal</t>
  </si>
  <si>
    <t>RESYNDICATION PROJECTS</t>
  </si>
  <si>
    <t>Reg. 10326(g)(8), 10327(g)(8), 10320(b), 10302(fff), 10322(k)</t>
  </si>
  <si>
    <t>QCT</t>
  </si>
  <si>
    <t>REHABILITATION</t>
  </si>
  <si>
    <t>Site Work</t>
  </si>
  <si>
    <t>All resyndication projects must complete the ownership transfer questionnaire on</t>
  </si>
  <si>
    <t>GP 1 Company Name</t>
  </si>
  <si>
    <t>Attachments - Exhibit A: Resyndication tab</t>
  </si>
  <si>
    <t xml:space="preserve">Include the questionnaire and any documents required within the questions in Tab 8.
Include documentation associated with the any exemption or waiver.  </t>
  </si>
  <si>
    <t>Structures</t>
  </si>
  <si>
    <t>GP 1 Contact Name</t>
  </si>
  <si>
    <t>A copy of the recorded CTCAC regulatory agreement.</t>
  </si>
  <si>
    <t>General Requirements</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</si>
  <si>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</si>
  <si>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Contractor Overhead</t>
  </si>
  <si>
    <t>GP 1 Parent Company</t>
  </si>
  <si>
    <t>Contractor Profit</t>
  </si>
  <si>
    <t>I acknowledge that if I receive a reservation of Tax Credits, I will be required to submit requisite documentation at the following stages: updated development timetable under regulation section 10326(j)(4), and the time the project is placed-in-service.</t>
  </si>
  <si>
    <t>Prevailing Wages</t>
  </si>
  <si>
    <t>GP 2 Company Name</t>
  </si>
  <si>
    <t>General Liability Insurance</t>
  </si>
  <si>
    <t>GP 2 Contact Name</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</si>
  <si>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</si>
  <si>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Third-party Construction Management</t>
  </si>
  <si>
    <t>Other: Payment and Performance Bond</t>
  </si>
  <si>
    <t xml:space="preserve">Except for resyndication applications without a distribution of Net Project Equity, </t>
  </si>
  <si>
    <t>Total Rehabilitation Costs</t>
  </si>
  <si>
    <t>GP 2 Parent Company</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</si>
  <si>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</si>
  <si>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</si>
  <si>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</si>
  <si>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</si>
  <si>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received the Form(s) 8823. The resyndication application shall not include any</t>
  </si>
  <si>
    <t>costs to correct these Form(s) 8823.</t>
  </si>
  <si>
    <t>GP 3 Company Name</t>
  </si>
  <si>
    <t>Total Relocation Expenses</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</si>
  <si>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</si>
  <si>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GP 3 Contact Name</t>
  </si>
  <si>
    <t>GP 3 Parent Company</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</si>
  <si>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</si>
  <si>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t>NEW CONSTRUCTION</t>
  </si>
  <si>
    <t>Developer Name</t>
  </si>
  <si>
    <t>Developer Address</t>
  </si>
  <si>
    <r>
      <rPr>
        <u/>
        <sz val="10"/>
        <color theme="1"/>
        <rFont val="Arial"/>
      </rPr>
      <t>Rent adjuster delay period</t>
    </r>
    <r>
      <rPr>
        <sz val="10"/>
        <color theme="1"/>
        <rFont val="Arial"/>
      </rPr>
      <t xml:space="preserve">: the period of years the annual 2.5% underwriting increase to
project income is delayed in the 15 Year Pro Forma.  
</t>
    </r>
    <r>
      <rPr>
        <u/>
        <sz val="10"/>
        <color theme="1"/>
        <rFont val="Arial"/>
      </rPr>
      <t>Temporary rent adjuster</t>
    </r>
    <r>
      <rPr>
        <sz val="10"/>
        <color theme="1"/>
        <rFont val="Arial"/>
      </rPr>
      <t xml:space="preserve">: the percentage used in place of the annual 2.5% underwriting increase to project income in the 15 Year Pro Forma. 
</t>
    </r>
    <r>
      <rPr>
        <u/>
        <sz val="10"/>
        <color theme="1"/>
        <rFont val="Arial"/>
      </rPr>
      <t>Calculation</t>
    </r>
    <r>
      <rPr>
        <sz val="10"/>
        <color theme="1"/>
        <rFont val="Arial"/>
      </rPr>
      <t>:</t>
    </r>
    <r>
      <rPr>
        <u/>
        <sz val="10"/>
        <color theme="1"/>
        <rFont val="Arial"/>
      </rPr>
      <t xml:space="preserve">
</t>
    </r>
    <r>
      <rPr>
        <sz val="10"/>
        <color theme="1"/>
        <rFont val="Arial"/>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</si>
  <si>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</si>
  <si>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</si>
  <si>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</si>
  <si>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</si>
  <si>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The unit rents in this application must maintain the rent and income targeting levels of the existing regulatory agreement, unless approved by the Executive Director.</t>
  </si>
  <si>
    <t>Federal Tax Credit Factor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</si>
  <si>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</si>
  <si>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I agree to hold CTCAC, its members, officers, agents, and employees harmless from any matters arising out of or related to the Credit program.</t>
  </si>
  <si>
    <t>Other: (Specify)</t>
  </si>
  <si>
    <t>State Tax Credit Factor</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</si>
  <si>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</si>
  <si>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Total New Construction Costs</t>
  </si>
  <si>
    <t>https://www.treasurer.ca.gov/sites/default/files/ctcac/reserve-certification.pdf</t>
  </si>
  <si>
    <t>Resyndication</t>
  </si>
  <si>
    <t>ARCHITECTURAL FEES</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</si>
  <si>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</si>
  <si>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Design</t>
  </si>
  <si>
    <t>State Credit Type</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</si>
  <si>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</si>
  <si>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Supervision</t>
  </si>
  <si>
    <t>10310(b)(2)(D) Farmworker State Credits</t>
  </si>
  <si>
    <t>Total Architectural Costs</t>
  </si>
  <si>
    <t>Certificating State Credits</t>
  </si>
  <si>
    <t>Total Survey &amp; Engineering</t>
  </si>
  <si>
    <t>Commercial Costs</t>
  </si>
  <si>
    <t>CONSTRUCTION INTEREST &amp; FEES</t>
  </si>
  <si>
    <t>Construction Loan Interest</t>
  </si>
  <si>
    <t>I acknowledge that all materials and requirements are subject to change by enactment of federal or state legislation or promulgation of regulations.</t>
  </si>
  <si>
    <t>Bond Issuer</t>
  </si>
  <si>
    <t>CDLAC Total Points</t>
  </si>
  <si>
    <t>Origination Fee</t>
  </si>
  <si>
    <t>Credit Enhancement/Application Fee</t>
  </si>
  <si>
    <t>Points, Acq/Rehab Priorities</t>
  </si>
  <si>
    <t>Bond Premium</t>
  </si>
  <si>
    <r>
      <rPr>
        <sz val="10"/>
        <color theme="1"/>
        <rFont val="Arial"/>
      </rPr>
      <t xml:space="preserve">If the project has uncompleted Short Term Work required by an existing Capital Needs Agreement, </t>
    </r>
    <r>
      <rPr>
        <u/>
        <sz val="10"/>
        <color theme="1"/>
        <rFont val="Arial"/>
      </rPr>
      <t>OR</t>
    </r>
    <r>
      <rPr>
        <sz val="10"/>
        <color theme="1"/>
        <rFont val="Arial"/>
      </rPr>
      <t xml:space="preserve"> the Transfer Event associated with the resyndication does not qualify for any exemption or waiver, the following apply:</t>
    </r>
  </si>
  <si>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</si>
  <si>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</si>
  <si>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Cost of Issuance</t>
  </si>
  <si>
    <t>A. Submit a Qualified Capital Needs Assessment (Qualified CNA). If a third-party lender is providing financing, the Qualified CNA must be commissioned by said third-party lender.</t>
  </si>
  <si>
    <t>Points, Exceeding Min Income</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</si>
  <si>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</si>
  <si>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Title &amp; Recording</t>
  </si>
  <si>
    <t>Taxes</t>
  </si>
  <si>
    <t>Points, Exceeding Min Rent</t>
  </si>
  <si>
    <t>Insurance</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</si>
  <si>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</si>
  <si>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</si>
  <si>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Other: Loan Closing Costs /Underwriting</t>
  </si>
  <si>
    <t>Points, Housing Need</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</si>
  <si>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</si>
  <si>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Total Construction Interest &amp; Fees</t>
  </si>
  <si>
    <t>Points, Leveraged Soft Resources</t>
  </si>
  <si>
    <t>Documentation of any waivers of the requirements of § 10320(b).</t>
  </si>
  <si>
    <t xml:space="preserve">TAB 9 Current Tenant Information </t>
  </si>
  <si>
    <t>Points, Readiness</t>
  </si>
  <si>
    <t>PERMANENT FINANCING</t>
  </si>
  <si>
    <t>Current Tenant Information (Part II - Application - Section 5 - B)</t>
  </si>
  <si>
    <t>Reg. §§ 10322(h)(27), 10322(h)(28), and 1022(h)(29)</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</si>
  <si>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</si>
  <si>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Loan Origination Fee</t>
  </si>
  <si>
    <t>Points, Access to Opportunity</t>
  </si>
  <si>
    <t xml:space="preserve">Provide income, rent and family size information for the current tenant population. 
Provide information about current tenant rent subsidies. </t>
  </si>
  <si>
    <t>Points, Service Amenities</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</si>
  <si>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</si>
  <si>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Points, Cost Containment</t>
  </si>
  <si>
    <t>Evidence that the relocation plan has been submitted to the appropriate local agency.</t>
  </si>
  <si>
    <t>Evidence that the relocation plan is consistent with the Uniform Relocation Assistance and Real Property Acquisition Policy Act, if applicable</t>
  </si>
  <si>
    <t>Points, Site Amenities</t>
  </si>
  <si>
    <t>Total Permanent Financing Costs</t>
  </si>
  <si>
    <t>Owner-occupied housing application</t>
  </si>
  <si>
    <t>I acknowledge that the information submitted to CTCAC in this application or supplemental thereto may be subject to the Public Records Act or other disclosure.  I understand that CTCAC may make such information public.</t>
  </si>
  <si>
    <t>CDLAC Tie-Breaker Self-Score</t>
  </si>
  <si>
    <t>For Preservation projects whose actual rents are less than the CTCAC rent limits, provide the rent rolls or property audits for the last three years. Include calculations showing how the average entered into the Tie Breaker sheet was calculated.</t>
  </si>
  <si>
    <t>Subtotals Forward</t>
  </si>
  <si>
    <t>Jurisdiction</t>
  </si>
  <si>
    <t xml:space="preserve">TAB 10 Minimum Construction Standards </t>
  </si>
  <si>
    <t>Minimum Construction Standards (Part II - Application - Section 5 - D)</t>
  </si>
  <si>
    <t>Review all construction requirements and the compliance and verification requirements</t>
  </si>
  <si>
    <t>CEO Name</t>
  </si>
  <si>
    <t>listed in Attachment 10 and in Reg. §10325(f)(7). Reg. § 10326(g)(6)</t>
  </si>
  <si>
    <t xml:space="preserve">CTCAC Applicant statement including certification and guarantee that the minimum construction standards will be incorporated into the project. </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</si>
  <si>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</si>
  <si>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</si>
  <si>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LEGAL FEES AND 
THIRD-PARTY CONSULTING FEES</t>
  </si>
  <si>
    <t xml:space="preserve">Complete: </t>
  </si>
  <si>
    <t>Lender Legal Paid by Applicant</t>
  </si>
  <si>
    <t>Attachments - Exhibit A: Min. Const. Stds. tab</t>
  </si>
  <si>
    <t>CEO Address</t>
  </si>
  <si>
    <t>If a waiver has been granted under 10325(f)(7), provide CTCAC waiver approval and the supporting documentation included in the original waiver request. Approval must be in advance of application deadline.</t>
  </si>
  <si>
    <t>Financial Consulting, 
Application Preparation/Review</t>
  </si>
  <si>
    <t>A description of any plans for employing desk or security staff in lieu of on-site manager units and Executive Director's approval in compliance with CTCAC Reg. § 10325(f)(7)(J).</t>
  </si>
  <si>
    <t>CEO City</t>
  </si>
  <si>
    <t>Entitlement Services, Building Permit Expediting</t>
  </si>
  <si>
    <t>TAB 11 Project Size Limitations</t>
  </si>
  <si>
    <t xml:space="preserve">I declare under penalty of perjury that the information contained in the application, exhibits, attachments, and any further or supplemental documentation is true and correct to the best of my knowledge and belief.  </t>
  </si>
  <si>
    <t>Tenant File Review Services</t>
  </si>
  <si>
    <t>CEO Zip</t>
  </si>
  <si>
    <t>Borrower Legal</t>
  </si>
  <si>
    <t xml:space="preserve">TAB 12 Site and Project Information </t>
  </si>
  <si>
    <t>App Contact, Name</t>
  </si>
  <si>
    <t>Site and Project Information (Part II - Application - Section 5 - D through G)</t>
  </si>
  <si>
    <t>Reg. § 10322(h)(8)</t>
  </si>
  <si>
    <t>Total Legal and Consulting Costs</t>
  </si>
  <si>
    <t>A narrative description of the current use of the subject property</t>
  </si>
  <si>
    <t>App Contact, Address</t>
  </si>
  <si>
    <t>A narrative description of all adjacent property land uses, surrounding neighborhood identification and proximity of services, including transportation.</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</si>
  <si>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</si>
  <si>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</si>
  <si>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Labeled color photographs or color copies of photos of the subject property and all adjacent properties.</t>
  </si>
  <si>
    <t>RESERVES</t>
  </si>
  <si>
    <t>App Contact, State</t>
  </si>
  <si>
    <t>A layout of the subject property, including the location and dimensions of existing buildings, utilities, and other pertinent features.</t>
  </si>
  <si>
    <t>Rent Reserves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</si>
  <si>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</si>
  <si>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App Contact, Zip</t>
  </si>
  <si>
    <t>Capitalized Rent Reserves</t>
  </si>
  <si>
    <t>If a scattered site, provide a brief description of how the application meets the definition of Scattered Site Project. Reg. § 10302(hhh).</t>
  </si>
  <si>
    <t>Required Capitalized Replacement Reserve</t>
  </si>
  <si>
    <t>App Contact, Person</t>
  </si>
  <si>
    <t>A description of any unique features of the site, noting those that may increase project costs or require environmental mitigation.</t>
  </si>
  <si>
    <t>3-Month Operating Reserve</t>
  </si>
  <si>
    <t>App Contact, Email</t>
  </si>
  <si>
    <t>Construction and design description</t>
  </si>
  <si>
    <t xml:space="preserve">Other: Social Service Reserve </t>
  </si>
  <si>
    <t>Refer to:</t>
  </si>
  <si>
    <t>Attachments - Exhibit A: Const. &amp; Design tab</t>
  </si>
  <si>
    <t>GP 1 Email</t>
  </si>
  <si>
    <t>Total Reserve Costs</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</si>
  <si>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</si>
  <si>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</si>
  <si>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GP 2 Email</t>
  </si>
  <si>
    <t>CONTINGENCY COSTS</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</si>
  <si>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</si>
  <si>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Construction Hard Cost Contingency </t>
  </si>
  <si>
    <t>GP 3 Email</t>
  </si>
  <si>
    <t>TAB 13 Market Analysis</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</si>
  <si>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</si>
  <si>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</si>
  <si>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Soft Cost Contingency</t>
  </si>
  <si>
    <t>Market Analysis</t>
  </si>
  <si>
    <t>Reg. §§ 10322(h)(10) &amp; 10325(f)(1)</t>
  </si>
  <si>
    <t>Total Residential Project Cost</t>
  </si>
  <si>
    <t>Total Contingency Costs</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</si>
  <si>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</si>
  <si>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</si>
  <si>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Scattered Site</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</si>
  <si>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</si>
  <si>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OTHER PROJECT COSTS</t>
  </si>
  <si>
    <t>Rural</t>
  </si>
  <si>
    <t>CTCAC App/Allocation/Monitoring Fees</t>
  </si>
  <si>
    <t>The market study has been reviewed by the applicant and meets CTCAC market study guidelines.</t>
  </si>
  <si>
    <t>Waiver approval of the market study value ratio requirement.
Reg. § 10325(f)(1)</t>
  </si>
  <si>
    <t>Hybrid</t>
  </si>
  <si>
    <t>Environmental Audit</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</si>
  <si>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</si>
  <si>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TAB 14 Required Approvals</t>
  </si>
  <si>
    <t>BIPOC Pool</t>
  </si>
  <si>
    <t>Required Approvals (Part II - Application - Section 6)</t>
  </si>
  <si>
    <t>Local Development Impact Fees</t>
  </si>
  <si>
    <t>Reg. § 10326(g)(3)</t>
  </si>
  <si>
    <t>Acquisition/Rehabilitation Pool</t>
  </si>
  <si>
    <t>Permit Processing Fees</t>
  </si>
  <si>
    <t xml:space="preserve">Evidence of local approvals and zoning 
Provide evidence of eligibility per regulation guidelines and include signed:
</t>
  </si>
  <si>
    <t>Attachments - Exhibit B: Zoning tab</t>
  </si>
  <si>
    <t>Rural Pool</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</si>
  <si>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</si>
  <si>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Capital Fees</t>
  </si>
  <si>
    <t>I agree that CTCAC is not responsible for actions taken by the applicant in reliance on a prospective Tax Credit reservation or allocation.</t>
  </si>
  <si>
    <t>Marketing</t>
  </si>
  <si>
    <t>TAB 15 Enforceable Financing Commitments</t>
  </si>
  <si>
    <t>Homeless Set-Aside</t>
  </si>
  <si>
    <t>Furnishings</t>
  </si>
  <si>
    <t>Tax-Exempt Bond Financing Additional Information  
(Part III - Project Financing - Section 1 - B)</t>
  </si>
  <si>
    <t>Market Study</t>
  </si>
  <si>
    <t>Extremely Low/Very Low Income (ELI/ VLI) Set-Aside</t>
  </si>
  <si>
    <t>Reg. §§ 10317(g)(3) and (4), and 10326(e)</t>
  </si>
  <si>
    <t>Evidence of enforceable financing commitments. CDLAC Reg. § 5102(b)(5)</t>
  </si>
  <si>
    <t>Accounting/Reimbursables</t>
  </si>
  <si>
    <t>Verification provided by the bond issuer of the availability of the bond financing, the actual or estimated bond issuance date.</t>
  </si>
  <si>
    <t>Mixed Income Project (MIP) Set-Aside</t>
  </si>
  <si>
    <t>Third party tax professional's certification/letter of the actual or estimated percentage of aggregate basis (includes land) financed by the proceeds of tax exempt bonds.</t>
  </si>
  <si>
    <t>Appraisal Costs</t>
  </si>
  <si>
    <t>Provide the name, phone number and contact person of any entity providing credit enhancement and the type of enhancement provided.</t>
  </si>
  <si>
    <t>Evidence of recycled bond commitment, if applicable. CDLAC Reg. § 5102(b)(10)</t>
  </si>
  <si>
    <t xml:space="preserve">Dated this      </t>
  </si>
  <si>
    <t xml:space="preserve"> day of  </t>
  </si>
  <si>
    <t>, 2026 at</t>
  </si>
  <si>
    <t>Applicant Resources - audited certification of available resources. Reg. Sect. 10327(c)(8)</t>
  </si>
  <si>
    <t>TAB 16 Syndication</t>
  </si>
  <si>
    <t>Total Other Costs</t>
  </si>
  <si>
    <t>Syndication (Part III - Project Financing - § 2 - A)</t>
  </si>
  <si>
    <t>Terms of syndication agreement. Use CTCAC template. 
Provide evidence of eligibility and include signed:</t>
  </si>
  <si>
    <t>, California.</t>
  </si>
  <si>
    <t>Attachments - Exhibit B: Syndication tab</t>
  </si>
  <si>
    <t>If requesting federal and state tax credits, include separate tax credit factors/credit pricing for federal and state credits in the agreement. 
Reg. § 10322(h)(19)</t>
  </si>
  <si>
    <t>SUBTOTAL PROJECT COST</t>
  </si>
  <si>
    <t>Third party tax credit factor certification, if credits are not to be syndicated.
Reg. § 10322(h)(20)</t>
  </si>
  <si>
    <t xml:space="preserve">By: </t>
  </si>
  <si>
    <r>
      <rPr>
        <sz val="10"/>
        <color theme="1"/>
        <rFont val="Arial"/>
      </rPr>
      <t>Self-syndication projects, refer to Reg. § 10327(c)(9). See Basis and Credits Worksheet for minimum</t>
    </r>
    <r>
      <rPr>
        <u/>
        <sz val="10"/>
        <color theme="1"/>
        <rFont val="Arial"/>
      </rPr>
      <t xml:space="preserve"> federal tax credit factor</t>
    </r>
    <r>
      <rPr>
        <sz val="10"/>
        <color theme="1"/>
        <rFont val="Arial"/>
      </rPr>
      <t xml:space="preserve"> and </t>
    </r>
    <r>
      <rPr>
        <u/>
        <sz val="10"/>
        <color theme="1"/>
        <rFont val="Arial"/>
      </rPr>
      <t>state tax credit factor</t>
    </r>
    <r>
      <rPr>
        <sz val="10"/>
        <color theme="1"/>
        <rFont val="Arial"/>
      </rPr>
      <t xml:space="preserve"> amounts.
</t>
    </r>
  </si>
  <si>
    <t>(Original Signature)</t>
  </si>
  <si>
    <t>DEVELOPER COSTS</t>
  </si>
  <si>
    <t>Developer Overhead/Profit</t>
  </si>
  <si>
    <t>Use of tax benefits, if credits are not to be syndicated. Reg. § 10322(h)(18)</t>
  </si>
  <si>
    <t xml:space="preserve">TAB 17 Evidence of Subsidies </t>
  </si>
  <si>
    <t>Evidence of Subsidies (Part III - Project Financing - Section 4)</t>
  </si>
  <si>
    <t>Processing Agent Fees</t>
  </si>
  <si>
    <t>Reg. § 10322(h)(22)</t>
  </si>
  <si>
    <t>Broker Fees Paid  to a Related Party</t>
  </si>
  <si>
    <t>(Typed or printed name)</t>
  </si>
  <si>
    <t xml:space="preserve">Certification of Subsidies. 
The applicant must certify as to the full extent of all Federal, State, and local subsidies which apply (or for which the taxpayer expects to apply) with respect to the proposed project. 
</t>
  </si>
  <si>
    <t>Construction Management by Developer</t>
  </si>
  <si>
    <t xml:space="preserve">Application type: </t>
  </si>
  <si>
    <t>Total Developer Costs</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</si>
  <si>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</si>
  <si>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4%</t>
  </si>
  <si>
    <t xml:space="preserve">Please select your county: </t>
  </si>
  <si>
    <t>TOTAL PROJECT COSTS</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</si>
  <si>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</si>
  <si>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Note:  Syndication Costs shall NOT be included as a project cost.</t>
  </si>
  <si>
    <t xml:space="preserve">                      </t>
  </si>
  <si>
    <t>Bridge Loan Expense During Construction:</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</si>
  <si>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</si>
  <si>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Calculate Maximum Developer Fee using the eligible basis subtotals.</t>
  </si>
  <si>
    <t>(Title)</t>
  </si>
  <si>
    <t xml:space="preserve">                        </t>
  </si>
  <si>
    <t xml:space="preserve"> Total Eligible Basis:</t>
  </si>
  <si>
    <t>DOUBLE CHECK AGAINST PERMANENT FINANCING TOTALS:</t>
  </si>
  <si>
    <t>9%</t>
  </si>
  <si>
    <t>TAB 18 Threshold Basis Limit Increases and Certifications</t>
  </si>
  <si>
    <t>Threshold Basis Limit Increases and Certifications</t>
  </si>
  <si>
    <t>(Part III - Project Financing - Section 5 - A)</t>
  </si>
  <si>
    <t>Reg. § 10327(c)(5)(A) through (F)</t>
  </si>
  <si>
    <t xml:space="preserve">Funding sources and costs should be aligned appropriately.  For example, public funding sources for land purchase or construction costs should be shown as paying for these costs. </t>
  </si>
  <si>
    <t>Evidence from the assessing entity of impact fees to be charged</t>
  </si>
  <si>
    <r>
      <rPr>
        <sz val="10"/>
        <color theme="1"/>
        <rFont val="Arial"/>
      </rPr>
      <t xml:space="preserve">Provide evidence of eligibility and include </t>
    </r>
    <r>
      <rPr>
        <u/>
        <sz val="10"/>
        <color theme="1"/>
        <rFont val="Arial"/>
      </rPr>
      <t>signed</t>
    </r>
    <r>
      <rPr>
        <sz val="10"/>
        <color theme="1"/>
        <rFont val="Arial"/>
      </rPr>
      <t>:</t>
    </r>
  </si>
  <si>
    <t>Attachments - Exhibit B: Impact Fees tab</t>
  </si>
  <si>
    <t>Do not randomly select funding sources for line item costs if they have a dedicated source of payment.</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</si>
  <si>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</si>
  <si>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</si>
  <si>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</si>
  <si>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</si>
  <si>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Architect's certification of threshold basis limit increases/exceptions</t>
  </si>
  <si>
    <r>
      <rPr>
        <sz val="10"/>
        <color theme="1"/>
        <rFont val="Arial"/>
      </rPr>
      <t xml:space="preserve">Provide evidence of eligibility and include </t>
    </r>
    <r>
      <rPr>
        <u/>
        <sz val="10"/>
        <color theme="1"/>
        <rFont val="Arial"/>
      </rPr>
      <t>signed</t>
    </r>
    <r>
      <rPr>
        <sz val="10"/>
        <color theme="1"/>
        <rFont val="Arial"/>
      </rPr>
      <t>:</t>
    </r>
  </si>
  <si>
    <t xml:space="preserve">Note: The conditional formatting embedded in this Sources and Uses Budget workbook tests only for mathematical errors, i.e. whether sum total of Sources (Column R) matches Total Project Cost (Column B) </t>
  </si>
  <si>
    <t>Attachments - Exhibit B: Architect tab</t>
  </si>
  <si>
    <t xml:space="preserve">and whether each source listed in the Sources and Uses Budget workbook (Row 105) matches that of Permanent Financing in the Application workbook (Row 108).  </t>
  </si>
  <si>
    <t>HERS Rater's certification of threshold basis limit increases/exceptions</t>
  </si>
  <si>
    <t xml:space="preserve">The conditional formatting does NOT test for any regulatory threshold or feasibility requirements. </t>
  </si>
  <si>
    <r>
      <rPr>
        <sz val="10"/>
        <color theme="1"/>
        <rFont val="Arial"/>
      </rPr>
      <t xml:space="preserve">Provide evidence of eligibility and include </t>
    </r>
    <r>
      <rPr>
        <u/>
        <sz val="10"/>
        <color theme="1"/>
        <rFont val="Arial"/>
      </rPr>
      <t>signed</t>
    </r>
    <r>
      <rPr>
        <sz val="10"/>
        <color theme="1"/>
        <rFont val="Arial"/>
      </rPr>
      <t>:</t>
    </r>
  </si>
  <si>
    <t>Attachments - Exhibit B: HERS Rater tab</t>
  </si>
  <si>
    <t xml:space="preserve">Applicants are advised to conduct their own due diligence and not rely upon the conditional formatting in this workbook. </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</si>
  <si>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</si>
  <si>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</si>
  <si>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</si>
  <si>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</si>
  <si>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</si>
  <si>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</si>
  <si>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If project is subject to state prevailing wage law, include certification that contractors and subcontractors will comply with § 1725.5 of the Labor Code.</t>
  </si>
  <si>
    <t>Bridge Loan Fees/Exp.</t>
  </si>
  <si>
    <t>Legal Fees</t>
  </si>
  <si>
    <t>Consultant Fees</t>
  </si>
  <si>
    <r>
      <rPr>
        <sz val="10"/>
        <color theme="1"/>
        <rFont val="Arial"/>
      </rP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color theme="1"/>
        <rFont val="Arial"/>
      </rPr>
      <t>AND</t>
    </r>
    <r>
      <rPr>
        <sz val="10"/>
        <color theme="1"/>
        <rFont val="Arial"/>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</si>
  <si>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Accountant Fees</t>
  </si>
  <si>
    <t>Tax Opinion</t>
  </si>
  <si>
    <t>If claiming threshold basis limit increase based photovoltaics that offset tenant or common area electricity use, provide a certification from a third-party certified HERS Rater.</t>
  </si>
  <si>
    <t>Other</t>
  </si>
  <si>
    <t>Signature of Owner/General Partner</t>
  </si>
  <si>
    <t>Date</t>
  </si>
  <si>
    <t>If claiming threshold basis limit increase based on new construction project buildings being 15% better than applicable Energy Efficiency Standards, provide a certification from a third-party certified HERS Rater.</t>
  </si>
  <si>
    <t xml:space="preserve">IV. SOURCES AND USES BUDGET - SECTION 2: SOURCES AND BASIS BREAKDOWN BY DDA/QCT AND NON-DDA/NON-QCT </t>
  </si>
  <si>
    <t>Total Syndication Costs</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</si>
  <si>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</si>
  <si>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</si>
  <si>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</si>
  <si>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</si>
  <si>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</si>
  <si>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</si>
  <si>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</si>
  <si>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</si>
  <si>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</si>
  <si>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30% PVC for Acquisition
DDA/QCT Building(s)</t>
  </si>
  <si>
    <t>30% PVC for Acquisition
NON-DDA/
NON-QCT Building(s)</t>
  </si>
  <si>
    <t>Printed Name of Signatory</t>
  </si>
  <si>
    <t>Title of Signatory</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</si>
  <si>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</si>
  <si>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CERTIFICATION OF CPA/TAX PROFESSIONAL:</t>
  </si>
  <si>
    <t>As the tax professional for the above-referenced low-income housing project, I certify under penalty of perjury, that the percentage of aggregate basis financed by tax-exempt bonds is:</t>
  </si>
  <si>
    <t>http://www.treasurer.ca.gov/ctcac/opportunity.asp</t>
  </si>
  <si>
    <t xml:space="preserve">TAB 19 Eligible Basis Certification </t>
  </si>
  <si>
    <t>Eligible Basis Certification (Part V - Basis and Credits - Section 1 - A)</t>
  </si>
  <si>
    <t>City of Los Angeles</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</si>
  <si>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</si>
  <si>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</si>
  <si>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Bay Area ((Alameda, Contra Costa, Marin, San Francisco, San Mateo, Santa Clara, and Santa Cruz Counties)</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</si>
  <si>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</si>
  <si>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Signature of Project CPA/Tax Professional</t>
  </si>
  <si>
    <t xml:space="preserve">Coastal (Monterey, Napa, Orange, San Benito, San Diego, San Luis Obispo, Santa Barbara, Sonoma, and Ventura Counties) </t>
  </si>
  <si>
    <t>Local Jurisdiction:</t>
  </si>
  <si>
    <t xml:space="preserve">San Diego Housing Commission </t>
  </si>
  <si>
    <t xml:space="preserve">A description of any charges that may be paid by tenants in addition to rent (such as garage or storage space), with an explanation of how such charges affect the cost and basis line items in the Sources and Uses Budget.10322(i)(11) </t>
  </si>
  <si>
    <t>Inland (Fresno, Imperial, Kern, Kings, Madera, Merced, Riverside, San Bernardino, Stanislaus, and Tulare Counties)</t>
  </si>
  <si>
    <t>4% 2026 TBLs</t>
  </si>
  <si>
    <t>9% 2026 TBLs</t>
  </si>
  <si>
    <t>City Manager:</t>
  </si>
  <si>
    <t xml:space="preserve">Colin Miller </t>
  </si>
  <si>
    <t>If the project involves rehabilitation of existing buildings, the tax professional must determine that project meets the minimum requirement outlined in Reg. § 10326(g)(7).</t>
  </si>
  <si>
    <t>Northern (Butte, El Dorado, Placer, Sacramento, San Joaquin, Shasta, Solano, Sutter, Yuba, and Yolo Counties)</t>
  </si>
  <si>
    <t>If the applicant requests basis for a community service facility, must submit a third party tax attorney’s opinion stating that the community service facility meets the requirements of IRC § 42(d)(4)(C). Reg. § 10322(h)(33)</t>
  </si>
  <si>
    <t>Title:</t>
  </si>
  <si>
    <t xml:space="preserve">Vice President </t>
  </si>
  <si>
    <t>Assumed, Accrued Interest on Existing Debt (Rehab/Acq)</t>
  </si>
  <si>
    <t>TAB 20 Leveraged Soft Financing</t>
  </si>
  <si>
    <t>N/A</t>
  </si>
  <si>
    <t xml:space="preserve">Mailing Address: </t>
  </si>
  <si>
    <t>1122 Broadway, Suite 300</t>
  </si>
  <si>
    <t>Evidence of Committed Leveraged Soft Financing for CDLAC Scoring</t>
  </si>
  <si>
    <t>Reg. § 10325(c)(9)</t>
  </si>
  <si>
    <t>2026 100% RENTS</t>
  </si>
  <si>
    <t>2026 FAIR MARKET RENTS</t>
  </si>
  <si>
    <t xml:space="preserve">Provide evidence of committed public funds, including federal, tribal, state, local government funds, and any other public funds listed under Reg. § 10325(c)(9). 
Evidence must specify the type of funds, terms, and interest rate. 
 </t>
  </si>
  <si>
    <t xml:space="preserve">City: </t>
  </si>
  <si>
    <t xml:space="preserve">San Diego  </t>
  </si>
  <si>
    <t xml:space="preserve">Provide evidence of land donated or leased by a public entity, or donated as part of an inclusionary ordinance, or other development agreement negotiated between public entities and private developers. See also Tab 1 for appraisal requirements.
</t>
  </si>
  <si>
    <t>ALAMEDA</t>
  </si>
  <si>
    <t>Alameda</t>
  </si>
  <si>
    <t>California Tax Credit Allocation Committee</t>
  </si>
  <si>
    <t>Housing and Urban Development</t>
  </si>
  <si>
    <t>Seller carryback financing and any portion of a loan from a public seller or related party that is less than or equal to sale proceeds due the seller, except for a public land loan to a new construction project, must be excluded from leveraged soft financing.</t>
  </si>
  <si>
    <t xml:space="preserve">Zip Code: </t>
  </si>
  <si>
    <t>ALPINE</t>
  </si>
  <si>
    <t>Alpine</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</si>
  <si>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</si>
  <si>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Phone Number:</t>
  </si>
  <si>
    <t>619-578-7569</t>
  </si>
  <si>
    <t>Ext.</t>
  </si>
  <si>
    <t>Outstanding principal balances for projects subject to an existing CTCAC regulatory agreement shall not be considered public funds if such loans were funded less than 30 years prior to the application deadline.</t>
  </si>
  <si>
    <t>AMADOR</t>
  </si>
  <si>
    <t>Amador</t>
  </si>
  <si>
    <t>County</t>
  </si>
  <si>
    <t>SRO/Studio</t>
  </si>
  <si>
    <t>1 Bedroom</t>
  </si>
  <si>
    <t>2 Bedrooms</t>
  </si>
  <si>
    <t>3 Bedrooms</t>
  </si>
  <si>
    <t>4 Bedrooms</t>
  </si>
  <si>
    <t>5 Bedrooms</t>
  </si>
  <si>
    <t>SRO/STUDIO</t>
  </si>
  <si>
    <r>
      <rPr>
        <sz val="10"/>
        <color theme="1"/>
        <rFont val="Arial"/>
      </rPr>
      <t>For private loans that are guaranteed by a public entity,
● see § 10325(c)(9) for eligibility,</t>
    </r>
    <r>
      <rPr>
        <u/>
        <sz val="10"/>
        <color theme="1"/>
        <rFont val="Arial"/>
      </rPr>
      <t xml:space="preserve">
</t>
    </r>
    <r>
      <rPr>
        <sz val="10"/>
        <color theme="1"/>
        <rFont val="Arial"/>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</si>
  <si>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t>4+ Bedrooms</t>
  </si>
  <si>
    <t xml:space="preserve">FAX Number: </t>
  </si>
  <si>
    <t>619-578-7356</t>
  </si>
  <si>
    <t>BUTTE</t>
  </si>
  <si>
    <t>Butte</t>
  </si>
  <si>
    <r>
      <rPr>
        <sz val="10"/>
        <color theme="1"/>
        <rFont val="Arial"/>
      </rP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color theme="1"/>
        <rFont val="Arial"/>
      </rPr>
      <t xml:space="preserve">
</t>
    </r>
    <r>
      <rPr>
        <sz val="10"/>
        <color theme="1"/>
        <rFont val="Arial"/>
      </rPr>
      <t xml:space="preserve">
 </t>
    </r>
  </si>
  <si>
    <t xml:space="preserve">E-mail: </t>
  </si>
  <si>
    <t>tgloria@sandiego.gov</t>
  </si>
  <si>
    <t>CALAVERAS</t>
  </si>
  <si>
    <t>Calaveras</t>
  </si>
  <si>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</si>
  <si>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Yes</t>
  </si>
  <si>
    <t>COLUSA</t>
  </si>
  <si>
    <t>Colusa</t>
  </si>
  <si>
    <t>TAB 21 General Partner Experience</t>
  </si>
  <si>
    <t>General Partner Experience (CDLAC Points System)</t>
  </si>
  <si>
    <t>*</t>
  </si>
  <si>
    <t>For City Manager, please refer to the following the website:</t>
  </si>
  <si>
    <t>Reg. § 10325(c)(1)(A)</t>
  </si>
  <si>
    <t>CONTRA COSTA</t>
  </si>
  <si>
    <t>Contra Costa</t>
  </si>
  <si>
    <t xml:space="preserve">Provide General Partner experience documentation, including signed: </t>
  </si>
  <si>
    <t>Attachment 21*</t>
  </si>
  <si>
    <t>https://www.treasurer.ca.gov/ctcac/2023/contacts.pdf</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</si>
  <si>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</si>
  <si>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DEL NORTE</t>
  </si>
  <si>
    <t>Del Norte</t>
  </si>
  <si>
    <t>EL DORADO</t>
  </si>
  <si>
    <t>El Dorado</t>
  </si>
  <si>
    <t>Third party CPA certification of qualifying projects (positive operating cash flow, funded reserves).  Certification must reference the general partner claiming experience and be dated within 60 days of the application deadline.</t>
  </si>
  <si>
    <t>Attachment 21</t>
  </si>
  <si>
    <t>FRESNO</t>
  </si>
  <si>
    <t>General partners requesting experience points that include fewer than 2 active California low income housing tax credit projects in service more than 3 years:</t>
  </si>
  <si>
    <t>Fresno</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</si>
  <si>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</si>
  <si>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GLENN</t>
  </si>
  <si>
    <t>Glenn</t>
  </si>
  <si>
    <t xml:space="preserve">ONLY IF THIS COMPANY IS DIFFERENT FROM THE PROJECT'S PRIMARY </t>
  </si>
  <si>
    <t>Attachment 22*</t>
  </si>
  <si>
    <t>HUMBOLDT</t>
  </si>
  <si>
    <t>Humboldt</t>
  </si>
  <si>
    <r>
      <rPr>
        <sz val="10"/>
        <color theme="1"/>
        <rFont val="Arial"/>
      </rPr>
      <t xml:space="preserve">PROPERTY MANAGEMENT COMPANY provide </t>
    </r>
    <r>
      <rPr>
        <u/>
        <sz val="10"/>
        <color theme="1"/>
        <rFont val="Arial"/>
      </rPr>
      <t>signed</t>
    </r>
    <r>
      <rPr>
        <sz val="10"/>
        <color theme="1"/>
        <rFont val="Arial"/>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</si>
  <si>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</si>
  <si>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II. APPLICATION - SECTION 2: GENERAL AND SUMMARY INFORMATION</t>
  </si>
  <si>
    <t>Attachment 22</t>
  </si>
  <si>
    <t>TAB 22 Management Company Experience</t>
  </si>
  <si>
    <t>IMPERIAL</t>
  </si>
  <si>
    <t>Imperial</t>
  </si>
  <si>
    <t>Management Company Experience (CDLAC Points System)</t>
  </si>
  <si>
    <t>Reg. § 10325(c)(1)(B)</t>
  </si>
  <si>
    <t>Provide Management Company experience documentation, including signed:</t>
  </si>
  <si>
    <t>INYO</t>
  </si>
  <si>
    <t>Inyo</t>
  </si>
  <si>
    <t>An enforceable management agreement executed by both parties for the subject application.</t>
  </si>
  <si>
    <t>KERN</t>
  </si>
  <si>
    <t>Kern</t>
  </si>
  <si>
    <t>Management companies requesting experience points that manage less than 2 active California low income housing tax credit projects in service more than 3 years:</t>
  </si>
  <si>
    <t>A.</t>
  </si>
  <si>
    <t>KINGS</t>
  </si>
  <si>
    <t>Kings</t>
  </si>
  <si>
    <t>Application type:</t>
  </si>
  <si>
    <t>Preliminary Reservation</t>
  </si>
  <si>
    <t>LAKE</t>
  </si>
  <si>
    <r>
      <rPr>
        <sz val="10"/>
        <color theme="1"/>
        <rFont val="Arial"/>
      </rPr>
      <t xml:space="preserve">PROPERTY MANAGEMENT COMPANY provide </t>
    </r>
    <r>
      <rPr>
        <u/>
        <sz val="10"/>
        <color theme="1"/>
        <rFont val="Arial"/>
      </rPr>
      <t>signed</t>
    </r>
    <r>
      <rPr>
        <sz val="10"/>
        <color theme="1"/>
        <rFont val="Arial"/>
      </rPr>
      <t xml:space="preserve">: </t>
    </r>
  </si>
  <si>
    <t>Lake</t>
  </si>
  <si>
    <t xml:space="preserve">    </t>
  </si>
  <si>
    <t>Joint Application?</t>
  </si>
  <si>
    <t>CDLAC-CTCAC Joint Application (submitting concurrently)</t>
  </si>
  <si>
    <t>Highest Resource</t>
  </si>
  <si>
    <t>LASSEN</t>
  </si>
  <si>
    <t>Lassen</t>
  </si>
  <si>
    <t>TAB 23 Access to Opportunities and Site Amenities</t>
  </si>
  <si>
    <t>Prior application was submitted but not selected?</t>
  </si>
  <si>
    <t>ACCESS TO OPPORTUNITY</t>
  </si>
  <si>
    <t>High Resource</t>
  </si>
  <si>
    <t>LOS ANGELES</t>
  </si>
  <si>
    <t>Los Angeles</t>
  </si>
  <si>
    <t>Provide complete documentation of the applicable point option selected.</t>
  </si>
  <si>
    <t>If yes, enter application number:</t>
  </si>
  <si>
    <t xml:space="preserve">SITE  AMENITIES </t>
  </si>
  <si>
    <t>CTCAC #</t>
  </si>
  <si>
    <t>CA -</t>
  </si>
  <si>
    <t>Reg. § 10325(c)(4)(A)</t>
  </si>
  <si>
    <t>-</t>
  </si>
  <si>
    <t>Moderate Resource</t>
  </si>
  <si>
    <t>MADERA</t>
  </si>
  <si>
    <t>Madera</t>
  </si>
  <si>
    <t>Labeled color photographs, name, address, telephone number, contact person and website (if applicable) for each requested amenity.</t>
  </si>
  <si>
    <t>Has credit previously been awarded?</t>
  </si>
  <si>
    <t>NOTE: A single map may be submitted for all site amenities provided that all distances and amenities are clearly and legibly shown.</t>
  </si>
  <si>
    <t>Low Resource</t>
  </si>
  <si>
    <t>MARIN</t>
  </si>
  <si>
    <t>Marin</t>
  </si>
  <si>
    <r>
      <rPr>
        <b/>
        <u/>
        <sz val="10"/>
        <color theme="1"/>
        <rFont val="Arial"/>
      </rPr>
      <t>Transit site amenities:</t>
    </r>
    <r>
      <rPr>
        <b/>
        <sz val="10"/>
        <color theme="1"/>
        <rFont val="Arial"/>
      </rPr>
      <t xml:space="preserve"> 
</t>
    </r>
    <r>
      <rPr>
        <sz val="10"/>
        <color theme="1"/>
        <rFont val="Arial"/>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</si>
  <si>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If re-applying and returning credit, enter the current application number:</t>
  </si>
  <si>
    <t>Missing/Insufficient Data</t>
  </si>
  <si>
    <t>MARIPOSA</t>
  </si>
  <si>
    <t>Mariposa</t>
  </si>
  <si>
    <t>MENDOCINO</t>
  </si>
  <si>
    <t>Mendocino</t>
  </si>
  <si>
    <t>Documentation that includes a budget and operating schedule of van or dial-a-ride service for rural set-aside projects.</t>
  </si>
  <si>
    <t>Is this project a Resyndication of a current CTCAC project?</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</si>
  <si>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</si>
  <si>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MERCED</t>
  </si>
  <si>
    <t>Merced</t>
  </si>
  <si>
    <r>
      <rPr>
        <sz val="10"/>
        <color theme="1"/>
        <rFont val="Arial"/>
      </rPr>
      <t xml:space="preserve">If a Resyndication Project, complete the </t>
    </r>
    <r>
      <rPr>
        <b/>
        <sz val="10"/>
        <color theme="1"/>
        <rFont val="Arial"/>
      </rPr>
      <t>Resyndication Projects</t>
    </r>
    <r>
      <rPr>
        <sz val="10"/>
        <color theme="1"/>
        <rFont val="Arial"/>
      </rPr>
      <t xml:space="preserve"> section below.  </t>
    </r>
  </si>
  <si>
    <t>MODOC</t>
  </si>
  <si>
    <t>Modoc</t>
  </si>
  <si>
    <t>Evidence of CTCAC Executive Director's prior approval of private transit system</t>
  </si>
  <si>
    <t>Evidence of CTCAC Executive Director's prior approval of bus line aggregation</t>
  </si>
  <si>
    <t>MONO</t>
  </si>
  <si>
    <t>Mono</t>
  </si>
  <si>
    <t>PARK/RECREATIONAL FACILITY  Reg. § 10325(c)(4)(A)(2)</t>
  </si>
  <si>
    <t>B.</t>
  </si>
  <si>
    <t>MONTEREY</t>
  </si>
  <si>
    <t>Monterey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</si>
  <si>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</si>
  <si>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Project Name:</t>
  </si>
  <si>
    <t>*Federal Only:</t>
  </si>
  <si>
    <t>NAPA</t>
  </si>
  <si>
    <t>Napa</t>
  </si>
  <si>
    <r>
      <rPr>
        <b/>
        <u/>
        <sz val="10"/>
        <color theme="1"/>
        <rFont val="Arial"/>
      </rPr>
      <t>Public school amenities:</t>
    </r>
    <r>
      <rPr>
        <b/>
        <sz val="10"/>
        <color theme="1"/>
        <rFont val="Arial"/>
      </rPr>
      <t xml:space="preserve"> 
</t>
    </r>
    <r>
      <rPr>
        <sz val="10"/>
        <color theme="1"/>
        <rFont val="Arial"/>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</si>
  <si>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Site Address:</t>
  </si>
  <si>
    <t>Federal and State:</t>
  </si>
  <si>
    <t>NEVADA</t>
  </si>
  <si>
    <t>Nevada</t>
  </si>
  <si>
    <t>Total Attorney Costs</t>
  </si>
  <si>
    <t>If address is not established, enter detailed description (i.e. NW corner of 26th and Elm)</t>
  </si>
  <si>
    <t>ORANGE</t>
  </si>
  <si>
    <t>Orange</t>
  </si>
  <si>
    <t>If a public school is under construction at application, please include evidence of this, as well as evidence from a third party, such as the school district, that the school will be completed and available to the residents prior to the project's completion.</t>
  </si>
  <si>
    <t>PLACER</t>
  </si>
  <si>
    <t>Placer</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</si>
  <si>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</si>
  <si>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PLUMAS</t>
  </si>
  <si>
    <t>Plumas</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</si>
  <si>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</si>
  <si>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</si>
  <si>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City:</t>
  </si>
  <si>
    <t xml:space="preserve">San Diego </t>
  </si>
  <si>
    <t>County:</t>
  </si>
  <si>
    <t>San Diego</t>
  </si>
  <si>
    <r>
      <rPr>
        <b/>
        <u/>
        <sz val="10"/>
        <color theme="1"/>
        <rFont val="Arial"/>
      </rPr>
      <t>Grocery stores, medical clinics/hospitals, pharmacies:</t>
    </r>
    <r>
      <rPr>
        <b/>
        <sz val="10"/>
        <color theme="1"/>
        <rFont val="Arial"/>
      </rPr>
      <t xml:space="preserve"> 
</t>
    </r>
    <r>
      <rPr>
        <sz val="10"/>
        <color theme="1"/>
        <rFont val="Arial"/>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</si>
  <si>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RIVERSIDE</t>
  </si>
  <si>
    <t>Riverside</t>
  </si>
  <si>
    <t>Zip Code:</t>
  </si>
  <si>
    <t>Census Tract:</t>
  </si>
  <si>
    <t>Large Family</t>
  </si>
  <si>
    <t>SACRAMENTO</t>
  </si>
  <si>
    <t>Sacramento</t>
  </si>
  <si>
    <r>
      <rPr>
        <sz val="10"/>
        <color theme="1"/>
        <rFont val="Arial"/>
      </rP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color theme="1"/>
        <rFont val="Arial"/>
      </rPr>
      <t>A certification of square footage based on an aerial photo of a building will not be accepted for any of the above.</t>
    </r>
  </si>
  <si>
    <t>Assessor's Parcel Number(s):</t>
  </si>
  <si>
    <t>Seniors</t>
  </si>
  <si>
    <t>SAN BENITO</t>
  </si>
  <si>
    <t>San Benito</t>
  </si>
  <si>
    <t>Special Needs</t>
  </si>
  <si>
    <t>SRO</t>
  </si>
  <si>
    <t>SAN BERNARDINO</t>
  </si>
  <si>
    <t>San Bernardino</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</si>
  <si>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</si>
  <si>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CTCAC/HCD Opportunity Area Designation:</t>
  </si>
  <si>
    <t>At-Risk</t>
  </si>
  <si>
    <t>At least 20% 1-bedroom units and 10% larger than 1-bedroom units</t>
  </si>
  <si>
    <t>SAN DIEGO</t>
  </si>
  <si>
    <t xml:space="preserve">If a hospital is under construction at application, please include evidence of this, as well as evidence from a third party that the hospital will be completed and available to the residents prior to the project's completion. </t>
  </si>
  <si>
    <t>Project is located in a census tract/block group designated High Segregation &amp; Poverty:</t>
  </si>
  <si>
    <t>SAN FRANCISCO</t>
  </si>
  <si>
    <t>San Francisco</t>
  </si>
  <si>
    <t>Project is located in a DDA:</t>
  </si>
  <si>
    <r>
      <rPr>
        <sz val="10"/>
        <color theme="1"/>
        <rFont val="Arial"/>
      </rPr>
      <t xml:space="preserve">For </t>
    </r>
    <r>
      <rPr>
        <b/>
        <u/>
        <sz val="10"/>
        <color theme="1"/>
        <rFont val="Arial"/>
      </rPr>
      <t>facilities offering daily services designated for seniors</t>
    </r>
    <r>
      <rPr>
        <sz val="10"/>
        <color theme="1"/>
        <rFont val="Arial"/>
      </rPr>
      <t xml:space="preserve"> OR 
for </t>
    </r>
    <r>
      <rPr>
        <b/>
        <u/>
        <sz val="10"/>
        <color theme="1"/>
        <rFont val="Arial"/>
      </rPr>
      <t>facilities operating to service a special needs or SRO development</t>
    </r>
    <r>
      <rPr>
        <sz val="10"/>
        <color theme="1"/>
        <rFont val="Arial"/>
      </rPr>
      <t>: 
Provide amenity details documenting how the services are appropriate to the development.</t>
    </r>
  </si>
  <si>
    <t>*Federal Congressional District:</t>
  </si>
  <si>
    <t>Non-Targeted</t>
  </si>
  <si>
    <t>SAN JOAQUIN</t>
  </si>
  <si>
    <t>San Joaquin</t>
  </si>
  <si>
    <t>TENANT INTERNET SERVICE  Reg. § 10325(c)(4)(A)(10)</t>
  </si>
  <si>
    <t>Project is located in a Qualified Census Tract:</t>
  </si>
  <si>
    <t>Will-serve letter or comparable documentation of internet service availability.</t>
  </si>
  <si>
    <t>*State Assembly District:</t>
  </si>
  <si>
    <t>SAN LUIS OBISPO</t>
  </si>
  <si>
    <t>San Luis Obispo</t>
  </si>
  <si>
    <t>Certification from applicant of the high speed capacity of internet service being provided and a commitment to provide in-unit internet free of charge for 15 years.</t>
  </si>
  <si>
    <t>Project is a Scattered Site Project:</t>
  </si>
  <si>
    <t>Highest or High Resources Area  Reg. § 10325(c)(4)(A)(11)</t>
  </si>
  <si>
    <t>*State Senate District:</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</si>
  <si>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</si>
  <si>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SAN MATEO</t>
  </si>
  <si>
    <t>San Mateo</t>
  </si>
  <si>
    <t>Number of Scattered Sites:</t>
  </si>
  <si>
    <t>*Accurate information is essential; the following websites are provided for reference:</t>
  </si>
  <si>
    <t>SANTA BARBARA</t>
  </si>
  <si>
    <t>Santa Barbara</t>
  </si>
  <si>
    <t>SUBTOTAL RESIDENTIAL COST</t>
  </si>
  <si>
    <t>TAB 24 Service Amenities</t>
  </si>
  <si>
    <t>Service Amenities (CDLAC Points System)</t>
  </si>
  <si>
    <r>
      <rPr>
        <sz val="10"/>
        <color theme="1"/>
        <rFont val="Arial"/>
      </rPr>
      <t>Project is Rural</t>
    </r>
    <r>
      <rPr>
        <sz val="10"/>
        <color theme="1"/>
        <rFont val="Aptos Narrow"/>
      </rPr>
      <t>¹</t>
    </r>
  </si>
  <si>
    <t>Reg. § 10325(c)(4)(B)</t>
  </si>
  <si>
    <r>
      <rPr>
        <sz val="10"/>
        <color theme="1"/>
        <rFont val="Arial"/>
      </rPr>
      <t>Provide evidence of eligibility per regulation guidelines and include all application items required in Attachment 24: Service Amenities along with completed:</t>
    </r>
    <r>
      <rPr>
        <b/>
        <sz val="10"/>
        <color theme="1"/>
        <rFont val="Arial"/>
      </rPr>
      <t xml:space="preserve">
</t>
    </r>
  </si>
  <si>
    <t>SANTA CLARA</t>
  </si>
  <si>
    <t>Santa Clara</t>
  </si>
  <si>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</si>
  <si>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</si>
  <si>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</si>
  <si>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r>
      <rPr>
        <sz val="10"/>
        <color theme="1"/>
        <rFont val="Arial"/>
      </rPr>
      <t>Project is the 4% component of a Hybrid project</t>
    </r>
    <r>
      <rPr>
        <sz val="10"/>
        <color theme="1"/>
        <rFont val="Aptos Narrow"/>
      </rPr>
      <t>¹</t>
    </r>
    <r>
      <rPr>
        <sz val="10"/>
        <color theme="1"/>
        <rFont val="Arial"/>
      </rPr>
      <t xml:space="preserve"> 
     </t>
    </r>
  </si>
  <si>
    <t>http://findyourrep.legislature.ca.gov/</t>
  </si>
  <si>
    <t>Scattered site projects. A scattered site more than 0.5 mile (1.5 miles for Rural set-aside) from the nearest other site with services must provide services independently.</t>
  </si>
  <si>
    <t xml:space="preserve">Service Coordinator evidence. </t>
  </si>
  <si>
    <t>Balance of Los Angeles County</t>
  </si>
  <si>
    <t>SANTA CRUZ</t>
  </si>
  <si>
    <t>Santa Cruz</t>
  </si>
  <si>
    <t xml:space="preserve">Other Services Specialist evidence. </t>
  </si>
  <si>
    <t>TOTAL RESIDENTIAL COST</t>
  </si>
  <si>
    <t>Evidence of adult educational, health and wellness, or skill building classes.</t>
  </si>
  <si>
    <t>Evidence of health and wellness services and programs: the application must describe in detail the services to be provided.</t>
  </si>
  <si>
    <r>
      <rPr>
        <sz val="10"/>
        <color theme="1"/>
        <rFont val="Aptos Narrow"/>
      </rPr>
      <t>¹</t>
    </r>
    <r>
      <rPr>
        <sz val="10"/>
        <color theme="1"/>
        <rFont val="Arial"/>
      </rPr>
      <t>defined by CTCAC Regulations Section 10302</t>
    </r>
  </si>
  <si>
    <t xml:space="preserve">Evidence of licensed child care provided to residents (20 hours per week Monday through Friday). </t>
  </si>
  <si>
    <t>https://www.govtrack.us/congress/members/map</t>
  </si>
  <si>
    <t>Total Eligible Basis:</t>
  </si>
  <si>
    <t>Central Valley Region: Fresno, Kern, Kings, Madera, Merced, San Joaquin, Stanislaus, and Tulare Counties</t>
  </si>
  <si>
    <t xml:space="preserve">Evidence of after school programs for school age children. </t>
  </si>
  <si>
    <t>SHASTA</t>
  </si>
  <si>
    <t>Shasta</t>
  </si>
  <si>
    <t xml:space="preserve">Case Manager evidence. </t>
  </si>
  <si>
    <t xml:space="preserve">Evidence of health or behavioral services provided by appropriately-licensed organization or individual.  </t>
  </si>
  <si>
    <t>TAB 26 Readiness to Proceed</t>
  </si>
  <si>
    <t>San Diego County</t>
  </si>
  <si>
    <t>SIERRA</t>
  </si>
  <si>
    <t>Sierra</t>
  </si>
  <si>
    <t>READINESS TO PROCEED</t>
  </si>
  <si>
    <t>Reg. Section 10325(c)(7)(A)&amp;(B)</t>
  </si>
  <si>
    <t>C.</t>
  </si>
  <si>
    <t>Credit Amount Requested</t>
  </si>
  <si>
    <t>Inland Empire Region: San Bernardino, Riverside, and Imperial Counties</t>
  </si>
  <si>
    <t>SISKIYOU</t>
  </si>
  <si>
    <t>Siskiyou</t>
  </si>
  <si>
    <t>Readiness Points  (CDLAC Points System)</t>
  </si>
  <si>
    <t>Enforceable financing commitments for all construction financing</t>
  </si>
  <si>
    <t>Federal</t>
  </si>
  <si>
    <t>Reg. §10325(c)(7)(A)</t>
  </si>
  <si>
    <t xml:space="preserve">TAB 28 State Credit Application </t>
  </si>
  <si>
    <t>East Bay Region: Alameda and Contra Costa Counties</t>
  </si>
  <si>
    <t>SOLANO</t>
  </si>
  <si>
    <t>Solano</t>
  </si>
  <si>
    <t>$500 Million ($500M) State Credits - Readiness to Proceed</t>
  </si>
  <si>
    <t>State</t>
  </si>
  <si>
    <t>Reg. Sections 10317(j) and 10325(c)(7)</t>
  </si>
  <si>
    <t>Type:</t>
  </si>
  <si>
    <t xml:space="preserve">State Farmworker Credit Application </t>
  </si>
  <si>
    <t>(select)</t>
  </si>
  <si>
    <t>Reg. §§ 10302(bb) &amp; 10317(h)</t>
  </si>
  <si>
    <r>
      <rPr>
        <sz val="10"/>
        <color theme="1"/>
        <rFont val="Arial"/>
      </rPr>
      <t xml:space="preserve">Provide evidence of eligibility and include </t>
    </r>
    <r>
      <rPr>
        <u/>
        <sz val="10"/>
        <color theme="1"/>
        <rFont val="Arial"/>
      </rPr>
      <t>signed</t>
    </r>
    <r>
      <rPr>
        <sz val="10"/>
        <color theme="1"/>
        <rFont val="Arial"/>
      </rPr>
      <t xml:space="preserve">: </t>
    </r>
  </si>
  <si>
    <t>Attachments - Exhibit B: Farmworker tab</t>
  </si>
  <si>
    <t>Orange County</t>
  </si>
  <si>
    <t>SONOMA</t>
  </si>
  <si>
    <t>Sonoma</t>
  </si>
  <si>
    <t>TAB 29 CDLAC Points for Acquisition/Rehabilitation and New Construction</t>
  </si>
  <si>
    <t>Acquisition/Rehabilitation Project Priorities</t>
  </si>
  <si>
    <t>Section 5105(b) of the CDLAC Regulations</t>
  </si>
  <si>
    <t>South and West Bay Region: San Mateo and Santa Clara Counties</t>
  </si>
  <si>
    <t>STANISLAUS</t>
  </si>
  <si>
    <t>Stanislaus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</si>
  <si>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</si>
  <si>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D.</t>
  </si>
  <si>
    <r>
      <rPr>
        <b/>
        <sz val="10"/>
        <color theme="1"/>
        <rFont val="Arial"/>
      </rPr>
      <t>Federal Minimum Set-Aside Election</t>
    </r>
    <r>
      <rPr>
        <sz val="8"/>
        <color theme="1"/>
        <rFont val="Arial"/>
      </rPr>
      <t xml:space="preserve"> (IRC Section 42(g)(1))</t>
    </r>
  </si>
  <si>
    <t>Capital Region: El Dorado, Placer, Sacramento, Sutter, Yuba, and Yolo Counties</t>
  </si>
  <si>
    <t>SUTTER</t>
  </si>
  <si>
    <t>Sutter</t>
  </si>
  <si>
    <t>New Construction Density and Local Incentives</t>
  </si>
  <si>
    <t>40%/60%</t>
  </si>
  <si>
    <t>Section 5105(c) of the CDLAC Regulations</t>
  </si>
  <si>
    <t>Central Coast Region: Monterey, San Luis Obispo, Santa Barbara, Santa Cruz, and Ventura Counties</t>
  </si>
  <si>
    <t>TEHAMA</t>
  </si>
  <si>
    <t>Tehama</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</si>
  <si>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</si>
  <si>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Northern Region: Butte, Marin, Napa, Shasta, Solano, and Sonoma Counties</t>
  </si>
  <si>
    <t>TRINITY</t>
  </si>
  <si>
    <t>Trinity</t>
  </si>
  <si>
    <t>E.</t>
  </si>
  <si>
    <t>Housing Type Selection</t>
  </si>
  <si>
    <t>San Francisco County</t>
  </si>
  <si>
    <t>TULARE</t>
  </si>
  <si>
    <t>Tulare</t>
  </si>
  <si>
    <t>TABS 30-35 CDLAC Requirements</t>
  </si>
  <si>
    <t>TUOLUMNE</t>
  </si>
  <si>
    <t>Adopted Inducement Resolution</t>
  </si>
  <si>
    <t>Tuolumne</t>
  </si>
  <si>
    <t>Section 5003(c)(4) CDLAC Regulations.</t>
  </si>
  <si>
    <t>Enter number of Special Needs units: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</si>
  <si>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</si>
  <si>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</si>
  <si>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</si>
  <si>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</si>
  <si>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VENTURA</t>
  </si>
  <si>
    <t>Ventura</t>
  </si>
  <si>
    <t>Section 5108 of the CDLAC Regulations</t>
  </si>
  <si>
    <t>If Special Needs Housing Type and less than 75% Special Needs units, specify the standards the non-special needs units will meet:</t>
  </si>
  <si>
    <t xml:space="preserve">CDLAC Supplemental Allocation </t>
  </si>
  <si>
    <t>Corporation</t>
  </si>
  <si>
    <t>State Farmworker Credit</t>
  </si>
  <si>
    <t>YOLO</t>
  </si>
  <si>
    <t>Yolo</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</si>
  <si>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</si>
  <si>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General Partnership</t>
  </si>
  <si>
    <t>15% set-aside</t>
  </si>
  <si>
    <t>YUBA</t>
  </si>
  <si>
    <t>Yuba</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</si>
  <si>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</si>
  <si>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</si>
  <si>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If Senior, identify the minimum age requirement:</t>
  </si>
  <si>
    <t>TABS 36 CDLAC Housing Pools</t>
  </si>
  <si>
    <t>Individual</t>
  </si>
  <si>
    <t>15% set-aside with qualifying low value rehab</t>
  </si>
  <si>
    <t>Provide documentation of Rural status: evidence that the proposed project is located in an eligible rural area.</t>
  </si>
  <si>
    <t>If At-Risk, identify when the longest term existing restriction(s) will expire:</t>
  </si>
  <si>
    <t>https://www.treasurer.ca.gov/ctcac/2026/rural-status.pdf</t>
  </si>
  <si>
    <t>Joint Venture</t>
  </si>
  <si>
    <t>$500M</t>
  </si>
  <si>
    <t>Provide documentation of Acquisition/Rehabilitation Pool status:  identify which criterion is applicable to the project, and include all necessary supporting documentation.</t>
  </si>
  <si>
    <t>Limited Partnership</t>
  </si>
  <si>
    <t>$500M (Farmworker Housing)</t>
  </si>
  <si>
    <r>
      <rPr>
        <sz val="10"/>
        <color theme="1"/>
        <rFont val="Arial"/>
      </rP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color theme="1"/>
        <rFont val="Arial"/>
      </rPr>
      <t>as evidenced by the Capital Needs Assessment Report.</t>
    </r>
  </si>
  <si>
    <t>F.</t>
  </si>
  <si>
    <r>
      <rPr>
        <b/>
        <sz val="10"/>
        <color theme="1"/>
        <rFont val="Arial"/>
      </rPr>
      <t xml:space="preserve">CTCAC Geographic Area </t>
    </r>
    <r>
      <rPr>
        <sz val="8"/>
        <color theme="1"/>
        <rFont val="Arial"/>
      </rPr>
      <t>(Reg. Section 10315(i))</t>
    </r>
  </si>
  <si>
    <r>
      <rPr>
        <b/>
        <sz val="10"/>
        <color theme="1"/>
        <rFont val="Arial"/>
      </rPr>
      <t xml:space="preserve">CDLAC Region </t>
    </r>
    <r>
      <rPr>
        <sz val="8"/>
        <color theme="1"/>
        <rFont val="Arial"/>
      </rPr>
      <t>(§ 5022)</t>
    </r>
  </si>
  <si>
    <t>Local Government</t>
  </si>
  <si>
    <t>Please select the project's CTCAC geographic area and CDLAC geographic region:</t>
  </si>
  <si>
    <t>Nonprofit Organization</t>
  </si>
  <si>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</si>
  <si>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</si>
  <si>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California Enterprise Development Authority</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</si>
  <si>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</si>
  <si>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California Housing Finance Agency</t>
  </si>
  <si>
    <t xml:space="preserve">G. </t>
  </si>
  <si>
    <r>
      <rPr>
        <b/>
        <sz val="10"/>
        <color theme="1"/>
        <rFont val="Arial"/>
      </rPr>
      <t xml:space="preserve">CDLAC Pools and Set-Asides </t>
    </r>
    <r>
      <rPr>
        <sz val="10"/>
        <color theme="1"/>
        <rFont val="Arial"/>
      </rPr>
      <t>(§ 5101)</t>
    </r>
  </si>
  <si>
    <t>California Infrastructure and Economic Development Bank</t>
  </si>
  <si>
    <t>Please indicate all applicable pools and set-asides:</t>
  </si>
  <si>
    <t>California Municipal Finance Authority</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</si>
  <si>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</si>
  <si>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California Public Finance Authority</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</si>
  <si>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</si>
  <si>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</si>
  <si>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</si>
  <si>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</si>
  <si>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</si>
  <si>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</si>
  <si>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</si>
  <si>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</si>
  <si>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</si>
  <si>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</si>
  <si>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</si>
  <si>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</si>
  <si>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</si>
  <si>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</si>
  <si>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</si>
  <si>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</si>
  <si>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</si>
  <si>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</si>
  <si>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</si>
  <si>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</si>
  <si>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</si>
  <si>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</si>
  <si>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</si>
  <si>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</si>
  <si>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</si>
  <si>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</si>
  <si>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</si>
  <si>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 xml:space="preserve">4380 Bonita Road </t>
  </si>
  <si>
    <t>Bonita</t>
  </si>
  <si>
    <t>State:</t>
  </si>
  <si>
    <t xml:space="preserve">CA </t>
  </si>
  <si>
    <t>Contact Person:</t>
  </si>
  <si>
    <t xml:space="preserve">Justice Lepe </t>
  </si>
  <si>
    <t>Phone:</t>
  </si>
  <si>
    <t>619-302-0265</t>
  </si>
  <si>
    <t>Ext.:</t>
  </si>
  <si>
    <t>Fax:</t>
  </si>
  <si>
    <t>both nonprofits</t>
  </si>
  <si>
    <t xml:space="preserve">Email: </t>
  </si>
  <si>
    <t>justicelepe@gmail.com</t>
  </si>
  <si>
    <t>Legal Status of Applicant:</t>
  </si>
  <si>
    <t>Parent Company:</t>
  </si>
  <si>
    <t>Foster Hamilton Affordable</t>
  </si>
  <si>
    <t>If Other, Specify:</t>
  </si>
  <si>
    <t>both for-profit</t>
  </si>
  <si>
    <t>General Partner(s) Information (post-closing GPs):</t>
  </si>
  <si>
    <t>D(1)</t>
  </si>
  <si>
    <t>General Partner Name:</t>
  </si>
  <si>
    <t xml:space="preserve">427 SD Apartments, LLC </t>
  </si>
  <si>
    <t>Administrative GP</t>
  </si>
  <si>
    <t>OWNERSHIP</t>
  </si>
  <si>
    <t>Nonprofit</t>
  </si>
  <si>
    <t xml:space="preserve">Bonita </t>
  </si>
  <si>
    <t>CA</t>
  </si>
  <si>
    <t>INTEREST (%):</t>
  </si>
  <si>
    <t>currently exists</t>
  </si>
  <si>
    <t xml:space="preserve">Anand Kannan </t>
  </si>
  <si>
    <t>to be formed</t>
  </si>
  <si>
    <t>For Profit</t>
  </si>
  <si>
    <t>714-300-5235</t>
  </si>
  <si>
    <t>anand@polaris@affordable.com</t>
  </si>
  <si>
    <t>Nonprofit/For Profit:</t>
  </si>
  <si>
    <t>Foster Hamilton/Polaris Affordable.</t>
  </si>
  <si>
    <t>D(2)</t>
  </si>
  <si>
    <t>General Partner Name:*</t>
  </si>
  <si>
    <t xml:space="preserve">Community Resident Services, Inc </t>
  </si>
  <si>
    <t>Managing GP</t>
  </si>
  <si>
    <t xml:space="preserve">500 Capital Mall , Suite 1550 </t>
  </si>
  <si>
    <t>Erin Myers</t>
  </si>
  <si>
    <t>916-900-1307</t>
  </si>
  <si>
    <t>erin@communityresidentservices.com</t>
  </si>
  <si>
    <t>CalHFA Application Addendum to CTCAC Application Workbook</t>
  </si>
  <si>
    <t>D(3)</t>
  </si>
  <si>
    <t xml:space="preserve">All yellow cells in this addendum must be completed, if applicable.  </t>
  </si>
  <si>
    <t>AMI Band</t>
  </si>
  <si>
    <t>Percent</t>
  </si>
  <si>
    <t>Projected Date for Final Plans:</t>
  </si>
  <si>
    <t>30 AMI</t>
  </si>
  <si>
    <t>General Partner(s) or Principal Owner(s) Type</t>
  </si>
  <si>
    <t>*If Joint Venture, 2nd GP must be included if</t>
  </si>
  <si>
    <t>applicant is pursuing a property tax exemption</t>
  </si>
  <si>
    <t>Reg. Section 10327(g)(2) - "TBD" not sufficient</t>
  </si>
  <si>
    <t>Projected Date for Design:</t>
  </si>
  <si>
    <t>If to be formed, enter date:</t>
  </si>
  <si>
    <t>50 AMI</t>
  </si>
  <si>
    <t>*(Federal I.D. No. must be obtained prior to submitting carryover allocation package)</t>
  </si>
  <si>
    <t>Sponsor/Developer Name</t>
  </si>
  <si>
    <t>G.</t>
  </si>
  <si>
    <t>Company Name:</t>
  </si>
  <si>
    <t>Polaris Affordable. LLC</t>
  </si>
  <si>
    <t>Number of Building Stories:</t>
  </si>
  <si>
    <t>2160 Barranca Pkwy, Suite 1241</t>
  </si>
  <si>
    <t>70 to 80 AMI</t>
  </si>
  <si>
    <t>Irvine</t>
  </si>
  <si>
    <t>Number of Elevators:</t>
  </si>
  <si>
    <t>Will this project be scattered site? (Defined by CDLAC, Article 1, Section 5100)</t>
  </si>
  <si>
    <t>Construction Type:</t>
  </si>
  <si>
    <t>Anand Kannan</t>
  </si>
  <si>
    <t>Construction Type</t>
  </si>
  <si>
    <t>anand@polarisaffordable.com</t>
  </si>
  <si>
    <t>Estimated  Completion Date</t>
  </si>
  <si>
    <t>Acquisition only</t>
  </si>
  <si>
    <t>Participatory Role:</t>
  </si>
  <si>
    <t xml:space="preserve">Developer/General Partner </t>
  </si>
  <si>
    <t>CalHFA Permanent Loan Amount</t>
  </si>
  <si>
    <t>(e.g., General Partner, Consultant, etc.)</t>
  </si>
  <si>
    <t>Estimated Lease Up Start Date</t>
  </si>
  <si>
    <t>II. APPLICATION - SECTION 4: DEVELOPMENT TEAM INFORMATION</t>
  </si>
  <si>
    <t>Acquisition/Rehab</t>
  </si>
  <si>
    <t>CalHFA MIP Loan Amount*</t>
  </si>
  <si>
    <t>Estimated 90% Occupancy Date</t>
  </si>
  <si>
    <t>Indicate and List All Development Team Members</t>
  </si>
  <si>
    <t>New Construction/Rehab</t>
  </si>
  <si>
    <t>Did the project obtain entitlement via SB35?</t>
  </si>
  <si>
    <t>Developer:</t>
  </si>
  <si>
    <t>Polaris Affordable, LLC</t>
  </si>
  <si>
    <t># ADA Units:</t>
  </si>
  <si>
    <t>Architect:</t>
  </si>
  <si>
    <t xml:space="preserve">Irwin Partners Architects </t>
  </si>
  <si>
    <t>Address:</t>
  </si>
  <si>
    <t>2160 Barranca Pkwy, #1241</t>
  </si>
  <si>
    <t>Existing/Rehab</t>
  </si>
  <si>
    <t>245 Fischer Ave, Suite B2</t>
  </si>
  <si>
    <t>CalHFA Application Initial/Update Submission Date:</t>
  </si>
  <si>
    <t>City, State, Zip</t>
  </si>
  <si>
    <t>Irvine, CA 92606</t>
  </si>
  <si>
    <t>City, State, Zip:</t>
  </si>
  <si>
    <t>Costa Mesa, CA 92626</t>
  </si>
  <si>
    <t>Senior Housing Age Restriction:</t>
  </si>
  <si>
    <t>Melisa Pence</t>
  </si>
  <si>
    <t>CTCAC Application Submission Date:</t>
  </si>
  <si>
    <t>714-557-2448</t>
  </si>
  <si>
    <t>Email:</t>
  </si>
  <si>
    <t>Rent Limit Summary Table</t>
  </si>
  <si>
    <t>mpence@ipaoc.com</t>
  </si>
  <si>
    <t>Restriction @ AMI</t>
  </si>
  <si>
    <t>Attorney:</t>
  </si>
  <si>
    <t>Total</t>
  </si>
  <si>
    <t xml:space="preserve">Downs Pham and Kuei </t>
  </si>
  <si>
    <t>General Contractor:</t>
  </si>
  <si>
    <t xml:space="preserve">Paragon Constructon </t>
  </si>
  <si>
    <t>235 Montgomery ST, Suite 1169</t>
  </si>
  <si>
    <t>% of Total</t>
  </si>
  <si>
    <t xml:space="preserve">2656 E Denim Trl </t>
  </si>
  <si>
    <t>San Francisco, CA 94104</t>
  </si>
  <si>
    <t>San Tan Valley, AZ 85143</t>
  </si>
  <si>
    <t>Daniel Felix</t>
  </si>
  <si>
    <t>Kyle Weaver</t>
  </si>
  <si>
    <t>602-695-5319</t>
  </si>
  <si>
    <t>dfelix@downspham.com</t>
  </si>
  <si>
    <t>kyle.weaver@pcc-build.com</t>
  </si>
  <si>
    <t>Tax Professional:</t>
  </si>
  <si>
    <t>Propp Christenson and Caniglia LLP</t>
  </si>
  <si>
    <t>Energy Consultant:</t>
  </si>
  <si>
    <t xml:space="preserve">Partner Energy </t>
  </si>
  <si>
    <t>9261 Sierra College Boulevard</t>
  </si>
  <si>
    <t xml:space="preserve">4518 N. 12th Street </t>
  </si>
  <si>
    <t>Roseville, CA 95661</t>
  </si>
  <si>
    <t>Phoenix, AZ 85014</t>
  </si>
  <si>
    <t xml:space="preserve">Justin Gierth </t>
  </si>
  <si>
    <t>Kristine McConville</t>
  </si>
  <si>
    <t>916-847-2738</t>
  </si>
  <si>
    <t>602-603-5103</t>
  </si>
  <si>
    <t>jgierth@pccllp.com</t>
  </si>
  <si>
    <t>kmcconville@partneresi.com</t>
  </si>
  <si>
    <t>CPA:</t>
  </si>
  <si>
    <t>Investor:</t>
  </si>
  <si>
    <t>PNC Bank</t>
  </si>
  <si>
    <t>Michael Gaber</t>
  </si>
  <si>
    <t>michael.gaber@pnc.com</t>
  </si>
  <si>
    <t>Consultant:</t>
  </si>
  <si>
    <t>Market Analyst:</t>
  </si>
  <si>
    <t>Kinetic Valuation Group</t>
  </si>
  <si>
    <t>3901 S 147th St, Suite 144</t>
  </si>
  <si>
    <t>Omaha, NE 68144</t>
  </si>
  <si>
    <t>Jay Wortmann</t>
  </si>
  <si>
    <t>402-202-0771</t>
  </si>
  <si>
    <t>jay@kvgteam.com</t>
  </si>
  <si>
    <t>Appraiser:</t>
  </si>
  <si>
    <t xml:space="preserve">Kinetic Valuation Group </t>
  </si>
  <si>
    <t>CNA Consultant:</t>
  </si>
  <si>
    <t>Bond Issuer:</t>
  </si>
  <si>
    <t>Prop. Mgmt. Co.:</t>
  </si>
  <si>
    <t>Sherman Heights Property Mgmt Inc.</t>
  </si>
  <si>
    <t xml:space="preserve">2111 Palomar Airport Road, Suite 320 </t>
  </si>
  <si>
    <t>4380 Bonita Road</t>
  </si>
  <si>
    <t>Carlsbad, CA 92011</t>
  </si>
  <si>
    <t>Bonita, CA 91902</t>
  </si>
  <si>
    <t>Anthony Stubbs</t>
  </si>
  <si>
    <t>Mayra Gomez</t>
  </si>
  <si>
    <t>760-930-1333</t>
  </si>
  <si>
    <t>619-434-8606</t>
  </si>
  <si>
    <t>Manager's Unit</t>
  </si>
  <si>
    <t>astubbs@cmfa-ca.com</t>
  </si>
  <si>
    <t>mayra.gomez@shermanages.com</t>
  </si>
  <si>
    <t>2nd Prop. Mgmt. Co.:</t>
  </si>
  <si>
    <t>II. APPLICATION - SECTION 5: PROJECT INFORMATION</t>
  </si>
  <si>
    <t>NUMBER OF UNITS AND AMI RENTS RESTRICTED BY EACH AGENCY</t>
  </si>
  <si>
    <t>*Regulatory Source
(Type in Lender Names)</t>
  </si>
  <si>
    <t>Recordation (lien)
 Priority if 
Recorded Document</t>
  </si>
  <si>
    <t>Term of 
Agreement (years)</t>
  </si>
  <si>
    <t>Number of Units Restricted For Each AMI Category</t>
  </si>
  <si>
    <t>Type of Credit Requested</t>
  </si>
  <si>
    <t>Will demolition of an existing structure be involved?</t>
  </si>
  <si>
    <t>If demolition of housing units, how many units demolished?</t>
  </si>
  <si>
    <t>(enter various AMI%'s in each columns yellow field, then show the number of
 regulated units for each AMI, by Source)</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</si>
  <si>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</si>
  <si>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</si>
  <si>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</si>
  <si>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</si>
  <si>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</si>
  <si>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Total Regulated</t>
  </si>
  <si>
    <t>by IRC Sec. 42(d)(2)(B)(ii)?</t>
  </si>
  <si>
    <t>% Regulated</t>
  </si>
  <si>
    <t>CalHFA Bond</t>
  </si>
  <si>
    <t>If no, will it meet the waiver conditions of IRC Sec. 42(d)(6)?</t>
  </si>
  <si>
    <t>1st</t>
  </si>
  <si>
    <t>Acquisition basis is established using:</t>
  </si>
  <si>
    <t>Appraisal</t>
  </si>
  <si>
    <t xml:space="preserve">Will the rehabilitation and/or the income and rent restrictions of Sec. 42 cause relocation of </t>
  </si>
  <si>
    <t>existing tenants?</t>
  </si>
  <si>
    <t>CalHFA MIP</t>
  </si>
  <si>
    <t>2nd</t>
  </si>
  <si>
    <t xml:space="preserve">If yes, applicants must submit an explanation of relocation requirements, a detailed relocation plan including a budget with an identified funding source (see Checklist). </t>
  </si>
  <si>
    <t xml:space="preserve">Age of Existing Structures  </t>
  </si>
  <si>
    <t>41 years</t>
  </si>
  <si>
    <t xml:space="preserve">No. of Existing Buildings  </t>
  </si>
  <si>
    <t>CTCAC</t>
  </si>
  <si>
    <t>3rd</t>
  </si>
  <si>
    <t xml:space="preserve">No. of Occupied Buildings  </t>
  </si>
  <si>
    <t xml:space="preserve">No. of Existing Units  </t>
  </si>
  <si>
    <t xml:space="preserve">No. of Stories  </t>
  </si>
  <si>
    <t xml:space="preserve">Current Use:  </t>
  </si>
  <si>
    <t xml:space="preserve">Multifamily residential </t>
  </si>
  <si>
    <t>City [Add Funding Type]</t>
  </si>
  <si>
    <t>Resyndication Projects</t>
  </si>
  <si>
    <t>Current/original CTCAC ID:</t>
  </si>
  <si>
    <t>First year of credit:</t>
  </si>
  <si>
    <t>Are Transfer Event provisions applicable?  See questionnaire on CTCAC website.</t>
  </si>
  <si>
    <t>Is the project currently under a Capital Needs Agreement with CTCAC?</t>
  </si>
  <si>
    <t>County [Add Funding Type]</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</si>
  <si>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</si>
  <si>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</si>
  <si>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</si>
  <si>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</si>
  <si>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</si>
  <si>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</si>
  <si>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 xml:space="preserve">Bridgeport Properties </t>
  </si>
  <si>
    <t>Signatory of Seller:</t>
  </si>
  <si>
    <t xml:space="preserve">Larry Gough </t>
  </si>
  <si>
    <t>Seller Principal:</t>
  </si>
  <si>
    <t>HAP Use Agreement</t>
  </si>
  <si>
    <t xml:space="preserve">Principal </t>
  </si>
  <si>
    <t>Local Dev Agreement</t>
  </si>
  <si>
    <t>Density Bonus or CUP</t>
  </si>
  <si>
    <t>Seller Address:</t>
  </si>
  <si>
    <t>Ground Lease</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</si>
  <si>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</si>
  <si>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</si>
  <si>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</si>
  <si>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</si>
  <si>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</si>
  <si>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</si>
  <si>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</si>
  <si>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</si>
  <si>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</si>
  <si>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*Note: Enter information based on the anticipated order of lien/recordation priority.  Revise the AMI levels as needed to reflect the anticipated restrictions. </t>
  </si>
  <si>
    <t xml:space="preserve">Real Estate Tax Rate:  </t>
  </si>
  <si>
    <t>Purchase price over appraisal</t>
  </si>
  <si>
    <t>V. BASIS AND CREDITS : 4% FEDERAL AND STATE CREDIT</t>
  </si>
  <si>
    <t>Amount of SOFT perm financing covering the excess purchase price over appraised value</t>
  </si>
  <si>
    <t>If more space is needed for this chart, Applicant may submit a separate supplemental chart in the same format.</t>
  </si>
  <si>
    <t>Social Service Proposed Budget and Information</t>
  </si>
  <si>
    <t>Project site is subject to development ordinances or legally enforceable mandates?</t>
  </si>
  <si>
    <t>Provider Name</t>
  </si>
  <si>
    <t>Master Developer:</t>
  </si>
  <si>
    <t>Contract Term (Years)</t>
  </si>
  <si>
    <t>Proposed Cost/Budget of Services Amenities ($)</t>
  </si>
  <si>
    <t>Master developer parent company, if applicable:</t>
  </si>
  <si>
    <t xml:space="preserve">Number of hours for services staff members per week </t>
  </si>
  <si>
    <t>Funding Source, if not part of operating expense</t>
  </si>
  <si>
    <t>Services Company 1</t>
  </si>
  <si>
    <t>Project site will be subject to a ground lease?</t>
  </si>
  <si>
    <t>Projects w/ building(s) located in DDA/QCT areas &amp; Non-DDA/Non-QCT areas, bifurcate accordingly.</t>
  </si>
  <si>
    <t>Term (in years):</t>
  </si>
  <si>
    <t>Project owner is/will be the lessee?</t>
  </si>
  <si>
    <t>Services Company 2</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</si>
  <si>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</si>
  <si>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</si>
  <si>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</si>
  <si>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</si>
  <si>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</si>
  <si>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</si>
  <si>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One or Two Story Garden</t>
  </si>
  <si>
    <t>Two or More Story With an Elevator:</t>
  </si>
  <si>
    <t xml:space="preserve"> if yes, enter number of stories:</t>
  </si>
  <si>
    <t>Ineligible Amounts</t>
  </si>
  <si>
    <t>Two or More Story Without an Elevator:</t>
  </si>
  <si>
    <t>One or More Levels of Subterranean Parking:</t>
  </si>
  <si>
    <t>Subtract All Grant Proceeds Used to Finance Costs in Eligible Basis:</t>
  </si>
  <si>
    <t xml:space="preserve">Multiple sites and multiple configurations as sent to TCAC as part of the waiver request previously. </t>
  </si>
  <si>
    <t>Description of Service (If necessary, use separate sheet)</t>
  </si>
  <si>
    <t>Subtract Non-Qualified Non-Recourse Financing:</t>
  </si>
  <si>
    <t>Density:</t>
  </si>
  <si>
    <t>x</t>
  </si>
  <si>
    <t>Feet</t>
  </si>
  <si>
    <t>Acres</t>
  </si>
  <si>
    <t>Square Feet</t>
  </si>
  <si>
    <t>If irregular, specify measurements in feet, acres, and square feet:</t>
  </si>
  <si>
    <t>Please see page 2 of the appraisal for breakdown of buildings and acreage</t>
  </si>
  <si>
    <t>Subtract Non-Qualifying Portion of Higher Quality Units:</t>
  </si>
  <si>
    <t>Net Acres</t>
  </si>
  <si>
    <t>Bedrooms per Net Acre</t>
  </si>
  <si>
    <t>Site Acquisition Information</t>
  </si>
  <si>
    <t>Total Number of Buildings:</t>
  </si>
  <si>
    <t>Subtract Photovoltaic Credit (as applicable):</t>
  </si>
  <si>
    <t>Residential Buildings:</t>
  </si>
  <si>
    <t>Community Buildings:</t>
  </si>
  <si>
    <t>Commercial/ Retail Space:</t>
  </si>
  <si>
    <t>Carrying Costs Breakdown (total carrying costs should match S/U budget)</t>
  </si>
  <si>
    <r>
      <rPr>
        <sz val="8"/>
        <color theme="1"/>
        <rFont val="Arial"/>
      </rPr>
      <t xml:space="preserve">If Commercial/ Retail Space, explain: </t>
    </r>
    <r>
      <rPr>
        <i/>
        <sz val="8"/>
        <color theme="1"/>
        <rFont val="Arial"/>
      </rPr>
      <t>(include use, size, location, and purpose)</t>
    </r>
  </si>
  <si>
    <t>Is the acquisition transaction between related parties?</t>
  </si>
  <si>
    <t>Subtract Historic Credit (residential portion only):</t>
  </si>
  <si>
    <t>Yes or No</t>
  </si>
  <si>
    <t>Are Buildings on a Contiguous Site?</t>
  </si>
  <si>
    <t>Cost Description</t>
  </si>
  <si>
    <t>Subtract (specify other ineligible amounts):</t>
  </si>
  <si>
    <t>Amount $</t>
  </si>
  <si>
    <t>If not Contiguous, do buildings meet the requirements of IRC Sec. 42(g)(7)?</t>
  </si>
  <si>
    <t>If yes, when was the last arms-length transaction?</t>
  </si>
  <si>
    <t xml:space="preserve">Do any buildings have 4 or fewer units? </t>
  </si>
  <si>
    <t>Purchase Loan Interest:</t>
  </si>
  <si>
    <t xml:space="preserve">If yes, are any of the units to be occupied by the owner or </t>
  </si>
  <si>
    <t xml:space="preserve">Seller: </t>
  </si>
  <si>
    <t>a person related to the owner (IRC Sec. 42(i)(3)(c))?</t>
  </si>
  <si>
    <t>Total Ineligible Amounts:</t>
  </si>
  <si>
    <t>Taxes:</t>
  </si>
  <si>
    <t xml:space="preserve">Buyer: </t>
  </si>
  <si>
    <t>N/A - provide explanation</t>
  </si>
  <si>
    <t>Insurance:</t>
  </si>
  <si>
    <t>Total number of units:</t>
  </si>
  <si>
    <t>If related parties (or N/A), please provide detailed explanation:</t>
  </si>
  <si>
    <t>Other:  &lt;Enter information&gt;</t>
  </si>
  <si>
    <r>
      <rPr>
        <sz val="10"/>
        <color theme="1"/>
        <rFont val="Arial"/>
      </rPr>
      <t>Total number of non-Tax Credit Units</t>
    </r>
    <r>
      <rPr>
        <sz val="9"/>
        <color theme="1"/>
        <rFont val="Arial"/>
      </rPr>
      <t xml:space="preserve"> (i.e. market rate units) (excluding managers' units)</t>
    </r>
    <r>
      <rPr>
        <sz val="10"/>
        <color theme="1"/>
        <rFont val="Arial"/>
      </rPr>
      <t>:</t>
    </r>
  </si>
  <si>
    <t>&lt;insert information&gt;</t>
  </si>
  <si>
    <r>
      <rPr>
        <sz val="10"/>
        <color theme="1"/>
        <rFont val="Arial"/>
      </rPr>
      <t xml:space="preserve">Total number of units </t>
    </r>
    <r>
      <rPr>
        <sz val="9"/>
        <color theme="1"/>
        <rFont val="Arial"/>
      </rPr>
      <t>(excluding managers’ units):</t>
    </r>
  </si>
  <si>
    <t>Total:</t>
  </si>
  <si>
    <t>Total number of Low Income Units:</t>
  </si>
  <si>
    <t>*Total Eligible Basis Amount Voluntarily Excluded:</t>
  </si>
  <si>
    <r>
      <rPr>
        <sz val="10"/>
        <color theme="1"/>
        <rFont val="Arial"/>
      </rPr>
      <t>Ratio of Low Income Units to total units</t>
    </r>
    <r>
      <rPr>
        <sz val="9"/>
        <color theme="1"/>
        <rFont val="Arial"/>
      </rPr>
      <t xml:space="preserve"> (excluding managers’ units):</t>
    </r>
  </si>
  <si>
    <t>Total Basis Reduction:</t>
  </si>
  <si>
    <t>Developer (General Partner)</t>
  </si>
  <si>
    <r>
      <rPr>
        <sz val="10"/>
        <color theme="1"/>
        <rFont val="Arial"/>
      </rPr>
      <t xml:space="preserve">Total square footage of all residential units </t>
    </r>
    <r>
      <rPr>
        <sz val="9"/>
        <color theme="1"/>
        <rFont val="Arial"/>
      </rPr>
      <t>(excluding managers’ units):</t>
    </r>
  </si>
  <si>
    <t>Name:</t>
  </si>
  <si>
    <t>Total Requested Unadjusted Eligible Basis:</t>
  </si>
  <si>
    <t>Total square footage of Low Income Units:</t>
  </si>
  <si>
    <r>
      <rPr>
        <sz val="10"/>
        <color theme="1"/>
        <rFont val="Arial"/>
      </rPr>
      <t xml:space="preserve">Ratio of low-income residential to total residential square footage </t>
    </r>
    <r>
      <rPr>
        <sz val="9"/>
        <color theme="1"/>
        <rFont val="Arial"/>
      </rPr>
      <t>(excluding managers’ units):</t>
    </r>
  </si>
  <si>
    <t>Total Adjusted Threshold Basis Limit:</t>
  </si>
  <si>
    <t>Developer Experience (Enter # for Each Phase - pipeline, under construction, completed)</t>
  </si>
  <si>
    <r>
      <rPr>
        <sz val="10"/>
        <color theme="1"/>
        <rFont val="Arial"/>
      </rPr>
      <t xml:space="preserve">Applicable fraction, smaller of unit or square footage ratio </t>
    </r>
    <r>
      <rPr>
        <sz val="9"/>
        <color theme="1"/>
        <rFont val="Arial"/>
      </rPr>
      <t>(used on "Basis &amp; Credits"):</t>
    </r>
  </si>
  <si>
    <t>**QCT or DDA Adjustment:</t>
  </si>
  <si>
    <t>Does the Sponsor/Developer alone meet the minimum 7 points requirement pursuant to CDLAC Regulations Section 5105(f)?</t>
  </si>
  <si>
    <t xml:space="preserve">Total interior amenity space square footage (CTCAC Regulation Section 10325(g)(1)): </t>
  </si>
  <si>
    <t>Total Adjusted Eligible Basis:</t>
  </si>
  <si>
    <t>Total commercial/ retail space square footage:</t>
  </si>
  <si>
    <t>Applicable Fraction:</t>
  </si>
  <si>
    <r>
      <rPr>
        <sz val="10"/>
        <color theme="1"/>
        <rFont val="Arial"/>
      </rPr>
      <t>Total common area square footage</t>
    </r>
    <r>
      <rPr>
        <sz val="9"/>
        <color theme="1"/>
        <rFont val="Arial"/>
      </rPr>
      <t xml:space="preserve"> (including managers’ units):</t>
    </r>
  </si>
  <si>
    <t>Pipeline</t>
  </si>
  <si>
    <r>
      <rPr>
        <sz val="10"/>
        <color theme="1"/>
        <rFont val="Arial"/>
      </rPr>
      <t>Total parking structure square footage</t>
    </r>
    <r>
      <rPr>
        <sz val="8"/>
        <color theme="1"/>
        <rFont val="Arial"/>
      </rPr>
      <t xml:space="preserve"> </t>
    </r>
    <r>
      <rPr>
        <sz val="9"/>
        <color theme="1"/>
        <rFont val="Arial"/>
      </rPr>
      <t>(excludes car-ports and "tuck under" parking):</t>
    </r>
  </si>
  <si>
    <t>Under Construction</t>
  </si>
  <si>
    <t>Completed within past 5 years in CA</t>
  </si>
  <si>
    <t>In CalHFA Portfolio</t>
  </si>
  <si>
    <r>
      <rPr>
        <b/>
        <sz val="10"/>
        <color theme="1"/>
        <rFont val="Arial"/>
      </rPr>
      <t>*Total square footage of all project structures</t>
    </r>
    <r>
      <rPr>
        <sz val="10"/>
        <color theme="1"/>
        <rFont val="Arial"/>
      </rPr>
      <t xml:space="preserve"> </t>
    </r>
    <r>
      <rPr>
        <sz val="9"/>
        <color theme="1"/>
        <rFont val="Arial"/>
      </rPr>
      <t>(excluding commercial/retail):</t>
    </r>
  </si>
  <si>
    <t>Qualified Basis:</t>
  </si>
  <si>
    <t># of Affordable</t>
  </si>
  <si>
    <t>*equals: "total square footage of all residential units" + "total interior amenity space square footage" + "total common area square footage" + "total parking structure square footage")</t>
  </si>
  <si>
    <t>Total Qualified Basis:</t>
  </si>
  <si>
    <t># of Market Rate</t>
  </si>
  <si>
    <t>If no or N/A, provide explanation:</t>
  </si>
  <si>
    <t>*Voluntary exclusions of eligible basis should be made from rehabilitation eligible basis.</t>
  </si>
  <si>
    <t>Total # of Units</t>
  </si>
  <si>
    <t>**130% boost if the building(s) is/are located in a DDA or QCT, or Reg. Section 10317(d) as applicable.</t>
  </si>
  <si>
    <t>Total Project Cost per Unit</t>
  </si>
  <si>
    <t>(Boost is auto calculated from your selection in: II. APPLICATION - SECTION 2: GENERAL AND SUMMARY INFORMATION - B)</t>
  </si>
  <si>
    <t>Total Residential Project Cost per Unit</t>
  </si>
  <si>
    <t>New Const/
Rehab</t>
  </si>
  <si>
    <t>Acquisition</t>
  </si>
  <si>
    <t>Co-Developer/Co-General Partner</t>
  </si>
  <si>
    <t>Total Eligible Basis per Unit</t>
  </si>
  <si>
    <t>H.</t>
  </si>
  <si>
    <t>Completion of this section is required.  The completed table should be consistent with information</t>
  </si>
  <si>
    <t>Co-Developer Experience (Enter # for Each Phase - pipeline, under construction, completed)</t>
  </si>
  <si>
    <t>Applicable Percentage:</t>
  </si>
  <si>
    <t>provided in the application and attachments.  If units are reserved for more than one population</t>
  </si>
  <si>
    <t>Does the Co-Sponsor/Developer alone meet the minimum 7 points requirement pursuant to CDLAC Regulations Section 5105(f)?</t>
  </si>
  <si>
    <t>Subtotal Annual Federal Credit:</t>
  </si>
  <si>
    <t>type, complete the explanation section.</t>
  </si>
  <si>
    <t>Total Combined Annual Federal Credit:</t>
  </si>
  <si>
    <t>Indicate the number of units anticipated for the following populations:</t>
  </si>
  <si>
    <t>Homeless</t>
  </si>
  <si>
    <t>Federal Credit</t>
  </si>
  <si>
    <t>Transitional housing</t>
  </si>
  <si>
    <t>Persons with physical, mental, development disabilities</t>
  </si>
  <si>
    <t>Persons with HIV/AIDS</t>
  </si>
  <si>
    <t>Development Pipeline For Other General Partner</t>
  </si>
  <si>
    <t>Transition age youth</t>
  </si>
  <si>
    <t>Funding Gap</t>
  </si>
  <si>
    <t xml:space="preserve">Federal Tax Credit Factor </t>
  </si>
  <si>
    <t>Farmworker</t>
  </si>
  <si>
    <t xml:space="preserve">Federal tax credit factor must be at least $1.00 for self-syndication projects or at least $0.75 for all other projects.  </t>
  </si>
  <si>
    <t>Family Reunification</t>
  </si>
  <si>
    <t>Other General Partner Experience (Enter # in Each Phase - pipeline, under construction, completed)</t>
  </si>
  <si>
    <t>Total Credits Necessary for Feasibility</t>
  </si>
  <si>
    <t>Annual Federal Credit Necessary for Feasibility</t>
  </si>
  <si>
    <t>Maximum Annual Federal Credits</t>
  </si>
  <si>
    <t>Equity Raised From Federal Credit</t>
  </si>
  <si>
    <t>Veteran</t>
  </si>
  <si>
    <t>Remaining Funding Gap</t>
  </si>
  <si>
    <t>ADA and Accessible Units pursuant to CBC Chapter 11B</t>
  </si>
  <si>
    <t>Units with tenants qualifying as two or more of the above (explain):</t>
  </si>
  <si>
    <t xml:space="preserve">Determination of State Credit </t>
  </si>
  <si>
    <t>NC/Rehab</t>
  </si>
  <si>
    <t>Management Company Information</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</si>
  <si>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</si>
  <si>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</si>
  <si>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</si>
  <si>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</si>
  <si>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II. APPLICATION - SECTION 6:  REQUIRED APPROVALS &amp; DEVELOPMENT TIMETABLE</t>
  </si>
  <si>
    <t>Does the management company meet the minimum 3 points requirement pursuant to CDLAC Regulations Section 5105(f)?</t>
  </si>
  <si>
    <t>Maximum Subtotal State Credit</t>
  </si>
  <si>
    <t>Total Maximum State Credit</t>
  </si>
  <si>
    <t>Project and Site Information</t>
  </si>
  <si>
    <t>Current Land Use Designation</t>
  </si>
  <si>
    <t xml:space="preserve">Multifamily Residenial </t>
  </si>
  <si>
    <t xml:space="preserve">State tax credit factor must be at least $0.80 for "certified" state credits; at least $0.79 for self-syndication projects; or at least $0.70 for all other projects.   </t>
  </si>
  <si>
    <t>Current Zoning and Maximum Density</t>
  </si>
  <si>
    <t>Development Pipeline For Management Company</t>
  </si>
  <si>
    <t>Proposed Zoning and Maximum Density</t>
  </si>
  <si>
    <t>State Credit Necessary for Feasibility</t>
  </si>
  <si>
    <t xml:space="preserve">Does the project include green design features?  If yes, include a brief description below and list any green certifications that are anticipated: </t>
  </si>
  <si>
    <t>Occupancy restrictions that run with the land due to CUP’s or density bonuses?</t>
  </si>
  <si>
    <t xml:space="preserve">Management Company Experience </t>
  </si>
  <si>
    <t>Maximum State Credit</t>
  </si>
  <si>
    <t>(if yes, explain here)</t>
  </si>
  <si>
    <t>Equity Raised from State Credit</t>
  </si>
  <si>
    <t>Projects in CA</t>
  </si>
  <si>
    <t>Projects in CalHFA Portfolio</t>
  </si>
  <si>
    <t>Subject to Inclusionary Zoning?</t>
  </si>
  <si>
    <t>NO</t>
  </si>
  <si>
    <t># of Affordable Projects</t>
  </si>
  <si>
    <t>Building Height Requirements</t>
  </si>
  <si>
    <t># of Market Rate Projects</t>
  </si>
  <si>
    <t>Required Parking Ratio</t>
  </si>
  <si>
    <t>Total Number of Parking Spaces</t>
  </si>
  <si>
    <t>Development Pipeline For General Contractor</t>
  </si>
  <si>
    <t>Covered Spaces</t>
  </si>
  <si>
    <t>Uncovered Spaces</t>
  </si>
  <si>
    <t>GC Experience (Enter # in Each Stage)</t>
  </si>
  <si>
    <t>Actual or Scheduled</t>
  </si>
  <si>
    <t>Month</t>
  </si>
  <si>
    <t>/</t>
  </si>
  <si>
    <t>Year</t>
  </si>
  <si>
    <t>SITE</t>
  </si>
  <si>
    <t>Environmental Review Completed</t>
  </si>
  <si>
    <t>Has the General Contractor been engaged in bid/pricing estimates of hard costs for this project?</t>
  </si>
  <si>
    <t>Site Acquired</t>
  </si>
  <si>
    <t>Type of Construction Contract (GMP, Cost Plus Fixed, Lump Sum, etc)</t>
  </si>
  <si>
    <t>LOCAL PERMITS</t>
  </si>
  <si>
    <t>Conditional Use Permit</t>
  </si>
  <si>
    <t>Is the GC and Developer vertically integrated company (or related parties)</t>
  </si>
  <si>
    <t>Variance</t>
  </si>
  <si>
    <t xml:space="preserve">Form of engagement &amp; Date (i.e. contract, agreement):   </t>
  </si>
  <si>
    <t>Site Plan Review</t>
  </si>
  <si>
    <r>
      <rPr>
        <sz val="10"/>
        <color rgb="FF0070C0"/>
        <rFont val="Calibri"/>
      </rPr>
      <t xml:space="preserve">Example: </t>
    </r>
    <r>
      <rPr>
        <b/>
        <sz val="10"/>
        <color rgb="FF0070C0"/>
        <rFont val="Calibri"/>
      </rPr>
      <t>Contract of Services</t>
    </r>
    <r>
      <rPr>
        <sz val="10"/>
        <color rgb="FF0070C0"/>
        <rFont val="Calibri"/>
      </rPr>
      <t xml:space="preserve"> between General Contractor Company &amp; ABC Dev. Corp. dated 1/1/2022</t>
    </r>
  </si>
  <si>
    <t>Grading Permit</t>
  </si>
  <si>
    <t xml:space="preserve">Add general scope information outlined on the agreement:   </t>
  </si>
  <si>
    <t>Building Permit</t>
  </si>
  <si>
    <t>(specify here)</t>
  </si>
  <si>
    <t>Plans and designs submitted to locality for plan check?</t>
  </si>
  <si>
    <t>If yes, list the number of rounds</t>
  </si>
  <si>
    <t>Percentage of construction documents that the proposed</t>
  </si>
  <si>
    <t>hard cost budget is based on:</t>
  </si>
  <si>
    <t>Development Pipeline For Architect</t>
  </si>
  <si>
    <t>Investor Limited Partner Experience Information</t>
  </si>
  <si>
    <t>Architect Company Experience (Enter # in Each Stage)</t>
  </si>
  <si>
    <t>Accrued Interest</t>
  </si>
  <si>
    <t>CONSTRUCTION FINANCING</t>
  </si>
  <si>
    <t>Loan Application</t>
  </si>
  <si>
    <t>Investor Limited Partner Experience (Closed/Executed LPA)</t>
  </si>
  <si>
    <t>Cost Deferral</t>
  </si>
  <si>
    <t>Enforceable Commitment</t>
  </si>
  <si>
    <t>Completed in CA within past 5 years</t>
  </si>
  <si>
    <t>Developer Fee, Deferral</t>
  </si>
  <si>
    <t>Closing and Disbursement</t>
  </si>
  <si>
    <t>Developer Fee, Contribution</t>
  </si>
  <si>
    <t>Equity, Conventional</t>
  </si>
  <si>
    <t>Equity, General Partner</t>
  </si>
  <si>
    <t>Equity, LIHTC Investor</t>
  </si>
  <si>
    <t>OTHER LOANS AND GRANTS</t>
  </si>
  <si>
    <t>Status of Entitlements</t>
  </si>
  <si>
    <t>Type and Source:</t>
  </si>
  <si>
    <t>Description</t>
  </si>
  <si>
    <t>Equity, Other Investor</t>
  </si>
  <si>
    <t>Term</t>
  </si>
  <si>
    <t>Ratified Date</t>
  </si>
  <si>
    <t>Annual Payment</t>
  </si>
  <si>
    <t>Grant</t>
  </si>
  <si>
    <t>Closing or Award</t>
  </si>
  <si>
    <t>Disposition Development Agreement</t>
  </si>
  <si>
    <t>Loan, Conventional</t>
  </si>
  <si>
    <t xml:space="preserve">Type and Source: </t>
  </si>
  <si>
    <t>Density Bonus Agreement</t>
  </si>
  <si>
    <t>Loan, Equity Bridge</t>
  </si>
  <si>
    <t xml:space="preserve">Planning Development/Inclusionary Zoning </t>
  </si>
  <si>
    <t>Loan, Residual Receipts</t>
  </si>
  <si>
    <t>Loan, Seller Note</t>
  </si>
  <si>
    <t>Loan, General Partner</t>
  </si>
  <si>
    <t>&lt;Enter Information&gt;</t>
  </si>
  <si>
    <t>Loan, Taxable</t>
  </si>
  <si>
    <t>Loan, Tax-Exempt</t>
  </si>
  <si>
    <t>Loan, Tax-Exempt, Recycled</t>
  </si>
  <si>
    <t>Net Operating Income</t>
  </si>
  <si>
    <t>Environmental Reports</t>
  </si>
  <si>
    <t>Other Source</t>
  </si>
  <si>
    <t xml:space="preserve">If there are environmental issues, please provide brief description below:  </t>
  </si>
  <si>
    <t>Reserve, Acquired</t>
  </si>
  <si>
    <t>Type of Report</t>
  </si>
  <si>
    <t>Date of Report</t>
  </si>
  <si>
    <t>Reserve, Held by Others</t>
  </si>
  <si>
    <t>Return of Deposit</t>
  </si>
  <si>
    <t>Value of Donation</t>
  </si>
  <si>
    <t>Value of Lease</t>
  </si>
  <si>
    <t>Waived Fee</t>
  </si>
  <si>
    <t>10% of Costs Incurred</t>
  </si>
  <si>
    <t>Construction Start</t>
  </si>
  <si>
    <t>Construction Completion</t>
  </si>
  <si>
    <t>Placed In Service</t>
  </si>
  <si>
    <t xml:space="preserve">High Cost Explanation:  Describe Factors Contributing to high total development cost per unit.  If neccessary, use separate sheet. </t>
  </si>
  <si>
    <t>Occupancy of All Low-Income Units</t>
  </si>
  <si>
    <t>CDLAC POINTS SYSTEM</t>
  </si>
  <si>
    <t>Estimated Costs</t>
  </si>
  <si>
    <t>III. PROJECT FINANCING - SECTION 1: CONSTRUCTION FINANCING</t>
  </si>
  <si>
    <t>Total Development Cost:</t>
  </si>
  <si>
    <t>Total Development Cost Per Unit:</t>
  </si>
  <si>
    <r>
      <rPr>
        <b/>
        <sz val="10"/>
        <color theme="1"/>
        <rFont val="Arial"/>
      </rPr>
      <t xml:space="preserve">List Below All Projected Sources Required To Complete Construction. </t>
    </r>
    <r>
      <rPr>
        <u/>
        <sz val="10"/>
        <color theme="1"/>
        <rFont val="Arial"/>
      </rPr>
      <t>Do not leave blank rows in between sources.</t>
    </r>
  </si>
  <si>
    <t>Wage Requirements (Estimate):</t>
  </si>
  <si>
    <t>Name of Lender</t>
  </si>
  <si>
    <t xml:space="preserve">a. </t>
  </si>
  <si>
    <t>The following criteria will be used to evaluate and rank all Qualified Residential Rental Project applications.</t>
  </si>
  <si>
    <t>Type of Source</t>
  </si>
  <si>
    <t>Permit / Impact Fees:</t>
  </si>
  <si>
    <r>
      <rPr>
        <b/>
        <sz val="10"/>
        <color theme="1"/>
        <rFont val="Arial"/>
      </rPr>
      <t xml:space="preserve">Term 
</t>
    </r>
    <r>
      <rPr>
        <sz val="8"/>
        <color theme="1"/>
        <rFont val="Arial"/>
      </rPr>
      <t>(months)</t>
    </r>
  </si>
  <si>
    <r>
      <rPr>
        <b/>
        <sz val="10"/>
        <color theme="1"/>
        <rFont val="Arial"/>
      </rPr>
      <t xml:space="preserve">Amort. Term 
</t>
    </r>
    <r>
      <rPr>
        <sz val="8"/>
        <color theme="1"/>
        <rFont val="Arial"/>
      </rPr>
      <t>(months)</t>
    </r>
  </si>
  <si>
    <t>Interest Rate</t>
  </si>
  <si>
    <t>Fixed/ Variable</t>
  </si>
  <si>
    <t>Lien Position</t>
  </si>
  <si>
    <t>Required Payment</t>
  </si>
  <si>
    <t>Amount of Funds</t>
  </si>
  <si>
    <t>Land Costs:</t>
  </si>
  <si>
    <t xml:space="preserve">b.  </t>
  </si>
  <si>
    <t xml:space="preserve">Acquisition/Rehabilitation Project Priorities </t>
  </si>
  <si>
    <t>Deferred Developer Fee</t>
  </si>
  <si>
    <t>Maximum 20 Points</t>
  </si>
  <si>
    <t>Carrying Costs:</t>
  </si>
  <si>
    <t xml:space="preserve">1.  A project meeting all of the following criteria shall receive 10 points: </t>
  </si>
  <si>
    <t xml:space="preserve">Citibank N.A.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</si>
  <si>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</si>
  <si>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GP Contribution:</t>
  </si>
  <si>
    <t>Cash Portion of Developer Fee</t>
  </si>
  <si>
    <t>Fixed</t>
  </si>
  <si>
    <t>There is no partial or full repayment of existing soft financing, except for loans less than or equal to the greater of $500,000 or 1.5% of the project’s total development costs or for temporary repayments that will be restored in the permanent financing; and</t>
  </si>
  <si>
    <t>Total Developer Fee</t>
  </si>
  <si>
    <t xml:space="preserve">Deferred Developer Fee </t>
  </si>
  <si>
    <t xml:space="preserve">The application’s developer fee limit pursuant to CTCAC Regulation Section 10327(c)(2) is further limited to a cash-out developer fee no greater than 80% of the CTCAC cash-out developer fee limit. </t>
  </si>
  <si>
    <t>GP Contribution</t>
  </si>
  <si>
    <t xml:space="preserve">NOI </t>
  </si>
  <si>
    <t>Total High Cost Contributing Factors:</t>
  </si>
  <si>
    <t>Note: Any Developer Fee in excess of Maxium Developer Fee or not paid by Year 15 will be GP contribution</t>
  </si>
  <si>
    <t>points</t>
  </si>
  <si>
    <t>Adjusted TDC Per Unit:</t>
  </si>
  <si>
    <t xml:space="preserve">Tax Credit Equity </t>
  </si>
  <si>
    <t>2. Select One Option</t>
  </si>
  <si>
    <t>(A) A project that meets the following shall receive 20 points:</t>
  </si>
  <si>
    <t>6)</t>
  </si>
  <si>
    <t>At Risk Project</t>
  </si>
  <si>
    <t>Allowable Fees from Cashflow prior to Developer Distribution (50%) and RR payment (50%)</t>
  </si>
  <si>
    <t>7)</t>
  </si>
  <si>
    <t>Type of Fee</t>
  </si>
  <si>
    <t>Annual Amount</t>
  </si>
  <si>
    <t>Escalation % (3% Max)</t>
  </si>
  <si>
    <t xml:space="preserve">(B) A project that meets at least one of the following shall receive 9 points: </t>
  </si>
  <si>
    <t>LP Management Fee</t>
  </si>
  <si>
    <t>$</t>
  </si>
  <si>
    <t>8)</t>
  </si>
  <si>
    <t>GP Partnership Management Fee</t>
  </si>
  <si>
    <t>(i) A replacement or rehabilitation project approved by HUD pursuant to a Section 18 or 22 Demolition/Disposition authorization.</t>
  </si>
  <si>
    <t>9)</t>
  </si>
  <si>
    <t>Total Partnership Fee</t>
  </si>
  <si>
    <t>Maximum $38,000</t>
  </si>
  <si>
    <t>Note: Total Partnership fee above the limit to be paid from Developer Distribution of 50% share of surplus cash</t>
  </si>
  <si>
    <t>10)</t>
  </si>
  <si>
    <t>Tax Credit Equity &amp; Dev Fee Pay In Schedule</t>
  </si>
  <si>
    <t xml:space="preserve">(ii) A project being rehabilitated under the HUD Rental Assistance Demonstration (RAD) Program, or a rehabilitation project that has received a new Section 515 loan from the United States Department of Agriculture; </t>
  </si>
  <si>
    <t>11)</t>
  </si>
  <si>
    <t>Equity Installment #</t>
  </si>
  <si>
    <t>12)</t>
  </si>
  <si>
    <t>Milestone</t>
  </si>
  <si>
    <t>Anticipated Date</t>
  </si>
  <si>
    <t>LIHTC Equity Amount (Est)</t>
  </si>
  <si>
    <t>Dev Fee Pay In (Amt $)</t>
  </si>
  <si>
    <t>Dev Fee%</t>
  </si>
  <si>
    <t>Cash or Deferred?</t>
  </si>
  <si>
    <t>(iii) A project that received an award from HCD’s Portfolio Reinvestment Program; or</t>
  </si>
  <si>
    <t>Total Funds For Construction:</t>
  </si>
  <si>
    <t/>
  </si>
  <si>
    <t>(iv) A project with a pre-1999 HCD loan.</t>
  </si>
  <si>
    <t xml:space="preserve">(C) A project that meets at least one of the following shall receive 8 points: </t>
  </si>
  <si>
    <t>Lender/Source:</t>
  </si>
  <si>
    <t>(i) A project with at least $120,000 in hard construction costs per tax credit unit and is replacing at least two major building systems; or</t>
  </si>
  <si>
    <t>325 Hillcrest Dr, Suite 160</t>
  </si>
  <si>
    <t>Thousand Oaks, CA 91360</t>
  </si>
  <si>
    <t>(ii) A project applying as an SRO housing type, as defined in Section 10325(g) of the CTCAC regulations, and the rehabilitation will add a bathroom and complete kitchen to each unit.</t>
  </si>
  <si>
    <t>Contact Name:</t>
  </si>
  <si>
    <t>Mike Hemmens</t>
  </si>
  <si>
    <t>805-557-0933</t>
  </si>
  <si>
    <t>Type of Financing:</t>
  </si>
  <si>
    <t>Tax Exempt Financing</t>
  </si>
  <si>
    <t>Taxable Financing</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</si>
  <si>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</si>
  <si>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</si>
  <si>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</si>
  <si>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Variable Rate Index (if applicable):</t>
  </si>
  <si>
    <t>Is the Lender/Source Committed?</t>
  </si>
  <si>
    <t>(i) A project that has previously received an allocation of Low-Income Housing Tax Credits where it has been greater than 20 years from the placed in service date; or</t>
  </si>
  <si>
    <t>Totals:</t>
  </si>
  <si>
    <t>Note: Per CalHFA Term Sheet, 90% of the Tax Credit Equity must be contributed by perm conversion milestone</t>
  </si>
  <si>
    <t xml:space="preserve">(ii) A project that has never received an allocation of Low Income Housing Tax Credits. </t>
  </si>
  <si>
    <t>CalHFA Application Certification</t>
  </si>
  <si>
    <t xml:space="preserve">Net Operating Income </t>
  </si>
  <si>
    <t>Total Points for Acquisition/Rehabilitation Project Priorities:</t>
  </si>
  <si>
    <t xml:space="preserve">State of California </t>
  </si>
  <si>
    <t xml:space="preserve"> Application for the Development of Affordable Rental Housing</t>
  </si>
  <si>
    <t>c.  General Partner and Management Company Characteristics</t>
  </si>
  <si>
    <t>Maximum 10 Points</t>
  </si>
  <si>
    <t>SELECT ONE OPTION (Limited to New Construction Projects and qualifying Adaptive Reuse Projects)</t>
  </si>
  <si>
    <t xml:space="preserve">On behalf of the entity identified in the signature block below, I certify that: </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</si>
  <si>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</si>
  <si>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</si>
  <si>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</si>
  <si>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</si>
  <si>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total</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</si>
  <si>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</si>
  <si>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t>
  </si>
  <si>
    <t xml:space="preserve">The project is being developed at a per net acre density that meets or exceeds one of the following:
</t>
  </si>
  <si>
    <t xml:space="preserve">Michael Gaber </t>
  </si>
  <si>
    <t>100 bedrooms per net acre in a metropolitan county; or</t>
  </si>
  <si>
    <t>714-473-0535</t>
  </si>
  <si>
    <t>60 bedrooms per net acre in a suburban jurisdiction; or</t>
  </si>
  <si>
    <t>40 bedrooms per net acre in all other areas.</t>
  </si>
  <si>
    <t xml:space="preserve">In addition, I acknowledge that all information in this application and attachments is public, and may be disclosed by the State. </t>
  </si>
  <si>
    <t>(3)</t>
  </si>
  <si>
    <t>The project is located in a city or unincorporated portion of a county for which HCD has designated the city or county, respectively, as pro-housing pursuant Government Code Section 65589.9(c).</t>
  </si>
  <si>
    <t>Signature:</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</si>
  <si>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</si>
  <si>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</si>
  <si>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</si>
  <si>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</si>
  <si>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</si>
  <si>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</si>
  <si>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Entity Represented:</t>
  </si>
  <si>
    <t>Two points for each full one percent that the targeted average affordability of tax credit units is less than 60% of area median income (AMI) subject to the Gross Rent definition</t>
  </si>
  <si>
    <t>Date:</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</si>
  <si>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</si>
  <si>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</si>
  <si>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</si>
  <si>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</si>
  <si>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</si>
  <si>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</si>
  <si>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</si>
  <si>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</si>
  <si>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</si>
  <si>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III. PROJECT FINANCING - SECTION 2:  PERMANENT FINANCING</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</si>
  <si>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</si>
  <si>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</si>
  <si>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t>
  </si>
  <si>
    <t>WEIGHT</t>
  </si>
  <si>
    <r>
      <rPr>
        <b/>
        <sz val="10"/>
        <color theme="1"/>
        <rFont val="Arial"/>
      </rPr>
      <t xml:space="preserve">List Below All Projected Sources Required To Complete Construction. </t>
    </r>
    <r>
      <rPr>
        <u/>
        <sz val="10"/>
        <color theme="1"/>
        <rFont val="Arial"/>
      </rPr>
      <t>Do not leave blank rows in between sources.</t>
    </r>
  </si>
  <si>
    <r>
      <rPr>
        <b/>
        <sz val="10"/>
        <color theme="1"/>
        <rFont val="Arial"/>
      </rPr>
      <t xml:space="preserve">Term </t>
    </r>
    <r>
      <rPr>
        <sz val="8"/>
        <color theme="1"/>
        <rFont val="Arial"/>
      </rPr>
      <t>(months)</t>
    </r>
  </si>
  <si>
    <r>
      <rPr>
        <b/>
        <sz val="10"/>
        <color theme="1"/>
        <rFont val="Arial"/>
      </rPr>
      <t xml:space="preserve">Amort. Term </t>
    </r>
    <r>
      <rPr>
        <sz val="8"/>
        <color theme="1"/>
        <rFont val="Arial"/>
      </rPr>
      <t>(months)</t>
    </r>
  </si>
  <si>
    <t>Pay-ment Type</t>
  </si>
  <si>
    <t>Annual Debt Service - Residential</t>
  </si>
  <si>
    <t>Annual Debt Service - Commercial</t>
  </si>
  <si>
    <t>Required</t>
  </si>
  <si>
    <t>Studio/SRO</t>
  </si>
  <si>
    <t>Deferred</t>
  </si>
  <si>
    <t>1-bedroom</t>
  </si>
  <si>
    <t>2-bedroom</t>
  </si>
  <si>
    <t>3-bedroom</t>
  </si>
  <si>
    <t>4-bedroom</t>
  </si>
  <si>
    <t>5-bedroom</t>
  </si>
  <si>
    <t>Adjusted Rent from Market Study Rent Comparability Matrix:</t>
  </si>
  <si>
    <t>Weighted Average Rent from Application Unit Table</t>
  </si>
  <si>
    <t>Percent Below Market Rent</t>
  </si>
  <si>
    <t>Residual</t>
  </si>
  <si>
    <t>Percent Below Market (portion more than 10% below) Weighted by Percent of Tax Credit Units</t>
  </si>
  <si>
    <t>Sum of Weighted Percents (rounded to full percentage)</t>
  </si>
  <si>
    <t>Total Permanent Financing:</t>
  </si>
  <si>
    <t>Total Points for Exceeding Minimum Rent Restrictions:</t>
  </si>
  <si>
    <t>Total Tax Credit Equity:</t>
  </si>
  <si>
    <t>f.  General Partner and Management Company Characteristics</t>
  </si>
  <si>
    <t>Total Sources of Project Funds:</t>
  </si>
  <si>
    <t>(1) General Partner Experience</t>
  </si>
  <si>
    <t>7 Points</t>
  </si>
  <si>
    <t xml:space="preserve">Ulysses Lepe and Donna Shiepe Living Trust </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</si>
  <si>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</si>
  <si>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</si>
  <si>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</si>
  <si>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</si>
  <si>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</si>
  <si>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</si>
  <si>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</si>
  <si>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</si>
  <si>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</si>
  <si>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</si>
  <si>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</si>
  <si>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</si>
  <si>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</si>
  <si>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 xml:space="preserve">Tax Exempt Financing </t>
  </si>
  <si>
    <t xml:space="preserve">Taxable Financing </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</si>
  <si>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</si>
  <si>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</si>
  <si>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</si>
  <si>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</si>
  <si>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</si>
  <si>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</si>
  <si>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</si>
  <si>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</si>
  <si>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</si>
  <si>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</si>
  <si>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</si>
  <si>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</si>
  <si>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</si>
  <si>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</si>
  <si>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</si>
  <si>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</si>
  <si>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</si>
  <si>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</si>
  <si>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</si>
  <si>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</si>
  <si>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</si>
  <si>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</si>
  <si>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</si>
  <si>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</si>
  <si>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</si>
  <si>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</si>
  <si>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</si>
  <si>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</si>
  <si>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</si>
  <si>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</si>
  <si>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</si>
  <si>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TOTAL</t>
  </si>
  <si>
    <t>CAPITALIZED VALUE OF RENT DIFFERENTIALS ATTRIBUTABLE TO PUBLIC RENT SUBSIDIES CALCULATION</t>
  </si>
  <si>
    <r>
      <rPr>
        <sz val="10"/>
        <color theme="1"/>
        <rFont val="Arial"/>
      </rPr>
      <t xml:space="preserve">Annual Rental Income Differential for PUBLIC </t>
    </r>
    <r>
      <rPr>
        <u/>
        <sz val="10"/>
        <color theme="1"/>
        <rFont val="Arial"/>
      </rPr>
      <t>RENT</t>
    </r>
    <r>
      <rPr>
        <sz val="10"/>
        <color theme="1"/>
        <rFont val="Arial"/>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</si>
  <si>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</si>
  <si>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</si>
  <si>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</si>
  <si>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</si>
  <si>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</si>
  <si>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rPr>
        <u/>
        <sz val="10"/>
        <color rgb="FF002060"/>
        <rFont val="Arial"/>
      </rPr>
      <t xml:space="preserve">For USDA subsidy only, use the </t>
    </r>
    <r>
      <rPr>
        <b/>
        <u/>
        <sz val="10"/>
        <color rgb="FF002060"/>
        <rFont val="Arial"/>
      </rPr>
      <t>higher of</t>
    </r>
    <r>
      <rPr>
        <u/>
        <sz val="10"/>
        <color rgb="FF002060"/>
        <rFont val="Arial"/>
      </rPr>
      <t xml:space="preserve"> 60% AMI </t>
    </r>
    <r>
      <rPr>
        <u/>
        <sz val="10"/>
        <color rgb="FF002060"/>
        <rFont val="Arial"/>
      </rPr>
      <t>or</t>
    </r>
    <r>
      <rPr>
        <u/>
        <sz val="10"/>
        <color rgb="FF002060"/>
        <rFont val="Arial"/>
      </rPr>
      <t xml:space="preserve"> committed </t>
    </r>
    <r>
      <rPr>
        <b/>
        <u/>
        <sz val="10"/>
        <color rgb="FF002060"/>
        <rFont val="Arial"/>
      </rPr>
      <t>basic</t>
    </r>
    <r>
      <rPr>
        <u/>
        <sz val="10"/>
        <color rgb="FF002060"/>
        <rFont val="Arial"/>
      </rPr>
      <t xml:space="preserve"> contract rents.</t>
    </r>
  </si>
  <si>
    <t>Number</t>
  </si>
  <si>
    <t>Public Subsidy</t>
  </si>
  <si>
    <t>Calculated</t>
  </si>
  <si>
    <t>Unit Type</t>
  </si>
  <si>
    <t>of Units</t>
  </si>
  <si>
    <t>*Rent Limit:</t>
  </si>
  <si>
    <t>**Contract Rent</t>
  </si>
  <si>
    <t>Annual Rent</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</si>
  <si>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</si>
  <si>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</si>
  <si>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</si>
  <si>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</si>
  <si>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</si>
  <si>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</si>
  <si>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</si>
  <si>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</si>
  <si>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</si>
  <si>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</si>
  <si>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Annual Rent Differential for Public Rent Subsidies:</t>
  </si>
  <si>
    <t>CAPITALIZED VALUE OF RENT DIFFERENTIALS ATTRIBUTABLE TO PUBLIC OPERATING SUBSIDIES CALCULATION</t>
  </si>
  <si>
    <r>
      <rPr>
        <sz val="10"/>
        <color theme="1"/>
        <rFont val="Arial"/>
      </rPr>
      <t xml:space="preserve">Annual Rental Income Differential for PUBLIC </t>
    </r>
    <r>
      <rPr>
        <u/>
        <sz val="10"/>
        <color theme="1"/>
        <rFont val="Arial"/>
      </rPr>
      <t>OPERATING</t>
    </r>
    <r>
      <rPr>
        <sz val="10"/>
        <color theme="1"/>
        <rFont val="Arial"/>
      </rPr>
      <t xml:space="preserve"> SUBSIDIES:</t>
    </r>
  </si>
  <si>
    <t>What type of enhancement is being provided?</t>
  </si>
  <si>
    <t>If annual operating subsidy amount are similar in each year, enter the</t>
  </si>
  <si>
    <t>Annual Operating Subsidy Amount in Year 1:</t>
  </si>
  <si>
    <t>OR</t>
  </si>
  <si>
    <t>III. PROJECT FINANCING - SECTION 3:  INCOME INFORMATION</t>
  </si>
  <si>
    <t>If the contract does not specify an annual subsidy amount, enter the</t>
  </si>
  <si>
    <t>Aggregate Subsidy Amount:</t>
  </si>
  <si>
    <t>Number of Years in the Subsidy Contract:</t>
  </si>
  <si>
    <t>Average Annual Operating Subsidy Amount:</t>
  </si>
  <si>
    <t xml:space="preserve">Low Income Units </t>
  </si>
  <si>
    <t>Annual Public Operating Subsidies:</t>
  </si>
  <si>
    <t>(a)
Bedroom Type(s)</t>
  </si>
  <si>
    <t>(b)
Number of Units</t>
  </si>
  <si>
    <t>Average Square Feet</t>
  </si>
  <si>
    <r>
      <rPr>
        <sz val="10"/>
        <color theme="1"/>
        <rFont val="Arial"/>
      </rPr>
      <t>(c)
Proposed Monthly Rent</t>
    </r>
    <r>
      <rPr>
        <sz val="8"/>
        <color theme="1"/>
        <rFont val="Arial"/>
      </rPr>
      <t xml:space="preserve"> (Less Utilities)</t>
    </r>
  </si>
  <si>
    <t>(d)
Monthly Utility Allowance</t>
  </si>
  <si>
    <t>(e)
Monthly Rent Plus Utilities
(c + d)</t>
  </si>
  <si>
    <t>(f)
% of Area Median Income</t>
  </si>
  <si>
    <t>Total Rent Differentials</t>
  </si>
  <si>
    <t>(g)          % of Actual AMI</t>
  </si>
  <si>
    <t>(h)
Special
Needs
Population</t>
  </si>
  <si>
    <t>Less Vacancy</t>
  </si>
  <si>
    <t>Net Rental Income</t>
  </si>
  <si>
    <t>Available for Debt Service</t>
  </si>
  <si>
    <r>
      <rPr>
        <b/>
        <sz val="10"/>
        <color theme="1"/>
        <rFont val="Arial"/>
      </rPr>
      <t xml:space="preserve">AVERAGE AFFORDABILITY BY AMI </t>
    </r>
    <r>
      <rPr>
        <b/>
        <u/>
        <sz val="10"/>
        <color theme="1"/>
        <rFont val="Arial"/>
      </rPr>
      <t>TARGETING</t>
    </r>
  </si>
  <si>
    <r>
      <rPr>
        <b/>
        <sz val="10"/>
        <color theme="1"/>
        <rFont val="Arial"/>
      </rPr>
      <t xml:space="preserve">AVERAGE AFFORDABILITY BY AMI </t>
    </r>
    <r>
      <rPr>
        <b/>
        <u/>
        <sz val="10"/>
        <color theme="1"/>
        <rFont val="Arial"/>
      </rPr>
      <t>ACTUAL RENTS</t>
    </r>
  </si>
  <si>
    <t xml:space="preserve"> @ 1.15 Debt Coverage Ratio:</t>
  </si>
  <si>
    <t>low income</t>
  </si>
  <si>
    <t>lowest income</t>
  </si>
  <si>
    <t>Loan Term (years)</t>
  </si>
  <si>
    <t>average rent</t>
  </si>
  <si>
    <t>Interest Rate (annual)</t>
  </si>
  <si>
    <t>Debt Coverage Ratio</t>
  </si>
  <si>
    <t>Project 100% Rents:</t>
  </si>
  <si>
    <t>UNITS</t>
  </si>
  <si>
    <t>UNIT % OF TOTAL</t>
  </si>
  <si>
    <t>PRO RATA TARGET %</t>
  </si>
  <si>
    <t>Capitalized Value of Rent Differentials</t>
  </si>
  <si>
    <t>50-36</t>
  </si>
  <si>
    <t>&lt;=35</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</si>
  <si>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</si>
  <si>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</si>
  <si>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</si>
  <si>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</si>
  <si>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</si>
  <si>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</si>
  <si>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CDLAC TIE BREAKER</t>
  </si>
  <si>
    <t>Percentage:</t>
  </si>
  <si>
    <t>(For two points for each full point percentage, complete AFFH points section).</t>
  </si>
  <si>
    <t>Public Benefit Numerator</t>
  </si>
  <si>
    <t>Total Points for Leveraged Soft Resources:</t>
  </si>
  <si>
    <t>Cost-Adjusted Bond and State Credit Allocation Denominator</t>
  </si>
  <si>
    <t>÷</t>
  </si>
  <si>
    <t>Tiebreaker</t>
  </si>
  <si>
    <t>Readiness to Proceed</t>
  </si>
  <si>
    <t>Numerator</t>
  </si>
  <si>
    <t>Denominator</t>
  </si>
  <si>
    <t>A. Unit Production Benefit</t>
  </si>
  <si>
    <t>Bond Request</t>
  </si>
  <si>
    <t>Points are available to applications documenting each of the items below:</t>
  </si>
  <si>
    <t>B. Rent Savings Benefit</t>
  </si>
  <si>
    <r>
      <rPr>
        <sz val="10"/>
        <color theme="1"/>
        <rFont val="Aptos Narrow"/>
      </rPr>
      <t>•</t>
    </r>
    <r>
      <rPr>
        <sz val="10"/>
        <color theme="1"/>
        <rFont val="Arial"/>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</si>
  <si>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</si>
  <si>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</si>
  <si>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</si>
  <si>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</si>
  <si>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</si>
  <si>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</si>
  <si>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</si>
  <si>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</si>
  <si>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</si>
  <si>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</si>
  <si>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</si>
  <si>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SWBD * .25</t>
  </si>
  <si>
    <t>(iii) Transit/Walkability Benefit</t>
  </si>
  <si>
    <t>Seismic/Environmental</t>
  </si>
  <si>
    <t>Public Benefit</t>
  </si>
  <si>
    <t>Cost-Adjusted Allocation</t>
  </si>
  <si>
    <t>Total Points for Readiness to Proceed:</t>
  </si>
  <si>
    <t>Bedrooms</t>
  </si>
  <si>
    <t>Quantity</t>
  </si>
  <si>
    <t>iAMI</t>
  </si>
  <si>
    <t>AMI</t>
  </si>
  <si>
    <t>Restricted Rent</t>
  </si>
  <si>
    <t>Preservation Rent</t>
  </si>
  <si>
    <t>Fair Market Rent</t>
  </si>
  <si>
    <t>Delta</t>
  </si>
  <si>
    <t>Population</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</si>
  <si>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</si>
  <si>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</si>
  <si>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</si>
  <si>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</si>
  <si>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</si>
  <si>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</si>
  <si>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</si>
  <si>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</si>
  <si>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</si>
  <si>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</si>
  <si>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</si>
  <si>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Bedroom Count</t>
  </si>
  <si>
    <t>Adjustment Factor</t>
  </si>
  <si>
    <t>With respect to New Construction Projects, at least 10% of tax credit units shall be restricted at or below 30% of area median income and an additional 10% of tax credits units shall be restricted at or below 50% of area median income.</t>
  </si>
  <si>
    <t>Actual LI Unit Count</t>
  </si>
  <si>
    <t>Adjusted Unit Count</t>
  </si>
  <si>
    <t>Adjusted Units</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</si>
  <si>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</si>
  <si>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</si>
  <si>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</si>
  <si>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</si>
  <si>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</si>
  <si>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</si>
  <si>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</si>
  <si>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rgb="FF000000"/>
        <rFont val="Arial"/>
      </rPr>
      <t>AND</t>
    </r>
    <r>
      <rPr>
        <sz val="10"/>
        <color rgb="FF000000"/>
        <rFont val="Arial"/>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</si>
  <si>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</si>
  <si>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</si>
  <si>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rPr>
        <sz val="10"/>
        <color theme="1"/>
        <rFont val="Arial"/>
      </rPr>
      <t xml:space="preserve">The sponsor has previously </t>
    </r>
    <r>
      <rPr>
        <sz val="9"/>
        <color rgb="FF000000"/>
        <rFont val="Arial"/>
      </rPr>
      <t>developed affordable housing within the community in which the QRRP will be located in the past 20 years</t>
    </r>
  </si>
  <si>
    <r>
      <rPr>
        <sz val="10"/>
        <color theme="1"/>
        <rFont val="Arial"/>
      </rPr>
      <t xml:space="preserve">The sponsor has continually, during the prior 10 years preceding </t>
    </r>
    <r>
      <rPr>
        <sz val="9"/>
        <color theme="1"/>
        <rFont val="Arial"/>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</si>
  <si>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</si>
  <si>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</si>
  <si>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</si>
  <si>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</si>
  <si>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</si>
  <si>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</si>
  <si>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</si>
  <si>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</si>
  <si>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rPr>
        <sz val="8"/>
        <color rgb="FF000000"/>
        <rFont val="Arial"/>
      </rP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color rgb="FF000000"/>
        <rFont val="Arial"/>
      </rPr>
      <t xml:space="preserve">provision of on-site services would be duplicative.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</si>
  <si>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</si>
  <si>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rgb="FF000000"/>
        <rFont val="Arial"/>
      </rPr>
      <t xml:space="preserve">Items 1 through 6 </t>
    </r>
    <r>
      <rPr>
        <sz val="8"/>
        <color rgb="FF000000"/>
        <rFont val="Arial"/>
      </rPr>
      <t xml:space="preserve">are applicable to Large Family, Senior, and At-Risk projects. </t>
    </r>
    <r>
      <rPr>
        <b/>
        <sz val="8"/>
        <color rgb="FF000000"/>
        <rFont val="Arial"/>
      </rPr>
      <t>Items 7 through 12</t>
    </r>
    <r>
      <rPr>
        <sz val="8"/>
        <color rgb="FF000000"/>
        <rFont val="Arial"/>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</si>
  <si>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rPr>
      <t>Proportional Scoring for Services - Projects with less than 75% Special Needs Units:</t>
    </r>
    <r>
      <rPr>
        <sz val="8"/>
        <color rgb="FF000000"/>
        <rFont val="Arial"/>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rPr>
      <t>Proportional scoring for this paragraph means</t>
    </r>
    <r>
      <rPr>
        <sz val="8"/>
        <color rgb="FF000000"/>
        <rFont val="Arial"/>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</si>
  <si>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</si>
  <si>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</si>
  <si>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</si>
  <si>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rPr>
      <t>Proportional Scoring for Services - Scattered Site Projects:</t>
    </r>
    <r>
      <rPr>
        <sz val="8"/>
        <color rgb="FF000000"/>
        <rFont val="Arial"/>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rgb="FF000000"/>
        <rFont val="Arial"/>
      </rPr>
      <t xml:space="preserve"> In addition, scattered site more than 0.5 mile (1.5 miles for Rural set-aside) from the nearest other site with services must provide services independently</t>
    </r>
    <r>
      <rPr>
        <sz val="8"/>
        <color rgb="FF000000"/>
        <rFont val="Arial"/>
      </rPr>
      <t xml:space="preserve">. </t>
    </r>
    <r>
      <rPr>
        <u/>
        <sz val="8"/>
        <color rgb="FFFF0000"/>
        <rFont val="Arial"/>
      </rPr>
      <t>Proportional scoring for this paragraph means</t>
    </r>
    <r>
      <rPr>
        <sz val="8"/>
        <color rgb="FFFF0000"/>
        <rFont val="Arial"/>
      </rPr>
      <t>,</t>
    </r>
    <r>
      <rPr>
        <sz val="8"/>
        <color rgb="FF000000"/>
        <rFont val="Arial"/>
      </rPr>
      <t xml:space="preserve"> for a project to score the maximum 10 points, each site must independently score 10 points for service amenities.</t>
    </r>
  </si>
  <si>
    <t>sum</t>
  </si>
  <si>
    <r>
      <rPr>
        <sz val="8"/>
        <color rgb="FF000000"/>
        <rFont val="Arial"/>
      </rPr>
      <t xml:space="preserve">The application’s Service Amenity Sources and Uses Budget page must clearly describe all </t>
    </r>
    <r>
      <rPr>
        <sz val="8"/>
        <color rgb="FF000000"/>
        <rFont val="Arial"/>
      </rPr>
      <t xml:space="preserve">anticipated income and expenses associated with the services program(s) and must align with the services commitments provided (i.e. contracts, MOUs, letters, etc.) </t>
    </r>
    <r>
      <rPr>
        <b/>
        <sz val="8"/>
        <color rgb="FF000000"/>
        <rFont val="Arial"/>
      </rPr>
      <t xml:space="preserve"> </t>
    </r>
    <r>
      <rPr>
        <sz val="8"/>
        <color rgb="FF000000"/>
        <rFont val="Arial"/>
      </rPr>
      <t xml:space="preserve">Applications shall receive points for services only if the proposed services budget adequately accounts for the level of service.  The budgeted amount must reasonably be expected to cover the costs of the proposed level of service. </t>
    </r>
    <r>
      <rPr>
        <b/>
        <sz val="8"/>
        <color rgb="FF000000"/>
        <rFont val="Arial"/>
      </rPr>
      <t xml:space="preserve"> </t>
    </r>
    <r>
      <rPr>
        <sz val="8"/>
        <color rgb="FF000000"/>
        <rFont val="Arial"/>
      </rPr>
      <t xml:space="preserve">All organizations providing services for which the project is claiming points must document that they have at least 24 months of experience providing services to the project’s target population. </t>
    </r>
    <r>
      <rPr>
        <b/>
        <sz val="8"/>
        <color rgb="FF000000"/>
        <rFont val="Arial"/>
      </rPr>
      <t>PLEASE REFER TO REGULATION SECTION 10325(c)(5)(B) FOR COMPLETE SERVICE AMENITY POINTS REQUIREMENTS.</t>
    </r>
  </si>
  <si>
    <r>
      <rPr>
        <sz val="8"/>
        <color theme="1"/>
        <rFont val="Arial"/>
      </rPr>
      <t xml:space="preserve">No more than 10 points will be awarded in this category. </t>
    </r>
    <r>
      <rPr>
        <b/>
        <sz val="8"/>
        <color theme="1"/>
        <rFont val="Arial"/>
      </rPr>
      <t xml:space="preserve">The service budget spreadsheet must be completed. </t>
    </r>
  </si>
  <si>
    <t>Large Family, Senior, At-Risk: Number of Bedrooms =</t>
  </si>
  <si>
    <t>Special Needs, SRO: Number of Bedrooms =</t>
  </si>
  <si>
    <t>a) Large Family, Senior, At-Risk projects:</t>
  </si>
  <si>
    <t>Benefit Multiplier</t>
  </si>
  <si>
    <t>×</t>
  </si>
  <si>
    <r>
      <rPr>
        <b/>
        <sz val="8"/>
        <color theme="1"/>
        <rFont val="Arial"/>
      </rPr>
      <t xml:space="preserve">Service Coordinator. </t>
    </r>
    <r>
      <rPr>
        <sz val="8"/>
        <color theme="1"/>
        <rFont val="Arial"/>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</si>
  <si>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</si>
  <si>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</si>
  <si>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t>Unit Production Benefit</t>
  </si>
  <si>
    <r>
      <rPr>
        <b/>
        <sz val="8"/>
        <color theme="1"/>
        <rFont val="Arial"/>
      </rPr>
      <t>Other Services Specialist.</t>
    </r>
    <r>
      <rPr>
        <sz val="8"/>
        <color theme="1"/>
        <rFont val="Arial"/>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</si>
  <si>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</si>
  <si>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color theme="1"/>
        <rFont val="Arial"/>
      </rPr>
      <t xml:space="preserve">Instructor-led adult educational, health and wellness, or skill building classes. </t>
    </r>
    <r>
      <rPr>
        <sz val="8"/>
        <color theme="1"/>
        <rFont val="Arial"/>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</si>
  <si>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</si>
  <si>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</si>
  <si>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</si>
  <si>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</si>
  <si>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color theme="1"/>
        <rFont val="Arial"/>
      </rPr>
      <t>Health and wellness services and programs</t>
    </r>
    <r>
      <rPr>
        <sz val="8"/>
        <color theme="1"/>
        <rFont val="Arial"/>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</si>
  <si>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Acquisition/Rehabilitation Project:</t>
  </si>
  <si>
    <t xml:space="preserve">Minimum of 100 hours of services per year for each 100 bedrooms.  </t>
  </si>
  <si>
    <t xml:space="preserve">Minimum of 60 hours of services per year for each 100 bedrooms.  </t>
  </si>
  <si>
    <t>3 points</t>
  </si>
  <si>
    <t>(5)</t>
  </si>
  <si>
    <r>
      <rPr>
        <b/>
        <sz val="8"/>
        <color theme="1"/>
        <rFont val="Arial"/>
      </rPr>
      <t>Licensed child care.</t>
    </r>
    <r>
      <rPr>
        <sz val="8"/>
        <color theme="1"/>
        <rFont val="Arial"/>
      </rPr>
      <t xml:space="preserve">  Shall be available 20 hours or more per week, Monday through Friday, to residents of the development.  </t>
    </r>
    <r>
      <rPr>
        <b/>
        <i/>
        <sz val="8"/>
        <color theme="1"/>
        <rFont val="Arial"/>
      </rPr>
      <t>(Only for large family projects or other projects in which at least 25% of Low-Income Units are 3 bedrooms or larger.)</t>
    </r>
  </si>
  <si>
    <t>whose actual rents are less than the CTCAC rent limits:</t>
  </si>
  <si>
    <t>(6)</t>
  </si>
  <si>
    <r>
      <rPr>
        <b/>
        <sz val="8"/>
        <color theme="1"/>
        <rFont val="Arial"/>
      </rPr>
      <t>After school program for school age children</t>
    </r>
    <r>
      <rPr>
        <sz val="8"/>
        <color theme="1"/>
        <rFont val="Arial"/>
      </rPr>
      <t xml:space="preserve">.  Includes, but is not limited to tutoring, mentoring, homework club, art and recreational activities. </t>
    </r>
    <r>
      <rPr>
        <b/>
        <i/>
        <sz val="8"/>
        <color theme="1"/>
        <rFont val="Arial"/>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</si>
  <si>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</si>
  <si>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</si>
  <si>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</si>
  <si>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</si>
  <si>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color theme="1"/>
        <rFont val="Arial"/>
      </rPr>
      <t>Case Manager.</t>
    </r>
    <r>
      <rPr>
        <sz val="8"/>
        <color theme="1"/>
        <rFont val="Arial"/>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</si>
  <si>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</si>
  <si>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</si>
  <si>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color theme="1"/>
        <rFont val="Arial"/>
      </rPr>
      <t>Service Coordinator or Other Services Specialist</t>
    </r>
    <r>
      <rPr>
        <sz val="8"/>
        <color theme="1"/>
        <rFont val="Arial"/>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</si>
  <si>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Average AMI of Units without Federal Rental Assistance:</t>
  </si>
  <si>
    <t>Minimum ratio of 1 FTE Service Coordinator/Other Services Specialist to 360 bedrooms.</t>
  </si>
  <si>
    <t>(9)</t>
  </si>
  <si>
    <r>
      <rPr>
        <b/>
        <sz val="8"/>
        <color theme="1"/>
        <rFont val="Arial"/>
      </rPr>
      <t xml:space="preserve">Adult educational, health and wellness, or skill building classes. </t>
    </r>
    <r>
      <rPr>
        <sz val="8"/>
        <color theme="1"/>
        <rFont val="Arial"/>
      </rPr>
      <t xml:space="preserve"> Includes but is not limited to:  financial literacy, computer training, home-buyer education, GED, resume building, ESL, nutrition, exercise, health information/awareness, art, parenting, on-site food cultivation and preparation, and smoking cessation classes:  </t>
    </r>
  </si>
  <si>
    <t>Average is less than 40%:</t>
  </si>
  <si>
    <t xml:space="preserve">Minimum of 84 hours of instruction each year (42 hours for small developments*).  </t>
  </si>
  <si>
    <t>(10)</t>
  </si>
  <si>
    <r>
      <rPr>
        <b/>
        <sz val="8"/>
        <color theme="1"/>
        <rFont val="Arial"/>
      </rPr>
      <t>Health or behavioral health services</t>
    </r>
    <r>
      <rPr>
        <sz val="8"/>
        <color theme="1"/>
        <rFont val="Arial"/>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</si>
  <si>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</si>
  <si>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color theme="1"/>
        <rFont val="Arial"/>
      </rPr>
      <t>Licensed child care.</t>
    </r>
    <r>
      <rPr>
        <sz val="8"/>
        <color theme="1"/>
        <rFont val="Arial"/>
      </rPr>
      <t xml:space="preserve">  Shall be available 20 hours or more per week, Monday through Friday, to residents of the development. </t>
    </r>
    <r>
      <rPr>
        <b/>
        <i/>
        <sz val="8"/>
        <color theme="1"/>
        <rFont val="Arial"/>
      </rPr>
      <t xml:space="preserve"> (Only for large family projects or other projects in which at least 25% of Low-Income Units are 3 bedrooms or larger.)</t>
    </r>
  </si>
  <si>
    <t>Monthly Rent Savings</t>
  </si>
  <si>
    <t>(12)</t>
  </si>
  <si>
    <r>
      <rPr>
        <b/>
        <sz val="8"/>
        <color theme="1"/>
        <rFont val="Arial"/>
      </rPr>
      <t>After school program for school age children</t>
    </r>
    <r>
      <rPr>
        <sz val="8"/>
        <color theme="1"/>
        <rFont val="Arial"/>
      </rPr>
      <t xml:space="preserve">.  Includes, but is not limited to tutoring, mentoring, homework club, art and recreational activities.  </t>
    </r>
    <r>
      <rPr>
        <b/>
        <i/>
        <sz val="8"/>
        <color theme="1"/>
        <rFont val="Arial"/>
      </rPr>
      <t>(Only for large family projects or other projects in which at least 25% of Low-Income Units are 3 bedrooms or larger)</t>
    </r>
    <r>
      <rPr>
        <sz val="8"/>
        <color theme="1"/>
        <rFont val="Arial"/>
      </rPr>
      <t>:</t>
    </r>
  </si>
  <si>
    <t>Benefit Multiplier (12 months × 15 years)</t>
  </si>
  <si>
    <t xml:space="preserve"> The Service Budget worksheet must be completed.</t>
  </si>
  <si>
    <t>Total Points for Service Amenities:</t>
  </si>
  <si>
    <t>Rent Savings Benefit</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</si>
  <si>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</si>
  <si>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</si>
  <si>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</si>
  <si>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</si>
  <si>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</si>
  <si>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</si>
  <si>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</si>
  <si>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</si>
  <si>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</si>
  <si>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</si>
  <si>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</si>
  <si>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</si>
  <si>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</si>
  <si>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</si>
  <si>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</si>
  <si>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</si>
  <si>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</si>
  <si>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</si>
  <si>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</si>
  <si>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</si>
  <si>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</si>
  <si>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</si>
  <si>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</si>
  <si>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</si>
  <si>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</si>
  <si>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</si>
  <si>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Units serving Extremely Low Income Households: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</si>
  <si>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</si>
  <si>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</si>
  <si>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</si>
  <si>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</si>
  <si>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Maximum (50% of Low-Income Units):</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</si>
  <si>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</si>
  <si>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</si>
  <si>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</si>
  <si>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</si>
  <si>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</si>
  <si>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</si>
  <si>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</si>
  <si>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</si>
  <si>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</si>
  <si>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</si>
  <si>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Special Population Quantity</t>
  </si>
  <si>
    <t>D(2)  Rehabilitation projects select from the following features:</t>
  </si>
  <si>
    <t>Extremely Low Income Benefit</t>
  </si>
  <si>
    <t>Units serving Special Needs, Homeless, or Veterans:</t>
  </si>
  <si>
    <t>Rehabilitate to improve energy efficiency; points awarded based on percentage decrease in estimated Time Dependent Valuation energy use post-rehabilitation:</t>
  </si>
  <si>
    <t>Special Needs Population Benefit</t>
  </si>
  <si>
    <t>Improvement over current:</t>
  </si>
  <si>
    <t>Project applied for the Homeless Set-Aside:</t>
  </si>
  <si>
    <t>Units designated for Homeless households:</t>
  </si>
  <si>
    <t>City Point in Time Homeless Count:</t>
  </si>
  <si>
    <t>City Population (Census Estimate):</t>
  </si>
  <si>
    <t>City Homelessness Rate Per 100k:</t>
  </si>
  <si>
    <t>County Point in Time Homeless Count:</t>
  </si>
  <si>
    <t>c.</t>
  </si>
  <si>
    <t>Additional rehabilitation project measures (chose one or more of the following three categories):</t>
  </si>
  <si>
    <t>County Population (Census Estimate):</t>
  </si>
  <si>
    <t>County Homelessness Rate Per 100k:</t>
  </si>
  <si>
    <t>1.   PHOTOVOLTAIC / SOLAR</t>
  </si>
  <si>
    <t>Project meets the CDLAC new construction definition</t>
  </si>
  <si>
    <t>Project is Large Family housing type</t>
  </si>
  <si>
    <t>Project is Permanent Supportive Housing</t>
  </si>
  <si>
    <t>2.  SUSTAINABLE BUILDING MANAGEMENT PRACTICES, INCLUDING BOTH OF THE FOLLOWING:</t>
  </si>
  <si>
    <t>Opportunity Area Designation</t>
  </si>
  <si>
    <t>Develop project-specific maintenance manual, including information on all energy and green building features</t>
  </si>
  <si>
    <t>Project is located in a neighborhood experiencing 
    neighborhood change*</t>
  </si>
  <si>
    <t>Undertake formal building systems commissioning, retro-commissioning, or re-commissioning</t>
  </si>
  <si>
    <t>Public Park</t>
  </si>
  <si>
    <t>Library</t>
  </si>
  <si>
    <t>Grocery Store</t>
  </si>
  <si>
    <t>Eligible:</t>
  </si>
  <si>
    <t>3.</t>
  </si>
  <si>
    <t>INDIVIDUALLY METER (OR SUB-METER CURRENT MASTER-METERED) GAS, ELECTRICITY, OR CENTRAL HOT WATER SYSTEMS FOR ALL TENANTS</t>
  </si>
  <si>
    <t>Public School</t>
  </si>
  <si>
    <t>Senior Center</t>
  </si>
  <si>
    <t>Pop. Spec. Facility</t>
  </si>
  <si>
    <t>D(3)  New Construction and Rehabilitation projects:</t>
  </si>
  <si>
    <t>Medical Clinic</t>
  </si>
  <si>
    <t>Resource Area Benefit</t>
  </si>
  <si>
    <t>d.</t>
  </si>
  <si>
    <t xml:space="preserve">WATER EFFICIENCY: </t>
  </si>
  <si>
    <t>Pharmacy</t>
  </si>
  <si>
    <t>Project is a component of the Area's Community Revitalization Plan</t>
  </si>
  <si>
    <t>Community Revitalization Benefit</t>
  </si>
  <si>
    <t xml:space="preserve">To receive these points, the applicant and the project architect must certify in the application which of the above items will be included </t>
  </si>
  <si>
    <t>Transit Site Amenity Points</t>
  </si>
  <si>
    <t>Bedroom-Adjusted Low-Income Units</t>
  </si>
  <si>
    <t>in the project’s design and specifications, and further must certify at the project’s placed-in-service date that the items were completed.</t>
  </si>
  <si>
    <t>Transit Benefit</t>
  </si>
  <si>
    <t>Walkable Amenity Count</t>
  </si>
  <si>
    <t xml:space="preserve">In addition, certain point categories require completion of the CTCAC Sustainable Building Method Workbook and accompanying </t>
  </si>
  <si>
    <t>Walkability Benefit</t>
  </si>
  <si>
    <t xml:space="preserve">documentation by a qualified energy analyst at application and placed-in-service stages.  Refer to Reg. Section 10325(c)(5), </t>
  </si>
  <si>
    <t>Project has:</t>
  </si>
  <si>
    <t xml:space="preserve">Checklist Item Tab 25, and the CTCAC website for requirements related to the CTCAC Sustainable Building Method Workbook.  </t>
  </si>
  <si>
    <t>an award of HCD TOD funding</t>
  </si>
  <si>
    <t>an award of HCD AHSC funding</t>
  </si>
  <si>
    <t xml:space="preserve">Refer to Reg. Section 10325(c)(5)(G) for specific Compliance and Verification requirements.  Projects receiving points under this </t>
  </si>
  <si>
    <t>a transit stop within ¼ mile with service every 30 min</t>
  </si>
  <si>
    <t>a transit stop within ½ mile with service every 15 min</t>
  </si>
  <si>
    <t>category that fail to meet the requirements of Reg. Section 10325(c)(5) will be subject to negative points under Section 10325(c)(2).</t>
  </si>
  <si>
    <t>Mass Transit Benefit</t>
  </si>
  <si>
    <t>Total Points For Sustainable Building Methods:</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</si>
  <si>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</si>
  <si>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</si>
  <si>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</si>
  <si>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</si>
  <si>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k.</t>
  </si>
  <si>
    <t>Cost Containment</t>
  </si>
  <si>
    <t>Maximum 12 Points</t>
  </si>
  <si>
    <t>The project's general contractor has an enforceable commitment to participate in state-approved apprenticeship training programs and provide health care for construction workers and their dependents</t>
  </si>
  <si>
    <t>Statewide Basis Delta</t>
  </si>
  <si>
    <t>A project shall receive 1 point for each full percent that the project’s eligible basis is less than the project’s CDLAC adjusted threshold basis limit.</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</si>
  <si>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</si>
  <si>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</si>
  <si>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</si>
  <si>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</si>
  <si>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</si>
  <si>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</si>
  <si>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 xml:space="preserve">A New Construction Project that: </t>
  </si>
  <si>
    <t>Maximum Adjustment (15% of Bond Request):</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</si>
  <si>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</si>
  <si>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</si>
  <si>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</si>
  <si>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</si>
  <si>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</si>
  <si>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</si>
  <si>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Plus (+) 1% basis adjustment - 50% AMI to 36% AMI Units</t>
  </si>
  <si>
    <t>Plus (+) 2% basis adjustment  - At or below 35% AMI Units</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</si>
  <si>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</si>
  <si>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</si>
  <si>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</si>
  <si>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</si>
  <si>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</si>
  <si>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</si>
  <si>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</si>
  <si>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rPr>
        <sz val="10"/>
        <color theme="1"/>
        <rFont val="Arial"/>
      </rP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rPr>
      <t>An application proposing a project located on multiple scattered sites shall be scored proportionately in the site amenities based upon (i) each site’s score, and (ii) the percentage of units represented by each site</t>
    </r>
    <r>
      <rPr>
        <sz val="10"/>
        <color theme="1"/>
        <rFont val="Arial"/>
      </rPr>
      <t xml:space="preserve">. </t>
    </r>
    <r>
      <rPr>
        <b/>
        <sz val="10"/>
        <color theme="1"/>
        <rFont val="Arial"/>
      </rPr>
      <t>Proportional scoring</t>
    </r>
    <r>
      <rPr>
        <sz val="10"/>
        <color theme="1"/>
        <rFont val="Arial"/>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</si>
  <si>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</si>
  <si>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</si>
  <si>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</si>
  <si>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</si>
  <si>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</si>
  <si>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</si>
  <si>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</si>
  <si>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</si>
  <si>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</si>
  <si>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</si>
  <si>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</si>
  <si>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</si>
  <si>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</si>
  <si>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</si>
  <si>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</si>
  <si>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Total # Units:</t>
  </si>
  <si>
    <t>(iv)</t>
  </si>
  <si>
    <t>The project site is within 1/2 mile of a bus rapid transit station, light rail station,</t>
  </si>
  <si>
    <t>5 Points</t>
  </si>
  <si>
    <t>(v)</t>
  </si>
  <si>
    <t>Average:</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</si>
  <si>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</si>
  <si>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</si>
  <si>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</si>
  <si>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</si>
  <si>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</si>
  <si>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</si>
  <si>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</si>
  <si>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</si>
  <si>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</si>
  <si>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</si>
  <si>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If you are a Special Needs Project, please enter the number of Special Needs Bedrooms:</t>
  </si>
  <si>
    <t xml:space="preserve">The project site is within 1/2 mile of a bus rapid transit station, light rail station, </t>
  </si>
  <si>
    <t xml:space="preserve">commuter rail station, ferry terminal, bus station, or public bus stop.  </t>
  </si>
  <si>
    <t>TOTAL LI Units</t>
  </si>
  <si>
    <t>Select one:</t>
  </si>
  <si>
    <t xml:space="preserve">If (iv), select one: </t>
  </si>
  <si>
    <t>TOTAL LI Bedrooms</t>
  </si>
  <si>
    <t>Total # Low Income Bedrooms</t>
  </si>
  <si>
    <t xml:space="preserve">In addition to meeting one of the categories above (i through v), points are available to applicants </t>
  </si>
  <si>
    <t>Total # Special Needs Bedrooms</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</si>
  <si>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</si>
  <si>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</si>
  <si>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</si>
  <si>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Resyndication project using hold harmless rent limits in the above table?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</si>
  <si>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</si>
  <si>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</si>
  <si>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</si>
  <si>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These rents cannot exceed the federal set-aside current tax credit rent limits. See CTCAC Regulation Section 10327(g)(8).</t>
  </si>
  <si>
    <t>Manager Units</t>
  </si>
  <si>
    <t xml:space="preserve">State law requires an onsite manager's unit for projects with 16 or more residential units.  </t>
  </si>
  <si>
    <t>Total Points for Transit Amenity:</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</si>
  <si>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</si>
  <si>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r>
      <rPr>
        <sz val="10"/>
        <color theme="1"/>
        <rFont val="Arial"/>
      </rPr>
      <t xml:space="preserve">The site is within 1/2 mile of a public park or a community center accessible to the general public (1 mile for Rural set-aside projects). A public park </t>
    </r>
    <r>
      <rPr>
        <u/>
        <sz val="10"/>
        <color theme="1"/>
        <rFont val="Arial"/>
      </rPr>
      <t>shall not</t>
    </r>
    <r>
      <rPr>
        <sz val="10"/>
        <color theme="1"/>
        <rFont val="Arial"/>
      </rPr>
      <t xml:space="preserve"> include 1) school grounds </t>
    </r>
    <r>
      <rPr>
        <u/>
        <sz val="10"/>
        <color theme="1"/>
        <rFont val="Arial"/>
      </rPr>
      <t>unless</t>
    </r>
    <r>
      <rPr>
        <sz val="10"/>
        <color theme="1"/>
        <rFont val="Arial"/>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color theme="1"/>
        <rFont val="Arial"/>
      </rPr>
      <t>unless</t>
    </r>
    <r>
      <rPr>
        <sz val="10"/>
        <color theme="1"/>
        <rFont val="Arial"/>
      </rPr>
      <t xml:space="preserve"> there is a trailhead or designated access point within the specified distance. </t>
    </r>
  </si>
  <si>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</si>
  <si>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r>
      <rPr>
        <sz val="10"/>
        <color theme="1"/>
        <rFont val="Arial"/>
      </rPr>
      <t>(c)
Proposed Monthly Rent</t>
    </r>
    <r>
      <rPr>
        <sz val="8"/>
        <color theme="1"/>
        <rFont val="Arial"/>
      </rPr>
      <t xml:space="preserve"> (Less Utilities)</t>
    </r>
  </si>
  <si>
    <t>(d)
Total Monthly Rents 
(b x c)</t>
  </si>
  <si>
    <t>Joint-use agreement (if yes, please provide a copy)</t>
  </si>
  <si>
    <t>The site is within 3/4 mile (1.5 miles for Rural set-aside).</t>
  </si>
  <si>
    <t>2 Points</t>
  </si>
  <si>
    <t>manager(s)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</si>
  <si>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</si>
  <si>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</si>
  <si>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</si>
  <si>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</si>
  <si>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</si>
  <si>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</si>
  <si>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</si>
  <si>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</si>
  <si>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</si>
  <si>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</si>
  <si>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</si>
  <si>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</si>
  <si>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TOTAL Manager Units</t>
  </si>
  <si>
    <t>The site is within 1.5 mile of a full scale grocery store/supermarket of at least 25,000 gross interior square feet where staples, fresh meat, and fresh produce are sold (3 mile for Rural set-aside projects).</t>
  </si>
  <si>
    <t>TOTAL Manager Bedrooms</t>
  </si>
  <si>
    <t>Project with desk or security staff in lieu of on-site manager unit(s)</t>
  </si>
  <si>
    <t>The site is within 1/4 mile of a neighborhood market of 5,000 gross interior square feet or more where staples, fresh meat, and fresh produce are sold (1/2 mile for Rural set-aside projects).</t>
  </si>
  <si>
    <t>See CTCAC Regulation Section 10325(f)(7)(J) for complete requirements.</t>
  </si>
  <si>
    <t>The site is within 1/2 mile of a neighborhood market of 5,000 gross interior square feet or more where staples, fresh meat, and fresh produce are sold (1 mile for Rural set-aside projects).</t>
  </si>
  <si>
    <r>
      <rPr>
        <sz val="10"/>
        <color theme="1"/>
        <rFont val="Arial"/>
      </rPr>
      <t>(c)
Proposed Monthly Rent</t>
    </r>
    <r>
      <rPr>
        <sz val="8"/>
        <color theme="1"/>
        <rFont val="Arial"/>
      </rPr>
      <t xml:space="preserve"> (Less Utilities)</t>
    </r>
  </si>
  <si>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</si>
  <si>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</si>
  <si>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</si>
  <si>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market rate</t>
  </si>
  <si>
    <t>market rate AMIs</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</si>
  <si>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</si>
  <si>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</si>
  <si>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</si>
  <si>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</si>
  <si>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</si>
  <si>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</si>
  <si>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</si>
  <si>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</si>
  <si>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</si>
  <si>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</si>
  <si>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</si>
  <si>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</si>
  <si>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</si>
  <si>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</si>
  <si>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</si>
  <si>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</si>
  <si>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</si>
  <si>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</si>
  <si>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</si>
  <si>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r>
      <rPr>
        <sz val="10"/>
        <color theme="1"/>
        <rFont val="Arial"/>
      </rPr>
      <t xml:space="preserve">For a </t>
    </r>
    <r>
      <rPr>
        <b/>
        <sz val="10"/>
        <color theme="1"/>
        <rFont val="Arial"/>
      </rPr>
      <t>senior development</t>
    </r>
    <r>
      <rPr>
        <sz val="10"/>
        <color theme="1"/>
        <rFont val="Arial"/>
      </rPr>
      <t xml:space="preserve"> the project site is within 1/2 mile of a daily operated senior center or a facility offering daily services to seniors (not on the project site) (1 mile for Rural set-aside).</t>
    </r>
  </si>
  <si>
    <t>Specific Service Oriented Facility</t>
  </si>
  <si>
    <t>Medical Clinic/Hospital</t>
  </si>
  <si>
    <t>In-unit High Speed Internet Service</t>
  </si>
  <si>
    <t>The project site is within 3/4 mile of a daily operated senior center or a facility offering daily services to seniors (not on the project site) (1.5 miles for Rural Set-aside).</t>
  </si>
  <si>
    <t>Rental Subsidy Contract by Unit</t>
  </si>
  <si>
    <t>Bedroom Type</t>
  </si>
  <si>
    <r>
      <rPr>
        <sz val="11"/>
        <color theme="1"/>
        <rFont val="Arial"/>
      </rPr>
      <t>Number of Units</t>
    </r>
    <r>
      <rPr>
        <sz val="11"/>
        <color theme="1"/>
        <rFont val="Aptos Narrow"/>
      </rPr>
      <t>¹</t>
    </r>
  </si>
  <si>
    <r>
      <rPr>
        <sz val="11"/>
        <color theme="1"/>
        <rFont val="Arial"/>
      </rPr>
      <t>Voucher Type</t>
    </r>
    <r>
      <rPr>
        <sz val="11"/>
        <color theme="1"/>
        <rFont val="Aptos Narrow"/>
      </rPr>
      <t>²</t>
    </r>
  </si>
  <si>
    <r>
      <rPr>
        <sz val="11"/>
        <color theme="1"/>
        <rFont val="Arial"/>
      </rPr>
      <t xml:space="preserve">Proposed Monthly Rent per Unit                            </t>
    </r>
    <r>
      <rPr>
        <b/>
        <sz val="11"/>
        <color theme="1"/>
        <rFont val="Arial"/>
      </rPr>
      <t xml:space="preserve"> </t>
    </r>
    <r>
      <rPr>
        <b/>
        <sz val="10"/>
        <color theme="1"/>
        <rFont val="Arial"/>
      </rPr>
      <t>Less Utility Allowance</t>
    </r>
    <r>
      <rPr>
        <b/>
        <sz val="10"/>
        <color theme="1"/>
        <rFont val="Aptos Narrow"/>
      </rPr>
      <t>³</t>
    </r>
  </si>
  <si>
    <r>
      <rPr>
        <sz val="11"/>
        <color theme="1"/>
        <rFont val="Arial"/>
      </rPr>
      <t xml:space="preserve">Subsidy Contract Monthly Rent per Unit                    </t>
    </r>
    <r>
      <rPr>
        <b/>
        <sz val="10"/>
        <color theme="1"/>
        <rFont val="Arial"/>
      </rPr>
      <t>Less Utility Allowance*</t>
    </r>
  </si>
  <si>
    <t>Total Subsidy Contract Monthly Rent   (b x e)</t>
  </si>
  <si>
    <t>Subsidy Contract Monthly Rent in Excess of Tax Credit Proposed Monthly Rent</t>
  </si>
  <si>
    <t>Subsidy Contract Total Rent in Excess of Tax Credit Proposed Monthly Rent</t>
  </si>
  <si>
    <t>Total Points for Daily Operated Senior Center Amenity:</t>
  </si>
  <si>
    <t>Special Needs Development: Population Specific Service Oriented Facility</t>
  </si>
  <si>
    <r>
      <rPr>
        <sz val="10"/>
        <color theme="1"/>
        <rFont val="Arial"/>
      </rPr>
      <t xml:space="preserve">For a </t>
    </r>
    <r>
      <rPr>
        <b/>
        <sz val="10"/>
        <color theme="1"/>
        <rFont val="Arial"/>
      </rPr>
      <t>special needs development</t>
    </r>
    <r>
      <rPr>
        <sz val="10"/>
        <color theme="1"/>
        <rFont val="Arial"/>
      </rPr>
      <t>, the site is located within 1/2 mile of a facility that operates to serve the population living in the development.</t>
    </r>
  </si>
  <si>
    <t>The project site is located within 1 mile of a facility that operates to serve the population living in the development.</t>
  </si>
  <si>
    <r>
      <rPr>
        <b/>
        <sz val="14"/>
        <color theme="1"/>
        <rFont val="Arial"/>
      </rPr>
      <t xml:space="preserve">15 YEAR PROJECT CASH FLOW PROJECTIONS - </t>
    </r>
    <r>
      <rPr>
        <sz val="12"/>
        <color theme="1"/>
        <rFont val="Arial"/>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</si>
  <si>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</si>
  <si>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</si>
  <si>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</si>
  <si>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</si>
  <si>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</si>
  <si>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</si>
  <si>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</si>
  <si>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</si>
  <si>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</si>
  <si>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</si>
  <si>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</si>
  <si>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</si>
  <si>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</si>
  <si>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</si>
  <si>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</si>
  <si>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</si>
  <si>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</si>
  <si>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</si>
  <si>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</si>
  <si>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</si>
  <si>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</si>
  <si>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Rental Subsidy</t>
  </si>
  <si>
    <t>TOTAL Market Units</t>
  </si>
  <si>
    <t>TOTAL Market Units at or below 100% AMI</t>
  </si>
  <si>
    <t>The site is within 1 mile (1.5 miles for Rural Set-aside) of a qualifying medical clinic with a physician, physician's assistant, or nurse practitioner onsite for a minimum of 40 hours each week, or hospital (not merely a private doctor’s office).</t>
  </si>
  <si>
    <t>Aggregate Monthly Rents For All Units:</t>
  </si>
  <si>
    <t>TOTAL Market BRs</t>
  </si>
  <si>
    <t>Aggregate Annual Rents For All Units:</t>
  </si>
  <si>
    <t>Total Points for Medical Clinic or Hospital Amenity:</t>
  </si>
  <si>
    <t>total sum for threshold basis limit</t>
  </si>
  <si>
    <t>ANNUAL TOTAL RENT</t>
  </si>
  <si>
    <t>¹ The number of units are linked to the Lowest Income Units table in the Application tab.</t>
  </si>
  <si>
    <t>Operating Subsidy (specify if applicable)</t>
  </si>
  <si>
    <t>² Federal project-based rental assistance, a similar local rental assistance program approved by the Executive Director under 
    §5231(g)(1)(B)(i), or other rental assistance</t>
  </si>
  <si>
    <t>The site is within 1/2 mile of a pharmacy (1 mile for Rural Set-aside). (This category may be combined with the other site amenities above).</t>
  </si>
  <si>
    <t>³ This spreadsheet assumes a subsidy contract with a utility allowance.  
If the project's subsidy contract is gross, please adjust the column headings and cells accordingly.</t>
  </si>
  <si>
    <t>Total Revenue</t>
  </si>
  <si>
    <t>TOTAL LI &amp; Market BRs</t>
  </si>
  <si>
    <t>The site is within 1 mile of a pharmacy (2 miles for Rural Set-aside). (This category may be combined with the other site amenities above).</t>
  </si>
  <si>
    <t>EXPENSES</t>
  </si>
  <si>
    <t>Operating Expenses:</t>
  </si>
  <si>
    <t>Complete spreadsheet "Subsidy Contract Calculation"</t>
  </si>
  <si>
    <t>Administrative</t>
  </si>
  <si>
    <t>Management</t>
  </si>
  <si>
    <t>Total Points for Pharmacy:</t>
  </si>
  <si>
    <t>Number of Units Receiving Assistance:</t>
  </si>
  <si>
    <t>Payroll &amp; Payroll Taxes</t>
  </si>
  <si>
    <r>
      <rPr>
        <sz val="10"/>
        <color theme="1"/>
        <rFont val="Arial"/>
      </rPr>
      <t>Length of Contract</t>
    </r>
    <r>
      <rPr>
        <sz val="8"/>
        <color theme="1"/>
        <rFont val="Arial"/>
      </rPr>
      <t xml:space="preserve"> (years):</t>
    </r>
  </si>
  <si>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</si>
  <si>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Expiration Date of Contract:</t>
  </si>
  <si>
    <t>Other Operating Expenses (specify):</t>
  </si>
  <si>
    <t>Total Operating Expenses</t>
  </si>
  <si>
    <t>Total Projected Annual Rental Subsidy:</t>
  </si>
  <si>
    <r>
      <rPr>
        <b/>
        <sz val="10"/>
        <color theme="1"/>
        <rFont val="Arial"/>
      </rPr>
      <t xml:space="preserve">Rural set-aside only:  </t>
    </r>
    <r>
      <rPr>
        <sz val="10"/>
        <color theme="1"/>
        <rFont val="Arial"/>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</si>
  <si>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Ground Lease Payment (if applicable)</t>
  </si>
  <si>
    <t>Transit Pass/Tenant Internet Expense*</t>
  </si>
  <si>
    <t>Annual Income from Laundry Facilities:</t>
  </si>
  <si>
    <t>Total Points for Internet Service:</t>
  </si>
  <si>
    <t>Annual Income from Vending Machines:</t>
  </si>
  <si>
    <t>Highest or High Resources Area</t>
  </si>
  <si>
    <t>Annual Interest Income:</t>
  </si>
  <si>
    <t>Replacement Reserve</t>
  </si>
  <si>
    <t>The project is a new construction large family housing type project, except for an inclusionary project as defined in Section 10325(c)(9)(C), and the site is located in a census tract designated on the CTCAC/HCD Opportunity Area Map as Highest or High Resource.</t>
  </si>
  <si>
    <t>Other Annual Income:</t>
  </si>
  <si>
    <t>Monitoring Fees</t>
  </si>
  <si>
    <t>Total Miscellaneous Income:</t>
  </si>
  <si>
    <t>Real Estate Taxes</t>
  </si>
  <si>
    <t>Total Annual Potential Gross Income:</t>
  </si>
  <si>
    <t>Total Points for Highest or High Resources Area:</t>
  </si>
  <si>
    <t>Specialty Local Taxes</t>
  </si>
  <si>
    <t>Farmworker or Native American Housing</t>
  </si>
  <si>
    <t>The project is a Farmworker Housing project or a project which would be eligible for the Native American apportionment, as defined in CTCAC Reg. Section 10315(c)(2).</t>
  </si>
  <si>
    <t>(utility allowances must be itemized and must agree with the applicable utility allowance schedule)</t>
  </si>
  <si>
    <t>Total Points for Farmworker or Native American Housing:</t>
  </si>
  <si>
    <t>Total Expenses</t>
  </si>
  <si>
    <t>Total Points for Site Amenities:</t>
  </si>
  <si>
    <t>Cash Flow Prior to Debt Service</t>
  </si>
  <si>
    <t>SRO / STUDIO</t>
  </si>
  <si>
    <t>1 BR</t>
  </si>
  <si>
    <t>2 BR</t>
  </si>
  <si>
    <t>3 BR</t>
  </si>
  <si>
    <t>4 BR</t>
  </si>
  <si>
    <t>( ) BR</t>
  </si>
  <si>
    <t>Site Amenity Contact List:</t>
  </si>
  <si>
    <t>MUST PAY DEBT SERVICE</t>
  </si>
  <si>
    <t>Amenity Name:</t>
  </si>
  <si>
    <t>City, Zip</t>
  </si>
  <si>
    <t>Total Debt Service</t>
  </si>
  <si>
    <t>Adult Education Campus/Community College</t>
  </si>
  <si>
    <t>Amenity Type:</t>
  </si>
  <si>
    <t>Space Heating:</t>
  </si>
  <si>
    <t>Website:</t>
  </si>
  <si>
    <t>Cash Flow After Debt Service</t>
  </si>
  <si>
    <t>Distance in miles:</t>
  </si>
  <si>
    <t>Water Heating:</t>
  </si>
  <si>
    <t>Percent of Gross Revenue</t>
  </si>
  <si>
    <t>Cooking:</t>
  </si>
  <si>
    <t>25% Debt Service Test</t>
  </si>
  <si>
    <t>Lighting:</t>
  </si>
  <si>
    <t>Electricity:</t>
  </si>
  <si>
    <t>OTHER FEES**</t>
  </si>
  <si>
    <t>Water:*</t>
  </si>
  <si>
    <r>
      <rPr>
        <sz val="10"/>
        <color theme="1"/>
        <rFont val="Arial"/>
      </rPr>
      <t>Other</t>
    </r>
    <r>
      <rPr>
        <sz val="8"/>
        <color theme="1"/>
        <rFont val="Arial"/>
      </rPr>
      <t>:</t>
    </r>
  </si>
  <si>
    <t>LP Asset Management Fee</t>
  </si>
  <si>
    <t>Incentive Management Fee</t>
  </si>
  <si>
    <t>Total Other Fees</t>
  </si>
  <si>
    <t>*PROJECTS PROPOSING UNITS WITH INDIVIDUAL WATER METERS MUST INCLUDE A WATER</t>
  </si>
  <si>
    <t>Remaining Cash Flow</t>
  </si>
  <si>
    <t>ALLOWANCE.</t>
  </si>
  <si>
    <t>Deferred Developer Fee**</t>
  </si>
  <si>
    <t>Name of PHA or California Energy Commission Providing Utility Allowances:</t>
  </si>
  <si>
    <t>Residual or Soft Debt Payments**</t>
  </si>
  <si>
    <t>See Regulation Section 10322(h)(21) for type of projects that are allowed to use CUAC.</t>
  </si>
  <si>
    <t>Annual Residential Operating Expenses</t>
  </si>
  <si>
    <t>Cash Flow</t>
  </si>
  <si>
    <t xml:space="preserve"> Administrative</t>
  </si>
  <si>
    <t>Advertising:</t>
  </si>
  <si>
    <t>Legal:</t>
  </si>
  <si>
    <t xml:space="preserve">*Applications should include the cost of tenant internet service if requested in the Points System site amenity section. </t>
  </si>
  <si>
    <r>
      <rPr>
        <sz val="10"/>
        <color theme="1"/>
        <rFont val="Arial"/>
      </rPr>
      <t>**Other Fees and all payments made from cash flow after must pay debt should be completed according to the terms of the partnership agreement (or equivalent ownership entity terms).  Please re-order line items consistent with any "order of priority" terms.</t>
    </r>
    <r>
      <rPr>
        <b/>
        <sz val="10"/>
        <color theme="1"/>
        <rFont val="Arial"/>
      </rPr>
      <t xml:space="preserve">  These items are to be completed when submitting an </t>
    </r>
    <r>
      <rPr>
        <b/>
        <u/>
        <sz val="10"/>
        <color theme="1"/>
        <rFont val="Arial"/>
      </rPr>
      <t>updated</t>
    </r>
    <r>
      <rPr>
        <b/>
        <sz val="10"/>
        <color theme="1"/>
        <rFont val="Arial"/>
      </rPr>
      <t xml:space="preserve"> application for the Carryover, Readiness, and Placed-in-Service deadlines.</t>
    </r>
  </si>
  <si>
    <t>POINTS SYSTEM SUMMARY
SELF SCORING WORKSHEET</t>
  </si>
  <si>
    <t>Accounting/Audit:</t>
  </si>
  <si>
    <t>Security:</t>
  </si>
  <si>
    <t>Admin</t>
  </si>
  <si>
    <t>Total  Administrative:</t>
  </si>
  <si>
    <t>Total Management:</t>
  </si>
  <si>
    <t>APPLICANT POINTS</t>
  </si>
  <si>
    <t>MAXIMUM POINTS</t>
  </si>
  <si>
    <t>TOTAL
POINTS</t>
  </si>
  <si>
    <t>Fuel:</t>
  </si>
  <si>
    <t>Gas:</t>
  </si>
  <si>
    <t>Water/Sewer:</t>
  </si>
  <si>
    <t>Total Utilities:</t>
  </si>
  <si>
    <t xml:space="preserve">Payroll / </t>
  </si>
  <si>
    <t>On-site Manager:</t>
  </si>
  <si>
    <t>Payroll Taxes</t>
  </si>
  <si>
    <t>Number of Staff:</t>
  </si>
  <si>
    <t>Maintenance Personnel:</t>
  </si>
  <si>
    <t>Number of Rent-Free Units:</t>
  </si>
  <si>
    <t>e.</t>
  </si>
  <si>
    <t>Total Payroll / Payroll Taxes:</t>
  </si>
  <si>
    <t>f.</t>
  </si>
  <si>
    <t xml:space="preserve">General Partner &amp; Management Company Experience </t>
  </si>
  <si>
    <t>Total Insurance:</t>
  </si>
  <si>
    <t>Painting:</t>
  </si>
  <si>
    <t>Repairs:</t>
  </si>
  <si>
    <t>General Partner Experience</t>
  </si>
  <si>
    <t>Trash Removal:</t>
  </si>
  <si>
    <t>Exterminating:</t>
  </si>
  <si>
    <t>Grounds:</t>
  </si>
  <si>
    <t>Elevator:</t>
  </si>
  <si>
    <t xml:space="preserve">Housing Needs </t>
  </si>
  <si>
    <t>Total Maintenance:</t>
  </si>
  <si>
    <t>Other Operating</t>
  </si>
  <si>
    <t>Expenses</t>
  </si>
  <si>
    <t xml:space="preserve">Sustainable Building Methods </t>
  </si>
  <si>
    <t>Total Other Expenses:</t>
  </si>
  <si>
    <t>Housing Type, Opportunity Area, AMI Restrictions</t>
  </si>
  <si>
    <t>Total Annual Residential Operating Expenses:</t>
  </si>
  <si>
    <t>Total Number of Units in the Project:</t>
  </si>
  <si>
    <t>Total Annual Operating Expenses Per Unit:</t>
  </si>
  <si>
    <t xml:space="preserve">Site Amenities </t>
  </si>
  <si>
    <t xml:space="preserve"> Total 3-Month Operating Reserve:</t>
  </si>
  <si>
    <t>m.</t>
  </si>
  <si>
    <t>*Negative Points (if any, enter the amount:)</t>
  </si>
  <si>
    <t>Total Annual Transit Pass / Internet Expense (site amenity election):</t>
  </si>
  <si>
    <t>NO MAX</t>
  </si>
  <si>
    <t>Total Annual Services Amenities Budget (from project expenses):</t>
  </si>
  <si>
    <t>Total Points: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</si>
  <si>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</si>
  <si>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</si>
  <si>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</si>
  <si>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</si>
  <si>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</si>
  <si>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</si>
  <si>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</si>
  <si>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</si>
  <si>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</si>
  <si>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</si>
  <si>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</si>
  <si>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</si>
  <si>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</si>
  <si>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space.  Separate cash flow projections shall be provided for residential and commercial space.  Income from</t>
  </si>
  <si>
    <t>Review Post-award Instructions sheet before completing.</t>
  </si>
  <si>
    <t xml:space="preserve">1. Go down the column “ORIGINAL APPLICATION TOTAL PROJECT COST – RESIDENTIAL” and highlight all yellow-colored cells.  </t>
  </si>
  <si>
    <t>the residential portion of a project shall not be used to support any negative cash flow of a commercial portion,</t>
  </si>
  <si>
    <t xml:space="preserve">2. Right click (or use a keyboard shortcut) to COPY.  </t>
  </si>
  <si>
    <t xml:space="preserve">3. Right click again and select PASTE SPECIAL.  Choose PASTE VALUES.  This will break the links to the Sources and Uses Budget for this column.  </t>
  </si>
  <si>
    <t>SOURCES AND USES BUDGET COMPARISON</t>
  </si>
  <si>
    <t xml:space="preserve">4. When you update the Sources and Uses Budget, column C will update and the “ORIGINAL APPLICATION TOTAL PROJECT COST – RESIDENTIAL” </t>
  </si>
  <si>
    <t xml:space="preserve">     will retain the original application numbers.  </t>
  </si>
  <si>
    <t>and commercial income should not support the residential portion (Sections 10322(h)(15), (23); 10327(g)(7)).</t>
  </si>
  <si>
    <t xml:space="preserve">   5. When submitting the placed in service application, change the Cost Variance formula cells to a D-B formula (example: the formula in E5 becomes D5-B5).</t>
  </si>
  <si>
    <t>ORIGINAL APPLICATION TOTAL PROJECT
COST - RESIDENTIAL</t>
  </si>
  <si>
    <t>6. Make any necessary notes detailing reasons for changes to the costs in the “NOTES” column.</t>
  </si>
  <si>
    <t>PLACED IN SERVICE TOTAL PROJECT
COST - RESIDENTIAL</t>
  </si>
  <si>
    <t>COST VARIANCE</t>
  </si>
  <si>
    <t>NOTES</t>
  </si>
  <si>
    <t>III. PROJECT FINANCING - SECTION 4:  LOAN AND GRANT SUBSIDIES</t>
  </si>
  <si>
    <t>Funding Sources</t>
  </si>
  <si>
    <t>Included in Eligible Basis
Yes/No</t>
  </si>
  <si>
    <r>
      <rPr>
        <b/>
        <sz val="10"/>
        <color theme="1"/>
        <rFont val="Arial"/>
      </rPr>
      <t xml:space="preserve">If lender is not funding source, list source (HOME, CDBG, etc.) </t>
    </r>
    <r>
      <rPr>
        <b/>
        <u/>
        <sz val="10"/>
        <color theme="1"/>
        <rFont val="Arial"/>
      </rPr>
      <t>NOT</t>
    </r>
    <r>
      <rPr>
        <b/>
        <sz val="10"/>
        <color theme="1"/>
        <rFont val="Arial"/>
      </rPr>
      <t xml:space="preserve"> lender.</t>
    </r>
  </si>
  <si>
    <t>Amount</t>
  </si>
  <si>
    <t>Tax-Exempt Financing</t>
  </si>
  <si>
    <t>Sum of Tax-Exempt Construction Financing</t>
  </si>
  <si>
    <t>Taxable Bond Financing</t>
  </si>
  <si>
    <r>
      <rPr>
        <sz val="10"/>
        <color theme="1"/>
        <rFont val="Arial"/>
      </rPr>
      <t>HOME Investment Partnership Act</t>
    </r>
    <r>
      <rPr>
        <sz val="8"/>
        <color theme="1"/>
        <rFont val="Arial"/>
      </rPr>
      <t xml:space="preserve"> (HOME)</t>
    </r>
  </si>
  <si>
    <r>
      <rPr>
        <sz val="10"/>
        <color theme="1"/>
        <rFont val="Arial"/>
      </rPr>
      <t xml:space="preserve">Community Development Block Grant </t>
    </r>
    <r>
      <rPr>
        <sz val="8"/>
        <color theme="1"/>
        <rFont val="Arial"/>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</si>
  <si>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</si>
  <si>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</si>
  <si>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</si>
  <si>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</si>
  <si>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</si>
  <si>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</si>
  <si>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</si>
  <si>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</si>
  <si>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</si>
  <si>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</si>
  <si>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</si>
  <si>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</si>
  <si>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</si>
  <si>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</si>
  <si>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</si>
  <si>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</si>
  <si>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</si>
  <si>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</si>
  <si>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</si>
  <si>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</si>
  <si>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</si>
  <si>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</si>
  <si>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</si>
  <si>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</si>
  <si>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</si>
  <si>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TCAC App/Allocation/Monitoring Fees</t>
  </si>
  <si>
    <t>Local:</t>
  </si>
  <si>
    <t>Indicate By Percent Of Units Affected, Any Rental Subsidy Expected To Be Available To The Project.</t>
  </si>
  <si>
    <t>Approval Date:</t>
  </si>
  <si>
    <t>Source:</t>
  </si>
  <si>
    <t>If Section 8:</t>
  </si>
  <si>
    <t>Units Subsidized:</t>
  </si>
  <si>
    <t xml:space="preserve">  Note:  Syndication Costs may not be included as a project cost.</t>
  </si>
  <si>
    <t>Amount Per Year:</t>
  </si>
  <si>
    <t>Total Subsidy:</t>
  </si>
  <si>
    <r>
      <rPr>
        <b/>
        <sz val="10"/>
        <color theme="1"/>
        <rFont val="Arial"/>
      </rPr>
      <t>Pre-Existing Subsidies</t>
    </r>
    <r>
      <rPr>
        <sz val="8"/>
        <color theme="1"/>
        <rFont val="Arial"/>
      </rPr>
      <t xml:space="preserve"> (Acq./Rehab. or Rehab-Only projects)</t>
    </r>
  </si>
  <si>
    <t>Indicate The Subsidy Amount For Any Of The Following Currently Utilized By The Project.</t>
  </si>
  <si>
    <t>Sec 221(d)(3) BMIR:</t>
  </si>
  <si>
    <t>RHS 514:</t>
  </si>
  <si>
    <t>HUD Sec 236:</t>
  </si>
  <si>
    <t>RHS 515:</t>
  </si>
  <si>
    <t>If Section 236, IRP?</t>
  </si>
  <si>
    <r>
      <rPr>
        <sz val="10"/>
        <color theme="1"/>
        <rFont val="Arial"/>
      </rPr>
      <t xml:space="preserve">RHS 521 </t>
    </r>
    <r>
      <rPr>
        <sz val="8"/>
        <color theme="1"/>
        <rFont val="Arial"/>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</si>
  <si>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</si>
  <si>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</si>
  <si>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</si>
  <si>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</si>
  <si>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</si>
  <si>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</si>
  <si>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</si>
  <si>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</si>
  <si>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</si>
  <si>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</si>
  <si>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</si>
  <si>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</si>
  <si>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</si>
  <si>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</si>
  <si>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</si>
  <si>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</si>
  <si>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</si>
  <si>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</si>
  <si>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</si>
  <si>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</si>
  <si>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</si>
  <si>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</si>
  <si>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</si>
  <si>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</si>
  <si>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rPr>
        <sz val="10"/>
        <color theme="1"/>
        <rFont val="Arial"/>
      </rPr>
      <t>For new construction projects required to provide parking beneath residential units (not "</t>
    </r>
    <r>
      <rPr>
        <sz val="10"/>
        <color theme="1"/>
        <rFont val="Arial"/>
      </rPr>
      <t>tuck under" parking) or through construction of an on-site parking structure of two or more levels.</t>
    </r>
  </si>
  <si>
    <t>(c)</t>
  </si>
  <si>
    <t>Plus (+) 2% basis adjustment - Daycare</t>
  </si>
  <si>
    <t>For projects where a day care center is part of the development.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</si>
  <si>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</si>
  <si>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</si>
  <si>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</si>
  <si>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</si>
  <si>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</si>
  <si>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</si>
  <si>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</si>
  <si>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</si>
  <si>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</si>
  <si>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</si>
  <si>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</si>
  <si>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</si>
  <si>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</si>
  <si>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</si>
  <si>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rPr>
        <sz val="10"/>
        <color theme="1"/>
        <rFont val="Arial"/>
      </rPr>
      <t>Local development impact fees required to be paid to local government entities.  Certification from local entities assessing fees also required.</t>
    </r>
    <r>
      <rPr>
        <b/>
        <sz val="10"/>
        <color theme="1"/>
        <rFont val="Arial"/>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</si>
  <si>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</si>
  <si>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</si>
  <si>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</si>
  <si>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</si>
  <si>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</si>
  <si>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</si>
  <si>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</si>
  <si>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</si>
  <si>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</si>
  <si>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</si>
  <si>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</si>
  <si>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</si>
  <si>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</si>
  <si>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</si>
  <si>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</si>
  <si>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</si>
  <si>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</si>
  <si>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</si>
  <si>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</si>
  <si>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</si>
  <si>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</si>
  <si>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</si>
  <si>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</si>
  <si>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</si>
  <si>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</si>
  <si>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</si>
  <si>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</si>
  <si>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</si>
  <si>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</si>
  <si>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</si>
  <si>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</si>
  <si>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</si>
  <si>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</si>
  <si>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</si>
  <si>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</si>
  <si>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</si>
  <si>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</si>
  <si>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</si>
  <si>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</si>
  <si>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</si>
  <si>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</si>
  <si>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</si>
  <si>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</si>
  <si>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</si>
  <si>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</si>
  <si>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</si>
  <si>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</si>
  <si>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</si>
  <si>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</si>
  <si>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</si>
  <si>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</si>
  <si>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</si>
  <si>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</si>
  <si>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</si>
  <si>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SD 427 - Normal Heights/North Park/Linda Vista</t>
  </si>
  <si>
    <t>6625 Tait, 6627 Tait, 6629 Tait, 6631 Tait, 4095 Texas, 4075 Texas, 4085 Texas, 4091 Texas, 4061 Texas, 4045 Texas, 4036 Illinois, 4066 Arizona, 4760 32nd, 4614 33rd, 3869 Swift, 4783 Wilson, 4620 Wilson, 4621 Wilson, 3358 Madison, 3834 Edna, 4533 37th, 4437 39th, 4444 49th, 4035 38th, 3878 37th, 3862 39th, 3844 Wilson</t>
  </si>
  <si>
    <t>92111, 92111, 92111, 92111, 92104, 92104, 92104, 92104, 92104, 92104, 92104, 92104, 92116, 92116, 92105, 92116, 92116, 92116, 92116, 92104, 92116, 92116, 92115, 92105, 92105, 92105, 92105</t>
  </si>
  <si>
    <t xml:space="preserve">9.0, 9.0, 9.0, 9.0, 9.01, 9.01, 9.01, 9.01, 9.01, 9.01, 12.01, 9.01, 18.01, 18.01, 24.01, 18.01, 18.01, 18.01, 18.01, 18.01, 21, 21, 21, 22.01, 24.01, 24.01, 24.01 </t>
  </si>
  <si>
    <t>431-520-38-00, 431-520-38-00, 431-520-38-00, 431-520-38-00, 445-581-08-00, 445-581-35-00 / 445-581-06-00, 445-581-35-00 / 445-581-06-00, 445-581-35-00 / 445-581-06-00, 445-581-35-00 / 445-581-06-00, 445-581-35-00 / 445-581-06-00, 445-581-27-00, 446-183-16-00, 439-381-29-00, 439-432-15-00, 447-452-05-00, 440-402-04-00, 440-570-36-00, 440-581-19-00, 440-570-30-00, 440-592-13-00, 447-052-05-00, 447-132-09-00, 447-131-26-00, 447-422-10-00, 447-472-28-00, 447-482-27-00, 447-461-22-00</t>
  </si>
  <si>
    <t>RM 1-1, RM-3-7, RM-3-7</t>
  </si>
  <si>
    <t xml:space="preserve">Benefits/Payroll taxes/Workmans Comp </t>
  </si>
  <si>
    <t>Tenant Charges /Rebates</t>
  </si>
  <si>
    <t xml:space="preserve">See Amenity Section in Part III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</si>
</sst>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5">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0.000%"/>
    <numFmt numFmtId="166" formatCode="[$-409]mmmm\ d\,\ yyyy"/>
    <numFmt numFmtId="167" formatCode="00000"/>
    <numFmt numFmtId="168" formatCode="[&lt;=9999999]###\-####;\(###\)\ ###\-####"/>
    <numFmt numFmtId="169" formatCode="000"/>
    <numFmt numFmtId="170" formatCode="0000.00"/>
    <numFmt numFmtId="171" formatCode="0.000"/>
    <numFmt numFmtId="172" formatCode="_(&quot;$&quot;* #,##0_);_(&quot;$&quot;* \(#,##0\);_(&quot;$&quot;* &quot;-&quot;??_);_(@_)"/>
    <numFmt numFmtId="173" formatCode="mm/dd/yy"/>
    <numFmt numFmtId="174" formatCode="0.0"/>
    <numFmt numFmtId="175" formatCode="_(* #,##0.0000_);_(* \(#,##0.0000\);_(* &quot;-&quot;??_);_(@_)"/>
    <numFmt numFmtId="176" formatCode="0.0%"/>
    <numFmt numFmtId="177" formatCode="&quot;$&quot;#,##0.00000"/>
    <numFmt numFmtId="178" formatCode="&quot;$&quot;#,##0.00"/>
    <numFmt numFmtId="179" formatCode="#,##0.0000000000"/>
    <numFmt numFmtId="180" formatCode="0.0000%"/>
    <numFmt numFmtId="181" formatCode="_(* #,##0_);_(* \(#,##0\);_(* &quot;-&quot;??_);_(@_)"/>
    <numFmt numFmtId="182" formatCode="&quot;$&quot;#,##0.0"/>
    <numFmt numFmtId="183" formatCode="0_);\(0\)"/>
    <numFmt numFmtId="184" formatCode="0.0000"/>
  </numFmts>
  <fonts count="137">
    <font>
      <sz val="10"/>
      <color rgb="FF000000"/>
      <name val="Arial"/>
      <scheme val="minor"/>
    </font>
    <font>
      <b/>
      <sz val="12"/>
      <color rgb="FFC00000"/>
      <name val="Arial"/>
    </font>
    <font>
      <sz val="10"/>
      <color theme="1"/>
      <name val="Arial"/>
    </font>
    <font>
      <sz val="12"/>
      <color theme="1"/>
      <name val="Arial"/>
    </font>
    <font>
      <b/>
      <sz val="10"/>
      <color rgb="FFFFFFFF"/>
      <name val="Arial"/>
    </font>
    <font>
      <sz val="10"/>
      <name val="Arial"/>
    </font>
    <font>
      <b/>
      <sz val="10"/>
      <color theme="1"/>
      <name val="Arial"/>
    </font>
    <font>
      <b/>
      <u/>
      <sz val="10"/>
      <color theme="1"/>
      <name val="Arial"/>
    </font>
    <font>
      <b/>
      <u/>
      <sz val="10"/>
      <color theme="1"/>
      <name val="Arial"/>
    </font>
    <font>
      <b/>
      <u/>
      <sz val="10"/>
      <color theme="1"/>
      <name val="Arial"/>
    </font>
    <font>
      <b/>
      <u/>
      <sz val="10"/>
      <color theme="1"/>
      <name val="Arial"/>
    </font>
    <font>
      <u/>
      <sz val="10"/>
      <color rgb="FF0000FF"/>
      <name val="Arial"/>
    </font>
    <font>
      <b/>
      <sz val="10"/>
      <color theme="1"/>
      <name val="Arimo"/>
    </font>
    <font>
      <u/>
      <sz val="10"/>
      <color rgb="FF0000FF"/>
      <name val="Arial"/>
    </font>
    <font>
      <b/>
      <sz val="10"/>
      <color rgb="FFFF0000"/>
      <name val="Arial"/>
    </font>
    <font>
      <u/>
      <sz val="10"/>
      <color rgb="FF0000FF"/>
      <name val="Arial"/>
    </font>
    <font>
      <sz val="10"/>
      <color rgb="FFFF0000"/>
      <name val="Arial"/>
    </font>
    <font>
      <sz val="10"/>
      <color theme="1"/>
      <name val="Arial"/>
      <scheme val="minor"/>
    </font>
    <font>
      <b/>
      <i/>
      <sz val="10"/>
      <color theme="1"/>
      <name val="Arial"/>
    </font>
    <font>
      <i/>
      <sz val="10"/>
      <color theme="1"/>
      <name val="Arial"/>
    </font>
    <font>
      <u/>
      <sz val="10"/>
      <color theme="1"/>
      <name val="Arial"/>
    </font>
    <font>
      <u/>
      <sz val="10"/>
      <color rgb="FF0000FF"/>
      <name val="Arial"/>
    </font>
    <font>
      <b/>
      <u/>
      <sz val="10"/>
      <color theme="1"/>
      <name val="Arial"/>
    </font>
    <font>
      <sz val="10"/>
      <color theme="0"/>
      <name val="Arial"/>
    </font>
    <font>
      <sz val="10"/>
      <color rgb="FFFFFFFF"/>
      <name val="Arial"/>
    </font>
    <font>
      <b/>
      <i/>
      <sz val="14"/>
      <color theme="1"/>
      <name val="Arial"/>
    </font>
    <font>
      <b/>
      <u/>
      <sz val="10"/>
      <color rgb="FFFF0000"/>
      <name val="Arial"/>
    </font>
    <font>
      <sz val="8"/>
      <color theme="1"/>
      <name val="Arial"/>
    </font>
    <font>
      <sz val="10"/>
      <color theme="1"/>
      <name val="Times New Roman"/>
    </font>
    <font>
      <b/>
      <i/>
      <sz val="10"/>
      <color theme="1"/>
      <name val="Times New Roman"/>
    </font>
    <font>
      <b/>
      <sz val="9"/>
      <color theme="1"/>
      <name val="Arial"/>
    </font>
    <font>
      <i/>
      <sz val="9"/>
      <color theme="1"/>
      <name val="Arial"/>
    </font>
    <font>
      <sz val="9"/>
      <color theme="1"/>
      <name val="Arial"/>
    </font>
    <font>
      <b/>
      <u/>
      <sz val="10"/>
      <color theme="1"/>
      <name val="Arial"/>
    </font>
    <font>
      <u/>
      <sz val="10"/>
      <color rgb="FF0000FF"/>
      <name val="Arial"/>
    </font>
    <font>
      <b/>
      <i/>
      <sz val="9"/>
      <color theme="1"/>
      <name val="Arial"/>
    </font>
    <font>
      <u/>
      <sz val="10"/>
      <color theme="1"/>
      <name val="Arial"/>
    </font>
    <font>
      <b/>
      <u/>
      <sz val="10"/>
      <color theme="1"/>
      <name val="Arial"/>
    </font>
    <font>
      <b/>
      <sz val="9"/>
      <color rgb="FFC00000"/>
      <name val="Arial"/>
    </font>
    <font>
      <b/>
      <sz val="9"/>
      <color rgb="FFFF0000"/>
      <name val="Arial"/>
    </font>
    <font>
      <b/>
      <sz val="12"/>
      <color theme="1"/>
      <name val="Arial"/>
    </font>
    <font>
      <u/>
      <sz val="10"/>
      <color rgb="FF0000FF"/>
      <name val="Arial"/>
    </font>
    <font>
      <sz val="9"/>
      <color theme="1"/>
      <name val="Times New Roman"/>
    </font>
    <font>
      <sz val="10"/>
      <color rgb="FF0000FF"/>
      <name val="Arial"/>
    </font>
    <font>
      <sz val="11"/>
      <color theme="1"/>
      <name val="Arial"/>
    </font>
    <font>
      <b/>
      <u/>
      <sz val="10"/>
      <color theme="1"/>
      <name val="Arial"/>
    </font>
    <font>
      <b/>
      <vertAlign val="superscript"/>
      <sz val="10"/>
      <color theme="1"/>
      <name val="Arial"/>
    </font>
    <font>
      <b/>
      <u/>
      <sz val="10"/>
      <color theme="1"/>
      <name val="Arial"/>
    </font>
    <font>
      <u/>
      <sz val="10"/>
      <color theme="1"/>
      <name val="Arial"/>
    </font>
    <font>
      <sz val="7"/>
      <color theme="1"/>
      <name val="Arial"/>
    </font>
    <font>
      <sz val="10"/>
      <color rgb="FFBFBFBF"/>
      <name val="Arial"/>
    </font>
    <font>
      <b/>
      <sz val="8"/>
      <color rgb="FFE36C09"/>
      <name val="Arial"/>
    </font>
    <font>
      <b/>
      <sz val="13"/>
      <color rgb="FFE36C09"/>
      <name val="Arial"/>
    </font>
    <font>
      <b/>
      <sz val="14"/>
      <color theme="0"/>
      <name val="Calibri"/>
    </font>
    <font>
      <sz val="11"/>
      <color theme="1"/>
      <name val="Calibri"/>
    </font>
    <font>
      <b/>
      <sz val="11"/>
      <color theme="1"/>
      <name val="Calibri"/>
    </font>
    <font>
      <sz val="11"/>
      <color rgb="FFFF0000"/>
      <name val="Calibri"/>
    </font>
    <font>
      <b/>
      <sz val="9"/>
      <color theme="1"/>
      <name val="Calibri"/>
    </font>
    <font>
      <i/>
      <sz val="8"/>
      <color theme="1"/>
      <name val="Arial"/>
    </font>
    <font>
      <sz val="1"/>
      <color rgb="FFFFFFFF"/>
      <name val="Arial"/>
    </font>
    <font>
      <sz val="11"/>
      <color rgb="FFFFFFFF"/>
      <name val="Calibri"/>
    </font>
    <font>
      <sz val="10"/>
      <color theme="1"/>
      <name val="Calibri"/>
    </font>
    <font>
      <b/>
      <sz val="10"/>
      <color theme="1"/>
      <name val="Calibri"/>
    </font>
    <font>
      <sz val="10"/>
      <color rgb="FF0070C0"/>
      <name val="Calibri"/>
    </font>
    <font>
      <b/>
      <sz val="10"/>
      <color rgb="FF0070C0"/>
      <name val="Calibri"/>
    </font>
    <font>
      <u/>
      <sz val="10"/>
      <color rgb="FF0000FF"/>
      <name val="Arial"/>
    </font>
    <font>
      <b/>
      <sz val="8"/>
      <color rgb="FFFF0000"/>
      <name val="Arial"/>
    </font>
    <font>
      <u/>
      <sz val="9"/>
      <color theme="1"/>
      <name val="Arial"/>
    </font>
    <font>
      <b/>
      <u/>
      <sz val="8"/>
      <color theme="1"/>
      <name val="Arial"/>
    </font>
    <font>
      <strike/>
      <sz val="11"/>
      <color rgb="FFFF0000"/>
      <name val="Calibri"/>
    </font>
    <font>
      <b/>
      <u/>
      <sz val="10"/>
      <color theme="1"/>
      <name val="Arial"/>
    </font>
    <font>
      <u/>
      <sz val="9"/>
      <color theme="1"/>
      <name val="Arial"/>
    </font>
    <font>
      <u/>
      <sz val="9"/>
      <color theme="1"/>
      <name val="Arial"/>
    </font>
    <font>
      <b/>
      <sz val="8"/>
      <color theme="1"/>
      <name val="Calibri"/>
    </font>
    <font>
      <b/>
      <i/>
      <sz val="10"/>
      <color rgb="FFFF0000"/>
      <name val="Arial"/>
    </font>
    <font>
      <b/>
      <u/>
      <sz val="8"/>
      <color theme="1"/>
      <name val="Arial"/>
    </font>
    <font>
      <sz val="9"/>
      <color theme="1"/>
      <name val="Calibri"/>
    </font>
    <font>
      <b/>
      <sz val="10"/>
      <color theme="9"/>
      <name val="Arial"/>
    </font>
    <font>
      <b/>
      <sz val="8"/>
      <color theme="1"/>
      <name val="Arial"/>
    </font>
    <font>
      <sz val="9"/>
      <color theme="1"/>
      <name val="Verdana"/>
    </font>
    <font>
      <b/>
      <sz val="11"/>
      <color theme="9"/>
      <name val="Arial"/>
    </font>
    <font>
      <b/>
      <u/>
      <sz val="10"/>
      <color theme="1"/>
      <name val="Arial"/>
    </font>
    <font>
      <sz val="11"/>
      <color rgb="FF0000FF"/>
      <name val="Calibri"/>
    </font>
    <font>
      <b/>
      <sz val="12"/>
      <color theme="1"/>
      <name val="Calibri"/>
    </font>
    <font>
      <b/>
      <sz val="11"/>
      <color rgb="FFFF0000"/>
      <name val="Calibri"/>
    </font>
    <font>
      <b/>
      <u/>
      <sz val="10"/>
      <color theme="1"/>
      <name val="Arial"/>
    </font>
    <font>
      <u/>
      <sz val="10"/>
      <color theme="1"/>
      <name val="Arial"/>
    </font>
    <font>
      <u/>
      <sz val="10"/>
      <color rgb="FF002060"/>
      <name val="Arial"/>
    </font>
    <font>
      <sz val="10"/>
      <color rgb="FF002060"/>
      <name val="Arial"/>
    </font>
    <font>
      <u/>
      <sz val="10"/>
      <color rgb="FF002060"/>
      <name val="Arial"/>
    </font>
    <font>
      <u/>
      <sz val="10"/>
      <color rgb="FF002060"/>
      <name val="Arial"/>
    </font>
    <font>
      <u/>
      <sz val="10"/>
      <color rgb="FF002060"/>
      <name val="Arial"/>
    </font>
    <font>
      <u/>
      <sz val="10"/>
      <color rgb="FF002060"/>
      <name val="Arial"/>
    </font>
    <font>
      <u/>
      <sz val="10"/>
      <color rgb="FF002060"/>
      <name val="Arial"/>
    </font>
    <font>
      <sz val="10"/>
      <color rgb="FFC00000"/>
      <name val="Arial"/>
    </font>
    <font>
      <u/>
      <sz val="10"/>
      <color theme="1"/>
      <name val="Arial"/>
    </font>
    <font>
      <b/>
      <sz val="11"/>
      <color rgb="FFFFFFFF"/>
      <name val="Arial"/>
    </font>
    <font>
      <b/>
      <sz val="11"/>
      <color theme="1"/>
      <name val="Arial"/>
    </font>
    <font>
      <sz val="11"/>
      <color rgb="FF0000FF"/>
      <name val="Arial"/>
    </font>
    <font>
      <b/>
      <sz val="11"/>
      <color rgb="FF0000FF"/>
      <name val="Arial"/>
    </font>
    <font>
      <b/>
      <u/>
      <sz val="11"/>
      <color theme="1"/>
      <name val="Arial"/>
    </font>
    <font>
      <sz val="11"/>
      <color rgb="FFA5A5A5"/>
      <name val="Arial"/>
    </font>
    <font>
      <sz val="11"/>
      <color rgb="FFFFFFFF"/>
      <name val="Arial"/>
    </font>
    <font>
      <sz val="10"/>
      <color rgb="FF000000"/>
      <name val="Arial"/>
    </font>
    <font>
      <sz val="8"/>
      <color rgb="FF000000"/>
      <name val="Arial"/>
    </font>
    <font>
      <u/>
      <sz val="8"/>
      <color theme="1"/>
      <name val="Arial"/>
    </font>
    <font>
      <u/>
      <sz val="9"/>
      <color theme="1"/>
      <name val="Arial"/>
    </font>
    <font>
      <u/>
      <sz val="9"/>
      <color theme="1"/>
      <name val="Arial"/>
    </font>
    <font>
      <b/>
      <u/>
      <sz val="10"/>
      <color theme="1"/>
      <name val="Arial"/>
    </font>
    <font>
      <sz val="8"/>
      <color rgb="FFFFFFFF"/>
      <name val="Arial"/>
    </font>
    <font>
      <i/>
      <sz val="10"/>
      <color rgb="FFFFFFFF"/>
      <name val="Arial"/>
    </font>
    <font>
      <sz val="10"/>
      <color rgb="FFD8D8D8"/>
      <name val="Arial"/>
    </font>
    <font>
      <b/>
      <u/>
      <sz val="10"/>
      <color theme="1"/>
      <name val="Arial"/>
    </font>
    <font>
      <b/>
      <sz val="14"/>
      <color theme="1"/>
      <name val="Arial"/>
    </font>
    <font>
      <sz val="11"/>
      <color rgb="FFFF0000"/>
      <name val="Arial"/>
    </font>
    <font>
      <sz val="10"/>
      <color rgb="FF0070C0"/>
      <name val="Arial"/>
    </font>
    <font>
      <b/>
      <sz val="14"/>
      <color rgb="FFFF0000"/>
      <name val="Times New Roman"/>
    </font>
    <font>
      <b/>
      <sz val="10"/>
      <color rgb="FFE36C09"/>
      <name val="Arial"/>
    </font>
    <font>
      <b/>
      <u/>
      <sz val="10"/>
      <color theme="1"/>
      <name val="Arial"/>
    </font>
    <font>
      <b/>
      <u/>
      <sz val="10"/>
      <color theme="1"/>
      <name val="Arial"/>
    </font>
    <font>
      <sz val="7"/>
      <color rgb="FFFF0000"/>
      <name val="Arial"/>
    </font>
    <font>
      <sz val="6"/>
      <color rgb="FFFF0000"/>
      <name val="Arial"/>
    </font>
    <font>
      <sz val="6"/>
      <color theme="1"/>
      <name val="Arial"/>
    </font>
    <font>
      <b/>
      <u/>
      <sz val="10"/>
      <color rgb="FFA5A5A5"/>
      <name val="Arial"/>
    </font>
    <font>
      <b/>
      <sz val="10"/>
      <color rgb="FFA5A5A5"/>
      <name val="Arial"/>
    </font>
    <font>
      <sz val="10"/>
      <color rgb="FFA5A5A5"/>
      <name val="Arial"/>
    </font>
    <font>
      <sz val="10"/>
      <color theme="1"/>
      <name val="Aptos Narrow"/>
    </font>
    <font>
      <b/>
      <u/>
      <sz val="10"/>
      <color rgb="FF002060"/>
      <name val="Arial"/>
    </font>
    <font>
      <u/>
      <sz val="10"/>
      <color rgb="FF000000"/>
      <name val="Arial"/>
    </font>
    <font>
      <sz val="9"/>
      <color rgb="FF000000"/>
      <name val="Arial"/>
    </font>
    <font>
      <b/>
      <sz val="8"/>
      <color rgb="FF000000"/>
      <name val="Arial"/>
    </font>
    <font>
      <u/>
      <sz val="8"/>
      <color rgb="FFFF0000"/>
      <name val="Arial"/>
    </font>
    <font>
      <sz val="8"/>
      <color rgb="FFFF0000"/>
      <name val="Arial"/>
    </font>
    <font>
      <b/>
      <i/>
      <sz val="8"/>
      <color theme="1"/>
      <name val="Arial"/>
    </font>
    <font>
      <b/>
      <sz val="10"/>
      <color rgb="FFC00000"/>
      <name val="Arial"/>
    </font>
    <font>
      <sz val="11"/>
      <color theme="1"/>
      <name val="Aptos Narrow"/>
    </font>
    <font>
      <b/>
      <sz val="10"/>
      <color theme="1"/>
      <name val="Aptos Narrow"/>
    </font>
  </fonts>
  <fills count="16">
    <fill>
      <patternFill patternType="none"/>
    </fill>
    <fill>
      <patternFill patternType="gray125"/>
    </fill>
    <fill>
      <patternFill patternType="solid">
        <fgColor rgb="FF000000"/>
        <bgColor rgb="FF000000"/>
      </patternFill>
    </fill>
    <fill>
      <patternFill patternType="solid">
        <fgColor rgb="FFFFFF99"/>
        <bgColor rgb="FFFFFF99"/>
      </patternFill>
    </fill>
    <fill>
      <patternFill patternType="solid">
        <fgColor rgb="FFDBE5F1"/>
        <bgColor rgb="FFDBE5F1"/>
      </patternFill>
    </fill>
    <fill>
      <patternFill patternType="solid">
        <fgColor rgb="FFB8CCE4"/>
        <bgColor rgb="FFB8CCE4"/>
      </patternFill>
    </fill>
    <fill>
      <patternFill patternType="solid">
        <fgColor rgb="FFC0C0C0"/>
        <bgColor rgb="FFC0C0C0"/>
      </patternFill>
    </fill>
    <fill>
      <patternFill patternType="solid">
        <fgColor rgb="FF808080"/>
        <bgColor rgb="FF808080"/>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FFFF00"/>
        <bgColor rgb="FFFFFF00"/>
      </patternFill>
    </fill>
    <fill>
      <patternFill patternType="solid">
        <fgColor theme="1"/>
        <bgColor theme="1"/>
      </patternFill>
    </fill>
    <fill>
      <patternFill patternType="solid">
        <fgColor rgb="FFFFFFCC"/>
        <bgColor rgb="FFFFFFCC"/>
      </patternFill>
    </fill>
    <fill>
      <patternFill patternType="solid">
        <fgColor rgb="FFD8D8D8"/>
        <bgColor rgb="FFD8D8D8"/>
      </patternFill>
    </fill>
    <fill>
      <patternFill patternType="solid">
        <fgColor theme="4"/>
        <bgColor theme="4"/>
      </patternFill>
    </fill>
  </fills>
  <borders count="191">
    <border>
      <left/>
      <right/>
      <top/>
      <bottom/>
      <diagonal/>
    </border>
    <border>
      <left/>
      <right/>
      <top/>
      <bottom/>
      <diagonal/>
    </border>
    <border>
      <left/>
      <right/>
      <top/>
      <bottom/>
      <diagonal/>
    </border>
    <border>
      <left/>
      <right/>
      <top/>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style="thin">
        <color rgb="FF000000"/>
      </top>
      <bottom style="thin">
        <color rgb="FF000000"/>
      </bottom>
      <diagonal/>
    </border>
    <border>
      <left/>
      <right/>
      <top/>
      <bottom style="thin">
        <color rgb="FF000000"/>
      </bottom>
      <diagonal/>
    </border>
    <border>
      <left/>
      <right style="thin">
        <color theme="0"/>
      </right>
      <top style="thin">
        <color theme="0"/>
      </top>
      <bottom style="thin">
        <color theme="0"/>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double">
        <color rgb="FF000000"/>
      </top>
      <bottom/>
      <diagonal/>
    </border>
    <border>
      <left/>
      <right/>
      <top/>
      <bottom/>
      <diagonal/>
    </border>
    <border>
      <left/>
      <right style="thin">
        <color rgb="FF000000"/>
      </right>
      <top/>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style="medium">
        <color rgb="FF000000"/>
      </right>
      <top style="medium">
        <color rgb="FF000000"/>
      </top>
      <bottom/>
      <diagonal/>
    </border>
    <border>
      <left/>
      <right/>
      <top/>
      <bottom style="thin">
        <color rgb="FFC0C0C0"/>
      </bottom>
      <diagonal/>
    </border>
    <border>
      <left style="thin">
        <color rgb="FF000000"/>
      </left>
      <right style="thin">
        <color rgb="FF000000"/>
      </right>
      <top/>
      <bottom style="thin">
        <color rgb="FFC0C0C0"/>
      </bottom>
      <diagonal/>
    </border>
    <border>
      <left/>
      <right style="medium">
        <color rgb="FF000000"/>
      </right>
      <top/>
      <bottom style="thin">
        <color rgb="FFC0C0C0"/>
      </bottom>
      <diagonal/>
    </border>
    <border>
      <left/>
      <right/>
      <top style="thin">
        <color rgb="FFC0C0C0"/>
      </top>
      <bottom style="thin">
        <color rgb="FFC0C0C0"/>
      </bottom>
      <diagonal/>
    </border>
    <border>
      <left style="thin">
        <color rgb="FF000000"/>
      </left>
      <right style="thin">
        <color rgb="FF000000"/>
      </right>
      <top style="thin">
        <color rgb="FFC0C0C0"/>
      </top>
      <bottom style="thin">
        <color rgb="FFC0C0C0"/>
      </bottom>
      <diagonal/>
    </border>
    <border>
      <left/>
      <right style="medium">
        <color rgb="FF000000"/>
      </right>
      <top style="thin">
        <color rgb="FFC0C0C0"/>
      </top>
      <bottom style="thin">
        <color rgb="FFC0C0C0"/>
      </bottom>
      <diagonal/>
    </border>
    <border>
      <left/>
      <right/>
      <top/>
      <bottom style="thin">
        <color rgb="FF000000"/>
      </bottom>
      <diagonal/>
    </border>
    <border>
      <left/>
      <right/>
      <top/>
      <bottom style="thin">
        <color rgb="FF000000"/>
      </bottom>
      <diagonal/>
    </border>
    <border>
      <left/>
      <right style="thin">
        <color rgb="FF000000"/>
      </right>
      <top/>
      <bottom/>
      <diagonal/>
    </border>
    <border>
      <left/>
      <right/>
      <top style="thin">
        <color rgb="FFC0C0C0"/>
      </top>
      <bottom/>
      <diagonal/>
    </border>
    <border>
      <left style="thin">
        <color rgb="FF000000"/>
      </left>
      <right style="thin">
        <color rgb="FF000000"/>
      </right>
      <top style="thin">
        <color rgb="FFC0C0C0"/>
      </top>
      <bottom/>
      <diagonal/>
    </border>
    <border>
      <left/>
      <right style="medium">
        <color rgb="FF000000"/>
      </right>
      <top style="thin">
        <color rgb="FFC0C0C0"/>
      </top>
      <bottom/>
      <diagonal/>
    </border>
    <border>
      <left/>
      <right style="medium">
        <color rgb="FF000000"/>
      </right>
      <top/>
      <bottom/>
      <diagonal/>
    </border>
    <border>
      <left/>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thin">
        <color rgb="FF000000"/>
      </right>
      <top/>
      <bottom/>
      <diagonal/>
    </border>
    <border>
      <left style="thin">
        <color rgb="FF000000"/>
      </left>
      <right/>
      <top/>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top style="thin">
        <color rgb="FF000000"/>
      </top>
      <bottom/>
      <diagonal/>
    </border>
    <border>
      <left/>
      <right/>
      <top style="thin">
        <color rgb="FF000000"/>
      </top>
      <bottom/>
      <diagonal/>
    </border>
    <border>
      <left/>
      <right/>
      <top style="medium">
        <color rgb="FF000000"/>
      </top>
      <bottom style="thin">
        <color rgb="FF000000"/>
      </bottom>
      <diagonal/>
    </border>
    <border>
      <left/>
      <right/>
      <top style="thin">
        <color rgb="FF000000"/>
      </top>
      <bottom style="medium">
        <color rgb="FF000000"/>
      </bottom>
      <diagonal/>
    </border>
    <border>
      <left/>
      <right style="thin">
        <color rgb="FF000000"/>
      </right>
      <top style="medium">
        <color rgb="FF000000"/>
      </top>
      <bottom style="thin">
        <color rgb="FF000000"/>
      </bottom>
      <diagonal/>
    </border>
    <border>
      <left/>
      <right/>
      <top/>
      <bottom style="thick">
        <color theme="0"/>
      </bottom>
      <diagonal/>
    </border>
    <border>
      <left style="thin">
        <color rgb="FF000000"/>
      </left>
      <right/>
      <top style="thin">
        <color rgb="FF000000"/>
      </top>
      <bottom style="thin">
        <color rgb="FF000000"/>
      </bottom>
      <diagonal/>
    </border>
    <border>
      <left/>
      <right/>
      <top style="thin">
        <color theme="0"/>
      </top>
      <bottom style="thin">
        <color theme="0"/>
      </bottom>
      <diagonal/>
    </border>
    <border>
      <left style="thin">
        <color rgb="FF000000"/>
      </left>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diagonal/>
    </border>
    <border>
      <left/>
      <right style="medium">
        <color rgb="FF000000"/>
      </right>
      <top/>
      <bottom style="thin">
        <color rgb="FF000000"/>
      </bottom>
      <diagonal/>
    </border>
    <border>
      <left/>
      <right/>
      <top style="medium">
        <color rgb="FF000000"/>
      </top>
      <bottom/>
      <diagonal/>
    </border>
    <border>
      <left style="medium">
        <color rgb="FF000000"/>
      </left>
      <right/>
      <top style="medium">
        <color rgb="FF000000"/>
      </top>
      <bottom style="thin">
        <color rgb="FF000000"/>
      </bottom>
      <diagonal/>
    </border>
    <border>
      <left/>
      <right style="thin">
        <color rgb="FF000000"/>
      </right>
      <top/>
      <bottom style="thin">
        <color rgb="FF000000"/>
      </bottom>
      <diagonal/>
    </border>
    <border>
      <left/>
      <right style="medium">
        <color rgb="FF000000"/>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diagonal/>
    </border>
    <border>
      <left/>
      <right style="thin">
        <color rgb="FF000000"/>
      </right>
      <top style="double">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thin">
        <color rgb="FF000000"/>
      </left>
      <right/>
      <top style="thin">
        <color rgb="FF000000"/>
      </top>
      <bottom/>
      <diagonal/>
    </border>
    <border>
      <left/>
      <right style="medium">
        <color rgb="FF000000"/>
      </right>
      <top style="thin">
        <color rgb="FF000000"/>
      </top>
      <bottom/>
      <diagonal/>
    </border>
    <border>
      <left/>
      <right/>
      <top style="thin">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style="thin">
        <color rgb="FF000000"/>
      </right>
      <top style="thin">
        <color rgb="FF000000"/>
      </top>
      <bottom style="double">
        <color rgb="FF000000"/>
      </bottom>
      <diagonal/>
    </border>
    <border>
      <left style="hair">
        <color rgb="FF000000"/>
      </left>
      <right/>
      <top/>
      <bottom style="thin">
        <color rgb="FF000000"/>
      </bottom>
      <diagonal/>
    </border>
    <border>
      <left style="hair">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hair">
        <color rgb="FF000000"/>
      </left>
      <right/>
      <top/>
      <bottom style="thin">
        <color rgb="FF000000"/>
      </bottom>
      <diagonal/>
    </border>
    <border>
      <left style="hair">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hair">
        <color rgb="FF000000"/>
      </left>
      <right/>
      <top/>
      <bottom/>
      <diagonal/>
    </border>
    <border>
      <left/>
      <right style="hair">
        <color rgb="FF000000"/>
      </right>
      <top/>
      <bottom/>
      <diagonal/>
    </border>
    <border>
      <left/>
      <right style="hair">
        <color rgb="FF000000"/>
      </right>
      <top/>
      <bottom style="thin">
        <color rgb="FF000000"/>
      </bottom>
      <diagonal/>
    </border>
    <border>
      <left style="hair">
        <color rgb="FF000000"/>
      </left>
      <right style="thin">
        <color rgb="FF000000"/>
      </right>
      <top/>
      <bottom/>
      <diagonal/>
    </border>
    <border>
      <left style="hair">
        <color rgb="FF000000"/>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double">
        <color rgb="FF000000"/>
      </bottom>
      <diagonal/>
    </border>
    <border>
      <left style="hair">
        <color rgb="FF000000"/>
      </left>
      <right/>
      <top style="hair">
        <color rgb="FF000000"/>
      </top>
      <bottom/>
      <diagonal/>
    </border>
    <border>
      <left/>
      <right/>
      <top style="hair">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style="medium">
        <color rgb="FF000000"/>
      </right>
      <top style="medium">
        <color rgb="FF000000"/>
      </top>
      <bottom style="thin">
        <color rgb="FF000000"/>
      </bottom>
      <diagonal/>
    </border>
    <border>
      <left style="hair">
        <color rgb="FF000000"/>
      </left>
      <right/>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hair">
        <color rgb="FF000000"/>
      </bottom>
      <diagonal/>
    </border>
    <border>
      <left/>
      <right/>
      <top/>
      <bottom style="hair">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right/>
      <top/>
      <bottom style="dotted">
        <color rgb="FF000000"/>
      </bottom>
      <diagonal/>
    </border>
    <border>
      <left/>
      <right/>
      <top/>
      <bottom style="thin">
        <color rgb="FFA5A5A5"/>
      </bottom>
      <diagonal/>
    </border>
    <border>
      <left/>
      <right style="thin">
        <color rgb="FFA5A5A5"/>
      </right>
      <top/>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top/>
      <bottom/>
      <diagonal/>
    </border>
  </borders>
  <cellStyleXfs count="1">
    <xf numFmtId="0" fontId="0" fillId="0" borderId="0"/>
  </cellStyleXfs>
  <cellXfs count="1504">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wrapText="1"/>
    </xf>
    <xf numFmtId="0" fontId="2" fillId="0" borderId="0" xfId="0" applyFont="1" applyAlignment="1">
      <alignment vertical="top" wrapText="1"/>
    </xf>
    <xf numFmtId="0" fontId="2" fillId="0" borderId="7" xfId="0" applyFont="1" applyBorder="1"/>
    <xf numFmtId="0" fontId="6" fillId="0" borderId="7" xfId="0" applyFont="1" applyBorder="1"/>
    <xf numFmtId="0" fontId="2" fillId="0" borderId="0" xfId="0" applyFont="1" applyAlignment="1">
      <alignment horizontal="center"/>
    </xf>
    <xf numFmtId="0" fontId="6" fillId="0" borderId="0" xfId="0" applyFont="1"/>
    <xf numFmtId="0" fontId="7" fillId="0" borderId="0" xfId="0" applyFont="1" applyAlignment="1">
      <alignment horizontal="center"/>
    </xf>
    <xf numFmtId="0" fontId="6" fillId="0" borderId="0" xfId="0" applyFont="1" applyAlignment="1">
      <alignment horizontal="center"/>
    </xf>
    <xf numFmtId="0" fontId="2" fillId="0" borderId="0" xfId="0" applyFont="1" applyAlignment="1">
      <alignment horizontal="left" vertical="top" wrapText="1"/>
    </xf>
    <xf numFmtId="0" fontId="9" fillId="0" borderId="0" xfId="0" applyFont="1" applyAlignment="1">
      <alignment horizontal="left"/>
    </xf>
    <xf numFmtId="0" fontId="6" fillId="0" borderId="7" xfId="0" applyFont="1" applyBorder="1" applyAlignment="1">
      <alignment horizontal="left"/>
    </xf>
    <xf numFmtId="0" fontId="2" fillId="0" borderId="0" xfId="0" applyFont="1" applyAlignment="1">
      <alignment horizontal="left" vertical="top"/>
    </xf>
    <xf numFmtId="0" fontId="11" fillId="0" borderId="0" xfId="0" applyFont="1" applyAlignment="1">
      <alignment horizontal="left" vertical="top"/>
    </xf>
    <xf numFmtId="49" fontId="6" fillId="0" borderId="0" xfId="0" applyNumberFormat="1" applyFont="1" applyAlignment="1">
      <alignment horizontal="center"/>
    </xf>
    <xf numFmtId="0" fontId="2" fillId="0" borderId="0" xfId="0" applyFont="1" applyAlignment="1">
      <alignment horizontal="left"/>
    </xf>
    <xf numFmtId="0" fontId="6" fillId="0" borderId="0" xfId="0" applyFont="1" applyAlignment="1">
      <alignment vertical="top"/>
    </xf>
    <xf numFmtId="0" fontId="6" fillId="0" borderId="0" xfId="0" applyFont="1" applyAlignment="1">
      <alignment horizontal="left" vertical="top"/>
    </xf>
    <xf numFmtId="0" fontId="12" fillId="0" borderId="0" xfId="0" applyFont="1" applyAlignment="1">
      <alignment horizontal="center"/>
    </xf>
    <xf numFmtId="0" fontId="2" fillId="3" borderId="8" xfId="0" applyFont="1" applyFill="1" applyBorder="1"/>
    <xf numFmtId="0" fontId="13" fillId="0" borderId="0" xfId="0" applyFont="1"/>
    <xf numFmtId="0" fontId="14" fillId="0" borderId="0" xfId="0" applyFont="1" applyAlignment="1">
      <alignment horizontal="left" vertical="top" wrapText="1"/>
    </xf>
    <xf numFmtId="0" fontId="14" fillId="0" borderId="0" xfId="0" applyFont="1"/>
    <xf numFmtId="0" fontId="15" fillId="0" borderId="0" xfId="0" applyFont="1" applyAlignment="1">
      <alignment horizontal="left"/>
    </xf>
    <xf numFmtId="0" fontId="2" fillId="0" borderId="0" xfId="0" applyFont="1" applyAlignment="1">
      <alignment horizontal="left" wrapText="1"/>
    </xf>
    <xf numFmtId="0" fontId="16" fillId="0" borderId="0" xfId="0" applyFont="1"/>
    <xf numFmtId="0" fontId="14" fillId="0" borderId="0" xfId="0" applyFont="1" applyAlignment="1">
      <alignment horizontal="left" vertical="top"/>
    </xf>
    <xf numFmtId="0" fontId="14" fillId="0" borderId="0" xfId="0" applyFont="1" applyAlignment="1">
      <alignment vertical="top" wrapText="1"/>
    </xf>
    <xf numFmtId="0" fontId="6" fillId="0" borderId="0" xfId="0" applyFont="1" applyAlignment="1">
      <alignment wrapText="1"/>
    </xf>
    <xf numFmtId="0" fontId="14" fillId="0" borderId="0" xfId="0" applyFont="1" applyAlignment="1">
      <alignment vertical="top"/>
    </xf>
    <xf numFmtId="0" fontId="17" fillId="0" borderId="0" xfId="0" applyFont="1"/>
    <xf numFmtId="0" fontId="2" fillId="0" borderId="0" xfId="0" applyFont="1" applyAlignment="1">
      <alignment horizontal="right"/>
    </xf>
    <xf numFmtId="0" fontId="2" fillId="0" borderId="0" xfId="0" applyFont="1" applyAlignment="1">
      <alignment horizontal="left" vertical="center" wrapText="1"/>
    </xf>
    <xf numFmtId="0" fontId="18" fillId="0" borderId="0" xfId="0" applyFont="1"/>
    <xf numFmtId="0" fontId="6" fillId="0" borderId="0" xfId="0" applyFont="1" applyAlignment="1">
      <alignment horizontal="left" vertical="top" wrapText="1"/>
    </xf>
    <xf numFmtId="0" fontId="19" fillId="0" borderId="0" xfId="0" applyFont="1"/>
    <xf numFmtId="0" fontId="20" fillId="0" borderId="0" xfId="0" applyFont="1"/>
    <xf numFmtId="0" fontId="6" fillId="0" borderId="7" xfId="0" applyFont="1" applyBorder="1" applyAlignment="1">
      <alignment horizontal="center"/>
    </xf>
    <xf numFmtId="0" fontId="21" fillId="0" borderId="0" xfId="0" applyFont="1" applyAlignment="1">
      <alignment horizontal="center"/>
    </xf>
    <xf numFmtId="0" fontId="2" fillId="0" borderId="0" xfId="0" applyFont="1" applyAlignment="1">
      <alignment vertical="top"/>
    </xf>
    <xf numFmtId="43" fontId="12" fillId="0" borderId="0" xfId="0" applyNumberFormat="1" applyFont="1" applyAlignment="1">
      <alignment horizontal="center"/>
    </xf>
    <xf numFmtId="43" fontId="2" fillId="0" borderId="0" xfId="0" applyNumberFormat="1" applyFont="1" applyAlignment="1">
      <alignment horizontal="center"/>
    </xf>
    <xf numFmtId="43" fontId="2" fillId="0" borderId="0" xfId="0" applyNumberFormat="1" applyFont="1"/>
    <xf numFmtId="43" fontId="6" fillId="0" borderId="0" xfId="0" applyNumberFormat="1" applyFont="1" applyAlignment="1">
      <alignment horizontal="center"/>
    </xf>
    <xf numFmtId="0" fontId="2" fillId="0" borderId="0" xfId="0" applyFont="1" applyAlignment="1">
      <alignment horizontal="left" vertical="center"/>
    </xf>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0" fontId="23" fillId="0" borderId="0" xfId="0" applyFont="1"/>
    <xf numFmtId="0" fontId="2" fillId="0" borderId="0" xfId="0" applyFont="1" applyAlignment="1">
      <alignment horizontal="center" vertical="center"/>
    </xf>
    <xf numFmtId="0" fontId="24" fillId="0" borderId="0" xfId="0" applyFont="1" applyAlignment="1">
      <alignment horizontal="left" vertical="center"/>
    </xf>
    <xf numFmtId="0" fontId="2" fillId="0" borderId="0" xfId="0" applyFont="1" applyAlignment="1">
      <alignment vertical="center"/>
    </xf>
    <xf numFmtId="0" fontId="6" fillId="0" borderId="0" xfId="0" applyFont="1" applyAlignment="1">
      <alignment horizontal="center" vertical="center"/>
    </xf>
    <xf numFmtId="0" fontId="17" fillId="0" borderId="0" xfId="0" applyFont="1" applyAlignment="1">
      <alignment vertical="center"/>
    </xf>
    <xf numFmtId="164" fontId="2" fillId="0" borderId="0" xfId="0" applyNumberFormat="1" applyFont="1" applyAlignment="1">
      <alignment vertical="center"/>
    </xf>
    <xf numFmtId="1" fontId="2" fillId="0" borderId="0" xfId="0" applyNumberFormat="1" applyFont="1" applyAlignment="1">
      <alignment vertical="center"/>
    </xf>
    <xf numFmtId="0" fontId="2" fillId="4" borderId="9" xfId="0" applyFont="1" applyFill="1" applyBorder="1" applyAlignment="1">
      <alignment vertical="center"/>
    </xf>
    <xf numFmtId="0" fontId="25" fillId="0" borderId="0" xfId="0" applyFont="1" applyAlignment="1">
      <alignment horizontal="center"/>
    </xf>
    <xf numFmtId="0" fontId="2" fillId="5" borderId="9" xfId="0" applyFont="1" applyFill="1" applyBorder="1" applyAlignment="1">
      <alignment vertical="center"/>
    </xf>
    <xf numFmtId="4" fontId="2" fillId="0" borderId="0" xfId="0" applyNumberFormat="1" applyFont="1" applyAlignment="1">
      <alignment horizontal="left" vertical="top" wrapText="1"/>
    </xf>
    <xf numFmtId="0" fontId="4" fillId="0" borderId="0" xfId="0" applyFont="1" applyAlignment="1">
      <alignment horizontal="center" vertical="center" wrapText="1"/>
    </xf>
    <xf numFmtId="0" fontId="6" fillId="0" borderId="0" xfId="0" applyFont="1" applyAlignment="1">
      <alignment horizontal="left"/>
    </xf>
    <xf numFmtId="0" fontId="27" fillId="0" borderId="0" xfId="0" applyFont="1" applyAlignment="1">
      <alignment horizontal="center"/>
    </xf>
    <xf numFmtId="0" fontId="3" fillId="0" borderId="0" xfId="0" applyFont="1"/>
    <xf numFmtId="0" fontId="27" fillId="0" borderId="0" xfId="0" applyFont="1" applyAlignment="1">
      <alignment vertical="top" wrapText="1"/>
    </xf>
    <xf numFmtId="0" fontId="4" fillId="2" borderId="16" xfId="0" applyFont="1" applyFill="1" applyBorder="1" applyAlignment="1">
      <alignment vertical="top"/>
    </xf>
    <xf numFmtId="0" fontId="28" fillId="2" borderId="17" xfId="0" applyFont="1" applyFill="1" applyBorder="1" applyAlignment="1">
      <alignment vertical="top" wrapText="1"/>
    </xf>
    <xf numFmtId="0" fontId="28" fillId="2" borderId="18" xfId="0" applyFont="1" applyFill="1" applyBorder="1" applyAlignment="1">
      <alignment vertical="top" wrapText="1"/>
    </xf>
    <xf numFmtId="0" fontId="28" fillId="0" borderId="7" xfId="0" applyFont="1" applyBorder="1" applyAlignment="1">
      <alignment vertical="top" wrapText="1"/>
    </xf>
    <xf numFmtId="0" fontId="28" fillId="0" borderId="20" xfId="0" applyFont="1" applyBorder="1" applyAlignment="1">
      <alignment vertical="top" wrapText="1"/>
    </xf>
    <xf numFmtId="0" fontId="28" fillId="6" borderId="8" xfId="0" applyFont="1" applyFill="1" applyBorder="1" applyAlignment="1">
      <alignment vertical="top" wrapText="1"/>
    </xf>
    <xf numFmtId="0" fontId="28" fillId="0" borderId="21" xfId="0" applyFont="1" applyBorder="1" applyAlignment="1">
      <alignment vertical="top" wrapText="1"/>
    </xf>
    <xf numFmtId="0" fontId="30" fillId="0" borderId="19" xfId="0" applyFont="1" applyBorder="1" applyAlignment="1">
      <alignment horizontal="left" vertical="top"/>
    </xf>
    <xf numFmtId="0" fontId="30" fillId="0" borderId="22" xfId="0" applyFont="1" applyBorder="1" applyAlignment="1">
      <alignment horizontal="center" wrapText="1"/>
    </xf>
    <xf numFmtId="0" fontId="30" fillId="0" borderId="22" xfId="0" applyFont="1" applyBorder="1" applyAlignment="1">
      <alignment horizontal="center" vertical="top" wrapText="1"/>
    </xf>
    <xf numFmtId="0" fontId="27" fillId="0" borderId="0" xfId="0" applyFont="1" applyAlignment="1">
      <alignment horizontal="left" vertical="top"/>
    </xf>
    <xf numFmtId="0" fontId="30" fillId="6" borderId="23" xfId="0" applyFont="1" applyFill="1" applyBorder="1" applyAlignment="1">
      <alignment horizontal="center" wrapText="1"/>
    </xf>
    <xf numFmtId="0" fontId="31" fillId="6" borderId="16" xfId="0" applyFont="1" applyFill="1" applyBorder="1" applyAlignment="1">
      <alignment horizontal="left" vertical="top" wrapText="1"/>
    </xf>
    <xf numFmtId="0" fontId="32" fillId="7" borderId="16" xfId="0" applyFont="1" applyFill="1" applyBorder="1" applyAlignment="1">
      <alignment vertical="top" wrapText="1"/>
    </xf>
    <xf numFmtId="0" fontId="32" fillId="6" borderId="16" xfId="0" applyFont="1" applyFill="1" applyBorder="1" applyAlignment="1">
      <alignment vertical="top" wrapText="1"/>
    </xf>
    <xf numFmtId="0" fontId="32" fillId="0" borderId="16" xfId="0" applyFont="1" applyBorder="1" applyAlignment="1">
      <alignment vertical="top" wrapText="1"/>
    </xf>
    <xf numFmtId="0" fontId="32" fillId="0" borderId="16" xfId="0" applyFont="1" applyBorder="1" applyAlignment="1">
      <alignment horizontal="right" vertical="top" wrapText="1"/>
    </xf>
    <xf numFmtId="164" fontId="32" fillId="0" borderId="16" xfId="0" applyNumberFormat="1" applyFont="1" applyBorder="1" applyAlignment="1">
      <alignment vertical="top" wrapText="1"/>
    </xf>
    <xf numFmtId="164" fontId="32" fillId="3" borderId="16" xfId="0" applyNumberFormat="1" applyFont="1" applyFill="1" applyBorder="1" applyAlignment="1">
      <alignment vertical="top" wrapText="1"/>
    </xf>
    <xf numFmtId="164" fontId="32" fillId="7" borderId="16" xfId="0" applyNumberFormat="1" applyFont="1" applyFill="1" applyBorder="1" applyAlignment="1">
      <alignment horizontal="center" vertical="top" wrapText="1"/>
    </xf>
    <xf numFmtId="0" fontId="33" fillId="0" borderId="0" xfId="0" applyFont="1"/>
    <xf numFmtId="0" fontId="30" fillId="0" borderId="16" xfId="0" applyFont="1" applyBorder="1" applyAlignment="1">
      <alignment horizontal="right" vertical="top" wrapText="1"/>
    </xf>
    <xf numFmtId="9" fontId="2" fillId="0" borderId="0" xfId="0" applyNumberFormat="1" applyFont="1" applyAlignment="1">
      <alignment vertical="center"/>
    </xf>
    <xf numFmtId="164" fontId="30" fillId="0" borderId="16" xfId="0" applyNumberFormat="1" applyFont="1" applyBorder="1" applyAlignment="1">
      <alignment vertical="top" wrapText="1"/>
    </xf>
    <xf numFmtId="0" fontId="32" fillId="0" borderId="16" xfId="0" applyFont="1" applyBorder="1" applyAlignment="1">
      <alignment horizontal="right" vertical="top"/>
    </xf>
    <xf numFmtId="0" fontId="2" fillId="0" borderId="5" xfId="0" applyFont="1" applyBorder="1" applyAlignment="1">
      <alignment horizontal="center"/>
    </xf>
    <xf numFmtId="0" fontId="2" fillId="0" borderId="5" xfId="0" applyFont="1" applyBorder="1"/>
    <xf numFmtId="0" fontId="6" fillId="0" borderId="5" xfId="0" applyFont="1" applyBorder="1" applyAlignment="1">
      <alignment horizontal="center"/>
    </xf>
    <xf numFmtId="164" fontId="32" fillId="7" borderId="16" xfId="0" applyNumberFormat="1" applyFont="1" applyFill="1" applyBorder="1" applyAlignment="1">
      <alignment vertical="top" wrapText="1"/>
    </xf>
    <xf numFmtId="49" fontId="2" fillId="0" borderId="0" xfId="0" applyNumberFormat="1" applyFont="1" applyAlignment="1">
      <alignment horizontal="center"/>
    </xf>
    <xf numFmtId="0" fontId="32" fillId="3" borderId="16" xfId="0" applyFont="1" applyFill="1" applyBorder="1" applyAlignment="1">
      <alignment horizontal="right" vertical="top" wrapText="1"/>
    </xf>
    <xf numFmtId="0" fontId="27" fillId="0" borderId="0" xfId="0" applyFont="1" applyAlignment="1">
      <alignment horizontal="left"/>
    </xf>
    <xf numFmtId="2" fontId="2" fillId="0" borderId="0" xfId="0" applyNumberFormat="1" applyFont="1" applyAlignment="1">
      <alignment vertical="center"/>
    </xf>
    <xf numFmtId="0" fontId="34" fillId="0" borderId="0" xfId="0" applyFont="1" applyAlignment="1">
      <alignment horizontal="left" vertical="top" wrapText="1"/>
    </xf>
    <xf numFmtId="0" fontId="27" fillId="0" borderId="0" xfId="0" applyFont="1" applyAlignment="1">
      <alignment vertical="top"/>
    </xf>
    <xf numFmtId="0" fontId="30" fillId="6" borderId="16" xfId="0" applyFont="1" applyFill="1" applyBorder="1" applyAlignment="1">
      <alignment vertical="top" wrapText="1"/>
    </xf>
    <xf numFmtId="0" fontId="30" fillId="0" borderId="16" xfId="0" applyFont="1" applyBorder="1" applyAlignment="1">
      <alignment vertical="top" wrapText="1"/>
    </xf>
    <xf numFmtId="164" fontId="32" fillId="0" borderId="16" xfId="0" applyNumberFormat="1" applyFont="1" applyBorder="1" applyAlignment="1">
      <alignment vertical="top"/>
    </xf>
    <xf numFmtId="164" fontId="32" fillId="3" borderId="16" xfId="0" applyNumberFormat="1" applyFont="1" applyFill="1" applyBorder="1" applyAlignment="1">
      <alignment vertical="top"/>
    </xf>
    <xf numFmtId="164" fontId="32" fillId="7" borderId="16" xfId="0" applyNumberFormat="1" applyFont="1" applyFill="1" applyBorder="1" applyAlignment="1">
      <alignment horizontal="center" vertical="top"/>
    </xf>
    <xf numFmtId="0" fontId="32" fillId="6" borderId="16" xfId="0" applyFont="1" applyFill="1" applyBorder="1" applyAlignment="1">
      <alignment vertical="top"/>
    </xf>
    <xf numFmtId="0" fontId="32" fillId="0" borderId="16" xfId="0" applyFont="1" applyBorder="1" applyAlignment="1">
      <alignment vertical="top"/>
    </xf>
    <xf numFmtId="4" fontId="2" fillId="0" borderId="0" xfId="0" applyNumberFormat="1" applyFont="1" applyAlignment="1">
      <alignment vertical="top" wrapText="1"/>
    </xf>
    <xf numFmtId="165" fontId="2" fillId="0" borderId="0" xfId="0" applyNumberFormat="1" applyFont="1" applyAlignment="1">
      <alignment vertical="center"/>
    </xf>
    <xf numFmtId="0" fontId="35" fillId="0" borderId="16" xfId="0" applyFont="1" applyBorder="1" applyAlignment="1">
      <alignment horizontal="right" vertical="top" wrapText="1"/>
    </xf>
    <xf numFmtId="0" fontId="36" fillId="0" borderId="0" xfId="0" applyFont="1" applyAlignment="1">
      <alignment horizontal="left"/>
    </xf>
    <xf numFmtId="0" fontId="32" fillId="0" borderId="16" xfId="0" applyFont="1" applyBorder="1" applyAlignment="1">
      <alignment horizontal="right" vertical="center"/>
    </xf>
    <xf numFmtId="4" fontId="2" fillId="0" borderId="0" xfId="0" applyNumberFormat="1" applyFont="1" applyAlignment="1">
      <alignment horizontal="left"/>
    </xf>
    <xf numFmtId="164" fontId="32" fillId="8" borderId="16" xfId="0" applyNumberFormat="1" applyFont="1" applyFill="1" applyBorder="1" applyAlignment="1">
      <alignment vertical="top" wrapText="1"/>
    </xf>
    <xf numFmtId="164" fontId="17" fillId="0" borderId="0" xfId="0" applyNumberFormat="1" applyFont="1" applyAlignment="1">
      <alignment vertical="center"/>
    </xf>
    <xf numFmtId="0" fontId="2" fillId="0" borderId="21" xfId="0" applyFont="1" applyBorder="1" applyAlignment="1">
      <alignment horizontal="left"/>
    </xf>
    <xf numFmtId="0" fontId="27" fillId="0" borderId="0" xfId="0" applyFont="1"/>
    <xf numFmtId="0" fontId="38" fillId="0" borderId="0" xfId="0" applyFont="1" applyAlignment="1">
      <alignment horizontal="left" vertical="top"/>
    </xf>
    <xf numFmtId="0" fontId="32" fillId="0" borderId="0" xfId="0" applyFont="1" applyAlignment="1">
      <alignment horizontal="left" vertical="top"/>
    </xf>
    <xf numFmtId="0" fontId="32" fillId="0" borderId="0" xfId="0" applyFont="1" applyAlignment="1">
      <alignment vertical="top" wrapText="1"/>
    </xf>
    <xf numFmtId="0" fontId="32" fillId="0" borderId="0" xfId="0" applyFont="1" applyAlignment="1">
      <alignment vertical="top"/>
    </xf>
    <xf numFmtId="0" fontId="30" fillId="0" borderId="0" xfId="0" applyFont="1" applyAlignment="1">
      <alignment horizontal="right" vertical="top"/>
    </xf>
    <xf numFmtId="0" fontId="32" fillId="6" borderId="25" xfId="0" applyFont="1" applyFill="1" applyBorder="1" applyAlignment="1">
      <alignment vertical="top" wrapText="1"/>
    </xf>
    <xf numFmtId="0" fontId="30" fillId="0" borderId="0" xfId="0" applyFont="1" applyAlignment="1">
      <alignment vertical="top"/>
    </xf>
    <xf numFmtId="49" fontId="2" fillId="0" borderId="0" xfId="0" applyNumberFormat="1" applyFont="1"/>
    <xf numFmtId="164" fontId="2" fillId="0" borderId="0" xfId="0" applyNumberFormat="1" applyFont="1"/>
    <xf numFmtId="3" fontId="32" fillId="0" borderId="16" xfId="0" applyNumberFormat="1" applyFont="1" applyBorder="1" applyAlignment="1">
      <alignment vertical="top" wrapText="1"/>
    </xf>
    <xf numFmtId="49" fontId="2" fillId="0" borderId="7" xfId="0" applyNumberFormat="1" applyFont="1" applyBorder="1"/>
    <xf numFmtId="49" fontId="6" fillId="0" borderId="7" xfId="0" applyNumberFormat="1" applyFont="1" applyBorder="1" applyAlignment="1">
      <alignment horizontal="center"/>
    </xf>
    <xf numFmtId="0" fontId="32" fillId="6" borderId="26" xfId="0" applyFont="1" applyFill="1" applyBorder="1" applyAlignment="1">
      <alignment vertical="top" wrapText="1"/>
    </xf>
    <xf numFmtId="0" fontId="32" fillId="0" borderId="27" xfId="0" applyFont="1" applyBorder="1" applyAlignment="1">
      <alignment vertical="top" wrapText="1"/>
    </xf>
    <xf numFmtId="0" fontId="6" fillId="0" borderId="0" xfId="0" applyFont="1" applyAlignment="1">
      <alignment vertical="top" wrapText="1"/>
    </xf>
    <xf numFmtId="0" fontId="30" fillId="0" borderId="0" xfId="0" applyFont="1" applyAlignment="1">
      <alignment horizontal="left" vertical="top"/>
    </xf>
    <xf numFmtId="0" fontId="19" fillId="0" borderId="0" xfId="0" applyFont="1" applyAlignment="1">
      <alignment horizontal="left"/>
    </xf>
    <xf numFmtId="0" fontId="39" fillId="0" borderId="0" xfId="0" applyFont="1" applyAlignment="1">
      <alignment horizontal="left" vertical="top"/>
    </xf>
    <xf numFmtId="0" fontId="40" fillId="0" borderId="0" xfId="0" applyFont="1" applyAlignment="1">
      <alignment horizontal="left" vertical="center"/>
    </xf>
    <xf numFmtId="164" fontId="32" fillId="3" borderId="8" xfId="0" applyNumberFormat="1" applyFont="1" applyFill="1" applyBorder="1" applyAlignment="1">
      <alignment horizontal="right" vertical="top" wrapText="1"/>
    </xf>
    <xf numFmtId="0" fontId="30" fillId="0" borderId="0" xfId="0" applyFont="1" applyAlignment="1">
      <alignment vertical="top" wrapText="1"/>
    </xf>
    <xf numFmtId="0" fontId="2" fillId="0" borderId="21" xfId="0" applyFont="1" applyBorder="1" applyAlignment="1">
      <alignment vertical="top" wrapText="1"/>
    </xf>
    <xf numFmtId="0" fontId="32" fillId="0" borderId="0" xfId="0" applyFont="1" applyAlignment="1">
      <alignment horizontal="right" vertical="top" wrapText="1"/>
    </xf>
    <xf numFmtId="0" fontId="28" fillId="0" borderId="29" xfId="0" applyFont="1" applyBorder="1" applyAlignment="1">
      <alignment vertical="top" wrapText="1"/>
    </xf>
    <xf numFmtId="164" fontId="32" fillId="0" borderId="21" xfId="0" applyNumberFormat="1" applyFont="1" applyBorder="1" applyAlignment="1">
      <alignment horizontal="right" vertical="top" wrapText="1"/>
    </xf>
    <xf numFmtId="0" fontId="28" fillId="0" borderId="0" xfId="0" applyFont="1" applyAlignment="1">
      <alignment vertical="top" wrapText="1"/>
    </xf>
    <xf numFmtId="0" fontId="30" fillId="0" borderId="19" xfId="0" applyFont="1" applyBorder="1" applyAlignment="1">
      <alignment horizontal="left"/>
    </xf>
    <xf numFmtId="0" fontId="2" fillId="0" borderId="0" xfId="0" applyFont="1" applyAlignment="1">
      <alignment horizontal="right" vertical="top" wrapText="1"/>
    </xf>
    <xf numFmtId="0" fontId="30" fillId="0" borderId="29" xfId="0" applyFont="1" applyBorder="1" applyAlignment="1">
      <alignment horizontal="center" wrapText="1"/>
    </xf>
    <xf numFmtId="0" fontId="30" fillId="0" borderId="0" xfId="0" applyFont="1" applyAlignment="1">
      <alignment horizontal="center" wrapText="1"/>
    </xf>
    <xf numFmtId="6" fontId="32" fillId="7" borderId="16" xfId="0" applyNumberFormat="1" applyFont="1" applyFill="1" applyBorder="1" applyAlignment="1">
      <alignment vertical="top" wrapText="1"/>
    </xf>
    <xf numFmtId="0" fontId="32" fillId="0" borderId="29" xfId="0" applyFont="1" applyBorder="1" applyAlignment="1">
      <alignment vertical="top" wrapText="1"/>
    </xf>
    <xf numFmtId="6" fontId="32" fillId="0" borderId="16" xfId="0" applyNumberFormat="1" applyFont="1" applyBorder="1" applyAlignment="1">
      <alignment vertical="top" wrapText="1"/>
    </xf>
    <xf numFmtId="6" fontId="32" fillId="3" borderId="16" xfId="0" applyNumberFormat="1" applyFont="1" applyFill="1" applyBorder="1" applyAlignment="1">
      <alignment vertical="top" wrapText="1"/>
    </xf>
    <xf numFmtId="6" fontId="32" fillId="7" borderId="16" xfId="0" applyNumberFormat="1" applyFont="1" applyFill="1" applyBorder="1" applyAlignment="1">
      <alignment horizontal="center" vertical="top" wrapText="1"/>
    </xf>
    <xf numFmtId="10" fontId="2" fillId="3" borderId="8" xfId="0" applyNumberFormat="1" applyFont="1" applyFill="1" applyBorder="1" applyAlignment="1">
      <alignment horizontal="center" vertical="top" wrapText="1"/>
    </xf>
    <xf numFmtId="0" fontId="42" fillId="0" borderId="0" xfId="0" applyFont="1" applyAlignment="1">
      <alignment vertical="top" wrapText="1"/>
    </xf>
    <xf numFmtId="0" fontId="42" fillId="6" borderId="25" xfId="0" applyFont="1" applyFill="1" applyBorder="1" applyAlignment="1">
      <alignment vertical="top" wrapText="1"/>
    </xf>
    <xf numFmtId="4" fontId="12" fillId="0" borderId="0" xfId="0" applyNumberFormat="1" applyFont="1" applyAlignment="1">
      <alignment horizontal="center"/>
    </xf>
    <xf numFmtId="4" fontId="2" fillId="0" borderId="0" xfId="0" applyNumberFormat="1" applyFont="1" applyAlignment="1">
      <alignment horizontal="center"/>
    </xf>
    <xf numFmtId="4" fontId="2" fillId="0" borderId="0" xfId="0" applyNumberFormat="1" applyFont="1"/>
    <xf numFmtId="4" fontId="6" fillId="0" borderId="0" xfId="0" applyNumberFormat="1" applyFont="1" applyAlignment="1">
      <alignment horizontal="center"/>
    </xf>
    <xf numFmtId="9" fontId="2" fillId="0" borderId="0" xfId="0" applyNumberFormat="1" applyFont="1" applyAlignment="1">
      <alignment horizontal="left"/>
    </xf>
    <xf numFmtId="0" fontId="42" fillId="0" borderId="22" xfId="0" applyFont="1" applyBorder="1" applyAlignment="1">
      <alignment vertical="top" wrapText="1"/>
    </xf>
    <xf numFmtId="0" fontId="42" fillId="6" borderId="23" xfId="0" applyFont="1" applyFill="1" applyBorder="1" applyAlignment="1">
      <alignment vertical="top" wrapText="1"/>
    </xf>
    <xf numFmtId="0" fontId="2" fillId="0" borderId="7" xfId="0" applyFont="1" applyBorder="1" applyAlignment="1">
      <alignment horizontal="left"/>
    </xf>
    <xf numFmtId="0" fontId="18" fillId="9" borderId="25" xfId="0" applyFont="1" applyFill="1" applyBorder="1"/>
    <xf numFmtId="167" fontId="2" fillId="0" borderId="0" xfId="0" applyNumberFormat="1" applyFont="1" applyAlignment="1">
      <alignment horizontal="left"/>
    </xf>
    <xf numFmtId="0" fontId="2" fillId="9" borderId="25" xfId="0" applyFont="1" applyFill="1" applyBorder="1" applyAlignment="1">
      <alignment horizontal="left"/>
    </xf>
    <xf numFmtId="0" fontId="6" fillId="9" borderId="25" xfId="0" applyFont="1" applyFill="1" applyBorder="1" applyAlignment="1">
      <alignment horizontal="center"/>
    </xf>
    <xf numFmtId="0" fontId="2" fillId="9" borderId="25" xfId="0" applyFont="1" applyFill="1" applyBorder="1"/>
    <xf numFmtId="168" fontId="2" fillId="0" borderId="0" xfId="0" applyNumberFormat="1" applyFont="1" applyAlignment="1">
      <alignment horizontal="right"/>
    </xf>
    <xf numFmtId="168" fontId="2" fillId="0" borderId="0" xfId="0" applyNumberFormat="1" applyFont="1" applyAlignment="1">
      <alignment horizontal="left"/>
    </xf>
    <xf numFmtId="0" fontId="6" fillId="9" borderId="16" xfId="0" applyFont="1" applyFill="1" applyBorder="1" applyAlignment="1">
      <alignment horizontal="left"/>
    </xf>
    <xf numFmtId="0" fontId="6" fillId="9" borderId="16" xfId="0" applyFont="1" applyFill="1" applyBorder="1" applyAlignment="1">
      <alignment horizontal="center"/>
    </xf>
    <xf numFmtId="164" fontId="6" fillId="0" borderId="21" xfId="0" applyNumberFormat="1" applyFont="1" applyBorder="1" applyAlignment="1">
      <alignment horizontal="left"/>
    </xf>
    <xf numFmtId="164" fontId="6" fillId="0" borderId="21" xfId="0" applyNumberFormat="1" applyFont="1" applyBorder="1" applyAlignment="1">
      <alignment horizontal="center"/>
    </xf>
    <xf numFmtId="0" fontId="43" fillId="9" borderId="16" xfId="0" applyFont="1" applyFill="1" applyBorder="1" applyAlignment="1">
      <alignment horizontal="left"/>
    </xf>
    <xf numFmtId="164" fontId="2" fillId="0" borderId="32" xfId="0" applyNumberFormat="1" applyFont="1" applyBorder="1" applyAlignment="1">
      <alignment horizontal="center"/>
    </xf>
    <xf numFmtId="164" fontId="2" fillId="0" borderId="33" xfId="0" applyNumberFormat="1" applyFont="1" applyBorder="1" applyAlignment="1">
      <alignment horizontal="center"/>
    </xf>
    <xf numFmtId="164" fontId="2" fillId="0" borderId="34" xfId="0" applyNumberFormat="1" applyFont="1" applyBorder="1" applyAlignment="1">
      <alignment horizontal="center"/>
    </xf>
    <xf numFmtId="164" fontId="2" fillId="0" borderId="35" xfId="0" applyNumberFormat="1" applyFont="1" applyBorder="1" applyAlignment="1">
      <alignment horizontal="center"/>
    </xf>
    <xf numFmtId="0" fontId="2" fillId="0" borderId="16" xfId="0" applyFont="1" applyBorder="1"/>
    <xf numFmtId="5" fontId="44" fillId="6" borderId="16" xfId="0" applyNumberFormat="1" applyFont="1" applyFill="1" applyBorder="1" applyAlignment="1">
      <alignment horizontal="center"/>
    </xf>
    <xf numFmtId="0" fontId="43" fillId="0" borderId="16" xfId="0" applyFont="1" applyBorder="1" applyAlignment="1">
      <alignment horizontal="left"/>
    </xf>
    <xf numFmtId="6" fontId="30" fillId="0" borderId="16" xfId="0" applyNumberFormat="1" applyFont="1" applyBorder="1" applyAlignment="1">
      <alignment vertical="top" wrapText="1"/>
    </xf>
    <xf numFmtId="164" fontId="2" fillId="0" borderId="36" xfId="0" applyNumberFormat="1" applyFont="1" applyBorder="1" applyAlignment="1">
      <alignment horizontal="center"/>
    </xf>
    <xf numFmtId="164" fontId="2" fillId="0" borderId="37" xfId="0" applyNumberFormat="1" applyFont="1" applyBorder="1" applyAlignment="1">
      <alignment horizontal="center"/>
    </xf>
    <xf numFmtId="164" fontId="2" fillId="0" borderId="38" xfId="0" applyNumberFormat="1" applyFont="1" applyBorder="1" applyAlignment="1">
      <alignment horizontal="center"/>
    </xf>
    <xf numFmtId="5" fontId="44" fillId="0" borderId="16" xfId="0" applyNumberFormat="1" applyFont="1" applyBorder="1" applyAlignment="1">
      <alignment horizontal="center"/>
    </xf>
    <xf numFmtId="164" fontId="2" fillId="0" borderId="39" xfId="0" applyNumberFormat="1" applyFont="1" applyBorder="1" applyAlignment="1">
      <alignment horizontal="center"/>
    </xf>
    <xf numFmtId="164" fontId="2" fillId="0" borderId="40" xfId="0" applyNumberFormat="1" applyFont="1" applyBorder="1" applyAlignment="1">
      <alignment horizontal="center"/>
    </xf>
    <xf numFmtId="164" fontId="2" fillId="0" borderId="41" xfId="0" applyNumberFormat="1" applyFont="1" applyBorder="1" applyAlignment="1">
      <alignment horizontal="center"/>
    </xf>
    <xf numFmtId="0" fontId="4" fillId="0" borderId="0" xfId="0" applyFont="1" applyAlignment="1">
      <alignment horizontal="center" vertical="center"/>
    </xf>
    <xf numFmtId="49" fontId="6" fillId="0" borderId="0" xfId="0" applyNumberFormat="1" applyFont="1"/>
    <xf numFmtId="1" fontId="27" fillId="0" borderId="0" xfId="0" applyNumberFormat="1" applyFont="1" applyAlignment="1">
      <alignment horizontal="left"/>
    </xf>
    <xf numFmtId="0" fontId="24" fillId="0" borderId="0" xfId="0" applyFont="1"/>
    <xf numFmtId="49" fontId="6" fillId="0" borderId="0" xfId="0" applyNumberFormat="1" applyFont="1" applyAlignment="1">
      <alignment vertical="top"/>
    </xf>
    <xf numFmtId="4" fontId="45" fillId="0" borderId="0" xfId="0" applyNumberFormat="1" applyFont="1" applyAlignment="1">
      <alignment horizontal="left"/>
    </xf>
    <xf numFmtId="1" fontId="27" fillId="0" borderId="0" xfId="0" applyNumberFormat="1" applyFont="1" applyAlignment="1">
      <alignment horizontal="right"/>
    </xf>
    <xf numFmtId="0" fontId="30" fillId="0" borderId="29" xfId="0" applyFont="1" applyBorder="1" applyAlignment="1">
      <alignment vertical="top" wrapText="1"/>
    </xf>
    <xf numFmtId="0" fontId="14" fillId="0" borderId="0" xfId="0" applyFont="1" applyAlignment="1">
      <alignment horizontal="left"/>
    </xf>
    <xf numFmtId="0" fontId="12" fillId="0" borderId="0" xfId="0" applyFont="1" applyAlignment="1">
      <alignment horizontal="center" vertical="center"/>
    </xf>
    <xf numFmtId="49" fontId="6" fillId="0" borderId="0" xfId="0" applyNumberFormat="1" applyFont="1" applyAlignment="1">
      <alignment horizontal="center" vertical="center"/>
    </xf>
    <xf numFmtId="49" fontId="2" fillId="0" borderId="0" xfId="0" applyNumberFormat="1" applyFont="1" applyAlignment="1">
      <alignment vertical="center"/>
    </xf>
    <xf numFmtId="171" fontId="2" fillId="0" borderId="0" xfId="0" applyNumberFormat="1" applyFont="1"/>
    <xf numFmtId="5" fontId="44" fillId="10" borderId="16" xfId="0" applyNumberFormat="1" applyFont="1" applyFill="1" applyBorder="1" applyAlignment="1">
      <alignment horizontal="center"/>
    </xf>
    <xf numFmtId="6" fontId="32" fillId="0" borderId="0" xfId="0" applyNumberFormat="1" applyFont="1" applyAlignment="1">
      <alignment horizontal="left" vertical="top"/>
    </xf>
    <xf numFmtId="6" fontId="32" fillId="0" borderId="0" xfId="0" applyNumberFormat="1" applyFont="1" applyAlignment="1">
      <alignment vertical="top" wrapText="1"/>
    </xf>
    <xf numFmtId="6" fontId="30" fillId="0" borderId="0" xfId="0" applyNumberFormat="1" applyFont="1" applyAlignment="1">
      <alignment horizontal="right" vertical="top"/>
    </xf>
    <xf numFmtId="0" fontId="32" fillId="0" borderId="44" xfId="0" applyFont="1" applyBorder="1" applyAlignment="1">
      <alignment vertical="top" wrapText="1"/>
    </xf>
    <xf numFmtId="0" fontId="46" fillId="0" borderId="0" xfId="0" applyFont="1" applyAlignment="1">
      <alignment horizontal="left" vertical="top"/>
    </xf>
    <xf numFmtId="0" fontId="3" fillId="0" borderId="0" xfId="0" applyFont="1" applyAlignment="1">
      <alignment vertical="top" wrapText="1"/>
    </xf>
    <xf numFmtId="0" fontId="3" fillId="0" borderId="44" xfId="0" applyFont="1" applyBorder="1" applyAlignment="1">
      <alignment vertical="top" wrapText="1"/>
    </xf>
    <xf numFmtId="0" fontId="3" fillId="0" borderId="29" xfId="0" applyFont="1" applyBorder="1" applyAlignment="1">
      <alignment vertical="top" wrapText="1"/>
    </xf>
    <xf numFmtId="0" fontId="47" fillId="0" borderId="0" xfId="0" applyFont="1" applyAlignment="1">
      <alignment horizontal="left" vertical="top"/>
    </xf>
    <xf numFmtId="164" fontId="32" fillId="0" borderId="0" xfId="0" applyNumberFormat="1" applyFont="1" applyAlignment="1">
      <alignment horizontal="right" vertical="top" wrapText="1"/>
    </xf>
    <xf numFmtId="49" fontId="48" fillId="0" borderId="0" xfId="0" applyNumberFormat="1" applyFont="1" applyAlignment="1">
      <alignment horizontal="center"/>
    </xf>
    <xf numFmtId="0" fontId="49" fillId="0" borderId="0" xfId="0" applyFont="1"/>
    <xf numFmtId="0" fontId="42" fillId="0" borderId="44" xfId="0" applyFont="1" applyBorder="1" applyAlignment="1">
      <alignment vertical="top" wrapText="1"/>
    </xf>
    <xf numFmtId="0" fontId="42" fillId="0" borderId="29" xfId="0" applyFont="1" applyBorder="1" applyAlignment="1">
      <alignment vertical="top" wrapText="1"/>
    </xf>
    <xf numFmtId="0" fontId="28" fillId="0" borderId="0" xfId="0" applyFont="1" applyAlignment="1">
      <alignment horizontal="right" vertical="top" wrapText="1"/>
    </xf>
    <xf numFmtId="0" fontId="42" fillId="0" borderId="0" xfId="0" applyFont="1" applyAlignment="1">
      <alignment horizontal="right" vertical="top" wrapText="1"/>
    </xf>
    <xf numFmtId="0" fontId="2" fillId="0" borderId="0" xfId="0" applyFont="1" applyAlignment="1">
      <alignment vertical="center" wrapText="1"/>
    </xf>
    <xf numFmtId="0" fontId="50" fillId="0" borderId="0" xfId="0" applyFont="1"/>
    <xf numFmtId="164" fontId="2" fillId="0" borderId="45" xfId="0" applyNumberFormat="1" applyFont="1" applyBorder="1" applyAlignment="1">
      <alignment horizontal="center"/>
    </xf>
    <xf numFmtId="164" fontId="2" fillId="0" borderId="46" xfId="0" applyNumberFormat="1" applyFont="1" applyBorder="1" applyAlignment="1">
      <alignment horizontal="center"/>
    </xf>
    <xf numFmtId="164" fontId="2" fillId="0" borderId="47" xfId="0" applyNumberFormat="1" applyFont="1" applyBorder="1" applyAlignment="1">
      <alignment horizontal="center"/>
    </xf>
    <xf numFmtId="164" fontId="2" fillId="0" borderId="0" xfId="0" applyNumberFormat="1" applyFont="1" applyAlignment="1">
      <alignment horizontal="center"/>
    </xf>
    <xf numFmtId="164" fontId="2" fillId="0" borderId="27" xfId="0" applyNumberFormat="1" applyFont="1" applyBorder="1" applyAlignment="1">
      <alignment horizontal="center"/>
    </xf>
    <xf numFmtId="164" fontId="2" fillId="0" borderId="48" xfId="0" applyNumberFormat="1" applyFont="1" applyBorder="1" applyAlignment="1">
      <alignment horizontal="center"/>
    </xf>
    <xf numFmtId="164" fontId="2" fillId="0" borderId="49" xfId="0" applyNumberFormat="1" applyFont="1" applyBorder="1" applyAlignment="1">
      <alignment horizontal="center"/>
    </xf>
    <xf numFmtId="164" fontId="2" fillId="0" borderId="50" xfId="0" applyNumberFormat="1" applyFont="1" applyBorder="1" applyAlignment="1">
      <alignment horizontal="center"/>
    </xf>
    <xf numFmtId="164" fontId="2" fillId="0" borderId="51" xfId="0" applyNumberFormat="1" applyFont="1" applyBorder="1" applyAlignment="1">
      <alignment horizontal="center"/>
    </xf>
    <xf numFmtId="164" fontId="51" fillId="0" borderId="0" xfId="0" applyNumberFormat="1" applyFont="1" applyAlignment="1">
      <alignment vertical="center" wrapText="1"/>
    </xf>
    <xf numFmtId="0" fontId="2" fillId="0" borderId="0" xfId="0" applyFont="1" applyAlignment="1">
      <alignment horizontal="center" wrapText="1"/>
    </xf>
    <xf numFmtId="164" fontId="52" fillId="0" borderId="0" xfId="0" applyNumberFormat="1" applyFont="1" applyAlignment="1">
      <alignment horizontal="center" vertical="center" wrapText="1"/>
    </xf>
    <xf numFmtId="0" fontId="2" fillId="0" borderId="21" xfId="0" applyFont="1" applyBorder="1"/>
    <xf numFmtId="0" fontId="2" fillId="0" borderId="21" xfId="0" applyFont="1" applyBorder="1" applyAlignment="1">
      <alignment horizontal="left" wrapText="1"/>
    </xf>
    <xf numFmtId="0" fontId="6" fillId="0" borderId="0" xfId="0" applyFont="1" applyAlignment="1">
      <alignment horizontal="right"/>
    </xf>
    <xf numFmtId="0" fontId="2" fillId="11" borderId="8" xfId="0" applyFont="1" applyFill="1" applyBorder="1"/>
    <xf numFmtId="0" fontId="54" fillId="0" borderId="0" xfId="0" applyFont="1"/>
    <xf numFmtId="0" fontId="56" fillId="0" borderId="0" xfId="0" applyFont="1"/>
    <xf numFmtId="0" fontId="54" fillId="4" borderId="58" xfId="0" applyFont="1" applyFill="1" applyBorder="1"/>
    <xf numFmtId="0" fontId="54" fillId="4" borderId="25" xfId="0" applyFont="1" applyFill="1" applyBorder="1"/>
    <xf numFmtId="0" fontId="55" fillId="4" borderId="25" xfId="0" applyFont="1" applyFill="1" applyBorder="1"/>
    <xf numFmtId="0" fontId="58" fillId="0" borderId="64" xfId="0" applyFont="1" applyBorder="1"/>
    <xf numFmtId="0" fontId="2" fillId="0" borderId="28" xfId="0" applyFont="1" applyBorder="1" applyAlignment="1">
      <alignment horizontal="left"/>
    </xf>
    <xf numFmtId="0" fontId="2" fillId="0" borderId="28" xfId="0" applyFont="1" applyBorder="1"/>
    <xf numFmtId="0" fontId="2" fillId="0" borderId="65" xfId="0" applyFont="1" applyBorder="1"/>
    <xf numFmtId="0" fontId="58" fillId="0" borderId="29" xfId="0" applyFont="1" applyBorder="1"/>
    <xf numFmtId="0" fontId="2" fillId="0" borderId="44" xfId="0" applyFont="1" applyBorder="1"/>
    <xf numFmtId="0" fontId="58" fillId="0" borderId="66" xfId="0" applyFont="1" applyBorder="1"/>
    <xf numFmtId="0" fontId="2" fillId="0" borderId="67" xfId="0" applyFont="1" applyBorder="1"/>
    <xf numFmtId="0" fontId="59" fillId="0" borderId="0" xfId="0" applyFont="1"/>
    <xf numFmtId="0" fontId="58" fillId="0" borderId="0" xfId="0" applyFont="1"/>
    <xf numFmtId="0" fontId="55" fillId="4" borderId="68" xfId="0" applyFont="1" applyFill="1" applyBorder="1" applyAlignment="1">
      <alignment horizontal="center"/>
    </xf>
    <xf numFmtId="0" fontId="60" fillId="0" borderId="0" xfId="0" applyFont="1" applyAlignment="1">
      <alignment horizontal="left" vertical="center"/>
    </xf>
    <xf numFmtId="0" fontId="54" fillId="0" borderId="0" xfId="0" applyFont="1" applyAlignment="1">
      <alignment vertical="center"/>
    </xf>
    <xf numFmtId="172" fontId="61" fillId="4" borderId="25" xfId="0" applyNumberFormat="1" applyFont="1" applyFill="1" applyBorder="1"/>
    <xf numFmtId="0" fontId="54" fillId="4" borderId="68" xfId="0" applyFont="1" applyFill="1" applyBorder="1"/>
    <xf numFmtId="0" fontId="56" fillId="4" borderId="25" xfId="0" applyFont="1" applyFill="1" applyBorder="1"/>
    <xf numFmtId="168" fontId="2" fillId="0" borderId="0" xfId="0" applyNumberFormat="1" applyFont="1"/>
    <xf numFmtId="0" fontId="32" fillId="0" borderId="0" xfId="0" applyFont="1"/>
    <xf numFmtId="0" fontId="64" fillId="4" borderId="25" xfId="0" applyFont="1" applyFill="1" applyBorder="1"/>
    <xf numFmtId="164" fontId="2" fillId="0" borderId="0" xfId="0" applyNumberFormat="1" applyFont="1" applyAlignment="1">
      <alignment horizontal="right"/>
    </xf>
    <xf numFmtId="0" fontId="65" fillId="0" borderId="0" xfId="0" applyFont="1" applyAlignment="1">
      <alignment horizontal="center" vertical="center"/>
    </xf>
    <xf numFmtId="0" fontId="2" fillId="0" borderId="64" xfId="0" applyFont="1" applyBorder="1"/>
    <xf numFmtId="0" fontId="6" fillId="0" borderId="64" xfId="0" applyFont="1" applyBorder="1" applyAlignment="1">
      <alignment horizontal="center" wrapText="1"/>
    </xf>
    <xf numFmtId="0" fontId="2" fillId="0" borderId="29" xfId="0" applyFont="1" applyBorder="1"/>
    <xf numFmtId="0" fontId="2" fillId="0" borderId="66" xfId="0" applyFont="1" applyBorder="1"/>
    <xf numFmtId="0" fontId="6" fillId="0" borderId="19" xfId="0" applyFont="1" applyBorder="1" applyAlignment="1">
      <alignment horizontal="left"/>
    </xf>
    <xf numFmtId="0" fontId="55" fillId="4" borderId="68" xfId="0" applyFont="1" applyFill="1" applyBorder="1"/>
    <xf numFmtId="0" fontId="55" fillId="0" borderId="0" xfId="0" applyFont="1"/>
    <xf numFmtId="0" fontId="2" fillId="0" borderId="19" xfId="0" applyFont="1" applyBorder="1"/>
    <xf numFmtId="0" fontId="55" fillId="15" borderId="104" xfId="0" applyFont="1" applyFill="1" applyBorder="1"/>
    <xf numFmtId="0" fontId="2" fillId="3" borderId="105" xfId="0" applyFont="1" applyFill="1" applyBorder="1"/>
    <xf numFmtId="0" fontId="54" fillId="5" borderId="106" xfId="0" applyFont="1" applyFill="1" applyBorder="1"/>
    <xf numFmtId="0" fontId="54" fillId="4" borderId="106" xfId="0" applyFont="1" applyFill="1" applyBorder="1"/>
    <xf numFmtId="0" fontId="2" fillId="0" borderId="19" xfId="0" applyFont="1" applyBorder="1" applyAlignment="1">
      <alignment horizontal="left"/>
    </xf>
    <xf numFmtId="0" fontId="55" fillId="14" borderId="111" xfId="0" applyFont="1" applyFill="1" applyBorder="1"/>
    <xf numFmtId="0" fontId="54" fillId="14" borderId="112" xfId="0" applyFont="1" applyFill="1" applyBorder="1"/>
    <xf numFmtId="0" fontId="54" fillId="14" borderId="113" xfId="0" applyFont="1" applyFill="1" applyBorder="1"/>
    <xf numFmtId="0" fontId="54" fillId="14" borderId="114" xfId="0" applyFont="1" applyFill="1" applyBorder="1"/>
    <xf numFmtId="0" fontId="55" fillId="14" borderId="25" xfId="0" applyFont="1" applyFill="1" applyBorder="1"/>
    <xf numFmtId="0" fontId="55" fillId="14" borderId="26" xfId="0" applyFont="1" applyFill="1" applyBorder="1"/>
    <xf numFmtId="164" fontId="66" fillId="0" borderId="0" xfId="0" applyNumberFormat="1" applyFont="1" applyAlignment="1">
      <alignment horizontal="left" vertical="top"/>
    </xf>
    <xf numFmtId="164" fontId="27" fillId="0" borderId="0" xfId="0" applyNumberFormat="1" applyFont="1" applyAlignment="1">
      <alignment horizontal="left" vertical="top" wrapText="1"/>
    </xf>
    <xf numFmtId="3" fontId="2" fillId="0" borderId="0" xfId="0" applyNumberFormat="1" applyFont="1" applyAlignment="1">
      <alignment horizontal="center"/>
    </xf>
    <xf numFmtId="0" fontId="32" fillId="0" borderId="0" xfId="0" applyFont="1" applyAlignment="1">
      <alignment horizontal="left"/>
    </xf>
    <xf numFmtId="0" fontId="55" fillId="14" borderId="117" xfId="0" applyFont="1" applyFill="1" applyBorder="1"/>
    <xf numFmtId="0" fontId="55" fillId="14" borderId="112" xfId="0" applyFont="1" applyFill="1" applyBorder="1"/>
    <xf numFmtId="0" fontId="55" fillId="14" borderId="113" xfId="0" applyFont="1" applyFill="1" applyBorder="1"/>
    <xf numFmtId="0" fontId="55" fillId="14" borderId="114" xfId="0" applyFont="1" applyFill="1" applyBorder="1"/>
    <xf numFmtId="175" fontId="54" fillId="0" borderId="0" xfId="0" applyNumberFormat="1" applyFont="1"/>
    <xf numFmtId="0" fontId="55" fillId="14" borderId="118" xfId="0" applyFont="1" applyFill="1" applyBorder="1"/>
    <xf numFmtId="0" fontId="55" fillId="14" borderId="8" xfId="0" applyFont="1" applyFill="1" applyBorder="1"/>
    <xf numFmtId="0" fontId="55" fillId="14" borderId="119" xfId="0" applyFont="1" applyFill="1" applyBorder="1"/>
    <xf numFmtId="0" fontId="54" fillId="8" borderId="25" xfId="0" applyFont="1" applyFill="1" applyBorder="1"/>
    <xf numFmtId="164" fontId="2" fillId="0" borderId="0" xfId="0" applyNumberFormat="1" applyFont="1" applyAlignment="1">
      <alignment horizontal="left" vertical="top"/>
    </xf>
    <xf numFmtId="10" fontId="54" fillId="8" borderId="25" xfId="0" applyNumberFormat="1" applyFont="1" applyFill="1" applyBorder="1"/>
    <xf numFmtId="0" fontId="32" fillId="0" borderId="28" xfId="0" applyFont="1" applyBorder="1" applyAlignment="1">
      <alignment vertical="top"/>
    </xf>
    <xf numFmtId="0" fontId="54" fillId="14" borderId="117" xfId="0" applyFont="1" applyFill="1" applyBorder="1"/>
    <xf numFmtId="0" fontId="54" fillId="14" borderId="120" xfId="0" applyFont="1" applyFill="1" applyBorder="1"/>
    <xf numFmtId="0" fontId="55" fillId="14" borderId="121" xfId="0" applyFont="1" applyFill="1" applyBorder="1"/>
    <xf numFmtId="0" fontId="55" fillId="14" borderId="122" xfId="0" applyFont="1" applyFill="1" applyBorder="1"/>
    <xf numFmtId="0" fontId="68" fillId="0" borderId="0" xfId="0" applyFont="1" applyAlignment="1">
      <alignment vertical="center" wrapText="1"/>
    </xf>
    <xf numFmtId="0" fontId="69" fillId="4" borderId="25" xfId="0" applyFont="1" applyFill="1" applyBorder="1"/>
    <xf numFmtId="0" fontId="70" fillId="0" borderId="0" xfId="0" applyFont="1" applyAlignment="1">
      <alignment vertical="top" wrapText="1"/>
    </xf>
    <xf numFmtId="164" fontId="2" fillId="0" borderId="19" xfId="0" applyNumberFormat="1" applyFont="1" applyBorder="1" applyAlignment="1">
      <alignment vertical="top"/>
    </xf>
    <xf numFmtId="164" fontId="2" fillId="0" borderId="7" xfId="0" applyNumberFormat="1" applyFont="1" applyBorder="1" applyAlignment="1">
      <alignment vertical="top"/>
    </xf>
    <xf numFmtId="164" fontId="2" fillId="0" borderId="20" xfId="0" applyNumberFormat="1" applyFont="1" applyBorder="1" applyAlignment="1">
      <alignment vertical="top"/>
    </xf>
    <xf numFmtId="164" fontId="2" fillId="0" borderId="29" xfId="0" applyNumberFormat="1" applyFont="1" applyBorder="1" applyAlignment="1">
      <alignment vertical="top"/>
    </xf>
    <xf numFmtId="164" fontId="2" fillId="0" borderId="0" xfId="0" applyNumberFormat="1" applyFont="1" applyAlignment="1">
      <alignment vertical="top"/>
    </xf>
    <xf numFmtId="0" fontId="2" fillId="0" borderId="0" xfId="0" applyFont="1" applyAlignment="1">
      <alignment horizontal="right" vertical="top"/>
    </xf>
    <xf numFmtId="0" fontId="2" fillId="0" borderId="44" xfId="0" applyFont="1" applyBorder="1" applyAlignment="1">
      <alignment horizontal="right" vertical="top"/>
    </xf>
    <xf numFmtId="0" fontId="6" fillId="0" borderId="21" xfId="0" applyFont="1" applyBorder="1" applyAlignment="1">
      <alignment horizontal="center"/>
    </xf>
    <xf numFmtId="0" fontId="2" fillId="3" borderId="105" xfId="0" applyFont="1" applyFill="1" applyBorder="1" applyAlignment="1">
      <alignment horizontal="left"/>
    </xf>
    <xf numFmtId="0" fontId="2" fillId="3" borderId="17" xfId="0" applyFont="1" applyFill="1" applyBorder="1" applyAlignment="1">
      <alignment horizontal="left"/>
    </xf>
    <xf numFmtId="0" fontId="55" fillId="14" borderId="120" xfId="0" applyFont="1" applyFill="1" applyBorder="1"/>
    <xf numFmtId="0" fontId="2" fillId="3" borderId="17" xfId="0" applyFont="1" applyFill="1" applyBorder="1" applyAlignment="1">
      <alignment horizontal="left" vertical="top"/>
    </xf>
    <xf numFmtId="0" fontId="2" fillId="3" borderId="18" xfId="0" applyFont="1" applyFill="1" applyBorder="1" applyAlignment="1">
      <alignment horizontal="left" vertical="top"/>
    </xf>
    <xf numFmtId="0" fontId="27" fillId="0" borderId="0" xfId="0" applyFont="1" applyAlignment="1">
      <alignment horizontal="left" vertical="top" wrapText="1"/>
    </xf>
    <xf numFmtId="0" fontId="2" fillId="0" borderId="20" xfId="0" applyFont="1" applyBorder="1"/>
    <xf numFmtId="178" fontId="2" fillId="0" borderId="0" xfId="0" applyNumberFormat="1" applyFont="1" applyAlignment="1">
      <alignment horizontal="right"/>
    </xf>
    <xf numFmtId="0" fontId="71" fillId="0" borderId="0" xfId="0" applyFont="1" applyAlignment="1">
      <alignment horizontal="left" vertical="top" wrapText="1"/>
    </xf>
    <xf numFmtId="0" fontId="72" fillId="0" borderId="0" xfId="0" applyFont="1" applyAlignment="1">
      <alignment vertical="top" wrapText="1"/>
    </xf>
    <xf numFmtId="164" fontId="2" fillId="0" borderId="19" xfId="0" applyNumberFormat="1" applyFont="1" applyBorder="1"/>
    <xf numFmtId="0" fontId="2" fillId="0" borderId="66" xfId="0" applyFont="1" applyBorder="1" applyAlignment="1">
      <alignment horizontal="left"/>
    </xf>
    <xf numFmtId="164" fontId="2" fillId="0" borderId="0" xfId="0" applyNumberFormat="1" applyFont="1" applyAlignment="1">
      <alignment wrapText="1"/>
    </xf>
    <xf numFmtId="0" fontId="74" fillId="0" borderId="0" xfId="0" applyFont="1"/>
    <xf numFmtId="0" fontId="75" fillId="0" borderId="0" xfId="0" applyFont="1"/>
    <xf numFmtId="0" fontId="6" fillId="0" borderId="5" xfId="0" applyFont="1" applyBorder="1"/>
    <xf numFmtId="0" fontId="6" fillId="0" borderId="28" xfId="0" applyFont="1" applyBorder="1"/>
    <xf numFmtId="0" fontId="54" fillId="4" borderId="25" xfId="0" applyFont="1" applyFill="1" applyBorder="1" applyAlignment="1">
      <alignment horizontal="left"/>
    </xf>
    <xf numFmtId="0" fontId="6" fillId="0" borderId="29" xfId="0" applyFont="1" applyBorder="1" applyAlignment="1">
      <alignment horizontal="center" vertical="center" wrapText="1"/>
    </xf>
    <xf numFmtId="0" fontId="6" fillId="0" borderId="0" xfId="0" applyFont="1" applyAlignment="1">
      <alignment horizontal="center" vertical="center" wrapText="1"/>
    </xf>
    <xf numFmtId="0" fontId="6" fillId="0" borderId="44" xfId="0" applyFont="1" applyBorder="1" applyAlignment="1">
      <alignment horizontal="center" vertical="center" wrapText="1"/>
    </xf>
    <xf numFmtId="0" fontId="2" fillId="0" borderId="19" xfId="0" applyFont="1" applyBorder="1" applyAlignment="1">
      <alignment horizontal="center"/>
    </xf>
    <xf numFmtId="0" fontId="2" fillId="0" borderId="7" xfId="0" applyFont="1" applyBorder="1" applyAlignment="1">
      <alignment horizontal="center"/>
    </xf>
    <xf numFmtId="0" fontId="2" fillId="0" borderId="20" xfId="0" applyFont="1" applyBorder="1" applyAlignment="1">
      <alignment horizontal="center"/>
    </xf>
    <xf numFmtId="0" fontId="2" fillId="0" borderId="44" xfId="0" applyFont="1" applyBorder="1" applyAlignment="1">
      <alignment horizontal="center"/>
    </xf>
    <xf numFmtId="0" fontId="2" fillId="0" borderId="67" xfId="0" applyFont="1" applyBorder="1" applyAlignment="1">
      <alignment horizontal="left"/>
    </xf>
    <xf numFmtId="0" fontId="6" fillId="0" borderId="28" xfId="0" applyFont="1" applyBorder="1" applyAlignment="1">
      <alignment horizontal="center"/>
    </xf>
    <xf numFmtId="0" fontId="61" fillId="12" borderId="16" xfId="0" applyFont="1" applyFill="1" applyBorder="1"/>
    <xf numFmtId="0" fontId="61" fillId="12" borderId="125" xfId="0" applyFont="1" applyFill="1" applyBorder="1"/>
    <xf numFmtId="0" fontId="14" fillId="0" borderId="0" xfId="0" applyFont="1" applyAlignment="1">
      <alignment horizontal="left" vertical="center"/>
    </xf>
    <xf numFmtId="171" fontId="2" fillId="0" borderId="29" xfId="0" applyNumberFormat="1" applyFont="1" applyBorder="1"/>
    <xf numFmtId="0" fontId="62" fillId="12" borderId="16" xfId="0" applyFont="1" applyFill="1" applyBorder="1" applyAlignment="1">
      <alignment horizontal="center"/>
    </xf>
    <xf numFmtId="0" fontId="62" fillId="12" borderId="125" xfId="0" applyFont="1" applyFill="1" applyBorder="1" applyAlignment="1">
      <alignment horizontal="center"/>
    </xf>
    <xf numFmtId="0" fontId="24" fillId="0" borderId="0" xfId="0" applyFont="1" applyAlignment="1">
      <alignment horizontal="center" vertical="center"/>
    </xf>
    <xf numFmtId="0" fontId="24" fillId="0" borderId="24" xfId="0" applyFont="1" applyBorder="1" applyAlignment="1">
      <alignment horizontal="center" vertical="center"/>
    </xf>
    <xf numFmtId="0" fontId="24" fillId="0" borderId="128" xfId="0" applyFont="1" applyBorder="1" applyAlignment="1">
      <alignment horizontal="center" vertical="center"/>
    </xf>
    <xf numFmtId="0" fontId="77" fillId="0" borderId="0" xfId="0" applyFont="1"/>
    <xf numFmtId="49" fontId="27" fillId="0" borderId="0" xfId="0" applyNumberFormat="1" applyFont="1" applyAlignment="1">
      <alignment horizontal="left" vertical="top"/>
    </xf>
    <xf numFmtId="0" fontId="78" fillId="0" borderId="19" xfId="0" applyFont="1" applyBorder="1" applyAlignment="1">
      <alignment horizontal="left"/>
    </xf>
    <xf numFmtId="0" fontId="79" fillId="0" borderId="0" xfId="0" applyFont="1" applyAlignment="1">
      <alignment vertical="center"/>
    </xf>
    <xf numFmtId="0" fontId="80" fillId="0" borderId="0" xfId="0" applyFont="1" applyAlignment="1">
      <alignment horizontal="center"/>
    </xf>
    <xf numFmtId="0" fontId="78" fillId="0" borderId="66" xfId="0" applyFont="1" applyBorder="1" applyAlignment="1">
      <alignment horizontal="left"/>
    </xf>
    <xf numFmtId="0" fontId="81" fillId="0" borderId="0" xfId="0" applyFont="1" applyAlignment="1">
      <alignment vertical="center"/>
    </xf>
    <xf numFmtId="0" fontId="54" fillId="13" borderId="58" xfId="0" applyFont="1" applyFill="1" applyBorder="1"/>
    <xf numFmtId="0" fontId="54" fillId="13" borderId="25" xfId="0" applyFont="1" applyFill="1" applyBorder="1"/>
    <xf numFmtId="164" fontId="76" fillId="13" borderId="113" xfId="0" applyNumberFormat="1" applyFont="1" applyFill="1" applyBorder="1"/>
    <xf numFmtId="0" fontId="54" fillId="13" borderId="114" xfId="0" applyFont="1" applyFill="1" applyBorder="1"/>
    <xf numFmtId="0" fontId="6" fillId="0" borderId="0" xfId="0" applyFont="1" applyAlignment="1">
      <alignment vertical="center"/>
    </xf>
    <xf numFmtId="0" fontId="2" fillId="0" borderId="142" xfId="0" applyFont="1" applyBorder="1" applyAlignment="1">
      <alignment horizontal="left" vertical="center"/>
    </xf>
    <xf numFmtId="0" fontId="24" fillId="0" borderId="143" xfId="0" applyFont="1" applyBorder="1" applyAlignment="1">
      <alignment horizontal="center" vertical="center"/>
    </xf>
    <xf numFmtId="0" fontId="6" fillId="0" borderId="0" xfId="0" applyFont="1" applyAlignment="1">
      <alignment horizontal="left" vertical="center"/>
    </xf>
    <xf numFmtId="0" fontId="2" fillId="0" borderId="135" xfId="0" applyFont="1" applyBorder="1" applyAlignment="1">
      <alignment vertical="center" wrapText="1"/>
    </xf>
    <xf numFmtId="0" fontId="78" fillId="0" borderId="0" xfId="0" applyFont="1" applyAlignment="1">
      <alignment horizontal="left"/>
    </xf>
    <xf numFmtId="0" fontId="27" fillId="0" borderId="19" xfId="0" applyFont="1" applyBorder="1" applyAlignment="1">
      <alignment vertical="top" wrapText="1"/>
    </xf>
    <xf numFmtId="0" fontId="27" fillId="0" borderId="7" xfId="0" applyFont="1" applyBorder="1" applyAlignment="1">
      <alignment vertical="top" wrapText="1"/>
    </xf>
    <xf numFmtId="178" fontId="2" fillId="0" borderId="7" xfId="0" applyNumberFormat="1" applyFont="1" applyBorder="1" applyAlignment="1">
      <alignment horizontal="right"/>
    </xf>
    <xf numFmtId="0" fontId="27" fillId="0" borderId="7" xfId="0" applyFont="1" applyBorder="1"/>
    <xf numFmtId="0" fontId="6" fillId="0" borderId="20" xfId="0" applyFont="1" applyBorder="1" applyAlignment="1">
      <alignment horizontal="right"/>
    </xf>
    <xf numFmtId="0" fontId="2" fillId="0" borderId="5" xfId="0" applyFont="1" applyBorder="1" applyAlignment="1">
      <alignment horizontal="left" vertical="top"/>
    </xf>
    <xf numFmtId="0" fontId="27" fillId="0" borderId="5" xfId="0" applyFont="1" applyBorder="1" applyAlignment="1">
      <alignment horizontal="left" vertical="top" wrapText="1"/>
    </xf>
    <xf numFmtId="0" fontId="27" fillId="0" borderId="145" xfId="0" applyFont="1" applyBorder="1" applyAlignment="1">
      <alignment horizontal="left" vertical="top" wrapText="1"/>
    </xf>
    <xf numFmtId="0" fontId="55" fillId="4" borderId="58" xfId="0" applyFont="1" applyFill="1" applyBorder="1"/>
    <xf numFmtId="49" fontId="55" fillId="4" borderId="58" xfId="0" applyNumberFormat="1" applyFont="1" applyFill="1" applyBorder="1" applyAlignment="1">
      <alignment horizontal="right" vertical="top"/>
    </xf>
    <xf numFmtId="0" fontId="27" fillId="0" borderId="0" xfId="0" applyFont="1" applyAlignment="1">
      <alignment horizontal="right" vertical="top"/>
    </xf>
    <xf numFmtId="0" fontId="2" fillId="0" borderId="129" xfId="0" applyFont="1" applyBorder="1" applyAlignment="1">
      <alignment vertical="center"/>
    </xf>
    <xf numFmtId="0" fontId="2" fillId="0" borderId="130" xfId="0" applyFont="1" applyBorder="1" applyAlignment="1">
      <alignment vertical="center"/>
    </xf>
    <xf numFmtId="0" fontId="2" fillId="0" borderId="131" xfId="0" applyFont="1" applyBorder="1" applyAlignment="1">
      <alignment vertical="center"/>
    </xf>
    <xf numFmtId="0" fontId="2" fillId="0" borderId="133" xfId="0" applyFont="1" applyBorder="1" applyAlignment="1">
      <alignment vertical="center" wrapText="1"/>
    </xf>
    <xf numFmtId="0" fontId="2" fillId="0" borderId="135" xfId="0" applyFont="1" applyBorder="1" applyAlignment="1">
      <alignment vertical="center"/>
    </xf>
    <xf numFmtId="0" fontId="54" fillId="4" borderId="148" xfId="0" applyFont="1" applyFill="1" applyBorder="1"/>
    <xf numFmtId="0" fontId="54" fillId="4" borderId="149" xfId="0" applyFont="1" applyFill="1" applyBorder="1"/>
    <xf numFmtId="0" fontId="2" fillId="0" borderId="136" xfId="0" applyFont="1" applyBorder="1" applyAlignment="1">
      <alignment vertical="center" wrapText="1"/>
    </xf>
    <xf numFmtId="0" fontId="54" fillId="4" borderId="152" xfId="0" applyFont="1" applyFill="1" applyBorder="1"/>
    <xf numFmtId="0" fontId="54" fillId="8" borderId="58" xfId="0" applyFont="1" applyFill="1" applyBorder="1"/>
    <xf numFmtId="0" fontId="54" fillId="8" borderId="68" xfId="0" applyFont="1" applyFill="1" applyBorder="1"/>
    <xf numFmtId="0" fontId="54" fillId="8" borderId="25" xfId="0" applyFont="1" applyFill="1" applyBorder="1" applyAlignment="1">
      <alignment horizontal="left"/>
    </xf>
    <xf numFmtId="0" fontId="2" fillId="0" borderId="132" xfId="0" applyFont="1" applyBorder="1" applyAlignment="1">
      <alignment vertical="top" wrapText="1"/>
    </xf>
    <xf numFmtId="10" fontId="2" fillId="0" borderId="0" xfId="0" applyNumberFormat="1" applyFont="1" applyAlignment="1">
      <alignment vertical="top" wrapText="1"/>
    </xf>
    <xf numFmtId="0" fontId="2" fillId="0" borderId="133" xfId="0" applyFont="1" applyBorder="1" applyAlignment="1">
      <alignment vertical="top" wrapText="1"/>
    </xf>
    <xf numFmtId="176" fontId="2" fillId="0" borderId="0" xfId="0" applyNumberFormat="1" applyFont="1" applyAlignment="1">
      <alignment vertical="top" wrapText="1"/>
    </xf>
    <xf numFmtId="0" fontId="54" fillId="8" borderId="148" xfId="0" applyFont="1" applyFill="1" applyBorder="1"/>
    <xf numFmtId="0" fontId="54" fillId="8" borderId="149" xfId="0" applyFont="1" applyFill="1" applyBorder="1"/>
    <xf numFmtId="0" fontId="54" fillId="8" borderId="152" xfId="0" applyFont="1" applyFill="1" applyBorder="1"/>
    <xf numFmtId="0" fontId="6" fillId="0" borderId="134" xfId="0" applyFont="1" applyBorder="1"/>
    <xf numFmtId="0" fontId="6" fillId="0" borderId="135" xfId="0" applyFont="1" applyBorder="1"/>
    <xf numFmtId="0" fontId="6" fillId="0" borderId="135" xfId="0" applyFont="1" applyBorder="1" applyAlignment="1">
      <alignment horizontal="right"/>
    </xf>
    <xf numFmtId="0" fontId="84" fillId="0" borderId="0" xfId="0" applyFont="1"/>
    <xf numFmtId="0" fontId="6" fillId="0" borderId="136" xfId="0" applyFont="1" applyBorder="1" applyAlignment="1">
      <alignment horizontal="right"/>
    </xf>
    <xf numFmtId="0" fontId="2" fillId="0" borderId="132" xfId="0" applyFont="1" applyBorder="1" applyAlignment="1">
      <alignment horizontal="left" vertical="top" wrapText="1"/>
    </xf>
    <xf numFmtId="0" fontId="2" fillId="0" borderId="133" xfId="0" applyFont="1" applyBorder="1" applyAlignment="1">
      <alignment horizontal="left" vertical="top" wrapText="1"/>
    </xf>
    <xf numFmtId="9" fontId="2" fillId="0" borderId="0" xfId="0" applyNumberFormat="1" applyFont="1"/>
    <xf numFmtId="1" fontId="2" fillId="0" borderId="0" xfId="0" applyNumberFormat="1" applyFont="1"/>
    <xf numFmtId="176" fontId="2" fillId="0" borderId="0" xfId="0" applyNumberFormat="1" applyFont="1"/>
    <xf numFmtId="176" fontId="2" fillId="0" borderId="154" xfId="0" applyNumberFormat="1" applyFont="1" applyBorder="1" applyAlignment="1">
      <alignment horizontal="center" vertical="top" wrapText="1"/>
    </xf>
    <xf numFmtId="176" fontId="2" fillId="0" borderId="0" xfId="0" applyNumberFormat="1" applyFont="1" applyAlignment="1">
      <alignment horizontal="center" vertical="top" wrapText="1"/>
    </xf>
    <xf numFmtId="176" fontId="2" fillId="0" borderId="132" xfId="0" applyNumberFormat="1" applyFont="1" applyBorder="1" applyAlignment="1">
      <alignment horizontal="left" vertical="top"/>
    </xf>
    <xf numFmtId="164" fontId="2" fillId="0" borderId="0" xfId="0" applyNumberFormat="1" applyFont="1" applyAlignment="1">
      <alignment vertical="top" wrapText="1"/>
    </xf>
    <xf numFmtId="10" fontId="2" fillId="0" borderId="0" xfId="0" applyNumberFormat="1" applyFont="1"/>
    <xf numFmtId="176" fontId="2" fillId="0" borderId="132" xfId="0" applyNumberFormat="1" applyFont="1" applyBorder="1" applyAlignment="1">
      <alignment horizontal="center" vertical="top" wrapText="1"/>
    </xf>
    <xf numFmtId="10" fontId="2" fillId="0" borderId="154" xfId="0" applyNumberFormat="1" applyFont="1" applyBorder="1" applyAlignment="1">
      <alignment horizontal="center" vertical="top" wrapText="1"/>
    </xf>
    <xf numFmtId="10" fontId="2" fillId="0" borderId="0" xfId="0" applyNumberFormat="1" applyFont="1" applyAlignment="1">
      <alignment horizontal="center" vertical="top" wrapText="1"/>
    </xf>
    <xf numFmtId="10" fontId="2" fillId="0" borderId="132" xfId="0" applyNumberFormat="1" applyFont="1" applyBorder="1" applyAlignment="1">
      <alignment horizontal="left" vertical="top"/>
    </xf>
    <xf numFmtId="1" fontId="2" fillId="0" borderId="0" xfId="0" applyNumberFormat="1" applyFont="1" applyAlignment="1">
      <alignment vertical="top" wrapText="1"/>
    </xf>
    <xf numFmtId="0" fontId="24" fillId="0" borderId="134" xfId="0" applyFont="1" applyBorder="1" applyAlignment="1">
      <alignment horizontal="center" vertical="center"/>
    </xf>
    <xf numFmtId="0" fontId="24" fillId="0" borderId="135" xfId="0" applyFont="1" applyBorder="1" applyAlignment="1">
      <alignment horizontal="center" vertical="center"/>
    </xf>
    <xf numFmtId="0" fontId="24" fillId="0" borderId="136" xfId="0" applyFont="1" applyBorder="1" applyAlignment="1">
      <alignment horizontal="center" vertical="center"/>
    </xf>
    <xf numFmtId="0" fontId="6" fillId="0" borderId="29" xfId="0" applyFont="1" applyBorder="1"/>
    <xf numFmtId="0" fontId="6" fillId="0" borderId="0" xfId="0" applyFont="1" applyAlignment="1">
      <alignment horizontal="center" vertical="top"/>
    </xf>
    <xf numFmtId="0" fontId="32" fillId="0" borderId="29" xfId="0" applyFont="1" applyBorder="1"/>
    <xf numFmtId="0" fontId="27" fillId="0" borderId="29" xfId="0" applyFont="1" applyBorder="1"/>
    <xf numFmtId="0" fontId="27" fillId="0" borderId="19" xfId="0" applyFont="1" applyBorder="1"/>
    <xf numFmtId="0" fontId="2" fillId="0" borderId="7" xfId="0" applyFont="1" applyBorder="1" applyAlignment="1">
      <alignment horizontal="right"/>
    </xf>
    <xf numFmtId="1" fontId="2" fillId="0" borderId="0" xfId="0" applyNumberFormat="1" applyFont="1" applyAlignment="1">
      <alignment horizontal="center"/>
    </xf>
    <xf numFmtId="0" fontId="27" fillId="0" borderId="24" xfId="0" applyFont="1" applyBorder="1"/>
    <xf numFmtId="0" fontId="85" fillId="0" borderId="0" xfId="0" applyFont="1" applyAlignment="1">
      <alignment vertical="top"/>
    </xf>
    <xf numFmtId="0" fontId="2" fillId="0" borderId="67" xfId="0" applyFont="1" applyBorder="1" applyAlignment="1">
      <alignment horizontal="center"/>
    </xf>
    <xf numFmtId="0" fontId="78" fillId="0" borderId="5" xfId="0" applyFont="1" applyBorder="1"/>
    <xf numFmtId="0" fontId="27" fillId="0" borderId="5" xfId="0" applyFont="1" applyBorder="1"/>
    <xf numFmtId="0" fontId="86" fillId="0" borderId="0" xfId="0" applyFont="1" applyAlignment="1">
      <alignment vertical="top" wrapText="1"/>
    </xf>
    <xf numFmtId="0" fontId="2" fillId="0" borderId="132" xfId="0" applyFont="1" applyBorder="1" applyAlignment="1">
      <alignment horizontal="left"/>
    </xf>
    <xf numFmtId="0" fontId="87" fillId="0" borderId="129" xfId="0" applyFont="1" applyBorder="1" applyAlignment="1">
      <alignment horizontal="left"/>
    </xf>
    <xf numFmtId="0" fontId="88" fillId="0" borderId="130" xfId="0" applyFont="1" applyBorder="1" applyAlignment="1">
      <alignment vertical="top"/>
    </xf>
    <xf numFmtId="0" fontId="89" fillId="0" borderId="130" xfId="0" applyFont="1" applyBorder="1" applyAlignment="1">
      <alignment vertical="top" wrapText="1"/>
    </xf>
    <xf numFmtId="0" fontId="88" fillId="0" borderId="130" xfId="0" applyFont="1" applyBorder="1"/>
    <xf numFmtId="0" fontId="2" fillId="0" borderId="130" xfId="0" applyFont="1" applyBorder="1"/>
    <xf numFmtId="0" fontId="2" fillId="0" borderId="130" xfId="0" applyFont="1" applyBorder="1" applyAlignment="1">
      <alignment horizontal="left" vertical="top" wrapText="1"/>
    </xf>
    <xf numFmtId="0" fontId="2" fillId="0" borderId="130" xfId="0" applyFont="1" applyBorder="1" applyAlignment="1">
      <alignment horizontal="right"/>
    </xf>
    <xf numFmtId="0" fontId="2" fillId="0" borderId="131" xfId="0" applyFont="1" applyBorder="1" applyAlignment="1">
      <alignment horizontal="right"/>
    </xf>
    <xf numFmtId="0" fontId="88" fillId="0" borderId="132" xfId="0" applyFont="1" applyBorder="1" applyAlignment="1">
      <alignment horizontal="left"/>
    </xf>
    <xf numFmtId="0" fontId="88" fillId="0" borderId="0" xfId="0" applyFont="1" applyAlignment="1">
      <alignment vertical="top"/>
    </xf>
    <xf numFmtId="0" fontId="90" fillId="0" borderId="0" xfId="0" applyFont="1" applyAlignment="1">
      <alignment vertical="top" wrapText="1"/>
    </xf>
    <xf numFmtId="0" fontId="88" fillId="0" borderId="0" xfId="0" applyFont="1"/>
    <xf numFmtId="0" fontId="2" fillId="0" borderId="133" xfId="0" applyFont="1" applyBorder="1" applyAlignment="1">
      <alignment horizontal="right"/>
    </xf>
    <xf numFmtId="0" fontId="91" fillId="0" borderId="132" xfId="0" applyFont="1" applyBorder="1" applyAlignment="1">
      <alignment horizontal="left"/>
    </xf>
    <xf numFmtId="0" fontId="92" fillId="0" borderId="134" xfId="0" applyFont="1" applyBorder="1" applyAlignment="1">
      <alignment horizontal="left"/>
    </xf>
    <xf numFmtId="0" fontId="88" fillId="0" borderId="135" xfId="0" applyFont="1" applyBorder="1" applyAlignment="1">
      <alignment vertical="top"/>
    </xf>
    <xf numFmtId="0" fontId="93" fillId="0" borderId="135" xfId="0" applyFont="1" applyBorder="1" applyAlignment="1">
      <alignment vertical="top" wrapText="1"/>
    </xf>
    <xf numFmtId="0" fontId="88" fillId="0" borderId="135" xfId="0" applyFont="1" applyBorder="1"/>
    <xf numFmtId="0" fontId="2" fillId="0" borderId="135" xfId="0" applyFont="1" applyBorder="1"/>
    <xf numFmtId="0" fontId="2" fillId="0" borderId="135" xfId="0" applyFont="1" applyBorder="1" applyAlignment="1">
      <alignment horizontal="left" vertical="top" wrapText="1"/>
    </xf>
    <xf numFmtId="0" fontId="2" fillId="0" borderId="135" xfId="0" applyFont="1" applyBorder="1" applyAlignment="1">
      <alignment horizontal="right"/>
    </xf>
    <xf numFmtId="0" fontId="2" fillId="0" borderId="136" xfId="0" applyFont="1" applyBorder="1" applyAlignment="1">
      <alignment horizontal="right"/>
    </xf>
    <xf numFmtId="0" fontId="16" fillId="0" borderId="0" xfId="0" applyFont="1" applyAlignment="1">
      <alignment horizontal="left"/>
    </xf>
    <xf numFmtId="0" fontId="94" fillId="0" borderId="0" xfId="0" applyFont="1" applyAlignment="1">
      <alignment horizontal="left"/>
    </xf>
    <xf numFmtId="9" fontId="2" fillId="0" borderId="0" xfId="0" applyNumberFormat="1" applyFont="1" applyAlignment="1">
      <alignment horizontal="center"/>
    </xf>
    <xf numFmtId="0" fontId="94" fillId="0" borderId="0" xfId="0" applyFont="1" applyAlignment="1">
      <alignment horizontal="center"/>
    </xf>
    <xf numFmtId="0" fontId="2" fillId="0" borderId="21" xfId="0" applyFont="1" applyBorder="1" applyAlignment="1">
      <alignment horizontal="right"/>
    </xf>
    <xf numFmtId="0" fontId="32" fillId="0" borderId="0" xfId="0" applyFont="1" applyAlignment="1">
      <alignment horizontal="left" vertical="center"/>
    </xf>
    <xf numFmtId="0" fontId="95" fillId="0" borderId="0" xfId="0" applyFont="1" applyAlignment="1">
      <alignment horizontal="left" vertical="top" wrapText="1"/>
    </xf>
    <xf numFmtId="176" fontId="2" fillId="0" borderId="0" xfId="0" applyNumberFormat="1" applyFont="1" applyAlignment="1">
      <alignment horizontal="right"/>
    </xf>
    <xf numFmtId="2" fontId="2" fillId="0" borderId="0" xfId="0" applyNumberFormat="1" applyFont="1"/>
    <xf numFmtId="0" fontId="27" fillId="0" borderId="21" xfId="0" applyFont="1" applyBorder="1" applyAlignment="1">
      <alignment horizontal="right"/>
    </xf>
    <xf numFmtId="0" fontId="27" fillId="0" borderId="21" xfId="0" applyFont="1" applyBorder="1" applyAlignment="1">
      <alignment horizontal="left"/>
    </xf>
    <xf numFmtId="6" fontId="2" fillId="0" borderId="0" xfId="0" applyNumberFormat="1" applyFont="1"/>
    <xf numFmtId="6" fontId="6" fillId="0" borderId="0" xfId="0" applyNumberFormat="1" applyFont="1" applyAlignment="1">
      <alignment horizontal="right"/>
    </xf>
    <xf numFmtId="164" fontId="2" fillId="0" borderId="0" xfId="0" applyNumberFormat="1" applyFont="1" applyAlignment="1">
      <alignment horizontal="left"/>
    </xf>
    <xf numFmtId="0" fontId="44" fillId="0" borderId="0" xfId="0" applyFont="1" applyAlignment="1">
      <alignment wrapText="1"/>
    </xf>
    <xf numFmtId="0" fontId="44" fillId="0" borderId="0" xfId="0" applyFont="1"/>
    <xf numFmtId="1" fontId="2" fillId="0" borderId="157" xfId="0" applyNumberFormat="1" applyFont="1" applyBorder="1"/>
    <xf numFmtId="0" fontId="97" fillId="0" borderId="0" xfId="0" applyFont="1"/>
    <xf numFmtId="180" fontId="2" fillId="0" borderId="27" xfId="0" applyNumberFormat="1" applyFont="1" applyBorder="1"/>
    <xf numFmtId="181" fontId="98" fillId="0" borderId="0" xfId="0" applyNumberFormat="1" applyFont="1"/>
    <xf numFmtId="0" fontId="99" fillId="0" borderId="0" xfId="0" applyFont="1" applyAlignment="1">
      <alignment vertical="center" wrapText="1"/>
    </xf>
    <xf numFmtId="49" fontId="44" fillId="0" borderId="0" xfId="0" applyNumberFormat="1" applyFont="1" applyAlignment="1">
      <alignment horizontal="center" vertical="center"/>
    </xf>
    <xf numFmtId="0" fontId="44" fillId="0" borderId="93" xfId="0" applyFont="1" applyBorder="1" applyAlignment="1">
      <alignment vertical="center"/>
    </xf>
    <xf numFmtId="0" fontId="44" fillId="0" borderId="33" xfId="0" applyFont="1" applyBorder="1" applyAlignment="1">
      <alignment vertical="center"/>
    </xf>
    <xf numFmtId="0" fontId="97" fillId="0" borderId="33" xfId="0" applyFont="1" applyBorder="1" applyAlignment="1">
      <alignment vertical="center"/>
    </xf>
    <xf numFmtId="0" fontId="44" fillId="0" borderId="33" xfId="0" applyFont="1" applyBorder="1" applyAlignment="1">
      <alignment horizontal="right" vertical="center"/>
    </xf>
    <xf numFmtId="5" fontId="44" fillId="0" borderId="33" xfId="0" applyNumberFormat="1" applyFont="1" applyBorder="1" applyAlignment="1">
      <alignment vertical="center"/>
    </xf>
    <xf numFmtId="0" fontId="6" fillId="0" borderId="7" xfId="0" applyFont="1" applyBorder="1" applyAlignment="1">
      <alignment horizontal="right"/>
    </xf>
    <xf numFmtId="0" fontId="44" fillId="0" borderId="35" xfId="0" applyFont="1" applyBorder="1" applyAlignment="1">
      <alignment vertical="center"/>
    </xf>
    <xf numFmtId="0" fontId="44" fillId="0" borderId="0" xfId="0" applyFont="1" applyAlignment="1">
      <alignment vertical="center"/>
    </xf>
    <xf numFmtId="0" fontId="44" fillId="0" borderId="92" xfId="0" applyFont="1" applyBorder="1" applyAlignment="1">
      <alignment vertical="center"/>
    </xf>
    <xf numFmtId="0" fontId="97" fillId="0" borderId="0" xfId="0" applyFont="1" applyAlignment="1">
      <alignment vertical="center"/>
    </xf>
    <xf numFmtId="165" fontId="44" fillId="0" borderId="0" xfId="0" applyNumberFormat="1" applyFont="1" applyAlignment="1">
      <alignment horizontal="right" vertical="center"/>
    </xf>
    <xf numFmtId="0" fontId="54" fillId="0" borderId="0" xfId="0" applyFont="1" applyAlignment="1">
      <alignment horizontal="right" vertical="center"/>
    </xf>
    <xf numFmtId="172" fontId="44" fillId="0" borderId="21" xfId="0" applyNumberFormat="1" applyFont="1" applyBorder="1" applyAlignment="1">
      <alignment vertical="center"/>
    </xf>
    <xf numFmtId="0" fontId="44" fillId="0" borderId="48" xfId="0" applyFont="1" applyBorder="1" applyAlignment="1">
      <alignment vertical="center"/>
    </xf>
    <xf numFmtId="182" fontId="44" fillId="0" borderId="0" xfId="0" applyNumberFormat="1" applyFont="1" applyAlignment="1">
      <alignment vertical="center" wrapText="1"/>
    </xf>
    <xf numFmtId="172" fontId="44" fillId="0" borderId="94" xfId="0" applyNumberFormat="1" applyFont="1" applyBorder="1" applyAlignment="1">
      <alignment vertical="center"/>
    </xf>
    <xf numFmtId="165" fontId="44" fillId="0" borderId="49" xfId="0" applyNumberFormat="1" applyFont="1" applyBorder="1" applyAlignment="1">
      <alignment horizontal="left" vertical="center"/>
    </xf>
    <xf numFmtId="0" fontId="97" fillId="0" borderId="49" xfId="0" applyFont="1" applyBorder="1" applyAlignment="1">
      <alignment vertical="center"/>
    </xf>
    <xf numFmtId="0" fontId="44" fillId="0" borderId="49" xfId="0" applyFont="1" applyBorder="1" applyAlignment="1">
      <alignment vertical="center"/>
    </xf>
    <xf numFmtId="9" fontId="97" fillId="0" borderId="49" xfId="0" applyNumberFormat="1" applyFont="1" applyBorder="1" applyAlignment="1">
      <alignment vertical="center"/>
    </xf>
    <xf numFmtId="0" fontId="27" fillId="0" borderId="24" xfId="0" applyFont="1" applyBorder="1" applyAlignment="1">
      <alignment horizontal="left" vertical="top"/>
    </xf>
    <xf numFmtId="165" fontId="97" fillId="0" borderId="49" xfId="0" applyNumberFormat="1" applyFont="1" applyBorder="1" applyAlignment="1">
      <alignment horizontal="center" vertical="center"/>
    </xf>
    <xf numFmtId="0" fontId="2" fillId="0" borderId="24" xfId="0" applyFont="1" applyBorder="1" applyAlignment="1">
      <alignment horizontal="left" vertical="top"/>
    </xf>
    <xf numFmtId="0" fontId="44" fillId="0" borderId="51" xfId="0" applyFont="1" applyBorder="1" applyAlignment="1">
      <alignment vertical="center"/>
    </xf>
    <xf numFmtId="0" fontId="6" fillId="0" borderId="24" xfId="0" applyFont="1" applyBorder="1" applyAlignment="1">
      <alignment horizontal="right"/>
    </xf>
    <xf numFmtId="0" fontId="2" fillId="0" borderId="24" xfId="0" applyFont="1" applyBorder="1" applyAlignment="1">
      <alignment horizontal="center"/>
    </xf>
    <xf numFmtId="0" fontId="2" fillId="0" borderId="128" xfId="0" applyFont="1" applyBorder="1" applyAlignment="1">
      <alignment horizontal="center"/>
    </xf>
    <xf numFmtId="172" fontId="44" fillId="0" borderId="0" xfId="0" applyNumberFormat="1" applyFont="1" applyAlignment="1">
      <alignment vertical="center"/>
    </xf>
    <xf numFmtId="165" fontId="44" fillId="0" borderId="0" xfId="0" applyNumberFormat="1" applyFont="1" applyAlignment="1">
      <alignment horizontal="left" vertical="center"/>
    </xf>
    <xf numFmtId="9" fontId="44" fillId="0" borderId="0" xfId="0" applyNumberFormat="1" applyFont="1" applyAlignment="1">
      <alignment vertical="center"/>
    </xf>
    <xf numFmtId="178" fontId="44" fillId="0" borderId="0" xfId="0" applyNumberFormat="1" applyFont="1" applyAlignment="1">
      <alignment vertical="center" wrapText="1"/>
    </xf>
    <xf numFmtId="0" fontId="44" fillId="0" borderId="0" xfId="0" applyFont="1" applyAlignment="1">
      <alignment horizontal="center" vertical="center"/>
    </xf>
    <xf numFmtId="172" fontId="44" fillId="0" borderId="16" xfId="0" applyNumberFormat="1" applyFont="1" applyBorder="1"/>
    <xf numFmtId="178" fontId="44" fillId="0" borderId="0" xfId="0" applyNumberFormat="1" applyFont="1" applyAlignment="1">
      <alignment wrapText="1"/>
    </xf>
    <xf numFmtId="49" fontId="44" fillId="0" borderId="0" xfId="0" applyNumberFormat="1" applyFont="1" applyAlignment="1">
      <alignment horizontal="left"/>
    </xf>
    <xf numFmtId="0" fontId="78" fillId="0" borderId="0" xfId="0" applyFont="1"/>
    <xf numFmtId="172" fontId="44" fillId="0" borderId="158" xfId="0" applyNumberFormat="1" applyFont="1" applyBorder="1"/>
    <xf numFmtId="178" fontId="27" fillId="0" borderId="0" xfId="0" applyNumberFormat="1" applyFont="1" applyAlignment="1">
      <alignment horizontal="left" vertical="top" wrapText="1"/>
    </xf>
    <xf numFmtId="172" fontId="44" fillId="0" borderId="22" xfId="0" applyNumberFormat="1" applyFont="1" applyBorder="1"/>
    <xf numFmtId="0" fontId="100" fillId="0" borderId="0" xfId="0" applyFont="1"/>
    <xf numFmtId="172" fontId="101" fillId="0" borderId="16" xfId="0" applyNumberFormat="1" applyFont="1" applyBorder="1"/>
    <xf numFmtId="49" fontId="44" fillId="0" borderId="0" xfId="0" applyNumberFormat="1" applyFont="1" applyAlignment="1">
      <alignment horizontal="center"/>
    </xf>
    <xf numFmtId="0" fontId="27" fillId="0" borderId="0" xfId="0" applyFont="1" applyAlignment="1">
      <alignment horizontal="right"/>
    </xf>
    <xf numFmtId="178" fontId="2" fillId="0" borderId="134" xfId="0" applyNumberFormat="1" applyFont="1" applyBorder="1" applyAlignment="1">
      <alignment vertical="top" wrapText="1"/>
    </xf>
    <xf numFmtId="178" fontId="2" fillId="0" borderId="135" xfId="0" applyNumberFormat="1" applyFont="1" applyBorder="1" applyAlignment="1">
      <alignment vertical="top" wrapText="1"/>
    </xf>
    <xf numFmtId="9" fontId="44" fillId="0" borderId="16" xfId="0" applyNumberFormat="1" applyFont="1" applyBorder="1" applyAlignment="1">
      <alignment horizontal="right"/>
    </xf>
    <xf numFmtId="178" fontId="2" fillId="0" borderId="136" xfId="0" applyNumberFormat="1" applyFont="1" applyBorder="1" applyAlignment="1">
      <alignment vertical="top" wrapText="1"/>
    </xf>
    <xf numFmtId="164" fontId="44" fillId="0" borderId="16" xfId="0" applyNumberFormat="1" applyFont="1" applyBorder="1" applyAlignment="1">
      <alignment horizontal="left" vertical="center"/>
    </xf>
    <xf numFmtId="1" fontId="2" fillId="0" borderId="27" xfId="0" applyNumberFormat="1" applyFont="1" applyBorder="1"/>
    <xf numFmtId="172" fontId="97" fillId="0" borderId="159" xfId="0" applyNumberFormat="1" applyFont="1" applyBorder="1"/>
    <xf numFmtId="164" fontId="97" fillId="0" borderId="159" xfId="0" applyNumberFormat="1" applyFont="1" applyBorder="1" applyAlignment="1">
      <alignment horizontal="left" vertical="center"/>
    </xf>
    <xf numFmtId="1" fontId="44" fillId="0" borderId="0" xfId="0" applyNumberFormat="1" applyFont="1"/>
    <xf numFmtId="0" fontId="44" fillId="0" borderId="0" xfId="0" applyFont="1" applyAlignment="1">
      <alignment horizontal="right"/>
    </xf>
    <xf numFmtId="0" fontId="102" fillId="0" borderId="0" xfId="0" applyFont="1" applyAlignment="1">
      <alignment horizontal="left" vertical="center"/>
    </xf>
    <xf numFmtId="0" fontId="2" fillId="0" borderId="24" xfId="0" applyFont="1" applyBorder="1"/>
    <xf numFmtId="0" fontId="2" fillId="0" borderId="128" xfId="0" applyFont="1" applyBorder="1"/>
    <xf numFmtId="0" fontId="97" fillId="14" borderId="105" xfId="0" applyFont="1" applyFill="1" applyBorder="1" applyAlignment="1">
      <alignment horizontal="left"/>
    </xf>
    <xf numFmtId="0" fontId="44" fillId="14" borderId="17" xfId="0" applyFont="1" applyFill="1" applyBorder="1"/>
    <xf numFmtId="2" fontId="44" fillId="14" borderId="18" xfId="0" applyNumberFormat="1" applyFont="1" applyFill="1" applyBorder="1"/>
    <xf numFmtId="1" fontId="44" fillId="0" borderId="0" xfId="0" applyNumberFormat="1" applyFont="1" applyAlignment="1">
      <alignment vertical="center"/>
    </xf>
    <xf numFmtId="181" fontId="44" fillId="0" borderId="0" xfId="0" applyNumberFormat="1" applyFont="1"/>
    <xf numFmtId="1" fontId="27" fillId="0" borderId="29" xfId="0" applyNumberFormat="1" applyFont="1" applyBorder="1"/>
    <xf numFmtId="176" fontId="98" fillId="0" borderId="0" xfId="0" applyNumberFormat="1" applyFont="1"/>
    <xf numFmtId="0" fontId="2" fillId="0" borderId="129" xfId="0" applyFont="1" applyBorder="1" applyAlignment="1">
      <alignment vertical="top"/>
    </xf>
    <xf numFmtId="0" fontId="27" fillId="0" borderId="130" xfId="0" applyFont="1" applyBorder="1" applyAlignment="1">
      <alignment horizontal="left" vertical="top"/>
    </xf>
    <xf numFmtId="0" fontId="27" fillId="0" borderId="131" xfId="0" applyFont="1" applyBorder="1" applyAlignment="1">
      <alignment horizontal="left" vertical="top"/>
    </xf>
    <xf numFmtId="0" fontId="2" fillId="0" borderId="132" xfId="0" applyFont="1" applyBorder="1" applyAlignment="1">
      <alignment vertical="top"/>
    </xf>
    <xf numFmtId="0" fontId="2" fillId="0" borderId="133" xfId="0" applyFont="1" applyBorder="1" applyAlignment="1">
      <alignment vertical="top"/>
    </xf>
    <xf numFmtId="0" fontId="44" fillId="0" borderId="16" xfId="0" applyFont="1" applyBorder="1" applyAlignment="1">
      <alignment horizontal="center"/>
    </xf>
    <xf numFmtId="2" fontId="44" fillId="0" borderId="16" xfId="0" applyNumberFormat="1" applyFont="1" applyBorder="1" applyAlignment="1">
      <alignment horizontal="center"/>
    </xf>
    <xf numFmtId="0" fontId="103" fillId="0" borderId="132" xfId="0" applyFont="1" applyBorder="1"/>
    <xf numFmtId="0" fontId="27" fillId="0" borderId="133" xfId="0" applyFont="1" applyBorder="1" applyAlignment="1">
      <alignment horizontal="left" vertical="top"/>
    </xf>
    <xf numFmtId="0" fontId="2" fillId="0" borderId="132" xfId="0" applyFont="1" applyBorder="1" applyAlignment="1">
      <alignment vertical="center" wrapText="1"/>
    </xf>
    <xf numFmtId="0" fontId="103" fillId="0" borderId="134" xfId="0" applyFont="1" applyBorder="1"/>
    <xf numFmtId="0" fontId="27" fillId="0" borderId="135" xfId="0" applyFont="1" applyBorder="1" applyAlignment="1">
      <alignment horizontal="left" vertical="top"/>
    </xf>
    <xf numFmtId="0" fontId="44" fillId="0" borderId="0" xfId="0" applyFont="1" applyAlignment="1">
      <alignment vertical="top" wrapText="1"/>
    </xf>
    <xf numFmtId="0" fontId="44" fillId="0" borderId="16" xfId="0" applyFont="1" applyBorder="1" applyAlignment="1">
      <alignment horizontal="center" vertical="top" wrapText="1"/>
    </xf>
    <xf numFmtId="0" fontId="27" fillId="0" borderId="44" xfId="0" applyFont="1" applyBorder="1"/>
    <xf numFmtId="0" fontId="2" fillId="0" borderId="134" xfId="0" applyFont="1" applyBorder="1" applyAlignment="1">
      <alignment vertical="center"/>
    </xf>
    <xf numFmtId="0" fontId="2" fillId="0" borderId="135" xfId="0" applyFont="1" applyBorder="1" applyAlignment="1">
      <alignment vertical="top"/>
    </xf>
    <xf numFmtId="0" fontId="2" fillId="0" borderId="136" xfId="0" applyFont="1" applyBorder="1" applyAlignment="1">
      <alignment vertical="top"/>
    </xf>
    <xf numFmtId="0" fontId="27" fillId="0" borderId="7" xfId="0" applyFont="1" applyBorder="1" applyAlignment="1">
      <alignment horizontal="left" vertical="top"/>
    </xf>
    <xf numFmtId="0" fontId="2" fillId="0" borderId="7" xfId="0" applyFont="1" applyBorder="1" applyAlignment="1">
      <alignment horizontal="left" vertical="top"/>
    </xf>
    <xf numFmtId="5" fontId="2" fillId="0" borderId="0" xfId="0" applyNumberFormat="1" applyFont="1"/>
    <xf numFmtId="0" fontId="104" fillId="0" borderId="0" xfId="0" applyFont="1" applyAlignment="1">
      <alignment horizontal="left" vertical="top" wrapText="1"/>
    </xf>
    <xf numFmtId="0" fontId="44" fillId="0" borderId="157" xfId="0" applyFont="1" applyBorder="1" applyAlignment="1">
      <alignment horizontal="center" vertical="top" wrapText="1"/>
    </xf>
    <xf numFmtId="2" fontId="44" fillId="0" borderId="157" xfId="0" applyNumberFormat="1" applyFont="1" applyBorder="1" applyAlignment="1">
      <alignment horizontal="center"/>
    </xf>
    <xf numFmtId="0" fontId="44" fillId="0" borderId="157" xfId="0" applyFont="1" applyBorder="1" applyAlignment="1">
      <alignment horizontal="center"/>
    </xf>
    <xf numFmtId="0" fontId="27" fillId="0" borderId="21" xfId="0" applyFont="1" applyBorder="1"/>
    <xf numFmtId="1" fontId="27" fillId="0" borderId="29" xfId="0" applyNumberFormat="1" applyFont="1" applyBorder="1" applyAlignment="1">
      <alignment horizontal="center" vertical="top"/>
    </xf>
    <xf numFmtId="0" fontId="97" fillId="0" borderId="159" xfId="0" applyFont="1" applyBorder="1" applyAlignment="1">
      <alignment horizontal="center" vertical="top" wrapText="1"/>
    </xf>
    <xf numFmtId="0" fontId="97" fillId="0" borderId="159" xfId="0" applyFont="1" applyBorder="1" applyAlignment="1">
      <alignment horizontal="center"/>
    </xf>
    <xf numFmtId="0" fontId="27" fillId="0" borderId="66" xfId="0" applyFont="1" applyBorder="1"/>
    <xf numFmtId="0" fontId="78" fillId="0" borderId="19" xfId="0" applyFont="1" applyBorder="1"/>
    <xf numFmtId="0" fontId="104" fillId="0" borderId="0" xfId="0" applyFont="1" applyAlignment="1">
      <alignment vertical="top" wrapText="1"/>
    </xf>
    <xf numFmtId="0" fontId="2" fillId="0" borderId="44" xfId="0" applyFont="1" applyBorder="1" applyAlignment="1">
      <alignment vertical="top"/>
    </xf>
    <xf numFmtId="0" fontId="44" fillId="0" borderId="0" xfId="0" applyFont="1" applyAlignment="1">
      <alignment horizontal="right" vertical="top"/>
    </xf>
    <xf numFmtId="0" fontId="44" fillId="0" borderId="0" xfId="0" applyFont="1" applyAlignment="1">
      <alignment horizontal="right" vertical="top" wrapText="1"/>
    </xf>
    <xf numFmtId="0" fontId="78" fillId="0" borderId="64" xfId="0" applyFont="1" applyBorder="1"/>
    <xf numFmtId="0" fontId="104" fillId="0" borderId="28" xfId="0" applyFont="1" applyBorder="1" applyAlignment="1">
      <alignment horizontal="left" wrapText="1"/>
    </xf>
    <xf numFmtId="0" fontId="27" fillId="0" borderId="28" xfId="0" applyFont="1" applyBorder="1"/>
    <xf numFmtId="0" fontId="104" fillId="0" borderId="28" xfId="0" applyFont="1" applyBorder="1" applyAlignment="1">
      <alignment horizontal="left"/>
    </xf>
    <xf numFmtId="0" fontId="104" fillId="0" borderId="65" xfId="0" applyFont="1" applyBorder="1" applyAlignment="1">
      <alignment horizontal="left" wrapText="1"/>
    </xf>
    <xf numFmtId="0" fontId="104" fillId="0" borderId="0" xfId="0" applyFont="1" applyAlignment="1">
      <alignment horizontal="left" wrapText="1"/>
    </xf>
    <xf numFmtId="0" fontId="78" fillId="0" borderId="66" xfId="0" applyFont="1" applyBorder="1"/>
    <xf numFmtId="0" fontId="27" fillId="0" borderId="67" xfId="0" applyFont="1" applyBorder="1"/>
    <xf numFmtId="0" fontId="104" fillId="0" borderId="0" xfId="0" applyFont="1" applyAlignment="1">
      <alignment wrapText="1"/>
    </xf>
    <xf numFmtId="0" fontId="78" fillId="0" borderId="0" xfId="0" applyFont="1" applyAlignment="1">
      <alignment horizontal="center"/>
    </xf>
    <xf numFmtId="0" fontId="78" fillId="0" borderId="66" xfId="0" applyFont="1" applyBorder="1" applyAlignment="1">
      <alignment horizontal="center"/>
    </xf>
    <xf numFmtId="0" fontId="6" fillId="0" borderId="67" xfId="0" applyFont="1" applyBorder="1"/>
    <xf numFmtId="0" fontId="54" fillId="0" borderId="0" xfId="0" applyFont="1" applyAlignment="1">
      <alignment horizontal="right"/>
    </xf>
    <xf numFmtId="172" fontId="44" fillId="0" borderId="21" xfId="0" applyNumberFormat="1" applyFont="1" applyBorder="1" applyAlignment="1">
      <alignment horizontal="center"/>
    </xf>
    <xf numFmtId="0" fontId="27" fillId="0" borderId="129" xfId="0" applyFont="1" applyBorder="1"/>
    <xf numFmtId="0" fontId="27" fillId="0" borderId="130" xfId="0" applyFont="1" applyBorder="1"/>
    <xf numFmtId="1" fontId="27" fillId="0" borderId="130" xfId="0" quotePrefix="1" applyNumberFormat="1" applyFont="1" applyBorder="1" applyAlignment="1">
      <alignment horizontal="center" vertical="top"/>
    </xf>
    <xf numFmtId="0" fontId="27" fillId="0" borderId="130" xfId="0" applyFont="1" applyBorder="1" applyAlignment="1">
      <alignment horizontal="left" vertical="top" wrapText="1"/>
    </xf>
    <xf numFmtId="0" fontId="6" fillId="0" borderId="130" xfId="0" applyFont="1" applyBorder="1"/>
    <xf numFmtId="0" fontId="6" fillId="0" borderId="131" xfId="0" applyFont="1" applyBorder="1" applyAlignment="1">
      <alignment horizontal="center"/>
    </xf>
    <xf numFmtId="0" fontId="2" fillId="0" borderId="132" xfId="0" applyFont="1" applyBorder="1"/>
    <xf numFmtId="1" fontId="27" fillId="0" borderId="0" xfId="0" applyNumberFormat="1" applyFont="1" applyAlignment="1">
      <alignment horizontal="center" vertical="top"/>
    </xf>
    <xf numFmtId="0" fontId="6" fillId="0" borderId="133" xfId="0" applyFont="1" applyBorder="1" applyAlignment="1">
      <alignment horizontal="center"/>
    </xf>
    <xf numFmtId="0" fontId="78" fillId="0" borderId="0" xfId="0" applyFont="1" applyAlignment="1">
      <alignment vertical="top"/>
    </xf>
    <xf numFmtId="0" fontId="27" fillId="0" borderId="163" xfId="0" applyFont="1" applyBorder="1"/>
    <xf numFmtId="0" fontId="2" fillId="0" borderId="134" xfId="0" applyFont="1" applyBorder="1" applyAlignment="1">
      <alignment horizontal="center"/>
    </xf>
    <xf numFmtId="0" fontId="97" fillId="0" borderId="0" xfId="0" applyFont="1" applyAlignment="1">
      <alignment horizontal="right"/>
    </xf>
    <xf numFmtId="0" fontId="2" fillId="0" borderId="135" xfId="0" applyFont="1" applyBorder="1" applyAlignment="1">
      <alignment horizontal="center"/>
    </xf>
    <xf numFmtId="1" fontId="27" fillId="0" borderId="135" xfId="0" applyNumberFormat="1" applyFont="1" applyBorder="1" applyAlignment="1">
      <alignment horizontal="center" vertical="top"/>
    </xf>
    <xf numFmtId="0" fontId="78" fillId="0" borderId="135" xfId="0" applyFont="1" applyBorder="1" applyAlignment="1">
      <alignment vertical="top"/>
    </xf>
    <xf numFmtId="0" fontId="27" fillId="0" borderId="135" xfId="0" applyFont="1" applyBorder="1" applyAlignment="1">
      <alignment vertical="top" wrapText="1"/>
    </xf>
    <xf numFmtId="172" fontId="97" fillId="0" borderId="0" xfId="0" applyNumberFormat="1" applyFont="1" applyAlignment="1">
      <alignment horizontal="center"/>
    </xf>
    <xf numFmtId="0" fontId="27" fillId="0" borderId="135" xfId="0" applyFont="1" applyBorder="1"/>
    <xf numFmtId="0" fontId="6" fillId="0" borderId="136" xfId="0" applyFont="1" applyBorder="1" applyAlignment="1">
      <alignment horizontal="center"/>
    </xf>
    <xf numFmtId="0" fontId="2" fillId="0" borderId="163" xfId="0" applyFont="1" applyBorder="1"/>
    <xf numFmtId="0" fontId="27" fillId="0" borderId="133" xfId="0" applyFont="1" applyBorder="1"/>
    <xf numFmtId="0" fontId="2" fillId="0" borderId="134" xfId="0" applyFont="1" applyBorder="1"/>
    <xf numFmtId="0" fontId="78" fillId="0" borderId="135" xfId="0" applyFont="1" applyBorder="1" applyAlignment="1">
      <alignment vertical="center"/>
    </xf>
    <xf numFmtId="0" fontId="2" fillId="0" borderId="135" xfId="0" applyFont="1" applyBorder="1" applyAlignment="1">
      <alignment vertical="top" wrapText="1"/>
    </xf>
    <xf numFmtId="0" fontId="27" fillId="0" borderId="136" xfId="0" applyFont="1" applyBorder="1"/>
    <xf numFmtId="0" fontId="78" fillId="0" borderId="0" xfId="0" applyFont="1" applyAlignment="1">
      <alignment vertical="center"/>
    </xf>
    <xf numFmtId="0" fontId="27" fillId="0" borderId="132" xfId="0" applyFont="1" applyBorder="1"/>
    <xf numFmtId="0" fontId="27" fillId="0" borderId="135" xfId="0" applyFont="1" applyBorder="1" applyAlignment="1">
      <alignment vertical="top"/>
    </xf>
    <xf numFmtId="0" fontId="27" fillId="0" borderId="134" xfId="0" applyFont="1" applyBorder="1"/>
    <xf numFmtId="0" fontId="44" fillId="3" borderId="8" xfId="0" applyFont="1" applyFill="1" applyBorder="1"/>
    <xf numFmtId="0" fontId="27" fillId="0" borderId="131" xfId="0" applyFont="1" applyBorder="1"/>
    <xf numFmtId="0" fontId="2" fillId="0" borderId="129" xfId="0" applyFont="1" applyBorder="1"/>
    <xf numFmtId="0" fontId="2" fillId="0" borderId="131" xfId="0" applyFont="1" applyBorder="1"/>
    <xf numFmtId="0" fontId="27" fillId="0" borderId="0" xfId="0" applyFont="1" applyAlignment="1">
      <alignment wrapText="1"/>
    </xf>
    <xf numFmtId="0" fontId="6" fillId="0" borderId="133" xfId="0" applyFont="1" applyBorder="1" applyAlignment="1">
      <alignment horizontal="center" vertical="top"/>
    </xf>
    <xf numFmtId="0" fontId="2" fillId="0" borderId="132" xfId="0" applyFont="1" applyBorder="1" applyAlignment="1">
      <alignment horizontal="center"/>
    </xf>
    <xf numFmtId="10" fontId="44" fillId="0" borderId="0" xfId="0" applyNumberFormat="1" applyFont="1" applyAlignment="1">
      <alignment horizontal="center"/>
    </xf>
    <xf numFmtId="0" fontId="44" fillId="0" borderId="0" xfId="0" applyFont="1" applyAlignment="1">
      <alignment horizontal="center"/>
    </xf>
    <xf numFmtId="2" fontId="27" fillId="0" borderId="29" xfId="0" applyNumberFormat="1" applyFont="1" applyBorder="1" applyAlignment="1">
      <alignment horizontal="left"/>
    </xf>
    <xf numFmtId="0" fontId="27" fillId="0" borderId="29" xfId="0" applyFont="1" applyBorder="1" applyAlignment="1">
      <alignment horizontal="right"/>
    </xf>
    <xf numFmtId="0" fontId="6" fillId="0" borderId="135" xfId="0" applyFont="1" applyBorder="1" applyAlignment="1">
      <alignment horizontal="center"/>
    </xf>
    <xf numFmtId="172" fontId="44" fillId="0" borderId="0" xfId="0" applyNumberFormat="1" applyFont="1"/>
    <xf numFmtId="183" fontId="44" fillId="0" borderId="21" xfId="0" applyNumberFormat="1" applyFont="1" applyBorder="1"/>
    <xf numFmtId="0" fontId="2" fillId="0" borderId="166" xfId="0" applyFont="1" applyBorder="1"/>
    <xf numFmtId="0" fontId="30" fillId="0" borderId="7" xfId="0" applyFont="1" applyBorder="1"/>
    <xf numFmtId="0" fontId="27" fillId="0" borderId="7" xfId="0" applyFont="1" applyBorder="1" applyAlignment="1">
      <alignment horizontal="left" vertical="top" shrinkToFit="1"/>
    </xf>
    <xf numFmtId="0" fontId="97" fillId="0" borderId="0" xfId="0" applyFont="1" applyAlignment="1">
      <alignment horizontal="right" vertical="top"/>
    </xf>
    <xf numFmtId="0" fontId="2" fillId="0" borderId="167" xfId="0" applyFont="1" applyBorder="1"/>
    <xf numFmtId="172" fontId="97" fillId="0" borderId="0" xfId="0" applyNumberFormat="1" applyFont="1"/>
    <xf numFmtId="2" fontId="27" fillId="0" borderId="0" xfId="0" applyNumberFormat="1" applyFont="1" applyAlignment="1">
      <alignment horizontal="right"/>
    </xf>
    <xf numFmtId="0" fontId="105" fillId="0" borderId="0" xfId="0" applyFont="1"/>
    <xf numFmtId="0" fontId="2" fillId="0" borderId="130" xfId="0" quotePrefix="1" applyFont="1" applyBorder="1" applyAlignment="1">
      <alignment horizontal="center" vertical="top"/>
    </xf>
    <xf numFmtId="9" fontId="27" fillId="0" borderId="0" xfId="0" applyNumberFormat="1" applyFont="1" applyAlignment="1">
      <alignment horizontal="left"/>
    </xf>
    <xf numFmtId="0" fontId="27" fillId="0" borderId="132" xfId="0" applyFont="1" applyBorder="1" applyAlignment="1">
      <alignment horizontal="left" vertical="top"/>
    </xf>
    <xf numFmtId="0" fontId="27" fillId="0" borderId="0" xfId="0" applyFont="1" applyAlignment="1">
      <alignment horizontal="center" vertical="top"/>
    </xf>
    <xf numFmtId="0" fontId="27" fillId="0" borderId="134" xfId="0" applyFont="1" applyBorder="1" applyAlignment="1">
      <alignment horizontal="left" vertical="top"/>
    </xf>
    <xf numFmtId="0" fontId="27" fillId="0" borderId="135" xfId="0" applyFont="1" applyBorder="1" applyAlignment="1">
      <alignment horizontal="center" vertical="top"/>
    </xf>
    <xf numFmtId="0" fontId="6" fillId="0" borderId="135" xfId="0" applyFont="1" applyBorder="1" applyAlignment="1">
      <alignment vertical="top"/>
    </xf>
    <xf numFmtId="0" fontId="6" fillId="0" borderId="135" xfId="0" applyFont="1" applyBorder="1" applyAlignment="1">
      <alignment horizontal="left" vertical="top"/>
    </xf>
    <xf numFmtId="0" fontId="6" fillId="0" borderId="130" xfId="0" applyFont="1" applyBorder="1" applyAlignment="1">
      <alignment horizontal="left" vertical="top"/>
    </xf>
    <xf numFmtId="0" fontId="6" fillId="0" borderId="132" xfId="0" applyFont="1" applyBorder="1" applyAlignment="1">
      <alignment horizontal="left" vertical="top"/>
    </xf>
    <xf numFmtId="0" fontId="30" fillId="0" borderId="0" xfId="0" applyFont="1" applyAlignment="1">
      <alignment horizontal="center"/>
    </xf>
    <xf numFmtId="0" fontId="78" fillId="0" borderId="29" xfId="0" applyFont="1" applyBorder="1"/>
    <xf numFmtId="0" fontId="106" fillId="0" borderId="0" xfId="0" applyFont="1"/>
    <xf numFmtId="183" fontId="44" fillId="0" borderId="0" xfId="0" applyNumberFormat="1" applyFont="1"/>
    <xf numFmtId="0" fontId="78" fillId="0" borderId="132" xfId="0" applyFont="1" applyBorder="1"/>
    <xf numFmtId="2" fontId="27" fillId="0" borderId="29" xfId="0" applyNumberFormat="1" applyFont="1" applyBorder="1" applyAlignment="1">
      <alignment horizontal="right"/>
    </xf>
    <xf numFmtId="0" fontId="6" fillId="0" borderId="129" xfId="0" applyFont="1" applyBorder="1" applyAlignment="1">
      <alignment horizontal="left" vertical="top"/>
    </xf>
    <xf numFmtId="0" fontId="32" fillId="0" borderId="130" xfId="0" applyFont="1" applyBorder="1" applyAlignment="1">
      <alignment horizontal="left" vertical="top"/>
    </xf>
    <xf numFmtId="0" fontId="107" fillId="0" borderId="0" xfId="0" applyFont="1" applyAlignment="1">
      <alignment horizontal="left" vertical="top"/>
    </xf>
    <xf numFmtId="1" fontId="6" fillId="0" borderId="135" xfId="0" applyNumberFormat="1" applyFont="1" applyBorder="1" applyAlignment="1">
      <alignment vertical="top"/>
    </xf>
    <xf numFmtId="183" fontId="44" fillId="0" borderId="0" xfId="0" applyNumberFormat="1" applyFont="1" applyAlignment="1">
      <alignment horizontal="right" vertical="top" wrapText="1"/>
    </xf>
    <xf numFmtId="171" fontId="6" fillId="0" borderId="29" xfId="0" applyNumberFormat="1" applyFont="1" applyBorder="1"/>
    <xf numFmtId="171" fontId="6" fillId="0" borderId="0" xfId="0" applyNumberFormat="1" applyFont="1"/>
    <xf numFmtId="0" fontId="78" fillId="0" borderId="0" xfId="0" applyFont="1" applyAlignment="1">
      <alignment wrapText="1"/>
    </xf>
    <xf numFmtId="0" fontId="78" fillId="0" borderId="0" xfId="0" applyFont="1" applyAlignment="1">
      <alignment vertical="center" wrapText="1"/>
    </xf>
    <xf numFmtId="174" fontId="27" fillId="0" borderId="0" xfId="0" applyNumberFormat="1" applyFont="1" applyAlignment="1">
      <alignment horizontal="center"/>
    </xf>
    <xf numFmtId="1" fontId="27" fillId="0" borderId="0" xfId="0" applyNumberFormat="1" applyFont="1" applyAlignment="1">
      <alignment horizontal="center"/>
    </xf>
    <xf numFmtId="172" fontId="44" fillId="0" borderId="21" xfId="0" applyNumberFormat="1" applyFont="1" applyBorder="1"/>
    <xf numFmtId="9" fontId="44" fillId="0" borderId="0" xfId="0" applyNumberFormat="1" applyFont="1"/>
    <xf numFmtId="1" fontId="44" fillId="0" borderId="0" xfId="0" applyNumberFormat="1" applyFont="1" applyAlignment="1">
      <alignment horizontal="right" vertical="top" wrapText="1"/>
    </xf>
    <xf numFmtId="183" fontId="44" fillId="0" borderId="0" xfId="0" applyNumberFormat="1" applyFont="1" applyAlignment="1">
      <alignment horizontal="center"/>
    </xf>
    <xf numFmtId="3" fontId="44" fillId="3" borderId="8" xfId="0" applyNumberFormat="1" applyFont="1" applyFill="1" applyBorder="1" applyAlignment="1">
      <alignment horizontal="center"/>
    </xf>
    <xf numFmtId="0" fontId="6" fillId="0" borderId="130" xfId="0" applyFont="1" applyBorder="1" applyAlignment="1">
      <alignment horizontal="center"/>
    </xf>
    <xf numFmtId="0" fontId="6" fillId="0" borderId="130" xfId="0" applyFont="1" applyBorder="1" applyAlignment="1">
      <alignment vertical="top"/>
    </xf>
    <xf numFmtId="0" fontId="44" fillId="0" borderId="0" xfId="0" applyFont="1" applyAlignment="1">
      <alignment horizontal="left"/>
    </xf>
    <xf numFmtId="0" fontId="44" fillId="3" borderId="8" xfId="0" applyFont="1" applyFill="1" applyBorder="1" applyAlignment="1">
      <alignment horizontal="center"/>
    </xf>
    <xf numFmtId="172" fontId="44" fillId="0" borderId="173" xfId="0" applyNumberFormat="1" applyFont="1" applyBorder="1"/>
    <xf numFmtId="172" fontId="44" fillId="0" borderId="125" xfId="0" applyNumberFormat="1" applyFont="1" applyBorder="1"/>
    <xf numFmtId="172" fontId="44" fillId="0" borderId="175" xfId="0" applyNumberFormat="1" applyFont="1" applyBorder="1"/>
    <xf numFmtId="0" fontId="44" fillId="0" borderId="176" xfId="0" applyFont="1" applyBorder="1" applyAlignment="1">
      <alignment horizontal="right"/>
    </xf>
    <xf numFmtId="0" fontId="44" fillId="0" borderId="177" xfId="0" applyFont="1" applyBorder="1" applyAlignment="1">
      <alignment horizontal="right"/>
    </xf>
    <xf numFmtId="0" fontId="6" fillId="0" borderId="132" xfId="0" applyFont="1" applyBorder="1"/>
    <xf numFmtId="0" fontId="2" fillId="0" borderId="133" xfId="0" applyFont="1" applyBorder="1"/>
    <xf numFmtId="49" fontId="27" fillId="0" borderId="0" xfId="0" applyNumberFormat="1" applyFont="1" applyAlignment="1">
      <alignment horizontal="left" vertical="center" wrapText="1"/>
    </xf>
    <xf numFmtId="0" fontId="108" fillId="0" borderId="129" xfId="0" applyFont="1" applyBorder="1"/>
    <xf numFmtId="0" fontId="27" fillId="0" borderId="130" xfId="0" applyFont="1" applyBorder="1" applyAlignment="1">
      <alignment horizontal="center" vertical="top"/>
    </xf>
    <xf numFmtId="0" fontId="27" fillId="0" borderId="130" xfId="0" applyFont="1" applyBorder="1" applyAlignment="1">
      <alignment vertical="top" wrapText="1"/>
    </xf>
    <xf numFmtId="0" fontId="44" fillId="0" borderId="178" xfId="0" applyFont="1" applyBorder="1" applyAlignment="1">
      <alignment horizontal="right"/>
    </xf>
    <xf numFmtId="0" fontId="2" fillId="0" borderId="0" xfId="0" quotePrefix="1" applyFont="1" applyAlignment="1">
      <alignment horizontal="center" vertical="top"/>
    </xf>
    <xf numFmtId="0" fontId="44" fillId="0" borderId="21" xfId="0" applyFont="1" applyBorder="1" applyAlignment="1">
      <alignment horizontal="right" vertical="top" wrapText="1"/>
    </xf>
    <xf numFmtId="1" fontId="27" fillId="0" borderId="0" xfId="0" applyNumberFormat="1" applyFont="1" applyAlignment="1">
      <alignment wrapText="1"/>
    </xf>
    <xf numFmtId="165" fontId="6" fillId="0" borderId="0" xfId="0" applyNumberFormat="1" applyFont="1" applyAlignment="1">
      <alignment vertical="center"/>
    </xf>
    <xf numFmtId="10" fontId="97" fillId="0" borderId="0" xfId="0" applyNumberFormat="1" applyFont="1"/>
    <xf numFmtId="172" fontId="44" fillId="3" borderId="8" xfId="0" applyNumberFormat="1" applyFont="1" applyFill="1" applyBorder="1"/>
    <xf numFmtId="44" fontId="44" fillId="0" borderId="0" xfId="0" applyNumberFormat="1" applyFont="1"/>
    <xf numFmtId="0" fontId="78" fillId="0" borderId="130" xfId="0" applyFont="1" applyBorder="1" applyAlignment="1">
      <alignment vertical="top"/>
    </xf>
    <xf numFmtId="0" fontId="2" fillId="0" borderId="130" xfId="0" applyFont="1" applyBorder="1" applyAlignment="1">
      <alignment wrapText="1"/>
    </xf>
    <xf numFmtId="0" fontId="6" fillId="0" borderId="130" xfId="0" applyFont="1" applyBorder="1" applyAlignment="1">
      <alignment horizontal="right"/>
    </xf>
    <xf numFmtId="0" fontId="2" fillId="0" borderId="131" xfId="0" applyFont="1" applyBorder="1" applyAlignment="1">
      <alignment horizontal="center"/>
    </xf>
    <xf numFmtId="178" fontId="27" fillId="0" borderId="0" xfId="0" applyNumberFormat="1" applyFont="1"/>
    <xf numFmtId="0" fontId="2" fillId="0" borderId="132" xfId="0" applyFont="1" applyBorder="1" applyAlignment="1">
      <alignment horizontal="left" vertical="top"/>
    </xf>
    <xf numFmtId="0" fontId="2" fillId="0" borderId="133" xfId="0" applyFont="1" applyBorder="1" applyAlignment="1">
      <alignment horizontal="left" vertical="top"/>
    </xf>
    <xf numFmtId="0" fontId="2" fillId="0" borderId="133" xfId="0" applyFont="1" applyBorder="1" applyAlignment="1">
      <alignment horizontal="center"/>
    </xf>
    <xf numFmtId="0" fontId="2" fillId="0" borderId="136" xfId="0" applyFont="1" applyBorder="1" applyAlignment="1">
      <alignment horizontal="center"/>
    </xf>
    <xf numFmtId="0" fontId="2" fillId="0" borderId="28" xfId="0" applyFont="1" applyBorder="1" applyAlignment="1">
      <alignment horizontal="center"/>
    </xf>
    <xf numFmtId="0" fontId="27" fillId="0" borderId="65" xfId="0" applyFont="1" applyBorder="1"/>
    <xf numFmtId="0" fontId="109" fillId="0" borderId="0" xfId="0" applyFont="1" applyAlignment="1">
      <alignment horizontal="left" vertical="top" wrapText="1"/>
    </xf>
    <xf numFmtId="0" fontId="78" fillId="0" borderId="0" xfId="0" applyFont="1" applyAlignment="1">
      <alignment horizontal="left" vertical="top"/>
    </xf>
    <xf numFmtId="1" fontId="2" fillId="0" borderId="22" xfId="0" applyNumberFormat="1" applyFont="1" applyBorder="1"/>
    <xf numFmtId="0" fontId="2" fillId="0" borderId="0" xfId="0" applyFont="1" applyAlignment="1">
      <alignment vertical="top" shrinkToFit="1"/>
    </xf>
    <xf numFmtId="0" fontId="110" fillId="0" borderId="0" xfId="0" applyFont="1"/>
    <xf numFmtId="0" fontId="6" fillId="0" borderId="19" xfId="0" applyFont="1" applyBorder="1"/>
    <xf numFmtId="0" fontId="6" fillId="0" borderId="20" xfId="0" applyFont="1" applyBorder="1"/>
    <xf numFmtId="1" fontId="6" fillId="0" borderId="16" xfId="0" applyNumberFormat="1" applyFont="1" applyBorder="1"/>
    <xf numFmtId="176" fontId="6" fillId="0" borderId="16" xfId="0" applyNumberFormat="1" applyFont="1" applyBorder="1"/>
    <xf numFmtId="1" fontId="6" fillId="0" borderId="22" xfId="0" applyNumberFormat="1" applyFont="1" applyBorder="1"/>
    <xf numFmtId="0" fontId="2" fillId="0" borderId="0" xfId="0" applyFont="1" applyAlignment="1">
      <alignment horizontal="left" vertical="top" shrinkToFit="1"/>
    </xf>
    <xf numFmtId="0" fontId="111" fillId="0" borderId="0" xfId="0" applyFont="1" applyAlignment="1">
      <alignment horizontal="right"/>
    </xf>
    <xf numFmtId="0" fontId="2" fillId="0" borderId="21" xfId="0" applyFont="1" applyBorder="1" applyAlignment="1">
      <alignment horizontal="left" vertical="top" wrapText="1"/>
    </xf>
    <xf numFmtId="0" fontId="110" fillId="0" borderId="7" xfId="0" applyFont="1" applyBorder="1"/>
    <xf numFmtId="0" fontId="2" fillId="0" borderId="7" xfId="0" applyFont="1" applyBorder="1" applyAlignment="1">
      <alignment horizontal="left" vertical="top" shrinkToFit="1"/>
    </xf>
    <xf numFmtId="0" fontId="27" fillId="0" borderId="0" xfId="0" applyFont="1" applyAlignment="1">
      <alignment horizontal="left" vertical="top" shrinkToFit="1"/>
    </xf>
    <xf numFmtId="0" fontId="2" fillId="0" borderId="0" xfId="0" applyFont="1" applyAlignment="1">
      <alignment horizontal="left" vertical="center" shrinkToFit="1"/>
    </xf>
    <xf numFmtId="0" fontId="24" fillId="0" borderId="0" xfId="0" applyFont="1" applyAlignment="1">
      <alignment horizontal="left" vertical="top"/>
    </xf>
    <xf numFmtId="0" fontId="2" fillId="0" borderId="0" xfId="0" applyFont="1" applyAlignment="1">
      <alignment vertical="center" shrinkToFit="1"/>
    </xf>
    <xf numFmtId="0" fontId="24" fillId="0" borderId="7" xfId="0" applyFont="1" applyBorder="1"/>
    <xf numFmtId="1" fontId="2" fillId="0" borderId="16" xfId="0" applyNumberFormat="1" applyFont="1" applyBorder="1"/>
    <xf numFmtId="0" fontId="78" fillId="0" borderId="0" xfId="0" applyFont="1" applyAlignment="1">
      <alignment horizontal="right"/>
    </xf>
    <xf numFmtId="0" fontId="4" fillId="0" borderId="0" xfId="0" applyFont="1"/>
    <xf numFmtId="0" fontId="27" fillId="0" borderId="19" xfId="0" applyFont="1" applyBorder="1" applyAlignment="1">
      <alignment horizontal="center"/>
    </xf>
    <xf numFmtId="0" fontId="24" fillId="0" borderId="0" xfId="0" applyFont="1" applyAlignment="1">
      <alignment horizontal="center"/>
    </xf>
    <xf numFmtId="1" fontId="27" fillId="0" borderId="0" xfId="0" applyNumberFormat="1" applyFont="1"/>
    <xf numFmtId="0" fontId="2" fillId="0" borderId="7" xfId="0" applyFont="1" applyBorder="1" applyAlignment="1">
      <alignment horizontal="left" vertical="top" wrapText="1"/>
    </xf>
    <xf numFmtId="44" fontId="2" fillId="0" borderId="0" xfId="0" applyNumberFormat="1" applyFont="1" applyAlignment="1">
      <alignment horizontal="left" vertical="top" wrapText="1"/>
    </xf>
    <xf numFmtId="0" fontId="6" fillId="0" borderId="29" xfId="0" applyFont="1" applyBorder="1" applyAlignment="1">
      <alignment vertical="top"/>
    </xf>
    <xf numFmtId="0" fontId="44" fillId="0" borderId="16" xfId="0" applyFont="1" applyBorder="1" applyAlignment="1">
      <alignment horizontal="center" wrapText="1"/>
    </xf>
    <xf numFmtId="44" fontId="2" fillId="0" borderId="7" xfId="0" applyNumberFormat="1" applyFont="1" applyBorder="1" applyAlignment="1">
      <alignment horizontal="left" vertical="top" wrapText="1"/>
    </xf>
    <xf numFmtId="0" fontId="44" fillId="0" borderId="0" xfId="0" applyFont="1" applyAlignment="1">
      <alignment horizontal="center" wrapText="1"/>
    </xf>
    <xf numFmtId="3" fontId="44" fillId="0" borderId="16" xfId="0" applyNumberFormat="1" applyFont="1" applyBorder="1"/>
    <xf numFmtId="3" fontId="44" fillId="0" borderId="16" xfId="0" applyNumberFormat="1" applyFont="1" applyBorder="1" applyAlignment="1">
      <alignment horizontal="center"/>
    </xf>
    <xf numFmtId="3" fontId="44" fillId="3" borderId="16" xfId="0" applyNumberFormat="1" applyFont="1" applyFill="1" applyBorder="1" applyAlignment="1">
      <alignment horizontal="left"/>
    </xf>
    <xf numFmtId="3" fontId="44" fillId="0" borderId="0" xfId="0" applyNumberFormat="1" applyFont="1"/>
    <xf numFmtId="178" fontId="112" fillId="0" borderId="0" xfId="0" applyNumberFormat="1" applyFont="1" applyAlignment="1">
      <alignment horizontal="left"/>
    </xf>
    <xf numFmtId="3" fontId="44" fillId="3" borderId="16" xfId="0" applyNumberFormat="1" applyFont="1" applyFill="1" applyBorder="1"/>
    <xf numFmtId="0" fontId="113" fillId="0" borderId="0" xfId="0" applyFont="1"/>
    <xf numFmtId="10" fontId="2" fillId="0" borderId="0" xfId="0" applyNumberFormat="1" applyFont="1" applyAlignment="1">
      <alignment horizontal="center"/>
    </xf>
    <xf numFmtId="0" fontId="40" fillId="0" borderId="0" xfId="0" applyFont="1"/>
    <xf numFmtId="10" fontId="6" fillId="0" borderId="0" xfId="0" applyNumberFormat="1" applyFont="1" applyAlignment="1">
      <alignment horizontal="center"/>
    </xf>
    <xf numFmtId="0" fontId="40" fillId="0" borderId="21" xfId="0" applyFont="1" applyBorder="1" applyAlignment="1">
      <alignment horizontal="center"/>
    </xf>
    <xf numFmtId="0" fontId="40" fillId="0" borderId="0" xfId="0" applyFont="1" applyAlignment="1">
      <alignment horizontal="center"/>
    </xf>
    <xf numFmtId="164" fontId="44" fillId="0" borderId="0" xfId="0" applyNumberFormat="1" applyFont="1"/>
    <xf numFmtId="171" fontId="2" fillId="0" borderId="0" xfId="0" applyNumberFormat="1" applyFont="1" applyAlignment="1">
      <alignment horizontal="center"/>
    </xf>
    <xf numFmtId="10" fontId="16" fillId="0" borderId="0" xfId="0" applyNumberFormat="1" applyFont="1" applyAlignment="1">
      <alignment horizontal="center"/>
    </xf>
    <xf numFmtId="3" fontId="114" fillId="0" borderId="0" xfId="0" applyNumberFormat="1" applyFont="1"/>
    <xf numFmtId="0" fontId="24" fillId="0" borderId="0" xfId="0" applyFont="1" applyAlignment="1">
      <alignment horizontal="left"/>
    </xf>
    <xf numFmtId="0" fontId="6" fillId="0" borderId="21" xfId="0" applyFont="1" applyBorder="1" applyAlignment="1">
      <alignment horizontal="right"/>
    </xf>
    <xf numFmtId="0" fontId="2" fillId="0" borderId="7" xfId="0" applyFont="1" applyBorder="1" applyAlignment="1">
      <alignment vertical="top" wrapText="1"/>
    </xf>
    <xf numFmtId="0" fontId="6" fillId="0" borderId="7" xfId="0" applyFont="1" applyBorder="1" applyAlignment="1">
      <alignment horizontal="center" vertical="top"/>
    </xf>
    <xf numFmtId="0" fontId="97" fillId="0" borderId="0" xfId="0" applyFont="1" applyAlignment="1">
      <alignment horizontal="left"/>
    </xf>
    <xf numFmtId="164" fontId="44" fillId="0" borderId="16" xfId="0" applyNumberFormat="1" applyFont="1" applyBorder="1"/>
    <xf numFmtId="0" fontId="44" fillId="3" borderId="25" xfId="0" applyFont="1" applyFill="1" applyBorder="1"/>
    <xf numFmtId="3" fontId="114" fillId="3" borderId="8" xfId="0" applyNumberFormat="1" applyFont="1" applyFill="1" applyBorder="1"/>
    <xf numFmtId="164" fontId="97" fillId="0" borderId="0" xfId="0" applyNumberFormat="1" applyFont="1"/>
    <xf numFmtId="164" fontId="6" fillId="0" borderId="0" xfId="0" applyNumberFormat="1" applyFont="1" applyAlignment="1">
      <alignment horizontal="center"/>
    </xf>
    <xf numFmtId="3" fontId="2" fillId="0" borderId="0" xfId="0" applyNumberFormat="1" applyFont="1"/>
    <xf numFmtId="0" fontId="24" fillId="0" borderId="7" xfId="0" applyFont="1" applyBorder="1" applyAlignment="1">
      <alignment horizontal="left" vertical="top"/>
    </xf>
    <xf numFmtId="3" fontId="44" fillId="0" borderId="21" xfId="0" applyNumberFormat="1" applyFont="1" applyBorder="1"/>
    <xf numFmtId="164" fontId="44" fillId="3" borderId="25" xfId="0" applyNumberFormat="1" applyFont="1" applyFill="1" applyBorder="1"/>
    <xf numFmtId="0" fontId="109" fillId="0" borderId="0" xfId="0" applyFont="1" applyAlignment="1">
      <alignment horizontal="left" vertical="top"/>
    </xf>
    <xf numFmtId="0" fontId="109" fillId="0" borderId="7" xfId="0" applyFont="1" applyBorder="1" applyAlignment="1">
      <alignment horizontal="left" vertical="top"/>
    </xf>
    <xf numFmtId="171" fontId="2" fillId="3" borderId="25" xfId="0" applyNumberFormat="1" applyFont="1" applyFill="1" applyBorder="1" applyAlignment="1">
      <alignment horizontal="center"/>
    </xf>
    <xf numFmtId="164" fontId="97" fillId="0" borderId="0" xfId="0" applyNumberFormat="1" applyFont="1" applyAlignment="1">
      <alignment horizontal="center"/>
    </xf>
    <xf numFmtId="0" fontId="27" fillId="0" borderId="181" xfId="0" applyFont="1" applyBorder="1"/>
    <xf numFmtId="0" fontId="6" fillId="0" borderId="181" xfId="0" applyFont="1" applyBorder="1"/>
    <xf numFmtId="0" fontId="27" fillId="0" borderId="181" xfId="0" applyFont="1" applyBorder="1" applyAlignment="1">
      <alignment horizontal="left" vertical="top"/>
    </xf>
    <xf numFmtId="0" fontId="2" fillId="0" borderId="181" xfId="0" applyFont="1" applyBorder="1" applyAlignment="1">
      <alignment horizontal="left" vertical="top"/>
    </xf>
    <xf numFmtId="0" fontId="6" fillId="0" borderId="181" xfId="0" applyFont="1" applyBorder="1" applyAlignment="1">
      <alignment horizontal="right"/>
    </xf>
    <xf numFmtId="0" fontId="2" fillId="0" borderId="181" xfId="0" applyFont="1" applyBorder="1" applyAlignment="1">
      <alignment horizontal="center"/>
    </xf>
    <xf numFmtId="0" fontId="44" fillId="3" borderId="25" xfId="0" applyFont="1" applyFill="1" applyBorder="1" applyAlignment="1">
      <alignment horizontal="left"/>
    </xf>
    <xf numFmtId="49" fontId="27" fillId="0" borderId="0" xfId="0" applyNumberFormat="1" applyFont="1" applyAlignment="1">
      <alignment vertical="top"/>
    </xf>
    <xf numFmtId="2" fontId="2" fillId="0" borderId="28" xfId="0" applyNumberFormat="1" applyFont="1" applyBorder="1" applyAlignment="1">
      <alignment horizontal="left"/>
    </xf>
    <xf numFmtId="10" fontId="44" fillId="0" borderId="0" xfId="0" applyNumberFormat="1" applyFont="1"/>
    <xf numFmtId="2" fontId="2" fillId="0" borderId="0" xfId="0" applyNumberFormat="1" applyFont="1" applyAlignment="1">
      <alignment horizontal="left"/>
    </xf>
    <xf numFmtId="0" fontId="2" fillId="0" borderId="20" xfId="0" applyFont="1" applyBorder="1" applyAlignment="1">
      <alignment horizontal="left"/>
    </xf>
    <xf numFmtId="171" fontId="44" fillId="0" borderId="0" xfId="0" applyNumberFormat="1" applyFont="1"/>
    <xf numFmtId="171" fontId="44" fillId="0" borderId="0" xfId="0" applyNumberFormat="1" applyFont="1" applyAlignment="1">
      <alignment horizontal="center"/>
    </xf>
    <xf numFmtId="0" fontId="44" fillId="0" borderId="21" xfId="0" applyFont="1" applyBorder="1"/>
    <xf numFmtId="10" fontId="44" fillId="0" borderId="21" xfId="0" applyNumberFormat="1" applyFont="1" applyBorder="1" applyAlignment="1">
      <alignment horizontal="center"/>
    </xf>
    <xf numFmtId="171" fontId="2" fillId="0" borderId="16" xfId="0" applyNumberFormat="1" applyFont="1" applyBorder="1" applyAlignment="1">
      <alignment horizontal="center"/>
    </xf>
    <xf numFmtId="164" fontId="2" fillId="3" borderId="25" xfId="0" applyNumberFormat="1" applyFont="1" applyFill="1" applyBorder="1"/>
    <xf numFmtId="2" fontId="16" fillId="0" borderId="0" xfId="0" applyNumberFormat="1" applyFont="1" applyAlignment="1">
      <alignment horizontal="center"/>
    </xf>
    <xf numFmtId="3" fontId="2" fillId="3" borderId="25" xfId="0" applyNumberFormat="1" applyFont="1" applyFill="1" applyBorder="1"/>
    <xf numFmtId="0" fontId="2" fillId="3" borderId="25" xfId="0" applyFont="1" applyFill="1" applyBorder="1"/>
    <xf numFmtId="3" fontId="2" fillId="3" borderId="8" xfId="0" applyNumberFormat="1" applyFont="1" applyFill="1" applyBorder="1"/>
    <xf numFmtId="3" fontId="2" fillId="0" borderId="21" xfId="0" applyNumberFormat="1" applyFont="1" applyBorder="1"/>
    <xf numFmtId="0" fontId="27" fillId="0" borderId="5" xfId="0" applyFont="1" applyBorder="1" applyAlignment="1">
      <alignment horizontal="center"/>
    </xf>
    <xf numFmtId="0" fontId="27" fillId="0" borderId="5" xfId="0" applyFont="1" applyBorder="1" applyAlignment="1">
      <alignment horizontal="left" vertical="top"/>
    </xf>
    <xf numFmtId="3" fontId="14" fillId="0" borderId="0" xfId="0" applyNumberFormat="1" applyFont="1"/>
    <xf numFmtId="3" fontId="2" fillId="0" borderId="0" xfId="0" applyNumberFormat="1" applyFont="1" applyAlignment="1">
      <alignment vertical="top"/>
    </xf>
    <xf numFmtId="0" fontId="27" fillId="0" borderId="64" xfId="0" applyFont="1" applyBorder="1"/>
    <xf numFmtId="0" fontId="115" fillId="0" borderId="0" xfId="0" applyFont="1"/>
    <xf numFmtId="0" fontId="6" fillId="0" borderId="0" xfId="0" applyFont="1" applyAlignment="1">
      <alignment horizontal="center" wrapText="1"/>
    </xf>
    <xf numFmtId="0" fontId="6" fillId="0" borderId="66" xfId="0" applyFont="1" applyBorder="1" applyAlignment="1">
      <alignment horizontal="left"/>
    </xf>
    <xf numFmtId="0" fontId="2" fillId="0" borderId="16" xfId="0" applyFont="1" applyBorder="1" applyAlignment="1">
      <alignment horizontal="left"/>
    </xf>
    <xf numFmtId="0" fontId="6" fillId="0" borderId="66" xfId="0" applyFont="1" applyBorder="1"/>
    <xf numFmtId="164" fontId="2" fillId="0" borderId="7" xfId="0" applyNumberFormat="1" applyFont="1" applyBorder="1"/>
    <xf numFmtId="164" fontId="2" fillId="0" borderId="20" xfId="0" applyNumberFormat="1" applyFont="1" applyBorder="1"/>
    <xf numFmtId="178" fontId="2" fillId="0" borderId="0" xfId="0" applyNumberFormat="1" applyFont="1" applyAlignment="1">
      <alignment horizontal="center"/>
    </xf>
    <xf numFmtId="0" fontId="6" fillId="0" borderId="28" xfId="0" applyFont="1" applyBorder="1" applyAlignment="1">
      <alignment horizontal="left"/>
    </xf>
    <xf numFmtId="0" fontId="6" fillId="0" borderId="20" xfId="0" applyFont="1" applyBorder="1" applyAlignment="1">
      <alignment horizontal="left"/>
    </xf>
    <xf numFmtId="0" fontId="6" fillId="0" borderId="65" xfId="0" applyFont="1" applyBorder="1" applyAlignment="1">
      <alignment horizontal="right"/>
    </xf>
    <xf numFmtId="174" fontId="40" fillId="0" borderId="0" xfId="0" applyNumberFormat="1" applyFont="1" applyAlignment="1">
      <alignment horizontal="center" vertical="center"/>
    </xf>
    <xf numFmtId="0" fontId="30" fillId="0" borderId="7" xfId="0" applyFont="1" applyBorder="1" applyAlignment="1">
      <alignment horizontal="right"/>
    </xf>
    <xf numFmtId="0" fontId="3" fillId="0" borderId="0" xfId="0" applyFont="1" applyAlignment="1">
      <alignment vertical="center" wrapText="1"/>
    </xf>
    <xf numFmtId="0" fontId="103" fillId="0" borderId="0" xfId="0" applyFont="1"/>
    <xf numFmtId="0" fontId="3" fillId="0" borderId="0" xfId="0" applyFont="1" applyAlignment="1">
      <alignment vertical="center"/>
    </xf>
    <xf numFmtId="0" fontId="116" fillId="0" borderId="0" xfId="0" applyFont="1" applyAlignment="1">
      <alignment horizontal="left" vertical="top"/>
    </xf>
    <xf numFmtId="0" fontId="3" fillId="0" borderId="0" xfId="0" applyFont="1" applyAlignment="1">
      <alignment horizontal="left" vertical="center"/>
    </xf>
    <xf numFmtId="0" fontId="6" fillId="0" borderId="19" xfId="0" applyFont="1" applyBorder="1" applyAlignment="1">
      <alignment horizontal="left" vertical="top"/>
    </xf>
    <xf numFmtId="0" fontId="6" fillId="0" borderId="22" xfId="0" applyFont="1" applyBorder="1" applyAlignment="1">
      <alignment horizontal="center" wrapText="1"/>
    </xf>
    <xf numFmtId="0" fontId="6" fillId="0" borderId="66" xfId="0" applyFont="1" applyBorder="1" applyAlignment="1">
      <alignment horizontal="center" wrapText="1"/>
    </xf>
    <xf numFmtId="0" fontId="19" fillId="6" borderId="16" xfId="0" applyFont="1" applyFill="1" applyBorder="1" applyAlignment="1">
      <alignment horizontal="left" vertical="top" wrapText="1"/>
    </xf>
    <xf numFmtId="164" fontId="2" fillId="3" borderId="16" xfId="0" applyNumberFormat="1" applyFont="1" applyFill="1" applyBorder="1" applyAlignment="1">
      <alignment vertical="top" wrapText="1"/>
    </xf>
    <xf numFmtId="164" fontId="2" fillId="0" borderId="16" xfId="0" applyNumberFormat="1" applyFont="1" applyBorder="1" applyAlignment="1">
      <alignment vertical="top" wrapText="1"/>
    </xf>
    <xf numFmtId="0" fontId="2" fillId="3" borderId="16" xfId="0" applyFont="1" applyFill="1" applyBorder="1" applyAlignment="1">
      <alignment vertical="top" wrapText="1"/>
    </xf>
    <xf numFmtId="0" fontId="2" fillId="3" borderId="105" xfId="0" applyFont="1" applyFill="1" applyBorder="1" applyAlignment="1">
      <alignment vertical="top" wrapText="1"/>
    </xf>
    <xf numFmtId="9" fontId="27" fillId="0" borderId="0" xfId="0" applyNumberFormat="1" applyFont="1" applyAlignment="1">
      <alignment horizontal="center"/>
    </xf>
    <xf numFmtId="0" fontId="6" fillId="0" borderId="29" xfId="0" applyFont="1" applyBorder="1" applyAlignment="1">
      <alignment horizontal="center" wrapText="1"/>
    </xf>
    <xf numFmtId="0" fontId="117" fillId="0" borderId="0" xfId="0" applyFont="1" applyAlignment="1">
      <alignment horizontal="center"/>
    </xf>
    <xf numFmtId="0" fontId="6" fillId="0" borderId="16" xfId="0" applyFont="1" applyBorder="1" applyAlignment="1">
      <alignment horizontal="right" vertical="top" wrapText="1"/>
    </xf>
    <xf numFmtId="0" fontId="2" fillId="0" borderId="16" xfId="0" applyFont="1" applyBorder="1" applyAlignment="1">
      <alignment horizontal="right" vertical="top" wrapText="1"/>
    </xf>
    <xf numFmtId="164" fontId="6" fillId="0" borderId="16" xfId="0" applyNumberFormat="1" applyFont="1" applyBorder="1" applyAlignment="1">
      <alignment vertical="top" wrapText="1"/>
    </xf>
    <xf numFmtId="0" fontId="32" fillId="0" borderId="19" xfId="0" applyFont="1" applyBorder="1"/>
    <xf numFmtId="0" fontId="18" fillId="0" borderId="16" xfId="0" applyFont="1" applyBorder="1" applyAlignment="1">
      <alignment horizontal="right" vertical="top" wrapText="1"/>
    </xf>
    <xf numFmtId="0" fontId="2" fillId="3" borderId="16" xfId="0" applyFont="1" applyFill="1" applyBorder="1" applyAlignment="1">
      <alignment horizontal="right" vertical="top" wrapText="1"/>
    </xf>
    <xf numFmtId="0" fontId="2" fillId="0" borderId="16" xfId="0" applyFont="1" applyBorder="1" applyAlignment="1">
      <alignment vertical="top" wrapText="1"/>
    </xf>
    <xf numFmtId="0" fontId="2" fillId="0" borderId="20" xfId="0" applyFont="1" applyBorder="1" applyAlignment="1">
      <alignment vertical="top" wrapText="1"/>
    </xf>
    <xf numFmtId="0" fontId="2" fillId="6" borderId="182" xfId="0" applyFont="1" applyFill="1" applyBorder="1"/>
    <xf numFmtId="0" fontId="2" fillId="6" borderId="183" xfId="0" applyFont="1" applyFill="1" applyBorder="1"/>
    <xf numFmtId="184" fontId="2" fillId="0" borderId="0" xfId="0" applyNumberFormat="1" applyFont="1"/>
    <xf numFmtId="0" fontId="118" fillId="0" borderId="65" xfId="0" applyFont="1" applyBorder="1"/>
    <xf numFmtId="0" fontId="6" fillId="0" borderId="44" xfId="0" applyFont="1" applyBorder="1" applyAlignment="1">
      <alignment horizontal="center" vertical="top"/>
    </xf>
    <xf numFmtId="0" fontId="27" fillId="0" borderId="29" xfId="0" applyFont="1" applyBorder="1" applyAlignment="1">
      <alignment horizontal="left" vertical="top" wrapText="1"/>
    </xf>
    <xf numFmtId="0" fontId="27" fillId="0" borderId="44" xfId="0" applyFont="1" applyBorder="1" applyAlignment="1">
      <alignment horizontal="center" vertical="top" wrapText="1"/>
    </xf>
    <xf numFmtId="0" fontId="27" fillId="0" borderId="64" xfId="0" applyFont="1" applyBorder="1" applyAlignment="1">
      <alignment horizontal="left" vertical="top" wrapText="1"/>
    </xf>
    <xf numFmtId="0" fontId="27" fillId="0" borderId="28" xfId="0" applyFont="1" applyBorder="1" applyAlignment="1">
      <alignment horizontal="center" vertical="top" wrapText="1"/>
    </xf>
    <xf numFmtId="0" fontId="27" fillId="0" borderId="0" xfId="0" applyFont="1" applyAlignment="1">
      <alignment horizontal="center" vertical="top" wrapText="1"/>
    </xf>
    <xf numFmtId="1" fontId="2" fillId="0" borderId="16" xfId="0" applyNumberFormat="1" applyFont="1" applyBorder="1" applyAlignment="1">
      <alignment horizontal="center"/>
    </xf>
    <xf numFmtId="184" fontId="2" fillId="0" borderId="16" xfId="0" applyNumberFormat="1" applyFont="1" applyBorder="1"/>
    <xf numFmtId="0" fontId="27" fillId="0" borderId="66" xfId="0" applyFont="1" applyBorder="1" applyAlignment="1">
      <alignment horizontal="left" vertical="top" wrapText="1"/>
    </xf>
    <xf numFmtId="0" fontId="27" fillId="0" borderId="21" xfId="0" applyFont="1" applyBorder="1" applyAlignment="1">
      <alignment horizontal="center" vertical="top" wrapText="1"/>
    </xf>
    <xf numFmtId="0" fontId="78" fillId="0" borderId="66" xfId="0" applyFont="1" applyBorder="1" applyAlignment="1">
      <alignment horizontal="left" vertical="top" wrapText="1"/>
    </xf>
    <xf numFmtId="0" fontId="2" fillId="0" borderId="157" xfId="0" applyFont="1" applyBorder="1"/>
    <xf numFmtId="0" fontId="78" fillId="0" borderId="29" xfId="0" applyFont="1" applyBorder="1" applyAlignment="1">
      <alignment horizontal="left" vertical="top" wrapText="1"/>
    </xf>
    <xf numFmtId="0" fontId="78" fillId="0" borderId="0" xfId="0" applyFont="1" applyAlignment="1">
      <alignment horizontal="center" vertical="top" wrapText="1"/>
    </xf>
    <xf numFmtId="0" fontId="31" fillId="0" borderId="66" xfId="0" applyFont="1" applyBorder="1" applyAlignment="1">
      <alignment vertical="top"/>
    </xf>
    <xf numFmtId="0" fontId="27" fillId="0" borderId="21" xfId="0" applyFont="1" applyBorder="1" applyAlignment="1">
      <alignment vertical="top" wrapText="1"/>
    </xf>
    <xf numFmtId="2" fontId="2" fillId="0" borderId="16" xfId="0" applyNumberFormat="1" applyFont="1" applyBorder="1"/>
    <xf numFmtId="0" fontId="122" fillId="0" borderId="29" xfId="0" applyFont="1" applyBorder="1" applyAlignment="1">
      <alignment vertical="center" wrapText="1"/>
    </xf>
    <xf numFmtId="0" fontId="122" fillId="0" borderId="0" xfId="0" applyFont="1" applyAlignment="1">
      <alignment vertical="center" wrapText="1"/>
    </xf>
    <xf numFmtId="0" fontId="122" fillId="0" borderId="44" xfId="0" applyFont="1" applyBorder="1" applyAlignment="1">
      <alignment vertical="center" wrapText="1"/>
    </xf>
    <xf numFmtId="0" fontId="122" fillId="0" borderId="66" xfId="0" applyFont="1" applyBorder="1" applyAlignment="1">
      <alignment vertical="center" wrapText="1"/>
    </xf>
    <xf numFmtId="0" fontId="122" fillId="0" borderId="21" xfId="0" applyFont="1" applyBorder="1" applyAlignment="1">
      <alignment vertical="center" wrapText="1"/>
    </xf>
    <xf numFmtId="0" fontId="122" fillId="0" borderId="67" xfId="0" applyFont="1" applyBorder="1" applyAlignment="1">
      <alignment vertical="center" wrapText="1"/>
    </xf>
    <xf numFmtId="164" fontId="2" fillId="0" borderId="184" xfId="0" applyNumberFormat="1" applyFont="1" applyBorder="1"/>
    <xf numFmtId="172" fontId="2" fillId="0" borderId="0" xfId="0" applyNumberFormat="1" applyFont="1"/>
    <xf numFmtId="0" fontId="6" fillId="0" borderId="44" xfId="0" applyFont="1" applyBorder="1" applyAlignment="1">
      <alignment horizontal="right"/>
    </xf>
    <xf numFmtId="0" fontId="121" fillId="0" borderId="66" xfId="0" applyFont="1" applyBorder="1" applyAlignment="1">
      <alignment vertical="center" wrapText="1"/>
    </xf>
    <xf numFmtId="0" fontId="121" fillId="0" borderId="21" xfId="0" applyFont="1" applyBorder="1" applyAlignment="1">
      <alignment vertical="center" wrapText="1"/>
    </xf>
    <xf numFmtId="0" fontId="121" fillId="0" borderId="67" xfId="0" applyFont="1" applyBorder="1" applyAlignment="1">
      <alignment vertical="center" wrapText="1"/>
    </xf>
    <xf numFmtId="0" fontId="121" fillId="0" borderId="29" xfId="0" applyFont="1" applyBorder="1" applyAlignment="1">
      <alignment vertical="center" wrapText="1"/>
    </xf>
    <xf numFmtId="0" fontId="121" fillId="0" borderId="0" xfId="0" applyFont="1" applyAlignment="1">
      <alignment vertical="center" wrapText="1"/>
    </xf>
    <xf numFmtId="0" fontId="121" fillId="0" borderId="44" xfId="0" applyFont="1" applyBorder="1" applyAlignment="1">
      <alignment vertical="center" wrapText="1"/>
    </xf>
    <xf numFmtId="0" fontId="78" fillId="0" borderId="7" xfId="0" applyFont="1" applyBorder="1" applyAlignment="1">
      <alignment horizontal="right" vertical="top" wrapText="1"/>
    </xf>
    <xf numFmtId="0" fontId="78" fillId="0" borderId="0" xfId="0" applyFont="1" applyAlignment="1">
      <alignment horizontal="right" vertical="top" wrapText="1"/>
    </xf>
    <xf numFmtId="0" fontId="6" fillId="0" borderId="0" xfId="0" applyFont="1" applyAlignment="1">
      <alignment horizontal="right" vertical="top" wrapText="1"/>
    </xf>
    <xf numFmtId="0" fontId="6" fillId="0" borderId="28" xfId="0" applyFont="1" applyBorder="1" applyAlignment="1">
      <alignment horizontal="right" vertical="top" wrapText="1"/>
    </xf>
    <xf numFmtId="164" fontId="6" fillId="0" borderId="28" xfId="0" applyNumberFormat="1" applyFont="1" applyBorder="1" applyAlignment="1">
      <alignment horizontal="center" vertical="center"/>
    </xf>
    <xf numFmtId="0" fontId="123" fillId="0" borderId="0" xfId="0" applyFont="1" applyAlignment="1">
      <alignment horizontal="left" vertical="center"/>
    </xf>
    <xf numFmtId="0" fontId="124" fillId="0" borderId="0" xfId="0" applyFont="1" applyAlignment="1">
      <alignment horizontal="right" vertical="top" wrapText="1"/>
    </xf>
    <xf numFmtId="164" fontId="124" fillId="0" borderId="0" xfId="0" applyNumberFormat="1" applyFont="1" applyAlignment="1">
      <alignment horizontal="center" vertical="center"/>
    </xf>
    <xf numFmtId="0" fontId="125" fillId="0" borderId="0" xfId="0" applyFont="1" applyAlignment="1">
      <alignment horizontal="left" vertical="center"/>
    </xf>
    <xf numFmtId="0" fontId="125" fillId="0" borderId="0" xfId="0" applyFont="1" applyAlignment="1">
      <alignment horizontal="right" vertical="top" wrapText="1"/>
    </xf>
    <xf numFmtId="0" fontId="125" fillId="0" borderId="186" xfId="0" applyFont="1" applyBorder="1" applyAlignment="1">
      <alignment horizontal="right" vertical="top" wrapText="1"/>
    </xf>
    <xf numFmtId="164" fontId="124" fillId="0" borderId="190" xfId="0" applyNumberFormat="1" applyFont="1" applyBorder="1" applyAlignment="1">
      <alignment horizontal="center" vertical="center"/>
    </xf>
    <xf numFmtId="172" fontId="2" fillId="0" borderId="0" xfId="0" applyNumberFormat="1" applyFont="1" applyAlignment="1">
      <alignment horizontal="right"/>
    </xf>
    <xf numFmtId="0" fontId="6" fillId="0" borderId="0" xfId="0" applyFont="1" applyAlignment="1">
      <alignment vertical="center" wrapText="1"/>
    </xf>
    <xf numFmtId="172" fontId="2" fillId="0" borderId="16" xfId="0" applyNumberFormat="1" applyFont="1" applyBorder="1" applyAlignment="1">
      <alignment horizontal="right"/>
    </xf>
    <xf numFmtId="3" fontId="16" fillId="9" borderId="25" xfId="0" applyNumberFormat="1" applyFont="1" applyFill="1" applyBorder="1" applyAlignment="1">
      <alignment vertical="center" wrapText="1"/>
    </xf>
    <xf numFmtId="0" fontId="26" fillId="0" borderId="0" xfId="0" applyFont="1" applyAlignment="1">
      <alignment horizontal="left" wrapText="1"/>
    </xf>
    <xf numFmtId="0" fontId="0" fillId="0" borderId="0" xfId="0"/>
    <xf numFmtId="0" fontId="2" fillId="0" borderId="0" xfId="0" applyFont="1" applyAlignment="1">
      <alignment horizontal="left" wrapText="1"/>
    </xf>
    <xf numFmtId="0" fontId="2" fillId="0" borderId="0" xfId="0" applyFont="1" applyAlignment="1">
      <alignment horizontal="left" vertical="top" wrapText="1"/>
    </xf>
    <xf numFmtId="0" fontId="6"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xf>
    <xf numFmtId="0" fontId="13" fillId="0" borderId="0" xfId="0" applyFont="1"/>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11" fillId="0" borderId="0" xfId="0" applyFont="1" applyAlignment="1">
      <alignment horizontal="left" vertical="top"/>
    </xf>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2" fillId="0" borderId="0" xfId="0" applyFont="1" applyAlignment="1">
      <alignment vertical="top" wrapText="1"/>
    </xf>
    <xf numFmtId="0" fontId="2" fillId="0" borderId="0" xfId="0" applyFont="1"/>
    <xf numFmtId="0" fontId="6" fillId="0" borderId="0" xfId="0" applyFont="1" applyAlignment="1">
      <alignment wrapText="1"/>
    </xf>
    <xf numFmtId="49" fontId="2" fillId="0" borderId="0" xfId="0" applyNumberFormat="1" applyFont="1" applyAlignment="1">
      <alignment horizontal="left" vertical="top" wrapText="1"/>
    </xf>
    <xf numFmtId="0" fontId="9" fillId="0" borderId="0" xfId="0" applyFont="1" applyAlignment="1">
      <alignment horizontal="left"/>
    </xf>
    <xf numFmtId="0" fontId="2" fillId="0" borderId="0" xfId="0" applyFont="1" applyAlignment="1">
      <alignment horizontal="left"/>
    </xf>
    <xf numFmtId="4" fontId="45" fillId="0" borderId="0" xfId="0" applyNumberFormat="1" applyFont="1" applyAlignment="1">
      <alignment horizontal="left"/>
    </xf>
    <xf numFmtId="0" fontId="2" fillId="0" borderId="0" xfId="0" quotePrefix="1" applyFont="1" applyAlignment="1">
      <alignment horizontal="left" vertical="top"/>
    </xf>
    <xf numFmtId="0" fontId="22" fillId="0" borderId="0" xfId="0" applyFont="1" applyAlignment="1">
      <alignment horizontal="left" vertical="top" wrapText="1"/>
    </xf>
    <xf numFmtId="0" fontId="2" fillId="0" borderId="0" xfId="0" applyFont="1" applyAlignment="1">
      <alignment horizontal="left" vertical="top"/>
    </xf>
    <xf numFmtId="0" fontId="6" fillId="0" borderId="7" xfId="0" applyFont="1" applyBorder="1" applyAlignment="1">
      <alignment horizontal="left"/>
    </xf>
    <xf numFmtId="0" fontId="5" fillId="0" borderId="7" xfId="0" applyFont="1" applyBorder="1"/>
    <xf numFmtId="0" fontId="2" fillId="0" borderId="0" xfId="0" applyFont="1" applyAlignment="1">
      <alignment horizontal="left" vertical="center" wrapText="1"/>
    </xf>
    <xf numFmtId="0" fontId="2" fillId="0" borderId="0" xfId="0" applyFont="1" applyAlignment="1">
      <alignment vertical="center" wrapText="1"/>
    </xf>
    <xf numFmtId="0" fontId="34" fillId="0" borderId="0" xfId="0" applyFont="1" applyAlignment="1">
      <alignment horizontal="left" vertical="top" wrapText="1"/>
    </xf>
    <xf numFmtId="0" fontId="47" fillId="0" borderId="0" xfId="0" applyFont="1" applyAlignment="1">
      <alignment horizontal="left" vertical="top"/>
    </xf>
    <xf numFmtId="4" fontId="2" fillId="0" borderId="0" xfId="0" applyNumberFormat="1" applyFont="1" applyAlignment="1">
      <alignment horizontal="left"/>
    </xf>
    <xf numFmtId="4" fontId="2" fillId="0" borderId="0" xfId="0" applyNumberFormat="1" applyFont="1" applyAlignment="1">
      <alignment horizontal="left" vertical="top" wrapText="1"/>
    </xf>
    <xf numFmtId="0" fontId="6" fillId="0" borderId="0" xfId="0" applyFont="1" applyAlignment="1">
      <alignment vertical="top" wrapText="1"/>
    </xf>
    <xf numFmtId="0" fontId="2" fillId="0" borderId="0" xfId="0" quotePrefix="1" applyFont="1" applyAlignment="1">
      <alignment horizontal="left" vertical="top" wrapText="1"/>
    </xf>
    <xf numFmtId="4" fontId="37" fillId="0" borderId="0" xfId="0" applyNumberFormat="1" applyFont="1" applyAlignment="1">
      <alignment horizontal="left" vertical="top" wrapText="1"/>
    </xf>
    <xf numFmtId="0" fontId="6" fillId="0" borderId="7" xfId="0" applyFont="1" applyBorder="1" applyAlignment="1">
      <alignment horizontal="left" vertical="top"/>
    </xf>
    <xf numFmtId="0" fontId="41" fillId="0" borderId="0" xfId="0" quotePrefix="1" applyFont="1" applyAlignment="1">
      <alignment horizontal="left"/>
    </xf>
    <xf numFmtId="0" fontId="6" fillId="0" borderId="5" xfId="0" applyFont="1" applyBorder="1" applyAlignment="1">
      <alignment horizontal="left"/>
    </xf>
    <xf numFmtId="0" fontId="2" fillId="0" borderId="24" xfId="0" applyFont="1" applyBorder="1" applyAlignment="1">
      <alignment horizontal="left"/>
    </xf>
    <xf numFmtId="0" fontId="5" fillId="0" borderId="24" xfId="0" applyFont="1" applyBorder="1"/>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wrapText="1"/>
    </xf>
    <xf numFmtId="0" fontId="10" fillId="0" borderId="0" xfId="0" applyFont="1" applyAlignment="1">
      <alignment horizontal="left" wrapText="1"/>
    </xf>
    <xf numFmtId="0" fontId="2" fillId="14" borderId="19" xfId="0" applyFont="1" applyFill="1" applyBorder="1" applyAlignment="1">
      <alignment horizontal="center"/>
    </xf>
    <xf numFmtId="0" fontId="5" fillId="0" borderId="20" xfId="0" applyFont="1" applyBorder="1"/>
    <xf numFmtId="0" fontId="2" fillId="6" borderId="19" xfId="0" applyFont="1" applyFill="1" applyBorder="1" applyAlignment="1">
      <alignment horizontal="center"/>
    </xf>
    <xf numFmtId="0" fontId="2" fillId="0" borderId="19" xfId="0" applyFont="1" applyBorder="1" applyAlignment="1">
      <alignment horizontal="center"/>
    </xf>
    <xf numFmtId="176" fontId="2" fillId="0" borderId="64" xfId="0" applyNumberFormat="1" applyFont="1" applyBorder="1" applyAlignment="1">
      <alignment horizontal="right"/>
    </xf>
    <xf numFmtId="0" fontId="5" fillId="0" borderId="28" xfId="0" applyFont="1" applyBorder="1"/>
    <xf numFmtId="0" fontId="5" fillId="0" borderId="65" xfId="0" applyFont="1" applyBorder="1"/>
    <xf numFmtId="0" fontId="2" fillId="3" borderId="19" xfId="0" applyFont="1" applyFill="1" applyBorder="1" applyAlignment="1">
      <alignment horizontal="center"/>
    </xf>
    <xf numFmtId="1" fontId="2" fillId="3" borderId="19" xfId="0" applyNumberFormat="1" applyFont="1" applyFill="1" applyBorder="1" applyAlignment="1">
      <alignment horizontal="center"/>
    </xf>
    <xf numFmtId="3" fontId="2" fillId="3" borderId="19" xfId="0" applyNumberFormat="1" applyFont="1" applyFill="1" applyBorder="1" applyAlignment="1">
      <alignment horizontal="center"/>
    </xf>
    <xf numFmtId="164" fontId="2" fillId="3" borderId="19" xfId="0" applyNumberFormat="1" applyFont="1" applyFill="1" applyBorder="1" applyAlignment="1">
      <alignment horizontal="center"/>
    </xf>
    <xf numFmtId="164" fontId="2" fillId="0" borderId="19" xfId="0" applyNumberFormat="1" applyFont="1" applyBorder="1" applyAlignment="1">
      <alignment horizontal="center"/>
    </xf>
    <xf numFmtId="9" fontId="2" fillId="3" borderId="19" xfId="0" applyNumberFormat="1" applyFont="1" applyFill="1" applyBorder="1" applyAlignment="1">
      <alignment horizontal="center"/>
    </xf>
    <xf numFmtId="1" fontId="2" fillId="14" borderId="19" xfId="0" applyNumberFormat="1" applyFont="1" applyFill="1" applyBorder="1" applyAlignment="1">
      <alignment horizontal="center"/>
    </xf>
    <xf numFmtId="1" fontId="2" fillId="0" borderId="19" xfId="0" applyNumberFormat="1" applyFont="1" applyBorder="1" applyAlignment="1">
      <alignment horizontal="center"/>
    </xf>
    <xf numFmtId="0" fontId="2" fillId="0" borderId="64" xfId="0" applyFont="1" applyBorder="1" applyAlignment="1">
      <alignment horizontal="center" vertical="top" wrapText="1"/>
    </xf>
    <xf numFmtId="0" fontId="5" fillId="0" borderId="29" xfId="0" applyFont="1" applyBorder="1"/>
    <xf numFmtId="0" fontId="5" fillId="0" borderId="44" xfId="0" applyFont="1" applyBorder="1"/>
    <xf numFmtId="0" fontId="5" fillId="0" borderId="66" xfId="0" applyFont="1" applyBorder="1"/>
    <xf numFmtId="0" fontId="5" fillId="0" borderId="21" xfId="0" applyFont="1" applyBorder="1"/>
    <xf numFmtId="0" fontId="5" fillId="0" borderId="67" xfId="0" applyFont="1" applyBorder="1"/>
    <xf numFmtId="9" fontId="2" fillId="3" borderId="105" xfId="0" applyNumberFormat="1" applyFont="1" applyFill="1" applyBorder="1" applyAlignment="1">
      <alignment horizontal="center"/>
    </xf>
    <xf numFmtId="9" fontId="2" fillId="3" borderId="31" xfId="0" applyNumberFormat="1" applyFont="1" applyFill="1" applyBorder="1" applyAlignment="1">
      <alignment horizontal="center"/>
    </xf>
    <xf numFmtId="9" fontId="2" fillId="3" borderId="20" xfId="0" applyNumberFormat="1" applyFont="1" applyFill="1" applyBorder="1" applyAlignment="1">
      <alignment horizontal="center"/>
    </xf>
    <xf numFmtId="0" fontId="2" fillId="0" borderId="21" xfId="0" applyFont="1" applyBorder="1" applyAlignment="1">
      <alignment horizontal="left"/>
    </xf>
    <xf numFmtId="0" fontId="2" fillId="3" borderId="13" xfId="0" applyFont="1" applyFill="1" applyBorder="1" applyAlignment="1">
      <alignment horizontal="left"/>
    </xf>
    <xf numFmtId="0" fontId="5" fillId="0" borderId="14" xfId="0" applyFont="1" applyBorder="1"/>
    <xf numFmtId="0" fontId="5" fillId="0" borderId="15" xfId="0" applyFont="1" applyBorder="1"/>
    <xf numFmtId="0" fontId="2" fillId="3" borderId="30" xfId="0" applyFont="1" applyFill="1" applyBorder="1" applyAlignment="1">
      <alignment horizontal="left"/>
    </xf>
    <xf numFmtId="0" fontId="5" fillId="0" borderId="31" xfId="0" applyFont="1" applyBorder="1"/>
    <xf numFmtId="168" fontId="2" fillId="3" borderId="30" xfId="0" applyNumberFormat="1" applyFont="1" applyFill="1" applyBorder="1" applyAlignment="1">
      <alignment horizontal="left"/>
    </xf>
    <xf numFmtId="0" fontId="2" fillId="3" borderId="13" xfId="0" applyFont="1" applyFill="1" applyBorder="1" applyAlignment="1">
      <alignment horizontal="center"/>
    </xf>
    <xf numFmtId="14" fontId="2" fillId="3" borderId="13" xfId="0" applyNumberFormat="1" applyFont="1" applyFill="1" applyBorder="1" applyAlignment="1">
      <alignment horizontal="center"/>
    </xf>
    <xf numFmtId="14" fontId="2" fillId="3" borderId="30" xfId="0" applyNumberFormat="1" applyFont="1" applyFill="1" applyBorder="1" applyAlignment="1">
      <alignment horizontal="center"/>
    </xf>
    <xf numFmtId="10" fontId="2" fillId="3" borderId="30" xfId="0" applyNumberFormat="1" applyFont="1" applyFill="1" applyBorder="1" applyAlignment="1">
      <alignment horizontal="center"/>
    </xf>
    <xf numFmtId="1" fontId="2" fillId="6" borderId="19" xfId="0" applyNumberFormat="1" applyFont="1" applyFill="1" applyBorder="1" applyAlignment="1">
      <alignment horizontal="center"/>
    </xf>
    <xf numFmtId="164" fontId="2" fillId="3" borderId="19" xfId="0" applyNumberFormat="1" applyFont="1" applyFill="1" applyBorder="1" applyAlignment="1">
      <alignment horizontal="right"/>
    </xf>
    <xf numFmtId="164" fontId="2" fillId="3" borderId="96" xfId="0" applyNumberFormat="1" applyFont="1" applyFill="1" applyBorder="1" applyAlignment="1">
      <alignment horizontal="right"/>
    </xf>
    <xf numFmtId="0" fontId="5" fillId="0" borderId="97" xfId="0" applyFont="1" applyBorder="1"/>
    <xf numFmtId="0" fontId="2" fillId="0" borderId="0" xfId="0" applyFont="1" applyAlignment="1">
      <alignment horizontal="center"/>
    </xf>
    <xf numFmtId="14" fontId="2" fillId="3" borderId="19" xfId="0" applyNumberFormat="1" applyFont="1" applyFill="1" applyBorder="1" applyAlignment="1">
      <alignment horizontal="right"/>
    </xf>
    <xf numFmtId="0" fontId="2" fillId="3" borderId="19" xfId="0" applyFont="1" applyFill="1" applyBorder="1" applyAlignment="1">
      <alignment horizontal="left"/>
    </xf>
    <xf numFmtId="0" fontId="32" fillId="3" borderId="19" xfId="0" applyFont="1" applyFill="1" applyBorder="1" applyAlignment="1">
      <alignment horizontal="right"/>
    </xf>
    <xf numFmtId="9" fontId="2" fillId="3" borderId="19" xfId="0" applyNumberFormat="1" applyFont="1" applyFill="1" applyBorder="1" applyAlignment="1">
      <alignment horizontal="right"/>
    </xf>
    <xf numFmtId="3" fontId="2" fillId="3" borderId="19" xfId="0" applyNumberFormat="1" applyFont="1" applyFill="1" applyBorder="1" applyAlignment="1">
      <alignment horizontal="right"/>
    </xf>
    <xf numFmtId="1" fontId="2" fillId="3" borderId="19" xfId="0" applyNumberFormat="1" applyFont="1" applyFill="1" applyBorder="1" applyAlignment="1">
      <alignment horizontal="right"/>
    </xf>
    <xf numFmtId="0" fontId="4" fillId="2" borderId="1" xfId="0" applyFont="1" applyFill="1" applyBorder="1" applyAlignment="1">
      <alignment horizontal="center" vertical="center"/>
    </xf>
    <xf numFmtId="0" fontId="5" fillId="0" borderId="10" xfId="0" applyFont="1" applyBorder="1"/>
    <xf numFmtId="0" fontId="5" fillId="0" borderId="11" xfId="0" applyFont="1" applyBorder="1"/>
    <xf numFmtId="0" fontId="5" fillId="0" borderId="12" xfId="0" applyFont="1" applyBorder="1"/>
    <xf numFmtId="0" fontId="6" fillId="0" borderId="64" xfId="0" applyFont="1" applyBorder="1" applyAlignment="1">
      <alignment horizontal="center"/>
    </xf>
    <xf numFmtId="0" fontId="6" fillId="0" borderId="64" xfId="0" applyFont="1" applyBorder="1" applyAlignment="1">
      <alignment horizontal="center" wrapText="1"/>
    </xf>
    <xf numFmtId="0" fontId="6" fillId="0" borderId="29" xfId="0" applyFont="1" applyBorder="1" applyAlignment="1">
      <alignment horizontal="center" wrapText="1"/>
    </xf>
    <xf numFmtId="0" fontId="6" fillId="0" borderId="21" xfId="0" applyFont="1" applyBorder="1" applyAlignment="1">
      <alignment horizontal="center"/>
    </xf>
    <xf numFmtId="0" fontId="2" fillId="0" borderId="19" xfId="0" applyFont="1" applyBorder="1"/>
    <xf numFmtId="164" fontId="2" fillId="3" borderId="19" xfId="0" applyNumberFormat="1" applyFont="1" applyFill="1" applyBorder="1"/>
    <xf numFmtId="178" fontId="27" fillId="3" borderId="19" xfId="0" applyNumberFormat="1" applyFont="1" applyFill="1" applyBorder="1" applyAlignment="1">
      <alignment horizontal="left"/>
    </xf>
    <xf numFmtId="164" fontId="2" fillId="0" borderId="19" xfId="0" applyNumberFormat="1" applyFont="1" applyBorder="1"/>
    <xf numFmtId="164" fontId="2" fillId="0" borderId="19" xfId="0" applyNumberFormat="1" applyFont="1" applyBorder="1" applyAlignment="1">
      <alignment horizontal="right"/>
    </xf>
    <xf numFmtId="2" fontId="2" fillId="0" borderId="0" xfId="0" applyNumberFormat="1" applyFont="1" applyAlignment="1">
      <alignment horizontal="center"/>
    </xf>
    <xf numFmtId="184" fontId="2" fillId="0" borderId="0" xfId="0" applyNumberFormat="1" applyFont="1" applyAlignment="1">
      <alignment horizontal="right"/>
    </xf>
    <xf numFmtId="184" fontId="2" fillId="0" borderId="0" xfId="0" applyNumberFormat="1" applyFont="1" applyAlignment="1">
      <alignment horizontal="center"/>
    </xf>
    <xf numFmtId="0" fontId="6" fillId="0" borderId="19" xfId="0" applyFont="1" applyBorder="1" applyAlignment="1">
      <alignment horizontal="right"/>
    </xf>
    <xf numFmtId="0" fontId="2" fillId="3" borderId="19" xfId="0" applyFont="1" applyFill="1" applyBorder="1"/>
    <xf numFmtId="9" fontId="2" fillId="0" borderId="0" xfId="0" applyNumberFormat="1" applyFont="1" applyAlignment="1">
      <alignment horizontal="center" vertical="center"/>
    </xf>
    <xf numFmtId="164" fontId="2" fillId="3" borderId="30" xfId="0" applyNumberFormat="1" applyFont="1" applyFill="1" applyBorder="1" applyAlignment="1">
      <alignment horizontal="right"/>
    </xf>
    <xf numFmtId="0" fontId="6" fillId="3" borderId="19" xfId="0" applyFont="1" applyFill="1" applyBorder="1" applyAlignment="1">
      <alignment horizontal="right"/>
    </xf>
    <xf numFmtId="164" fontId="2" fillId="0" borderId="7" xfId="0" applyNumberFormat="1" applyFont="1" applyBorder="1" applyAlignment="1">
      <alignment horizontal="right"/>
    </xf>
    <xf numFmtId="3" fontId="2" fillId="0" borderId="7" xfId="0" applyNumberFormat="1" applyFont="1" applyBorder="1" applyAlignment="1">
      <alignment horizontal="right"/>
    </xf>
    <xf numFmtId="0" fontId="6" fillId="0" borderId="28" xfId="0" applyFont="1" applyBorder="1" applyAlignment="1">
      <alignment horizontal="right"/>
    </xf>
    <xf numFmtId="164" fontId="2" fillId="3" borderId="13" xfId="0" applyNumberFormat="1" applyFont="1" applyFill="1" applyBorder="1" applyAlignment="1">
      <alignment horizontal="right"/>
    </xf>
    <xf numFmtId="0" fontId="2" fillId="0" borderId="19" xfId="0" applyFont="1" applyBorder="1" applyAlignment="1">
      <alignment horizontal="left"/>
    </xf>
    <xf numFmtId="0" fontId="27" fillId="0" borderId="19" xfId="0" applyFont="1" applyBorder="1" applyAlignment="1">
      <alignment horizontal="center"/>
    </xf>
    <xf numFmtId="164" fontId="125" fillId="0" borderId="185" xfId="0" applyNumberFormat="1" applyFont="1" applyBorder="1" applyAlignment="1">
      <alignment horizontal="right" vertical="center" wrapText="1"/>
    </xf>
    <xf numFmtId="0" fontId="5" fillId="0" borderId="185" xfId="0" applyFont="1" applyBorder="1"/>
    <xf numFmtId="165" fontId="125" fillId="0" borderId="187" xfId="0" applyNumberFormat="1" applyFont="1" applyBorder="1" applyAlignment="1">
      <alignment horizontal="center" vertical="center" wrapText="1"/>
    </xf>
    <xf numFmtId="0" fontId="5" fillId="0" borderId="188" xfId="0" applyFont="1" applyBorder="1"/>
    <xf numFmtId="0" fontId="5" fillId="0" borderId="189" xfId="0" applyFont="1" applyBorder="1"/>
    <xf numFmtId="0" fontId="124" fillId="0" borderId="0" xfId="0" applyFont="1" applyAlignment="1">
      <alignment horizontal="left" vertical="center" wrapText="1"/>
    </xf>
    <xf numFmtId="0" fontId="6" fillId="0" borderId="64" xfId="0" applyFont="1" applyBorder="1" applyAlignment="1">
      <alignment horizontal="left" vertical="center" wrapText="1"/>
    </xf>
    <xf numFmtId="0" fontId="27" fillId="3" borderId="96" xfId="0" applyFont="1" applyFill="1" applyBorder="1" applyAlignment="1">
      <alignment horizontal="center"/>
    </xf>
    <xf numFmtId="0" fontId="2" fillId="0" borderId="29" xfId="0" applyFont="1" applyBorder="1" applyAlignment="1">
      <alignment horizontal="left" wrapText="1"/>
    </xf>
    <xf numFmtId="1" fontId="27" fillId="0" borderId="19" xfId="0" applyNumberFormat="1" applyFont="1" applyBorder="1" applyAlignment="1">
      <alignment horizontal="center"/>
    </xf>
    <xf numFmtId="0" fontId="6" fillId="0" borderId="7" xfId="0" applyFont="1" applyBorder="1" applyAlignment="1">
      <alignment horizontal="right" vertical="top" wrapText="1"/>
    </xf>
    <xf numFmtId="164" fontId="6" fillId="0" borderId="19" xfId="0" applyNumberFormat="1" applyFont="1" applyBorder="1" applyAlignment="1">
      <alignment horizontal="center" vertical="center"/>
    </xf>
    <xf numFmtId="164" fontId="2" fillId="0" borderId="64" xfId="0" applyNumberFormat="1" applyFont="1" applyBorder="1" applyAlignment="1">
      <alignment horizontal="center" vertical="center"/>
    </xf>
    <xf numFmtId="0" fontId="6" fillId="0" borderId="29" xfId="0" applyFont="1" applyBorder="1" applyAlignment="1">
      <alignment horizontal="left" vertical="center" wrapText="1"/>
    </xf>
    <xf numFmtId="0" fontId="27" fillId="3" borderId="19" xfId="0" applyFont="1" applyFill="1" applyBorder="1" applyAlignment="1">
      <alignment horizontal="center"/>
    </xf>
    <xf numFmtId="0" fontId="2" fillId="0" borderId="29" xfId="0" applyFont="1" applyBorder="1" applyAlignment="1">
      <alignment horizontal="left" vertical="top" wrapText="1"/>
    </xf>
    <xf numFmtId="0" fontId="6" fillId="0" borderId="64" xfId="0" applyFont="1" applyBorder="1" applyAlignment="1">
      <alignment horizontal="left" vertical="top" wrapText="1"/>
    </xf>
    <xf numFmtId="164" fontId="2" fillId="9" borderId="19" xfId="0" applyNumberFormat="1" applyFont="1" applyFill="1" applyBorder="1" applyAlignment="1">
      <alignment horizontal="center"/>
    </xf>
    <xf numFmtId="0" fontId="6" fillId="0" borderId="64" xfId="0" applyFont="1" applyBorder="1" applyAlignment="1">
      <alignment horizontal="right"/>
    </xf>
    <xf numFmtId="0" fontId="6" fillId="9" borderId="19" xfId="0" applyFont="1" applyFill="1" applyBorder="1" applyAlignment="1">
      <alignment horizontal="center"/>
    </xf>
    <xf numFmtId="0" fontId="27" fillId="3" borderId="19" xfId="0" applyFont="1" applyFill="1" applyBorder="1" applyAlignment="1">
      <alignment horizontal="center" vertical="top"/>
    </xf>
    <xf numFmtId="0" fontId="2" fillId="0" borderId="29" xfId="0" applyFont="1" applyBorder="1" applyAlignment="1">
      <alignment horizontal="left" vertical="center" wrapText="1"/>
    </xf>
    <xf numFmtId="0" fontId="2" fillId="0" borderId="66" xfId="0" applyFont="1" applyBorder="1" applyAlignment="1">
      <alignment horizontal="left" vertical="center" wrapText="1"/>
    </xf>
    <xf numFmtId="0" fontId="2" fillId="3" borderId="19" xfId="0" applyFont="1" applyFill="1" applyBorder="1" applyAlignment="1">
      <alignment horizontal="left" vertical="top" wrapText="1"/>
    </xf>
    <xf numFmtId="0" fontId="27" fillId="3" borderId="19" xfId="0" applyFont="1" applyFill="1" applyBorder="1" applyAlignment="1">
      <alignment horizontal="left" vertical="top" wrapText="1"/>
    </xf>
    <xf numFmtId="0" fontId="120" fillId="0" borderId="29" xfId="0" applyFont="1" applyBorder="1" applyAlignment="1">
      <alignment horizontal="center" wrapText="1"/>
    </xf>
    <xf numFmtId="0" fontId="121" fillId="0" borderId="29" xfId="0" applyFont="1" applyBorder="1" applyAlignment="1">
      <alignment horizontal="center" vertical="center" wrapText="1"/>
    </xf>
    <xf numFmtId="172" fontId="27" fillId="3" borderId="64" xfId="0" applyNumberFormat="1" applyFont="1" applyFill="1" applyBorder="1" applyAlignment="1">
      <alignment horizontal="center" vertical="center" wrapText="1"/>
    </xf>
    <xf numFmtId="0" fontId="2" fillId="0" borderId="66" xfId="0" applyFont="1" applyBorder="1" applyAlignment="1">
      <alignment horizontal="left" vertical="top" wrapText="1"/>
    </xf>
    <xf numFmtId="0" fontId="120" fillId="0" borderId="29" xfId="0" applyFont="1" applyBorder="1" applyAlignment="1">
      <alignment horizontal="center" vertical="top" wrapText="1"/>
    </xf>
    <xf numFmtId="0" fontId="2" fillId="0" borderId="66" xfId="0" applyFont="1" applyBorder="1" applyAlignment="1">
      <alignment horizontal="left"/>
    </xf>
    <xf numFmtId="0" fontId="119" fillId="0" borderId="19" xfId="0" applyFont="1" applyBorder="1" applyAlignment="1">
      <alignment horizontal="center"/>
    </xf>
    <xf numFmtId="0" fontId="27" fillId="3" borderId="19" xfId="0" applyFont="1" applyFill="1" applyBorder="1" applyAlignment="1">
      <alignment horizontal="left"/>
    </xf>
    <xf numFmtId="0" fontId="5" fillId="0" borderId="126" xfId="0" applyFont="1" applyBorder="1"/>
    <xf numFmtId="0" fontId="5" fillId="0" borderId="127" xfId="0" applyFont="1" applyBorder="1"/>
    <xf numFmtId="164" fontId="2" fillId="3" borderId="19" xfId="0" applyNumberFormat="1" applyFont="1" applyFill="1" applyBorder="1" applyAlignment="1">
      <alignment horizontal="left"/>
    </xf>
    <xf numFmtId="0" fontId="6" fillId="0" borderId="28" xfId="0" applyFont="1" applyBorder="1" applyAlignment="1">
      <alignment horizontal="center" wrapText="1"/>
    </xf>
    <xf numFmtId="0" fontId="6" fillId="3" borderId="64" xfId="0" applyFont="1" applyFill="1" applyBorder="1" applyAlignment="1">
      <alignment horizontal="center"/>
    </xf>
    <xf numFmtId="0" fontId="2" fillId="3" borderId="19" xfId="0" applyFont="1" applyFill="1" applyBorder="1" applyAlignment="1">
      <alignment horizontal="right"/>
    </xf>
    <xf numFmtId="164" fontId="51" fillId="0" borderId="0" xfId="0" applyNumberFormat="1" applyFont="1" applyAlignment="1">
      <alignment horizontal="center" vertical="center" wrapText="1"/>
    </xf>
    <xf numFmtId="0" fontId="2" fillId="0" borderId="64" xfId="0" applyFont="1" applyBorder="1" applyAlignment="1">
      <alignment horizontal="center" wrapText="1"/>
    </xf>
    <xf numFmtId="176" fontId="6" fillId="0" borderId="19" xfId="0" applyNumberFormat="1" applyFont="1" applyBorder="1" applyAlignment="1">
      <alignment horizontal="center"/>
    </xf>
    <xf numFmtId="0" fontId="6" fillId="0" borderId="0" xfId="0" applyFont="1" applyAlignment="1">
      <alignment horizontal="center" vertical="center"/>
    </xf>
    <xf numFmtId="0" fontId="51" fillId="0" borderId="0" xfId="0" applyFont="1" applyAlignment="1">
      <alignment horizontal="center" vertical="center" wrapText="1"/>
    </xf>
    <xf numFmtId="0" fontId="2" fillId="3" borderId="13" xfId="0" applyFont="1" applyFill="1" applyBorder="1"/>
    <xf numFmtId="0" fontId="2" fillId="3" borderId="30" xfId="0" applyFont="1" applyFill="1" applyBorder="1" applyAlignment="1">
      <alignment wrapText="1"/>
    </xf>
    <xf numFmtId="0" fontId="2" fillId="3" borderId="19" xfId="0" applyFont="1" applyFill="1" applyBorder="1" applyAlignment="1">
      <alignment horizontal="left" wrapText="1"/>
    </xf>
    <xf numFmtId="0" fontId="6" fillId="0" borderId="64" xfId="0" applyFont="1" applyBorder="1" applyAlignment="1">
      <alignment horizontal="center" vertical="center" wrapText="1"/>
    </xf>
    <xf numFmtId="171" fontId="6" fillId="0" borderId="64" xfId="0" applyNumberFormat="1" applyFont="1" applyBorder="1" applyAlignment="1">
      <alignment horizontal="center" vertical="center" wrapText="1"/>
    </xf>
    <xf numFmtId="165" fontId="2" fillId="3" borderId="19" xfId="0" applyNumberFormat="1" applyFont="1" applyFill="1" applyBorder="1" applyAlignment="1">
      <alignment horizontal="center"/>
    </xf>
    <xf numFmtId="0" fontId="6" fillId="0" borderId="28" xfId="0" applyFont="1" applyBorder="1" applyAlignment="1">
      <alignment horizontal="center" vertical="center" wrapText="1"/>
    </xf>
    <xf numFmtId="0" fontId="30" fillId="0" borderId="64" xfId="0" applyFont="1" applyBorder="1" applyAlignment="1">
      <alignment horizontal="center" vertical="center" wrapText="1"/>
    </xf>
    <xf numFmtId="0" fontId="78" fillId="0" borderId="64" xfId="0" applyFont="1" applyBorder="1" applyAlignment="1">
      <alignment horizontal="center" vertical="center" wrapText="1"/>
    </xf>
    <xf numFmtId="0" fontId="6" fillId="0" borderId="64" xfId="0" applyFont="1" applyBorder="1" applyAlignment="1">
      <alignment horizontal="center" vertical="center"/>
    </xf>
    <xf numFmtId="0" fontId="6" fillId="0" borderId="66" xfId="0" applyFont="1" applyBorder="1" applyAlignment="1">
      <alignment horizontal="right"/>
    </xf>
    <xf numFmtId="1" fontId="2" fillId="3" borderId="30" xfId="0" applyNumberFormat="1" applyFont="1" applyFill="1" applyBorder="1" applyAlignment="1">
      <alignment horizontal="center"/>
    </xf>
    <xf numFmtId="0" fontId="2" fillId="3" borderId="30" xfId="0" applyFont="1" applyFill="1" applyBorder="1" applyAlignment="1">
      <alignment horizontal="center"/>
    </xf>
    <xf numFmtId="165" fontId="2" fillId="3" borderId="19" xfId="0" applyNumberFormat="1" applyFont="1" applyFill="1" applyBorder="1" applyAlignment="1">
      <alignment horizontal="center" vertical="center"/>
    </xf>
    <xf numFmtId="165" fontId="2" fillId="3" borderId="30" xfId="0" applyNumberFormat="1" applyFont="1" applyFill="1" applyBorder="1" applyAlignment="1">
      <alignment horizontal="left" vertical="center" wrapText="1"/>
    </xf>
    <xf numFmtId="174" fontId="27" fillId="3" borderId="19" xfId="0" applyNumberFormat="1" applyFont="1" applyFill="1" applyBorder="1" applyAlignment="1">
      <alignment horizontal="center" vertical="center"/>
    </xf>
    <xf numFmtId="164" fontId="2" fillId="3" borderId="19" xfId="0" applyNumberFormat="1" applyFont="1" applyFill="1" applyBorder="1" applyAlignment="1">
      <alignment horizontal="center" vertical="center"/>
    </xf>
    <xf numFmtId="164" fontId="2" fillId="3" borderId="19" xfId="0" applyNumberFormat="1" applyFont="1" applyFill="1" applyBorder="1" applyAlignment="1">
      <alignment horizontal="right" vertical="center"/>
    </xf>
    <xf numFmtId="0" fontId="2" fillId="3" borderId="19" xfId="0" applyFont="1" applyFill="1" applyBorder="1" applyAlignment="1">
      <alignment horizontal="left" vertical="center" wrapText="1"/>
    </xf>
    <xf numFmtId="0" fontId="2" fillId="3" borderId="19" xfId="0" applyFont="1" applyFill="1" applyBorder="1" applyAlignment="1">
      <alignment vertical="center" wrapText="1"/>
    </xf>
    <xf numFmtId="1" fontId="2" fillId="3" borderId="19" xfId="0" applyNumberFormat="1" applyFont="1" applyFill="1" applyBorder="1" applyAlignment="1">
      <alignment horizontal="center" vertical="center"/>
    </xf>
    <xf numFmtId="0" fontId="2" fillId="3" borderId="96" xfId="0" applyFont="1" applyFill="1" applyBorder="1" applyAlignment="1">
      <alignment horizontal="center"/>
    </xf>
    <xf numFmtId="1" fontId="2" fillId="3" borderId="30" xfId="0" applyNumberFormat="1" applyFont="1" applyFill="1" applyBorder="1" applyAlignment="1">
      <alignment horizontal="center" vertical="center"/>
    </xf>
    <xf numFmtId="0" fontId="6" fillId="0" borderId="19" xfId="0" applyFont="1" applyBorder="1" applyAlignment="1">
      <alignment horizontal="center"/>
    </xf>
    <xf numFmtId="0" fontId="6" fillId="0" borderId="7" xfId="0" applyFont="1" applyBorder="1" applyAlignment="1">
      <alignment horizontal="center"/>
    </xf>
    <xf numFmtId="0" fontId="2" fillId="0" borderId="21" xfId="0" applyFont="1" applyBorder="1" applyAlignment="1">
      <alignment horizontal="center"/>
    </xf>
    <xf numFmtId="176" fontId="2" fillId="3" borderId="19" xfId="0" applyNumberFormat="1" applyFont="1" applyFill="1" applyBorder="1" applyAlignment="1">
      <alignment horizontal="center"/>
    </xf>
    <xf numFmtId="0" fontId="6" fillId="0" borderId="66" xfId="0" applyFont="1" applyBorder="1" applyAlignment="1">
      <alignment horizontal="center"/>
    </xf>
    <xf numFmtId="164" fontId="2" fillId="0" borderId="19" xfId="0" applyNumberFormat="1" applyFont="1" applyBorder="1" applyAlignment="1">
      <alignment horizontal="left" vertical="top"/>
    </xf>
    <xf numFmtId="1" fontId="2" fillId="3" borderId="19" xfId="0" applyNumberFormat="1" applyFont="1" applyFill="1" applyBorder="1" applyAlignment="1">
      <alignment horizontal="right" vertical="top"/>
    </xf>
    <xf numFmtId="164" fontId="2" fillId="3" borderId="19" xfId="0" applyNumberFormat="1" applyFont="1" applyFill="1" applyBorder="1" applyAlignment="1">
      <alignment horizontal="left" vertical="top"/>
    </xf>
    <xf numFmtId="0" fontId="2" fillId="0" borderId="64" xfId="0" applyFont="1" applyBorder="1" applyAlignment="1">
      <alignment horizontal="left" wrapText="1"/>
    </xf>
    <xf numFmtId="0" fontId="2" fillId="3" borderId="64" xfId="0" applyFont="1" applyFill="1" applyBorder="1" applyAlignment="1">
      <alignment horizontal="center" vertical="top"/>
    </xf>
    <xf numFmtId="0" fontId="2" fillId="3" borderId="64" xfId="0" applyFont="1" applyFill="1" applyBorder="1" applyAlignment="1">
      <alignment horizontal="left" vertical="top" wrapText="1"/>
    </xf>
    <xf numFmtId="0" fontId="2" fillId="3" borderId="19" xfId="0" applyFont="1" applyFill="1" applyBorder="1" applyAlignment="1">
      <alignment horizontal="left" vertical="top"/>
    </xf>
    <xf numFmtId="10" fontId="2" fillId="0" borderId="19" xfId="0" applyNumberFormat="1" applyFont="1" applyBorder="1" applyAlignment="1">
      <alignment horizontal="center"/>
    </xf>
    <xf numFmtId="3" fontId="2" fillId="0" borderId="19" xfId="0" applyNumberFormat="1" applyFont="1" applyBorder="1" applyAlignment="1">
      <alignment horizontal="center"/>
    </xf>
    <xf numFmtId="164" fontId="32" fillId="0" borderId="28" xfId="0" applyNumberFormat="1" applyFont="1" applyBorder="1" applyAlignment="1">
      <alignment horizontal="left" vertical="top" wrapText="1"/>
    </xf>
    <xf numFmtId="0" fontId="27" fillId="3" borderId="1" xfId="0" applyFont="1" applyFill="1" applyBorder="1" applyAlignment="1">
      <alignment horizontal="left" vertical="top" wrapText="1"/>
    </xf>
    <xf numFmtId="0" fontId="5" fillId="0" borderId="42" xfId="0" applyFont="1" applyBorder="1"/>
    <xf numFmtId="0" fontId="5" fillId="0" borderId="43" xfId="0" applyFont="1" applyBorder="1"/>
    <xf numFmtId="0" fontId="2" fillId="3" borderId="1" xfId="0" applyFont="1" applyFill="1" applyBorder="1" applyAlignment="1">
      <alignment horizontal="left" vertical="top" wrapText="1"/>
    </xf>
    <xf numFmtId="49" fontId="2" fillId="3" borderId="13" xfId="0" applyNumberFormat="1" applyFont="1" applyFill="1" applyBorder="1" applyAlignment="1">
      <alignment horizontal="center"/>
    </xf>
    <xf numFmtId="0" fontId="2" fillId="3" borderId="30" xfId="0" applyFont="1" applyFill="1" applyBorder="1" applyAlignment="1">
      <alignment horizontal="right"/>
    </xf>
    <xf numFmtId="10" fontId="2" fillId="3" borderId="30" xfId="0" applyNumberFormat="1" applyFont="1" applyFill="1" applyBorder="1" applyAlignment="1">
      <alignment horizontal="right"/>
    </xf>
    <xf numFmtId="14" fontId="2" fillId="3" borderId="30" xfId="0" applyNumberFormat="1" applyFont="1" applyFill="1" applyBorder="1" applyAlignment="1">
      <alignment horizontal="right"/>
    </xf>
    <xf numFmtId="168" fontId="2" fillId="3" borderId="13" xfId="0" applyNumberFormat="1" applyFont="1" applyFill="1" applyBorder="1" applyAlignment="1">
      <alignment horizontal="left"/>
    </xf>
    <xf numFmtId="173" fontId="2" fillId="3" borderId="30" xfId="0" applyNumberFormat="1" applyFont="1" applyFill="1" applyBorder="1" applyAlignment="1">
      <alignment horizontal="right"/>
    </xf>
    <xf numFmtId="1" fontId="2" fillId="3" borderId="13" xfId="0" applyNumberFormat="1" applyFont="1" applyFill="1" applyBorder="1" applyAlignment="1">
      <alignment horizontal="center"/>
    </xf>
    <xf numFmtId="2" fontId="2" fillId="3" borderId="13" xfId="0" applyNumberFormat="1" applyFont="1" applyFill="1" applyBorder="1" applyAlignment="1">
      <alignment horizontal="center"/>
    </xf>
    <xf numFmtId="3" fontId="2" fillId="0" borderId="21" xfId="0" applyNumberFormat="1" applyFont="1" applyBorder="1" applyAlignment="1">
      <alignment horizontal="right"/>
    </xf>
    <xf numFmtId="2" fontId="2" fillId="0" borderId="21" xfId="0" applyNumberFormat="1" applyFont="1" applyBorder="1" applyAlignment="1">
      <alignment horizontal="center"/>
    </xf>
    <xf numFmtId="0" fontId="27" fillId="3" borderId="13" xfId="0" applyFont="1" applyFill="1" applyBorder="1" applyAlignment="1">
      <alignment horizontal="left"/>
    </xf>
    <xf numFmtId="171" fontId="2" fillId="3" borderId="13" xfId="0" applyNumberFormat="1" applyFont="1" applyFill="1" applyBorder="1" applyAlignment="1">
      <alignment horizontal="center"/>
    </xf>
    <xf numFmtId="174" fontId="2" fillId="0" borderId="21" xfId="0" applyNumberFormat="1" applyFont="1" applyBorder="1" applyAlignment="1">
      <alignment horizontal="center"/>
    </xf>
    <xf numFmtId="1" fontId="2" fillId="3" borderId="13" xfId="0" applyNumberFormat="1" applyFont="1" applyFill="1" applyBorder="1" applyAlignment="1">
      <alignment horizontal="right"/>
    </xf>
    <xf numFmtId="0" fontId="2" fillId="3" borderId="30" xfId="0" applyFont="1" applyFill="1" applyBorder="1" applyAlignment="1">
      <alignment horizontal="left" wrapText="1"/>
    </xf>
    <xf numFmtId="0" fontId="2" fillId="3" borderId="13" xfId="0" applyFont="1" applyFill="1" applyBorder="1" applyAlignment="1">
      <alignment horizontal="left" wrapText="1"/>
    </xf>
    <xf numFmtId="0" fontId="2" fillId="3" borderId="59" xfId="0" applyFont="1" applyFill="1" applyBorder="1" applyAlignment="1">
      <alignment horizontal="left"/>
    </xf>
    <xf numFmtId="0" fontId="5" fillId="0" borderId="56" xfId="0" applyFont="1" applyBorder="1"/>
    <xf numFmtId="0" fontId="5" fillId="0" borderId="60" xfId="0" applyFont="1" applyBorder="1"/>
    <xf numFmtId="0" fontId="50" fillId="0" borderId="0" xfId="0" applyFont="1" applyAlignment="1">
      <alignment horizontal="left" vertical="top" wrapText="1"/>
    </xf>
    <xf numFmtId="0" fontId="2" fillId="0" borderId="21" xfId="0" applyFont="1" applyBorder="1" applyAlignment="1">
      <alignment horizontal="left" wrapText="1"/>
    </xf>
    <xf numFmtId="0" fontId="2" fillId="3" borderId="13" xfId="0" applyFont="1" applyFill="1" applyBorder="1" applyAlignment="1">
      <alignment vertical="center"/>
    </xf>
    <xf numFmtId="164" fontId="2" fillId="0" borderId="21" xfId="0" applyNumberFormat="1" applyFont="1" applyBorder="1" applyAlignment="1">
      <alignment horizontal="center"/>
    </xf>
    <xf numFmtId="9" fontId="27" fillId="0" borderId="19" xfId="0" applyNumberFormat="1" applyFont="1" applyBorder="1" applyAlignment="1">
      <alignment horizontal="center"/>
    </xf>
    <xf numFmtId="0" fontId="2" fillId="3" borderId="13" xfId="0" applyFont="1" applyFill="1" applyBorder="1" applyAlignment="1">
      <alignment horizontal="right"/>
    </xf>
    <xf numFmtId="170" fontId="2" fillId="3" borderId="30" xfId="0" applyNumberFormat="1" applyFont="1" applyFill="1" applyBorder="1" applyAlignment="1">
      <alignment horizontal="left"/>
    </xf>
    <xf numFmtId="0" fontId="2" fillId="3" borderId="13" xfId="0" applyFont="1" applyFill="1" applyBorder="1" applyAlignment="1">
      <alignment horizontal="left" vertical="top" wrapText="1"/>
    </xf>
    <xf numFmtId="0" fontId="2" fillId="0" borderId="7" xfId="0" applyFont="1" applyBorder="1" applyAlignment="1">
      <alignment horizontal="left"/>
    </xf>
    <xf numFmtId="167" fontId="2" fillId="3" borderId="13" xfId="0" applyNumberFormat="1" applyFont="1" applyFill="1" applyBorder="1" applyAlignment="1">
      <alignment horizontal="left"/>
    </xf>
    <xf numFmtId="1" fontId="2" fillId="3" borderId="13" xfId="0" applyNumberFormat="1" applyFont="1" applyFill="1" applyBorder="1" applyAlignment="1">
      <alignment horizontal="left"/>
    </xf>
    <xf numFmtId="169" fontId="2" fillId="3" borderId="13" xfId="0" applyNumberFormat="1" applyFont="1" applyFill="1" applyBorder="1" applyAlignment="1">
      <alignment horizontal="center"/>
    </xf>
    <xf numFmtId="49" fontId="2" fillId="3" borderId="19" xfId="0" applyNumberFormat="1" applyFont="1" applyFill="1" applyBorder="1" applyAlignment="1">
      <alignment horizontal="center"/>
    </xf>
    <xf numFmtId="0" fontId="25" fillId="0" borderId="0" xfId="0" applyFont="1" applyAlignment="1">
      <alignment horizontal="center"/>
    </xf>
    <xf numFmtId="0" fontId="27" fillId="0" borderId="0" xfId="0" applyFont="1" applyAlignment="1">
      <alignment horizontal="center"/>
    </xf>
    <xf numFmtId="164" fontId="2" fillId="0" borderId="7" xfId="0" applyNumberFormat="1" applyFont="1" applyBorder="1" applyAlignment="1">
      <alignment horizontal="center"/>
    </xf>
    <xf numFmtId="0" fontId="2" fillId="0" borderId="0" xfId="0" applyFont="1" applyAlignment="1">
      <alignment horizontal="center" vertical="top"/>
    </xf>
    <xf numFmtId="0" fontId="2" fillId="0" borderId="28" xfId="0" applyFont="1" applyBorder="1" applyAlignment="1">
      <alignment horizontal="left" vertical="top" wrapText="1"/>
    </xf>
    <xf numFmtId="0" fontId="29" fillId="6" borderId="19" xfId="0" applyFont="1" applyFill="1" applyBorder="1" applyAlignment="1">
      <alignment horizontal="center" vertical="top"/>
    </xf>
    <xf numFmtId="0" fontId="32" fillId="0" borderId="0" xfId="0" applyFont="1" applyAlignment="1">
      <alignment vertical="top" wrapText="1"/>
    </xf>
    <xf numFmtId="0" fontId="30" fillId="0" borderId="0" xfId="0" applyFont="1" applyAlignment="1">
      <alignment vertical="top" wrapText="1"/>
    </xf>
    <xf numFmtId="0" fontId="2" fillId="0" borderId="21" xfId="0" applyFont="1" applyBorder="1" applyAlignment="1">
      <alignment vertical="top" wrapText="1"/>
    </xf>
    <xf numFmtId="166" fontId="2" fillId="3" borderId="13" xfId="0" applyNumberFormat="1" applyFont="1" applyFill="1" applyBorder="1" applyAlignment="1">
      <alignment horizontal="left" vertical="top" wrapText="1"/>
    </xf>
    <xf numFmtId="0" fontId="2" fillId="0" borderId="28" xfId="0" applyFont="1" applyBorder="1" applyAlignment="1">
      <alignment vertical="top" wrapText="1"/>
    </xf>
    <xf numFmtId="0" fontId="2" fillId="0" borderId="21" xfId="0" applyFont="1" applyBorder="1" applyAlignment="1">
      <alignment horizontal="right" vertical="top" wrapText="1"/>
    </xf>
    <xf numFmtId="0" fontId="4" fillId="2" borderId="19" xfId="0" applyFont="1" applyFill="1" applyBorder="1" applyAlignment="1">
      <alignment horizontal="left" vertical="top"/>
    </xf>
    <xf numFmtId="0" fontId="2" fillId="0" borderId="0" xfId="0" applyFont="1" applyAlignment="1">
      <alignment horizontal="right" vertical="top" wrapText="1"/>
    </xf>
    <xf numFmtId="14" fontId="61" fillId="13" borderId="19" xfId="0" applyNumberFormat="1" applyFont="1" applyFill="1" applyBorder="1" applyAlignment="1">
      <alignment horizontal="center"/>
    </xf>
    <xf numFmtId="164" fontId="61" fillId="13" borderId="19" xfId="0" applyNumberFormat="1" applyFont="1" applyFill="1" applyBorder="1" applyAlignment="1">
      <alignment horizontal="center"/>
    </xf>
    <xf numFmtId="0" fontId="5" fillId="0" borderId="77" xfId="0" applyFont="1" applyBorder="1"/>
    <xf numFmtId="0" fontId="76" fillId="14" borderId="78" xfId="0" applyFont="1" applyFill="1" applyBorder="1" applyAlignment="1">
      <alignment horizontal="center"/>
    </xf>
    <xf numFmtId="0" fontId="61" fillId="13" borderId="19" xfId="0" applyFont="1" applyFill="1" applyBorder="1" applyAlignment="1">
      <alignment horizontal="center"/>
    </xf>
    <xf numFmtId="0" fontId="76" fillId="13" borderId="19" xfId="0" applyFont="1" applyFill="1" applyBorder="1" applyAlignment="1">
      <alignment horizontal="left"/>
    </xf>
    <xf numFmtId="0" fontId="61" fillId="13" borderId="82" xfId="0" applyFont="1" applyFill="1" applyBorder="1" applyAlignment="1">
      <alignment horizontal="left"/>
    </xf>
    <xf numFmtId="0" fontId="5" fillId="0" borderId="80" xfId="0" applyFont="1" applyBorder="1"/>
    <xf numFmtId="0" fontId="5" fillId="0" borderId="83" xfId="0" applyFont="1" applyBorder="1"/>
    <xf numFmtId="0" fontId="55" fillId="14" borderId="108" xfId="0" applyFont="1" applyFill="1" applyBorder="1" applyAlignment="1">
      <alignment horizontal="center"/>
    </xf>
    <xf numFmtId="0" fontId="5" fillId="0" borderId="98" xfId="0" applyFont="1" applyBorder="1"/>
    <xf numFmtId="0" fontId="61" fillId="13" borderId="109" xfId="0" applyFont="1" applyFill="1" applyBorder="1" applyAlignment="1">
      <alignment horizontal="left" vertical="top"/>
    </xf>
    <xf numFmtId="0" fontId="5" fillId="0" borderId="110" xfId="0" applyFont="1" applyBorder="1"/>
    <xf numFmtId="0" fontId="5" fillId="0" borderId="92" xfId="0" applyFont="1" applyBorder="1"/>
    <xf numFmtId="0" fontId="5" fillId="0" borderId="48" xfId="0" applyFont="1" applyBorder="1"/>
    <xf numFmtId="0" fontId="5" fillId="0" borderId="94" xfId="0" applyFont="1" applyBorder="1"/>
    <xf numFmtId="0" fontId="5" fillId="0" borderId="49" xfId="0" applyFont="1" applyBorder="1"/>
    <xf numFmtId="0" fontId="5" fillId="0" borderId="51" xfId="0" applyFont="1" applyBorder="1"/>
    <xf numFmtId="0" fontId="61" fillId="13" borderId="78" xfId="0" applyFont="1" applyFill="1" applyBorder="1" applyAlignment="1">
      <alignment horizontal="center"/>
    </xf>
    <xf numFmtId="164" fontId="61" fillId="13" borderId="19" xfId="0" applyNumberFormat="1" applyFont="1" applyFill="1" applyBorder="1" applyAlignment="1">
      <alignment horizontal="left"/>
    </xf>
    <xf numFmtId="0" fontId="55" fillId="14" borderId="84" xfId="0" applyFont="1" applyFill="1" applyBorder="1" applyAlignment="1">
      <alignment horizontal="right"/>
    </xf>
    <xf numFmtId="0" fontId="5" fillId="0" borderId="85" xfId="0" applyFont="1" applyBorder="1"/>
    <xf numFmtId="0" fontId="5" fillId="0" borderId="86" xfId="0" applyFont="1" applyBorder="1"/>
    <xf numFmtId="164" fontId="55" fillId="14" borderId="87" xfId="0" applyNumberFormat="1" applyFont="1" applyFill="1" applyBorder="1" applyAlignment="1">
      <alignment horizontal="left"/>
    </xf>
    <xf numFmtId="0" fontId="5" fillId="0" borderId="88" xfId="0" applyFont="1" applyBorder="1"/>
    <xf numFmtId="0" fontId="62" fillId="14" borderId="64" xfId="0" applyFont="1" applyFill="1" applyBorder="1" applyAlignment="1">
      <alignment horizontal="center" wrapText="1"/>
    </xf>
    <xf numFmtId="0" fontId="62" fillId="14" borderId="64" xfId="0" applyFont="1" applyFill="1" applyBorder="1" applyAlignment="1">
      <alignment horizontal="center"/>
    </xf>
    <xf numFmtId="0" fontId="5" fillId="0" borderId="116" xfId="0" applyFont="1" applyBorder="1"/>
    <xf numFmtId="0" fontId="54" fillId="13" borderId="96" xfId="0" applyFont="1" applyFill="1" applyBorder="1" applyAlignment="1">
      <alignment horizontal="center"/>
    </xf>
    <xf numFmtId="0" fontId="55" fillId="14" borderId="71" xfId="0" applyFont="1" applyFill="1" applyBorder="1" applyAlignment="1">
      <alignment horizontal="center" wrapText="1"/>
    </xf>
    <xf numFmtId="0" fontId="5" fillId="0" borderId="72" xfId="0" applyFont="1" applyBorder="1"/>
    <xf numFmtId="0" fontId="5" fillId="0" borderId="73" xfId="0" applyFont="1" applyBorder="1"/>
    <xf numFmtId="0" fontId="55" fillId="14" borderId="93" xfId="0" applyFont="1" applyFill="1" applyBorder="1" applyAlignment="1">
      <alignment horizontal="left" wrapText="1"/>
    </xf>
    <xf numFmtId="0" fontId="5" fillId="0" borderId="33" xfId="0" applyFont="1" applyBorder="1"/>
    <xf numFmtId="0" fontId="5" fillId="0" borderId="32" xfId="0" applyFont="1" applyBorder="1"/>
    <xf numFmtId="0" fontId="5" fillId="0" borderId="95" xfId="0" applyFont="1" applyBorder="1"/>
    <xf numFmtId="0" fontId="54" fillId="13" borderId="115" xfId="0" applyFont="1" applyFill="1" applyBorder="1" applyAlignment="1">
      <alignment horizontal="left" wrapText="1"/>
    </xf>
    <xf numFmtId="0" fontId="5" fillId="0" borderId="35" xfId="0" applyFont="1" applyBorder="1"/>
    <xf numFmtId="0" fontId="62" fillId="14" borderId="109" xfId="0" applyFont="1" applyFill="1" applyBorder="1" applyAlignment="1">
      <alignment horizontal="center"/>
    </xf>
    <xf numFmtId="0" fontId="54" fillId="13" borderId="19" xfId="0" applyFont="1" applyFill="1" applyBorder="1" applyAlignment="1">
      <alignment horizontal="center"/>
    </xf>
    <xf numFmtId="0" fontId="62" fillId="14" borderId="78" xfId="0" applyFont="1" applyFill="1" applyBorder="1" applyAlignment="1">
      <alignment horizontal="center"/>
    </xf>
    <xf numFmtId="0" fontId="61" fillId="13" borderId="78" xfId="0" applyFont="1" applyFill="1" applyBorder="1" applyAlignment="1">
      <alignment horizontal="right"/>
    </xf>
    <xf numFmtId="0" fontId="55" fillId="14" borderId="79" xfId="0" applyFont="1" applyFill="1" applyBorder="1" applyAlignment="1">
      <alignment horizontal="center"/>
    </xf>
    <xf numFmtId="0" fontId="5" fillId="0" borderId="81" xfId="0" applyFont="1" applyBorder="1"/>
    <xf numFmtId="0" fontId="55" fillId="14" borderId="71" xfId="0" applyFont="1" applyFill="1" applyBorder="1" applyAlignment="1">
      <alignment horizontal="center"/>
    </xf>
    <xf numFmtId="0" fontId="5" fillId="0" borderId="103" xfId="0" applyFont="1" applyBorder="1"/>
    <xf numFmtId="0" fontId="54" fillId="13" borderId="101" xfId="0" applyFont="1" applyFill="1" applyBorder="1" applyAlignment="1">
      <alignment horizontal="left"/>
    </xf>
    <xf numFmtId="0" fontId="55" fillId="14" borderId="78" xfId="0" applyFont="1" applyFill="1" applyBorder="1" applyAlignment="1">
      <alignment horizontal="center"/>
    </xf>
    <xf numFmtId="0" fontId="55" fillId="14" borderId="19" xfId="0" applyFont="1" applyFill="1" applyBorder="1" applyAlignment="1">
      <alignment horizontal="center"/>
    </xf>
    <xf numFmtId="0" fontId="61" fillId="13" borderId="107" xfId="0" applyFont="1" applyFill="1" applyBorder="1" applyAlignment="1">
      <alignment horizontal="left"/>
    </xf>
    <xf numFmtId="0" fontId="54" fillId="13" borderId="82" xfId="0" applyFont="1" applyFill="1" applyBorder="1" applyAlignment="1">
      <alignment horizontal="center"/>
    </xf>
    <xf numFmtId="0" fontId="62" fillId="14" borderId="79" xfId="0" applyFont="1" applyFill="1" applyBorder="1" applyAlignment="1">
      <alignment horizontal="center"/>
    </xf>
    <xf numFmtId="0" fontId="55" fillId="14" borderId="52" xfId="0" applyFont="1" applyFill="1" applyBorder="1" applyAlignment="1">
      <alignment horizontal="center"/>
    </xf>
    <xf numFmtId="0" fontId="5" fillId="0" borderId="53" xfId="0" applyFont="1" applyBorder="1"/>
    <xf numFmtId="0" fontId="5" fillId="0" borderId="54" xfId="0" applyFont="1" applyBorder="1"/>
    <xf numFmtId="0" fontId="61" fillId="8" borderId="78" xfId="0" applyFont="1" applyFill="1" applyBorder="1" applyAlignment="1">
      <alignment horizontal="right"/>
    </xf>
    <xf numFmtId="0" fontId="61" fillId="8" borderId="79" xfId="0" applyFont="1" applyFill="1" applyBorder="1" applyAlignment="1">
      <alignment horizontal="right"/>
    </xf>
    <xf numFmtId="0" fontId="61" fillId="13" borderId="30" xfId="0" applyFont="1" applyFill="1" applyBorder="1" applyAlignment="1">
      <alignment horizontal="left"/>
    </xf>
    <xf numFmtId="0" fontId="61" fillId="13" borderId="102" xfId="0" applyFont="1" applyFill="1" applyBorder="1" applyAlignment="1">
      <alignment horizontal="left"/>
    </xf>
    <xf numFmtId="1" fontId="61" fillId="13" borderId="19" xfId="0" applyNumberFormat="1" applyFont="1" applyFill="1" applyBorder="1" applyAlignment="1">
      <alignment horizontal="center"/>
    </xf>
    <xf numFmtId="0" fontId="61" fillId="13" borderId="19" xfId="0" applyFont="1" applyFill="1" applyBorder="1" applyAlignment="1">
      <alignment horizontal="left"/>
    </xf>
    <xf numFmtId="0" fontId="62" fillId="14" borderId="82" xfId="0" applyFont="1" applyFill="1" applyBorder="1" applyAlignment="1">
      <alignment horizontal="center"/>
    </xf>
    <xf numFmtId="0" fontId="61" fillId="13" borderId="79" xfId="0" applyFont="1" applyFill="1" applyBorder="1" applyAlignment="1">
      <alignment horizontal="right"/>
    </xf>
    <xf numFmtId="0" fontId="55" fillId="14" borderId="101" xfId="0" applyFont="1" applyFill="1" applyBorder="1" applyAlignment="1">
      <alignment horizontal="center"/>
    </xf>
    <xf numFmtId="0" fontId="63" fillId="13" borderId="82" xfId="0" applyFont="1" applyFill="1" applyBorder="1" applyAlignment="1">
      <alignment horizontal="center"/>
    </xf>
    <xf numFmtId="1" fontId="63" fillId="13" borderId="82" xfId="0" applyNumberFormat="1" applyFont="1" applyFill="1" applyBorder="1" applyAlignment="1">
      <alignment horizontal="center"/>
    </xf>
    <xf numFmtId="0" fontId="62" fillId="14" borderId="19" xfId="0" applyFont="1" applyFill="1" applyBorder="1" applyAlignment="1">
      <alignment horizontal="center"/>
    </xf>
    <xf numFmtId="0" fontId="62" fillId="14" borderId="19" xfId="0" applyFont="1" applyFill="1" applyBorder="1" applyAlignment="1">
      <alignment horizontal="center" vertical="center" wrapText="1"/>
    </xf>
    <xf numFmtId="164" fontId="62" fillId="14" borderId="82" xfId="0" applyNumberFormat="1" applyFont="1" applyFill="1" applyBorder="1" applyAlignment="1">
      <alignment horizontal="center"/>
    </xf>
    <xf numFmtId="1" fontId="62" fillId="14" borderId="82" xfId="0" applyNumberFormat="1" applyFont="1" applyFill="1" applyBorder="1" applyAlignment="1">
      <alignment horizontal="center"/>
    </xf>
    <xf numFmtId="164" fontId="54" fillId="13" borderId="19" xfId="0" applyNumberFormat="1" applyFont="1" applyFill="1" applyBorder="1" applyAlignment="1">
      <alignment horizontal="center"/>
    </xf>
    <xf numFmtId="9" fontId="54" fillId="13" borderId="19" xfId="0" applyNumberFormat="1" applyFont="1" applyFill="1" applyBorder="1" applyAlignment="1">
      <alignment horizontal="center"/>
    </xf>
    <xf numFmtId="0" fontId="82" fillId="13" borderId="19" xfId="0" applyFont="1" applyFill="1" applyBorder="1" applyAlignment="1">
      <alignment horizontal="center"/>
    </xf>
    <xf numFmtId="43" fontId="55" fillId="8" borderId="78" xfId="0" applyNumberFormat="1" applyFont="1" applyFill="1" applyBorder="1" applyAlignment="1">
      <alignment horizontal="right"/>
    </xf>
    <xf numFmtId="44" fontId="55" fillId="0" borderId="19" xfId="0" applyNumberFormat="1" applyFont="1" applyBorder="1" applyAlignment="1">
      <alignment horizontal="center"/>
    </xf>
    <xf numFmtId="164" fontId="55" fillId="0" borderId="19" xfId="0" applyNumberFormat="1" applyFont="1" applyBorder="1" applyAlignment="1">
      <alignment horizontal="center"/>
    </xf>
    <xf numFmtId="9" fontId="55" fillId="0" borderId="19" xfId="0" applyNumberFormat="1" applyFont="1" applyBorder="1" applyAlignment="1">
      <alignment horizontal="center"/>
    </xf>
    <xf numFmtId="43" fontId="55" fillId="8" borderId="19" xfId="0" applyNumberFormat="1" applyFont="1" applyFill="1" applyBorder="1" applyAlignment="1">
      <alignment horizontal="center"/>
    </xf>
    <xf numFmtId="0" fontId="54" fillId="8" borderId="78" xfId="0" applyFont="1" applyFill="1" applyBorder="1" applyAlignment="1">
      <alignment horizontal="center"/>
    </xf>
    <xf numFmtId="14" fontId="82" fillId="13" borderId="19" xfId="0" applyNumberFormat="1" applyFont="1" applyFill="1" applyBorder="1" applyAlignment="1">
      <alignment horizontal="center"/>
    </xf>
    <xf numFmtId="43" fontId="57" fillId="8" borderId="91" xfId="0" applyNumberFormat="1" applyFont="1" applyFill="1" applyBorder="1" applyAlignment="1">
      <alignment horizontal="center" wrapText="1"/>
    </xf>
    <xf numFmtId="0" fontId="5" fillId="0" borderId="141" xfId="0" applyFont="1" applyBorder="1"/>
    <xf numFmtId="0" fontId="76" fillId="14" borderId="19" xfId="0" applyFont="1" applyFill="1" applyBorder="1" applyAlignment="1">
      <alignment horizontal="left" wrapText="1"/>
    </xf>
    <xf numFmtId="43" fontId="55" fillId="14" borderId="61" xfId="0" applyNumberFormat="1" applyFont="1" applyFill="1" applyBorder="1" applyAlignment="1">
      <alignment horizontal="center"/>
    </xf>
    <xf numFmtId="0" fontId="5" fillId="0" borderId="62" xfId="0" applyFont="1" applyBorder="1"/>
    <xf numFmtId="0" fontId="5" fillId="0" borderId="63" xfId="0" applyFont="1" applyBorder="1"/>
    <xf numFmtId="43" fontId="57" fillId="8" borderId="89" xfId="0" applyNumberFormat="1" applyFont="1" applyFill="1" applyBorder="1" applyAlignment="1">
      <alignment horizontal="center" wrapText="1"/>
    </xf>
    <xf numFmtId="0" fontId="5" fillId="0" borderId="90" xfId="0" applyFont="1" applyBorder="1"/>
    <xf numFmtId="14" fontId="57" fillId="0" borderId="29" xfId="0" applyNumberFormat="1" applyFont="1" applyBorder="1" applyAlignment="1">
      <alignment horizontal="center" wrapText="1"/>
    </xf>
    <xf numFmtId="44" fontId="57" fillId="0" borderId="29" xfId="0" applyNumberFormat="1" applyFont="1" applyBorder="1" applyAlignment="1">
      <alignment horizontal="center" wrapText="1"/>
    </xf>
    <xf numFmtId="0" fontId="55" fillId="4" borderId="55" xfId="0" applyFont="1" applyFill="1" applyBorder="1" applyAlignment="1">
      <alignment horizontal="center"/>
    </xf>
    <xf numFmtId="0" fontId="5" fillId="0" borderId="57" xfId="0" applyFont="1" applyBorder="1"/>
    <xf numFmtId="0" fontId="55" fillId="4" borderId="59" xfId="0" applyFont="1" applyFill="1" applyBorder="1" applyAlignment="1">
      <alignment horizontal="left"/>
    </xf>
    <xf numFmtId="0" fontId="55" fillId="4" borderId="1" xfId="0" applyFont="1" applyFill="1" applyBorder="1" applyAlignment="1">
      <alignment horizontal="left" vertical="top" wrapText="1"/>
    </xf>
    <xf numFmtId="0" fontId="62" fillId="8" borderId="59" xfId="0" applyFont="1" applyFill="1" applyBorder="1" applyAlignment="1">
      <alignment horizontal="left" vertical="top"/>
    </xf>
    <xf numFmtId="0" fontId="54" fillId="13" borderId="61" xfId="0" applyFont="1" applyFill="1" applyBorder="1" applyAlignment="1">
      <alignment horizontal="left"/>
    </xf>
    <xf numFmtId="0" fontId="55" fillId="8" borderId="59" xfId="0" applyFont="1" applyFill="1" applyBorder="1" applyAlignment="1">
      <alignment horizontal="left" vertical="top"/>
    </xf>
    <xf numFmtId="14" fontId="54" fillId="13" borderId="61" xfId="0" applyNumberFormat="1" applyFont="1" applyFill="1" applyBorder="1" applyAlignment="1">
      <alignment horizontal="center"/>
    </xf>
    <xf numFmtId="0" fontId="55" fillId="4" borderId="150" xfId="0" applyFont="1" applyFill="1" applyBorder="1" applyAlignment="1">
      <alignment horizontal="center"/>
    </xf>
    <xf numFmtId="0" fontId="5" fillId="0" borderId="151" xfId="0" applyFont="1" applyBorder="1"/>
    <xf numFmtId="0" fontId="55" fillId="8" borderId="59" xfId="0" applyFont="1" applyFill="1" applyBorder="1" applyAlignment="1">
      <alignment horizontal="left"/>
    </xf>
    <xf numFmtId="0" fontId="54" fillId="13" borderId="61" xfId="0" applyFont="1" applyFill="1" applyBorder="1" applyAlignment="1">
      <alignment horizontal="center"/>
    </xf>
    <xf numFmtId="0" fontId="83" fillId="4" borderId="52" xfId="0" applyFont="1" applyFill="1" applyBorder="1" applyAlignment="1">
      <alignment horizontal="center"/>
    </xf>
    <xf numFmtId="0" fontId="54" fillId="4" borderId="55" xfId="0" applyFont="1" applyFill="1" applyBorder="1" applyAlignment="1">
      <alignment horizontal="center"/>
    </xf>
    <xf numFmtId="0" fontId="62" fillId="14" borderId="61" xfId="0" applyFont="1" applyFill="1" applyBorder="1" applyAlignment="1">
      <alignment horizontal="center" wrapText="1"/>
    </xf>
    <xf numFmtId="0" fontId="62" fillId="14" borderId="96" xfId="0" applyFont="1" applyFill="1" applyBorder="1" applyAlignment="1">
      <alignment horizontal="left" wrapText="1"/>
    </xf>
    <xf numFmtId="0" fontId="62" fillId="14" borderId="96" xfId="0" applyFont="1" applyFill="1" applyBorder="1" applyAlignment="1">
      <alignment horizontal="center" wrapText="1"/>
    </xf>
    <xf numFmtId="172" fontId="54" fillId="0" borderId="66" xfId="0" applyNumberFormat="1" applyFont="1" applyBorder="1" applyAlignment="1">
      <alignment horizontal="center"/>
    </xf>
    <xf numFmtId="0" fontId="54" fillId="0" borderId="66" xfId="0" applyFont="1" applyBorder="1" applyAlignment="1">
      <alignment horizontal="center"/>
    </xf>
    <xf numFmtId="0" fontId="61" fillId="14" borderId="19" xfId="0" applyFont="1" applyFill="1" applyBorder="1" applyAlignment="1">
      <alignment horizontal="left"/>
    </xf>
    <xf numFmtId="172" fontId="54" fillId="13" borderId="19" xfId="0" applyNumberFormat="1" applyFont="1" applyFill="1" applyBorder="1" applyAlignment="1">
      <alignment horizontal="center"/>
    </xf>
    <xf numFmtId="10" fontId="61" fillId="13" borderId="19" xfId="0" applyNumberFormat="1" applyFont="1" applyFill="1" applyBorder="1" applyAlignment="1">
      <alignment horizontal="center"/>
    </xf>
    <xf numFmtId="43" fontId="54" fillId="13" borderId="108" xfId="0" applyNumberFormat="1" applyFont="1" applyFill="1" applyBorder="1" applyAlignment="1">
      <alignment horizontal="left"/>
    </xf>
    <xf numFmtId="44" fontId="54" fillId="13" borderId="96" xfId="0" applyNumberFormat="1" applyFont="1" applyFill="1" applyBorder="1" applyAlignment="1">
      <alignment horizontal="center"/>
    </xf>
    <xf numFmtId="0" fontId="61" fillId="13" borderId="96" xfId="0" applyFont="1" applyFill="1" applyBorder="1" applyAlignment="1">
      <alignment horizontal="center"/>
    </xf>
    <xf numFmtId="0" fontId="61" fillId="14" borderId="78" xfId="0" applyFont="1" applyFill="1" applyBorder="1" applyAlignment="1">
      <alignment horizontal="right"/>
    </xf>
    <xf numFmtId="0" fontId="55" fillId="13" borderId="61" xfId="0" applyFont="1" applyFill="1" applyBorder="1" applyAlignment="1">
      <alignment horizontal="left"/>
    </xf>
    <xf numFmtId="0" fontId="5" fillId="0" borderId="140" xfId="0" applyFont="1" applyBorder="1"/>
    <xf numFmtId="0" fontId="76" fillId="13" borderId="89" xfId="0" applyFont="1" applyFill="1" applyBorder="1" applyAlignment="1">
      <alignment horizontal="left" wrapText="1"/>
    </xf>
    <xf numFmtId="0" fontId="55" fillId="4" borderId="59" xfId="0" applyFont="1" applyFill="1" applyBorder="1" applyAlignment="1">
      <alignment horizontal="right"/>
    </xf>
    <xf numFmtId="164" fontId="57" fillId="4" borderId="59" xfId="0" applyNumberFormat="1" applyFont="1" applyFill="1" applyBorder="1" applyAlignment="1">
      <alignment horizontal="left"/>
    </xf>
    <xf numFmtId="43" fontId="54" fillId="13" borderId="78" xfId="0" applyNumberFormat="1" applyFont="1" applyFill="1" applyBorder="1" applyAlignment="1">
      <alignment horizontal="left"/>
    </xf>
    <xf numFmtId="44" fontId="54" fillId="13" borderId="19" xfId="0" applyNumberFormat="1" applyFont="1" applyFill="1" applyBorder="1" applyAlignment="1">
      <alignment horizontal="center"/>
    </xf>
    <xf numFmtId="43" fontId="54" fillId="13" borderId="78" xfId="0" applyNumberFormat="1" applyFont="1" applyFill="1" applyBorder="1" applyAlignment="1">
      <alignment horizontal="left" wrapText="1"/>
    </xf>
    <xf numFmtId="0" fontId="54" fillId="13" borderId="137" xfId="0" applyFont="1" applyFill="1" applyBorder="1" applyAlignment="1">
      <alignment horizontal="center"/>
    </xf>
    <xf numFmtId="0" fontId="5" fillId="0" borderId="75" xfId="0" applyFont="1" applyBorder="1"/>
    <xf numFmtId="0" fontId="5" fillId="0" borderId="138" xfId="0" applyFont="1" applyBorder="1"/>
    <xf numFmtId="44" fontId="54" fillId="13" borderId="70" xfId="0" applyNumberFormat="1" applyFont="1" applyFill="1" applyBorder="1" applyAlignment="1">
      <alignment horizontal="center"/>
    </xf>
    <xf numFmtId="0" fontId="5" fillId="0" borderId="69" xfId="0" applyFont="1" applyBorder="1"/>
    <xf numFmtId="0" fontId="61" fillId="14" borderId="71" xfId="0" applyFont="1" applyFill="1" applyBorder="1" applyAlignment="1">
      <alignment horizontal="right"/>
    </xf>
    <xf numFmtId="0" fontId="62" fillId="14" borderId="79" xfId="0" applyFont="1" applyFill="1" applyBorder="1" applyAlignment="1">
      <alignment horizontal="right"/>
    </xf>
    <xf numFmtId="0" fontId="62" fillId="8" borderId="82" xfId="0" applyFont="1" applyFill="1" applyBorder="1" applyAlignment="1">
      <alignment horizontal="left"/>
    </xf>
    <xf numFmtId="0" fontId="55" fillId="4" borderId="1" xfId="0" applyFont="1" applyFill="1" applyBorder="1" applyAlignment="1">
      <alignment horizontal="center"/>
    </xf>
    <xf numFmtId="0" fontId="55" fillId="14" borderId="107" xfId="0" applyFont="1" applyFill="1" applyBorder="1" applyAlignment="1">
      <alignment horizontal="center"/>
    </xf>
    <xf numFmtId="0" fontId="62" fillId="12" borderId="19" xfId="0" applyFont="1" applyFill="1" applyBorder="1" applyAlignment="1">
      <alignment horizontal="center"/>
    </xf>
    <xf numFmtId="43" fontId="55" fillId="13" borderId="61" xfId="0" applyNumberFormat="1" applyFont="1" applyFill="1" applyBorder="1" applyAlignment="1">
      <alignment horizontal="center"/>
    </xf>
    <xf numFmtId="164" fontId="61" fillId="8" borderId="19" xfId="0" applyNumberFormat="1" applyFont="1" applyFill="1" applyBorder="1" applyAlignment="1">
      <alignment horizontal="left"/>
    </xf>
    <xf numFmtId="0" fontId="61" fillId="13" borderId="79" xfId="0" applyFont="1" applyFill="1" applyBorder="1" applyAlignment="1">
      <alignment horizontal="center"/>
    </xf>
    <xf numFmtId="0" fontId="5" fillId="0" borderId="139" xfId="0" applyFont="1" applyBorder="1"/>
    <xf numFmtId="164" fontId="61" fillId="13" borderId="102" xfId="0" applyNumberFormat="1" applyFont="1" applyFill="1" applyBorder="1" applyAlignment="1">
      <alignment horizontal="left"/>
    </xf>
    <xf numFmtId="0" fontId="61" fillId="13" borderId="79" xfId="0" applyFont="1" applyFill="1" applyBorder="1" applyAlignment="1">
      <alignment horizontal="left"/>
    </xf>
    <xf numFmtId="164" fontId="54" fillId="8" borderId="107" xfId="0" applyNumberFormat="1" applyFont="1" applyFill="1" applyBorder="1" applyAlignment="1">
      <alignment horizontal="left"/>
    </xf>
    <xf numFmtId="0" fontId="76" fillId="13" borderId="82" xfId="0" applyFont="1" applyFill="1" applyBorder="1" applyAlignment="1">
      <alignment horizontal="left"/>
    </xf>
    <xf numFmtId="0" fontId="55" fillId="14" borderId="71" xfId="0" applyFont="1" applyFill="1" applyBorder="1" applyAlignment="1">
      <alignment horizontal="left"/>
    </xf>
    <xf numFmtId="14" fontId="61" fillId="13" borderId="82" xfId="0" applyNumberFormat="1" applyFont="1" applyFill="1" applyBorder="1" applyAlignment="1">
      <alignment horizontal="center"/>
    </xf>
    <xf numFmtId="0" fontId="57" fillId="14" borderId="78" xfId="0" applyFont="1" applyFill="1" applyBorder="1" applyAlignment="1">
      <alignment horizontal="left"/>
    </xf>
    <xf numFmtId="0" fontId="57" fillId="14" borderId="79" xfId="0" applyFont="1" applyFill="1" applyBorder="1" applyAlignment="1">
      <alignment horizontal="left"/>
    </xf>
    <xf numFmtId="0" fontId="62" fillId="13" borderId="78" xfId="0" applyFont="1" applyFill="1" applyBorder="1" applyAlignment="1">
      <alignment horizontal="left"/>
    </xf>
    <xf numFmtId="0" fontId="61" fillId="13" borderId="82" xfId="0" applyFont="1" applyFill="1" applyBorder="1" applyAlignment="1">
      <alignment horizontal="center"/>
    </xf>
    <xf numFmtId="0" fontId="76" fillId="14" borderId="79" xfId="0" applyFont="1" applyFill="1" applyBorder="1" applyAlignment="1">
      <alignment horizontal="center"/>
    </xf>
    <xf numFmtId="164" fontId="61" fillId="13" borderId="82" xfId="0" applyNumberFormat="1" applyFont="1" applyFill="1" applyBorder="1" applyAlignment="1">
      <alignment horizontal="center"/>
    </xf>
    <xf numFmtId="0" fontId="54" fillId="13" borderId="107" xfId="0" applyFont="1" applyFill="1" applyBorder="1" applyAlignment="1">
      <alignment horizontal="left"/>
    </xf>
    <xf numFmtId="0" fontId="62" fillId="14" borderId="78" xfId="0" applyFont="1" applyFill="1" applyBorder="1" applyAlignment="1">
      <alignment horizontal="left"/>
    </xf>
    <xf numFmtId="0" fontId="63" fillId="13" borderId="19" xfId="0" applyFont="1" applyFill="1" applyBorder="1" applyAlignment="1">
      <alignment horizontal="left"/>
    </xf>
    <xf numFmtId="0" fontId="55" fillId="14" borderId="109" xfId="0" applyFont="1" applyFill="1" applyBorder="1" applyAlignment="1">
      <alignment horizontal="center"/>
    </xf>
    <xf numFmtId="0" fontId="55" fillId="14" borderId="93" xfId="0" applyFont="1" applyFill="1" applyBorder="1" applyAlignment="1">
      <alignment horizontal="left" vertical="center" wrapText="1"/>
    </xf>
    <xf numFmtId="0" fontId="54" fillId="13" borderId="115" xfId="0" applyFont="1" applyFill="1" applyBorder="1" applyAlignment="1">
      <alignment horizontal="left" vertical="center" wrapText="1"/>
    </xf>
    <xf numFmtId="0" fontId="61" fillId="13" borderId="109" xfId="0" applyFont="1" applyFill="1" applyBorder="1" applyAlignment="1">
      <alignment horizontal="left" vertical="top" wrapText="1"/>
    </xf>
    <xf numFmtId="0" fontId="5" fillId="0" borderId="123" xfId="0" applyFont="1" applyBorder="1"/>
    <xf numFmtId="0" fontId="54" fillId="13" borderId="64" xfId="0" applyFont="1" applyFill="1" applyBorder="1" applyAlignment="1">
      <alignment horizontal="center" vertical="center" wrapText="1"/>
    </xf>
    <xf numFmtId="0" fontId="5" fillId="0" borderId="124" xfId="0" applyFont="1" applyBorder="1"/>
    <xf numFmtId="0" fontId="62" fillId="14" borderId="71" xfId="0" applyFont="1" applyFill="1" applyBorder="1" applyAlignment="1">
      <alignment horizontal="left"/>
    </xf>
    <xf numFmtId="0" fontId="54" fillId="12" borderId="82" xfId="0" applyFont="1" applyFill="1" applyBorder="1" applyAlignment="1">
      <alignment horizontal="center"/>
    </xf>
    <xf numFmtId="0" fontId="73" fillId="14" borderId="19" xfId="0" applyFont="1" applyFill="1" applyBorder="1" applyAlignment="1">
      <alignment horizontal="left"/>
    </xf>
    <xf numFmtId="1" fontId="62" fillId="8" borderId="19" xfId="0" applyNumberFormat="1" applyFont="1" applyFill="1" applyBorder="1" applyAlignment="1">
      <alignment horizontal="center"/>
    </xf>
    <xf numFmtId="9" fontId="62" fillId="8" borderId="82" xfId="0" applyNumberFormat="1" applyFont="1" applyFill="1" applyBorder="1" applyAlignment="1">
      <alignment horizontal="center"/>
    </xf>
    <xf numFmtId="1" fontId="63" fillId="13" borderId="19" xfId="0" applyNumberFormat="1" applyFont="1" applyFill="1" applyBorder="1" applyAlignment="1">
      <alignment horizontal="center"/>
    </xf>
    <xf numFmtId="9" fontId="62" fillId="8" borderId="19" xfId="0" applyNumberFormat="1" applyFont="1" applyFill="1" applyBorder="1" applyAlignment="1">
      <alignment horizontal="center"/>
    </xf>
    <xf numFmtId="0" fontId="63" fillId="13" borderId="19" xfId="0" applyFont="1" applyFill="1" applyBorder="1" applyAlignment="1">
      <alignment horizontal="center"/>
    </xf>
    <xf numFmtId="10" fontId="62" fillId="8" borderId="19" xfId="0" applyNumberFormat="1" applyFont="1" applyFill="1" applyBorder="1" applyAlignment="1">
      <alignment horizontal="center"/>
    </xf>
    <xf numFmtId="9" fontId="61" fillId="13" borderId="78" xfId="0" applyNumberFormat="1" applyFont="1" applyFill="1" applyBorder="1" applyAlignment="1">
      <alignment horizontal="center"/>
    </xf>
    <xf numFmtId="0" fontId="61" fillId="8" borderId="19" xfId="0" applyFont="1" applyFill="1" applyBorder="1" applyAlignment="1">
      <alignment horizontal="center"/>
    </xf>
    <xf numFmtId="0" fontId="57" fillId="14" borderId="19" xfId="0" applyFont="1" applyFill="1" applyBorder="1" applyAlignment="1">
      <alignment horizontal="right"/>
    </xf>
    <xf numFmtId="14" fontId="54" fillId="13" borderId="19" xfId="0" applyNumberFormat="1" applyFont="1" applyFill="1" applyBorder="1" applyAlignment="1">
      <alignment horizontal="center"/>
    </xf>
    <xf numFmtId="0" fontId="55" fillId="14" borderId="61" xfId="0" applyFont="1" applyFill="1" applyBorder="1" applyAlignment="1">
      <alignment horizontal="center"/>
    </xf>
    <xf numFmtId="0" fontId="62" fillId="14" borderId="19" xfId="0" applyFont="1" applyFill="1" applyBorder="1" applyAlignment="1">
      <alignment horizontal="right"/>
    </xf>
    <xf numFmtId="1" fontId="54" fillId="8" borderId="19" xfId="0" applyNumberFormat="1" applyFont="1" applyFill="1" applyBorder="1" applyAlignment="1">
      <alignment horizontal="center"/>
    </xf>
    <xf numFmtId="0" fontId="57" fillId="14" borderId="19" xfId="0" applyFont="1" applyFill="1" applyBorder="1" applyAlignment="1">
      <alignment horizontal="right" wrapText="1"/>
    </xf>
    <xf numFmtId="14" fontId="54" fillId="13" borderId="19" xfId="0" applyNumberFormat="1" applyFont="1" applyFill="1" applyBorder="1" applyAlignment="1">
      <alignment horizontal="center" vertical="center"/>
    </xf>
    <xf numFmtId="1" fontId="54" fillId="13" borderId="19" xfId="0" applyNumberFormat="1" applyFont="1" applyFill="1" applyBorder="1" applyAlignment="1">
      <alignment horizontal="center"/>
    </xf>
    <xf numFmtId="0" fontId="54" fillId="8" borderId="61" xfId="0" applyFont="1" applyFill="1" applyBorder="1" applyAlignment="1">
      <alignment horizontal="center"/>
    </xf>
    <xf numFmtId="0" fontId="53" fillId="12" borderId="52" xfId="0" applyFont="1" applyFill="1" applyBorder="1" applyAlignment="1">
      <alignment horizontal="center"/>
    </xf>
    <xf numFmtId="0" fontId="55" fillId="13" borderId="55" xfId="0" applyFont="1" applyFill="1" applyBorder="1" applyAlignment="1">
      <alignment horizontal="center"/>
    </xf>
    <xf numFmtId="0" fontId="54" fillId="8" borderId="61" xfId="0" applyFont="1" applyFill="1" applyBorder="1" applyAlignment="1">
      <alignment horizontal="left"/>
    </xf>
    <xf numFmtId="0" fontId="54" fillId="14" borderId="19" xfId="0" applyFont="1" applyFill="1" applyBorder="1" applyAlignment="1">
      <alignment horizontal="center"/>
    </xf>
    <xf numFmtId="9" fontId="54" fillId="8" borderId="19" xfId="0" applyNumberFormat="1" applyFont="1" applyFill="1" applyBorder="1" applyAlignment="1">
      <alignment horizontal="center"/>
    </xf>
    <xf numFmtId="9" fontId="62" fillId="13" borderId="96" xfId="0" applyNumberFormat="1" applyFont="1" applyFill="1" applyBorder="1" applyAlignment="1">
      <alignment horizontal="center"/>
    </xf>
    <xf numFmtId="0" fontId="62" fillId="8" borderId="96" xfId="0" applyFont="1" applyFill="1" applyBorder="1" applyAlignment="1">
      <alignment horizontal="center"/>
    </xf>
    <xf numFmtId="0" fontId="62" fillId="8" borderId="79" xfId="0" applyFont="1" applyFill="1" applyBorder="1" applyAlignment="1">
      <alignment horizontal="center"/>
    </xf>
    <xf numFmtId="0" fontId="62" fillId="14" borderId="89" xfId="0" applyFont="1" applyFill="1" applyBorder="1" applyAlignment="1">
      <alignment horizontal="center" vertical="center" wrapText="1"/>
    </xf>
    <xf numFmtId="0" fontId="62" fillId="14" borderId="91" xfId="0" applyFont="1" applyFill="1" applyBorder="1" applyAlignment="1">
      <alignment horizontal="center" vertical="center" wrapText="1"/>
    </xf>
    <xf numFmtId="0" fontId="62" fillId="8" borderId="87" xfId="0" applyFont="1" applyFill="1" applyBorder="1" applyAlignment="1">
      <alignment horizontal="center"/>
    </xf>
    <xf numFmtId="9" fontId="62" fillId="8" borderId="87" xfId="0" applyNumberFormat="1" applyFont="1" applyFill="1" applyBorder="1" applyAlignment="1">
      <alignment horizontal="center"/>
    </xf>
    <xf numFmtId="0" fontId="61" fillId="8" borderId="82" xfId="0" applyFont="1" applyFill="1" applyBorder="1" applyAlignment="1">
      <alignment horizontal="center"/>
    </xf>
    <xf numFmtId="10" fontId="62" fillId="8" borderId="82" xfId="0" applyNumberFormat="1" applyFont="1" applyFill="1" applyBorder="1" applyAlignment="1">
      <alignment horizontal="center"/>
    </xf>
    <xf numFmtId="0" fontId="62" fillId="14" borderId="61" xfId="0" applyFont="1" applyFill="1" applyBorder="1" applyAlignment="1">
      <alignment horizontal="center"/>
    </xf>
    <xf numFmtId="0" fontId="62" fillId="14" borderId="93" xfId="0" applyFont="1" applyFill="1" applyBorder="1" applyAlignment="1">
      <alignment horizontal="center" vertical="center" wrapText="1"/>
    </xf>
    <xf numFmtId="0" fontId="62" fillId="8" borderId="84" xfId="0" applyFont="1" applyFill="1" applyBorder="1" applyAlignment="1">
      <alignment horizontal="center"/>
    </xf>
    <xf numFmtId="0" fontId="55" fillId="14" borderId="61" xfId="0" applyFont="1" applyFill="1" applyBorder="1" applyAlignment="1">
      <alignment horizontal="right"/>
    </xf>
    <xf numFmtId="0" fontId="54" fillId="8" borderId="70" xfId="0" applyFont="1" applyFill="1" applyBorder="1" applyAlignment="1">
      <alignment horizontal="center"/>
    </xf>
    <xf numFmtId="0" fontId="62" fillId="14" borderId="74" xfId="0" applyFont="1" applyFill="1" applyBorder="1" applyAlignment="1">
      <alignment horizontal="center"/>
    </xf>
    <xf numFmtId="0" fontId="5" fillId="0" borderId="76" xfId="0" applyFont="1" applyBorder="1"/>
    <xf numFmtId="0" fontId="32" fillId="0" borderId="0" xfId="0" applyFont="1" applyAlignment="1">
      <alignment horizontal="left"/>
    </xf>
    <xf numFmtId="9" fontId="2" fillId="0" borderId="7" xfId="0" applyNumberFormat="1" applyFont="1" applyBorder="1" applyAlignment="1">
      <alignment horizontal="center"/>
    </xf>
    <xf numFmtId="0" fontId="67" fillId="0" borderId="0" xfId="0" applyFont="1" applyAlignment="1">
      <alignment horizontal="left" wrapText="1"/>
    </xf>
    <xf numFmtId="0" fontId="6" fillId="0" borderId="5" xfId="0" applyFont="1" applyBorder="1" applyAlignment="1">
      <alignment horizontal="center"/>
    </xf>
    <xf numFmtId="164" fontId="2" fillId="0" borderId="19" xfId="0" applyNumberFormat="1" applyFont="1" applyBorder="1" applyAlignment="1">
      <alignment wrapText="1"/>
    </xf>
    <xf numFmtId="178" fontId="6" fillId="0" borderId="0" xfId="0" applyNumberFormat="1" applyFont="1" applyAlignment="1">
      <alignment horizontal="center" wrapText="1"/>
    </xf>
    <xf numFmtId="179" fontId="6" fillId="0" borderId="0" xfId="0" applyNumberFormat="1" applyFont="1" applyAlignment="1">
      <alignment horizontal="center" wrapText="1"/>
    </xf>
    <xf numFmtId="9" fontId="2" fillId="0" borderId="64" xfId="0" applyNumberFormat="1" applyFont="1" applyBorder="1" applyAlignment="1">
      <alignment horizontal="center"/>
    </xf>
    <xf numFmtId="177" fontId="2" fillId="3" borderId="19" xfId="0" applyNumberFormat="1" applyFont="1" applyFill="1" applyBorder="1" applyAlignment="1">
      <alignment horizontal="right"/>
    </xf>
    <xf numFmtId="0" fontId="71" fillId="0" borderId="0" xfId="0" applyFont="1" applyAlignment="1">
      <alignment horizontal="left" vertical="top" wrapText="1"/>
    </xf>
    <xf numFmtId="176" fontId="2" fillId="0" borderId="19" xfId="0" applyNumberFormat="1" applyFont="1" applyBorder="1" applyAlignment="1">
      <alignment horizontal="center"/>
    </xf>
    <xf numFmtId="164" fontId="2" fillId="3" borderId="30" xfId="0" applyNumberFormat="1" applyFont="1" applyFill="1" applyBorder="1" applyAlignment="1">
      <alignment horizontal="center"/>
    </xf>
    <xf numFmtId="0" fontId="27" fillId="0" borderId="7" xfId="0" applyFont="1" applyBorder="1" applyAlignment="1">
      <alignment horizontal="left"/>
    </xf>
    <xf numFmtId="9" fontId="2" fillId="0" borderId="66" xfId="0" applyNumberFormat="1" applyFont="1" applyBorder="1" applyAlignment="1">
      <alignment horizontal="center" vertical="center"/>
    </xf>
    <xf numFmtId="0" fontId="2" fillId="0" borderId="19" xfId="0" applyFont="1" applyBorder="1" applyAlignment="1">
      <alignment horizontal="right"/>
    </xf>
    <xf numFmtId="0" fontId="27" fillId="0" borderId="19" xfId="0" applyFont="1" applyBorder="1" applyAlignment="1">
      <alignment horizontal="right"/>
    </xf>
    <xf numFmtId="5" fontId="2" fillId="0" borderId="7" xfId="0" applyNumberFormat="1" applyFont="1" applyBorder="1" applyAlignment="1">
      <alignment horizontal="center"/>
    </xf>
    <xf numFmtId="5" fontId="2" fillId="0" borderId="19" xfId="0" applyNumberFormat="1" applyFont="1" applyBorder="1" applyAlignment="1">
      <alignment horizontal="center"/>
    </xf>
    <xf numFmtId="0" fontId="27" fillId="3" borderId="30" xfId="0" applyFont="1" applyFill="1" applyBorder="1" applyAlignment="1">
      <alignment horizontal="left"/>
    </xf>
    <xf numFmtId="164" fontId="2" fillId="6" borderId="19" xfId="0" applyNumberFormat="1" applyFont="1" applyFill="1" applyBorder="1" applyAlignment="1">
      <alignment horizontal="center"/>
    </xf>
    <xf numFmtId="164" fontId="2" fillId="0" borderId="28" xfId="0" applyNumberFormat="1" applyFont="1" applyBorder="1" applyAlignment="1">
      <alignment horizontal="center"/>
    </xf>
    <xf numFmtId="164" fontId="2" fillId="0" borderId="64" xfId="0" applyNumberFormat="1" applyFont="1" applyBorder="1" applyAlignment="1">
      <alignment horizontal="center"/>
    </xf>
    <xf numFmtId="164" fontId="2" fillId="3" borderId="13" xfId="0" applyNumberFormat="1" applyFont="1" applyFill="1" applyBorder="1" applyAlignment="1">
      <alignment horizontal="center"/>
    </xf>
    <xf numFmtId="164" fontId="2" fillId="3" borderId="96" xfId="0" applyNumberFormat="1" applyFont="1" applyFill="1" applyBorder="1" applyAlignment="1">
      <alignment horizontal="center"/>
    </xf>
    <xf numFmtId="0" fontId="4" fillId="2" borderId="99" xfId="0" applyFont="1" applyFill="1" applyBorder="1" applyAlignment="1">
      <alignment horizontal="center" vertical="center"/>
    </xf>
    <xf numFmtId="0" fontId="5" fillId="0" borderId="100" xfId="0" applyFont="1" applyBorder="1"/>
    <xf numFmtId="0" fontId="6" fillId="0" borderId="19" xfId="0" applyFont="1" applyBorder="1" applyAlignment="1">
      <alignment horizontal="left"/>
    </xf>
    <xf numFmtId="0" fontId="6" fillId="0" borderId="0" xfId="0" applyFont="1" applyAlignment="1">
      <alignment horizontal="center" vertical="top"/>
    </xf>
    <xf numFmtId="0" fontId="2" fillId="3" borderId="13" xfId="0" applyFont="1" applyFill="1" applyBorder="1" applyAlignment="1">
      <alignment horizontal="left" shrinkToFit="1"/>
    </xf>
    <xf numFmtId="0" fontId="2" fillId="0" borderId="0" xfId="0" applyFont="1" applyAlignment="1">
      <alignment horizontal="left" vertical="center" shrinkToFit="1"/>
    </xf>
    <xf numFmtId="0" fontId="2" fillId="3" borderId="13" xfId="0" applyFont="1" applyFill="1" applyBorder="1" applyAlignment="1">
      <alignment horizontal="center" vertical="center" shrinkToFit="1"/>
    </xf>
    <xf numFmtId="0" fontId="2" fillId="3" borderId="13" xfId="0" applyFont="1" applyFill="1" applyBorder="1" applyAlignment="1">
      <alignment horizontal="left" vertical="top"/>
    </xf>
    <xf numFmtId="0" fontId="109" fillId="0" borderId="0" xfId="0" applyFont="1" applyAlignment="1">
      <alignment horizontal="left"/>
    </xf>
    <xf numFmtId="164" fontId="51" fillId="0" borderId="0" xfId="0" applyNumberFormat="1" applyFont="1" applyAlignment="1">
      <alignment horizontal="center" vertical="top" wrapText="1"/>
    </xf>
    <xf numFmtId="0" fontId="2" fillId="0" borderId="129" xfId="0" applyFont="1" applyBorder="1" applyAlignment="1">
      <alignment horizontal="left" wrapText="1"/>
    </xf>
    <xf numFmtId="0" fontId="5" fillId="0" borderId="130" xfId="0" applyFont="1" applyBorder="1"/>
    <xf numFmtId="0" fontId="5" fillId="0" borderId="131" xfId="0" applyFont="1" applyBorder="1"/>
    <xf numFmtId="0" fontId="5" fillId="0" borderId="132" xfId="0" applyFont="1" applyBorder="1"/>
    <xf numFmtId="0" fontId="5" fillId="0" borderId="133" xfId="0" applyFont="1" applyBorder="1"/>
    <xf numFmtId="0" fontId="5" fillId="0" borderId="134" xfId="0" applyFont="1" applyBorder="1"/>
    <xf numFmtId="0" fontId="5" fillId="0" borderId="135" xfId="0" applyFont="1" applyBorder="1"/>
    <xf numFmtId="0" fontId="5" fillId="0" borderId="136" xfId="0" applyFont="1" applyBorder="1"/>
    <xf numFmtId="4" fontId="27" fillId="0" borderId="0" xfId="0" applyNumberFormat="1" applyFont="1" applyAlignment="1">
      <alignment horizontal="center"/>
    </xf>
    <xf numFmtId="4" fontId="27" fillId="0" borderId="21" xfId="0" applyNumberFormat="1" applyFont="1" applyBorder="1" applyAlignment="1">
      <alignment horizontal="center"/>
    </xf>
    <xf numFmtId="10" fontId="27" fillId="0" borderId="28" xfId="0" applyNumberFormat="1" applyFont="1" applyBorder="1" applyAlignment="1">
      <alignment horizontal="center"/>
    </xf>
    <xf numFmtId="1" fontId="2" fillId="0" borderId="7" xfId="0" applyNumberFormat="1" applyFont="1" applyBorder="1" applyAlignment="1">
      <alignment horizontal="center"/>
    </xf>
    <xf numFmtId="4" fontId="27" fillId="0" borderId="19" xfId="0" applyNumberFormat="1" applyFont="1" applyBorder="1" applyAlignment="1">
      <alignment horizontal="center"/>
    </xf>
    <xf numFmtId="0" fontId="6" fillId="0" borderId="0" xfId="0" applyFont="1" applyAlignment="1">
      <alignment horizontal="right"/>
    </xf>
    <xf numFmtId="0" fontId="2" fillId="3" borderId="164" xfId="0" applyFont="1" applyFill="1" applyBorder="1" applyAlignment="1">
      <alignment horizontal="center"/>
    </xf>
    <xf numFmtId="0" fontId="5" fillId="0" borderId="165" xfId="0" applyFont="1" applyBorder="1"/>
    <xf numFmtId="0" fontId="2" fillId="0" borderId="132" xfId="0" applyFont="1" applyBorder="1" applyAlignment="1">
      <alignment horizontal="center"/>
    </xf>
    <xf numFmtId="0" fontId="2" fillId="3" borderId="174" xfId="0" applyFont="1" applyFill="1" applyBorder="1" applyAlignment="1">
      <alignment horizontal="center"/>
    </xf>
    <xf numFmtId="0" fontId="2" fillId="3" borderId="146" xfId="0" applyFont="1" applyFill="1" applyBorder="1" applyAlignment="1">
      <alignment horizontal="center"/>
    </xf>
    <xf numFmtId="0" fontId="27" fillId="0" borderId="0" xfId="0" applyFont="1" applyAlignment="1">
      <alignment horizontal="left" vertical="top" wrapText="1"/>
    </xf>
    <xf numFmtId="0" fontId="5" fillId="0" borderId="179" xfId="0" applyFont="1" applyBorder="1"/>
    <xf numFmtId="0" fontId="5" fillId="0" borderId="180" xfId="0" applyFont="1" applyBorder="1"/>
    <xf numFmtId="0" fontId="27" fillId="0" borderId="130" xfId="0" applyFont="1" applyBorder="1" applyAlignment="1">
      <alignment horizontal="left" vertical="top" wrapText="1"/>
    </xf>
    <xf numFmtId="0" fontId="6" fillId="0" borderId="130" xfId="0" applyFont="1" applyBorder="1" applyAlignment="1">
      <alignment horizontal="center" vertical="top"/>
    </xf>
    <xf numFmtId="0" fontId="2" fillId="3" borderId="168" xfId="0" applyFont="1" applyFill="1" applyBorder="1" applyAlignment="1">
      <alignment horizontal="center"/>
    </xf>
    <xf numFmtId="0" fontId="5" fillId="0" borderId="169" xfId="0" applyFont="1" applyBorder="1"/>
    <xf numFmtId="0" fontId="32" fillId="0" borderId="130" xfId="0" applyFont="1" applyBorder="1" applyAlignment="1">
      <alignment horizontal="left" wrapText="1"/>
    </xf>
    <xf numFmtId="178" fontId="40" fillId="0" borderId="64" xfId="0" applyNumberFormat="1" applyFont="1" applyBorder="1" applyAlignment="1">
      <alignment horizontal="right" vertical="center"/>
    </xf>
    <xf numFmtId="174" fontId="40" fillId="0" borderId="64" xfId="0" applyNumberFormat="1" applyFont="1" applyBorder="1" applyAlignment="1">
      <alignment horizontal="center" vertical="center"/>
    </xf>
    <xf numFmtId="9" fontId="27" fillId="3" borderId="13" xfId="0" applyNumberFormat="1" applyFont="1" applyFill="1" applyBorder="1" applyAlignment="1">
      <alignment horizontal="left"/>
    </xf>
    <xf numFmtId="0" fontId="27" fillId="3" borderId="170" xfId="0" applyFont="1" applyFill="1" applyBorder="1" applyAlignment="1">
      <alignment horizontal="left"/>
    </xf>
    <xf numFmtId="0" fontId="5" fillId="0" borderId="171" xfId="0" applyFont="1" applyBorder="1"/>
    <xf numFmtId="0" fontId="5" fillId="0" borderId="172" xfId="0" applyFont="1" applyBorder="1"/>
    <xf numFmtId="0" fontId="32" fillId="0" borderId="130" xfId="0" applyFont="1" applyBorder="1" applyAlignment="1">
      <alignment horizontal="left" vertical="top" wrapText="1"/>
    </xf>
    <xf numFmtId="9" fontId="27" fillId="3" borderId="170" xfId="0" applyNumberFormat="1" applyFont="1" applyFill="1" applyBorder="1" applyAlignment="1">
      <alignment horizontal="left"/>
    </xf>
    <xf numFmtId="0" fontId="27" fillId="3" borderId="59" xfId="0" applyFont="1" applyFill="1" applyBorder="1" applyAlignment="1">
      <alignment horizontal="left" vertical="top"/>
    </xf>
    <xf numFmtId="0" fontId="2" fillId="0" borderId="132" xfId="0" applyFont="1" applyBorder="1" applyAlignment="1">
      <alignment horizontal="left" vertical="top" wrapText="1"/>
    </xf>
    <xf numFmtId="1" fontId="6" fillId="0" borderId="19" xfId="0" applyNumberFormat="1" applyFont="1" applyBorder="1" applyAlignment="1">
      <alignment horizontal="center"/>
    </xf>
    <xf numFmtId="1" fontId="6" fillId="0" borderId="7" xfId="0" applyNumberFormat="1" applyFont="1" applyBorder="1" applyAlignment="1">
      <alignment horizontal="center" wrapText="1"/>
    </xf>
    <xf numFmtId="0" fontId="6" fillId="0" borderId="19" xfId="0" applyFont="1" applyBorder="1" applyAlignment="1">
      <alignment horizontal="center" wrapText="1"/>
    </xf>
    <xf numFmtId="49" fontId="4" fillId="2" borderId="99" xfId="0" applyNumberFormat="1" applyFont="1" applyFill="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top" shrinkToFit="1"/>
    </xf>
    <xf numFmtId="44" fontId="2" fillId="0" borderId="0" xfId="0" applyNumberFormat="1" applyFont="1" applyAlignment="1">
      <alignment horizontal="left" vertical="top" wrapText="1"/>
    </xf>
    <xf numFmtId="0" fontId="2" fillId="0" borderId="129" xfId="0" applyFont="1" applyBorder="1" applyAlignment="1">
      <alignment horizontal="left" vertical="center" wrapText="1"/>
    </xf>
    <xf numFmtId="0" fontId="104" fillId="0" borderId="0" xfId="0" applyFont="1" applyAlignment="1">
      <alignment horizontal="left" vertical="top" wrapText="1"/>
    </xf>
    <xf numFmtId="0" fontId="104" fillId="0" borderId="0" xfId="0" applyFont="1" applyAlignment="1">
      <alignment horizontal="left" vertical="center" wrapText="1"/>
    </xf>
    <xf numFmtId="0" fontId="78" fillId="10" borderId="155" xfId="0" applyFont="1" applyFill="1" applyBorder="1" applyAlignment="1">
      <alignment horizontal="center"/>
    </xf>
    <xf numFmtId="0" fontId="5" fillId="0" borderId="156" xfId="0" applyFont="1" applyBorder="1"/>
    <xf numFmtId="0" fontId="78" fillId="10" borderId="13" xfId="0" applyFont="1" applyFill="1" applyBorder="1" applyAlignment="1">
      <alignment horizontal="center"/>
    </xf>
    <xf numFmtId="0" fontId="2" fillId="3" borderId="160" xfId="0" applyFont="1" applyFill="1" applyBorder="1" applyAlignment="1">
      <alignment vertical="top" wrapText="1"/>
    </xf>
    <xf numFmtId="0" fontId="5" fillId="0" borderId="161" xfId="0" applyFont="1" applyBorder="1"/>
    <xf numFmtId="0" fontId="5" fillId="0" borderId="153" xfId="0" applyFont="1" applyBorder="1"/>
    <xf numFmtId="0" fontId="5" fillId="0" borderId="162" xfId="0" applyFont="1" applyBorder="1"/>
    <xf numFmtId="0" fontId="2" fillId="3" borderId="1" xfId="0" applyFont="1" applyFill="1" applyBorder="1" applyAlignment="1">
      <alignment horizontal="left" vertical="center" wrapText="1"/>
    </xf>
    <xf numFmtId="164" fontId="2" fillId="0" borderId="0" xfId="0" applyNumberFormat="1" applyFont="1" applyAlignment="1">
      <alignment horizontal="right"/>
    </xf>
    <xf numFmtId="164" fontId="2" fillId="0" borderId="21" xfId="0" applyNumberFormat="1" applyFont="1" applyBorder="1" applyAlignment="1">
      <alignment horizontal="right"/>
    </xf>
    <xf numFmtId="9" fontId="2" fillId="0" borderId="0" xfId="0" quotePrefix="1" applyNumberFormat="1" applyFont="1" applyAlignment="1">
      <alignment horizontal="center"/>
    </xf>
    <xf numFmtId="0" fontId="2" fillId="0" borderId="0" xfId="0" applyFont="1" applyAlignment="1">
      <alignment horizontal="right"/>
    </xf>
    <xf numFmtId="9" fontId="2" fillId="0" borderId="21" xfId="0" quotePrefix="1" applyNumberFormat="1" applyFont="1" applyBorder="1" applyAlignment="1">
      <alignment horizontal="center"/>
    </xf>
    <xf numFmtId="0" fontId="88" fillId="0" borderId="21" xfId="0" applyFont="1" applyBorder="1" applyAlignment="1">
      <alignment horizontal="center"/>
    </xf>
    <xf numFmtId="0" fontId="2" fillId="0" borderId="21" xfId="0" applyFont="1" applyBorder="1" applyAlignment="1">
      <alignment horizontal="right"/>
    </xf>
    <xf numFmtId="0" fontId="88" fillId="0" borderId="0" xfId="0" applyFont="1" applyAlignment="1">
      <alignment horizontal="center"/>
    </xf>
    <xf numFmtId="0" fontId="16" fillId="0" borderId="7" xfId="0" applyFont="1" applyBorder="1" applyAlignment="1">
      <alignment horizontal="left"/>
    </xf>
    <xf numFmtId="164" fontId="16" fillId="0" borderId="21" xfId="0" applyNumberFormat="1" applyFont="1" applyBorder="1" applyAlignment="1">
      <alignment horizontal="right"/>
    </xf>
    <xf numFmtId="9" fontId="2" fillId="3" borderId="30" xfId="0" applyNumberFormat="1" applyFont="1" applyFill="1" applyBorder="1" applyAlignment="1">
      <alignment horizontal="left"/>
    </xf>
    <xf numFmtId="1" fontId="2" fillId="3" borderId="155" xfId="0" applyNumberFormat="1" applyFont="1" applyFill="1" applyBorder="1" applyAlignment="1">
      <alignment horizontal="center"/>
    </xf>
    <xf numFmtId="176" fontId="2" fillId="0" borderId="19" xfId="0" applyNumberFormat="1" applyFont="1" applyBorder="1" applyAlignment="1">
      <alignment horizontal="center" vertical="top" wrapText="1"/>
    </xf>
    <xf numFmtId="10" fontId="2" fillId="0" borderId="19" xfId="0" applyNumberFormat="1" applyFont="1" applyBorder="1" applyAlignment="1">
      <alignment horizontal="center" vertical="top" wrapText="1"/>
    </xf>
    <xf numFmtId="0" fontId="32" fillId="3" borderId="13" xfId="0" applyFont="1" applyFill="1" applyBorder="1" applyAlignment="1">
      <alignment horizontal="left"/>
    </xf>
    <xf numFmtId="0" fontId="2" fillId="8" borderId="13" xfId="0" applyFont="1" applyFill="1" applyBorder="1" applyAlignment="1">
      <alignment horizontal="left"/>
    </xf>
    <xf numFmtId="1" fontId="2" fillId="0" borderId="153" xfId="0" applyNumberFormat="1" applyFont="1" applyBorder="1" applyAlignment="1">
      <alignment horizontal="center" vertical="top" wrapText="1"/>
    </xf>
    <xf numFmtId="0" fontId="6" fillId="0" borderId="0" xfId="0" applyFont="1" applyAlignment="1">
      <alignment horizontal="left" wrapText="1"/>
    </xf>
    <xf numFmtId="0" fontId="2" fillId="0" borderId="129" xfId="0" applyFont="1" applyBorder="1" applyAlignment="1">
      <alignment horizontal="left" vertical="top" wrapText="1"/>
    </xf>
    <xf numFmtId="176" fontId="2" fillId="0" borderId="153" xfId="0" applyNumberFormat="1" applyFont="1" applyBorder="1" applyAlignment="1">
      <alignment horizontal="center" vertical="top" wrapText="1"/>
    </xf>
    <xf numFmtId="164" fontId="2" fillId="0" borderId="21" xfId="0" applyNumberFormat="1" applyFont="1" applyBorder="1" applyAlignment="1">
      <alignment horizontal="center" vertical="top"/>
    </xf>
    <xf numFmtId="176" fontId="2" fillId="0" borderId="21" xfId="0" applyNumberFormat="1" applyFont="1" applyBorder="1" applyAlignment="1">
      <alignment horizontal="center" vertical="top" wrapText="1"/>
    </xf>
    <xf numFmtId="164" fontId="2" fillId="3" borderId="13" xfId="0" applyNumberFormat="1" applyFont="1" applyFill="1" applyBorder="1" applyAlignment="1">
      <alignment horizontal="center" vertical="top" wrapText="1"/>
    </xf>
    <xf numFmtId="164" fontId="2" fillId="3" borderId="146" xfId="0" applyNumberFormat="1" applyFont="1" applyFill="1" applyBorder="1" applyAlignment="1">
      <alignment horizontal="center" vertical="top" wrapText="1"/>
    </xf>
    <xf numFmtId="164" fontId="2" fillId="0" borderId="153" xfId="0" applyNumberFormat="1" applyFont="1" applyBorder="1" applyAlignment="1">
      <alignment horizontal="center" vertical="top"/>
    </xf>
    <xf numFmtId="0" fontId="2" fillId="3" borderId="147" xfId="0" applyFont="1" applyFill="1" applyBorder="1" applyAlignment="1">
      <alignment horizontal="center"/>
    </xf>
    <xf numFmtId="0" fontId="2" fillId="0" borderId="142" xfId="0" applyFont="1" applyBorder="1" applyAlignment="1">
      <alignment horizontal="left" vertical="center" wrapText="1"/>
    </xf>
    <xf numFmtId="0" fontId="5" fillId="0" borderId="143" xfId="0" applyFont="1" applyBorder="1"/>
    <xf numFmtId="0" fontId="5" fillId="0" borderId="144" xfId="0" applyFont="1" applyBorder="1"/>
    <xf numFmtId="176" fontId="2" fillId="0" borderId="147" xfId="0" applyNumberFormat="1" applyFont="1" applyBorder="1" applyAlignment="1">
      <alignment horizontal="center" vertical="top" wrapText="1"/>
    </xf>
    <xf numFmtId="0" fontId="2" fillId="0" borderId="153" xfId="0" applyFont="1" applyBorder="1" applyAlignment="1">
      <alignment horizontal="center" vertical="top" wrapText="1"/>
    </xf>
    <xf numFmtId="0" fontId="2" fillId="0" borderId="129" xfId="0" applyFont="1" applyBorder="1" applyAlignment="1">
      <alignment vertical="center" wrapText="1"/>
    </xf>
    <xf numFmtId="0" fontId="6" fillId="0" borderId="143" xfId="0" applyFont="1" applyBorder="1" applyAlignment="1">
      <alignment horizontal="left" vertical="top"/>
    </xf>
    <xf numFmtId="178" fontId="2" fillId="0" borderId="129" xfId="0" applyNumberFormat="1" applyFont="1" applyBorder="1" applyAlignment="1">
      <alignment horizontal="left" vertical="top" wrapText="1"/>
    </xf>
    <xf numFmtId="0" fontId="6" fillId="0" borderId="0" xfId="0" applyFont="1"/>
    <xf numFmtId="9" fontId="2" fillId="0" borderId="21" xfId="0" applyNumberFormat="1" applyFont="1" applyBorder="1" applyAlignment="1">
      <alignment horizontal="center"/>
    </xf>
    <xf numFmtId="0" fontId="2" fillId="0" borderId="7" xfId="0" applyFont="1" applyBorder="1" applyAlignment="1">
      <alignment horizontal="center"/>
    </xf>
    <xf numFmtId="176" fontId="2" fillId="0" borderId="21" xfId="0" applyNumberFormat="1" applyFont="1" applyBorder="1" applyAlignment="1">
      <alignment horizontal="right"/>
    </xf>
    <xf numFmtId="164" fontId="2" fillId="0" borderId="28" xfId="0" applyNumberFormat="1" applyFont="1" applyBorder="1" applyAlignment="1">
      <alignment horizontal="right"/>
    </xf>
    <xf numFmtId="176" fontId="2" fillId="0" borderId="0" xfId="0" applyNumberFormat="1" applyFont="1" applyAlignment="1">
      <alignment horizontal="right"/>
    </xf>
    <xf numFmtId="2" fontId="2" fillId="0" borderId="0" xfId="0" applyNumberFormat="1" applyFont="1" applyAlignment="1">
      <alignment horizontal="right"/>
    </xf>
    <xf numFmtId="6" fontId="2" fillId="0" borderId="19" xfId="0" applyNumberFormat="1" applyFont="1" applyBorder="1" applyAlignment="1">
      <alignment horizontal="right"/>
    </xf>
    <xf numFmtId="3" fontId="2" fillId="3" borderId="13" xfId="0" applyNumberFormat="1" applyFont="1" applyFill="1" applyBorder="1" applyAlignment="1">
      <alignment horizontal="right"/>
    </xf>
    <xf numFmtId="0" fontId="44" fillId="0" borderId="19" xfId="0" applyFont="1" applyBorder="1"/>
    <xf numFmtId="0" fontId="44" fillId="0" borderId="0" xfId="0" applyFont="1" applyAlignment="1">
      <alignment horizontal="left" wrapText="1"/>
    </xf>
    <xf numFmtId="0" fontId="44" fillId="0" borderId="0" xfId="0" applyFont="1" applyAlignment="1">
      <alignment wrapText="1"/>
    </xf>
    <xf numFmtId="0" fontId="44" fillId="0" borderId="82" xfId="0" applyFont="1" applyBorder="1"/>
    <xf numFmtId="0" fontId="44" fillId="3" borderId="1" xfId="0" applyFont="1" applyFill="1" applyBorder="1" applyAlignment="1">
      <alignment horizontal="left" vertical="top" wrapText="1"/>
    </xf>
    <xf numFmtId="0" fontId="44" fillId="0" borderId="71" xfId="0" applyFont="1" applyBorder="1" applyAlignment="1">
      <alignment horizontal="right"/>
    </xf>
    <xf numFmtId="0" fontId="44" fillId="0" borderId="78" xfId="0" applyFont="1" applyBorder="1" applyAlignment="1">
      <alignment horizontal="right"/>
    </xf>
    <xf numFmtId="0" fontId="44" fillId="0" borderId="79" xfId="0" applyFont="1" applyBorder="1" applyAlignment="1">
      <alignment horizontal="right"/>
    </xf>
    <xf numFmtId="0" fontId="44" fillId="0" borderId="107" xfId="0" applyFont="1" applyBorder="1"/>
    <xf numFmtId="164" fontId="44" fillId="0" borderId="82" xfId="0" applyNumberFormat="1" applyFont="1" applyBorder="1" applyAlignment="1">
      <alignment horizontal="left" vertical="center"/>
    </xf>
    <xf numFmtId="164" fontId="44" fillId="0" borderId="66" xfId="0" applyNumberFormat="1" applyFont="1" applyBorder="1" applyAlignment="1">
      <alignment horizontal="left" vertical="center"/>
    </xf>
    <xf numFmtId="9" fontId="97" fillId="14" borderId="19" xfId="0" applyNumberFormat="1" applyFont="1" applyFill="1" applyBorder="1" applyAlignment="1">
      <alignment horizontal="center" vertical="center"/>
    </xf>
    <xf numFmtId="164" fontId="44" fillId="0" borderId="19" xfId="0" applyNumberFormat="1" applyFont="1" applyBorder="1" applyAlignment="1">
      <alignment horizontal="left" vertical="center"/>
    </xf>
    <xf numFmtId="49" fontId="44" fillId="14" borderId="157" xfId="0" applyNumberFormat="1" applyFont="1" applyFill="1" applyBorder="1" applyAlignment="1">
      <alignment horizontal="center" vertical="center" wrapText="1"/>
    </xf>
    <xf numFmtId="0" fontId="5" fillId="0" borderId="22" xfId="0" applyFont="1" applyBorder="1"/>
    <xf numFmtId="0" fontId="97" fillId="0" borderId="107" xfId="0" applyFont="1" applyBorder="1" applyAlignment="1">
      <alignment horizontal="center" vertical="top" wrapText="1"/>
    </xf>
    <xf numFmtId="0" fontId="44" fillId="0" borderId="0" xfId="0" applyFont="1" applyAlignment="1">
      <alignment horizontal="center" vertical="center" wrapText="1"/>
    </xf>
    <xf numFmtId="0" fontId="44" fillId="0" borderId="19" xfId="0" applyFont="1" applyBorder="1" applyAlignment="1">
      <alignment horizontal="left"/>
    </xf>
    <xf numFmtId="0" fontId="97" fillId="0" borderId="107" xfId="0" applyFont="1" applyBorder="1" applyAlignment="1">
      <alignment horizontal="left"/>
    </xf>
    <xf numFmtId="49" fontId="96" fillId="2" borderId="59" xfId="0" applyNumberFormat="1" applyFont="1" applyFill="1" applyBorder="1" applyAlignment="1">
      <alignment horizontal="center" vertical="center"/>
    </xf>
    <xf numFmtId="0" fontId="97" fillId="14" borderId="19" xfId="0" applyFont="1" applyFill="1" applyBorder="1" applyAlignment="1">
      <alignment horizontal="center" vertical="center"/>
    </xf>
    <xf numFmtId="0" fontId="44" fillId="0" borderId="21" xfId="0" applyFont="1" applyBorder="1" applyAlignment="1">
      <alignment horizontal="center"/>
    </xf>
    <xf numFmtId="3" fontId="2" fillId="0" borderId="0" xfId="0" applyNumberFormat="1" applyFont="1" applyAlignment="1">
      <alignment horizontal="left" vertical="top" wrapText="1"/>
    </xf>
  </cellXfs>
  <cellStyles count="1">
    <cellStyle name="Normal" xfId="0" builtinId="0"/>
  </cellStyles>
  <dxfs count="133">
    <dxf>
      <font>
        <color rgb="FFA5A5A5"/>
      </font>
      <fill>
        <patternFill patternType="none"/>
      </fill>
    </dxf>
    <dxf>
      <fill>
        <patternFill patternType="solid">
          <fgColor rgb="FFFFFF99"/>
          <bgColor rgb="FFFFFF99"/>
        </patternFill>
      </fill>
    </dxf>
    <dxf>
      <fill>
        <patternFill patternType="solid">
          <fgColor rgb="FFF2F2F2"/>
          <bgColor rgb="FFF2F2F2"/>
        </patternFill>
      </fill>
    </dxf>
    <dxf>
      <font>
        <color rgb="FFBFBFBF"/>
      </font>
      <fill>
        <patternFill patternType="none"/>
      </fill>
    </dxf>
    <dxf>
      <fill>
        <patternFill patternType="none"/>
      </fill>
    </dxf>
    <dxf>
      <font>
        <color rgb="FFA5A5A5"/>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ill>
        <patternFill patternType="solid">
          <fgColor rgb="FFFFFF99"/>
          <bgColor rgb="FFFFFF99"/>
        </patternFill>
      </fill>
      <border>
        <bottom style="thin">
          <color rgb="FF000000"/>
        </bottom>
      </border>
    </dxf>
    <dxf>
      <fill>
        <patternFill patternType="none"/>
      </fill>
    </dxf>
    <dxf>
      <font>
        <b/>
        <color rgb="FFE36C09"/>
      </font>
      <fill>
        <patternFill patternType="none"/>
      </fill>
    </dxf>
    <dxf>
      <font>
        <color rgb="FFFF0000"/>
      </font>
      <fill>
        <patternFill patternType="none"/>
      </fill>
    </dxf>
    <dxf>
      <fill>
        <patternFill patternType="solid">
          <fgColor rgb="FFFF0000"/>
          <bgColor rgb="FFFF0000"/>
        </patternFill>
      </fill>
    </dxf>
    <dxf>
      <fill>
        <patternFill patternType="solid">
          <fgColor rgb="FFFF0000"/>
          <bgColor rgb="FFFF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patternType="none"/>
      </fill>
    </dxf>
    <dxf>
      <font>
        <color rgb="FFFFFFFF"/>
      </font>
      <fill>
        <patternFill patternType="none"/>
      </fill>
    </dxf>
    <dxf>
      <font>
        <color rgb="FFFFFFFF"/>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BFBFBF"/>
      </font>
      <fill>
        <patternFill patternType="none"/>
      </fill>
    </dxf>
    <dxf>
      <font>
        <color rgb="FFBFBFBF"/>
      </font>
      <fill>
        <patternFill patternType="none"/>
      </fill>
    </dxf>
    <dxf>
      <fill>
        <patternFill patternType="none"/>
      </fill>
      <border>
        <left style="thin">
          <color rgb="FF000000"/>
        </left>
        <right style="thin">
          <color rgb="FF000000"/>
        </right>
        <top style="thin">
          <color rgb="FF000000"/>
        </top>
        <bottom style="thin">
          <color rgb="FF000000"/>
        </bottom>
      </border>
    </dxf>
    <dxf>
      <fill>
        <patternFill patternType="solid">
          <fgColor rgb="FFFF0000"/>
          <bgColor rgb="FFFF0000"/>
        </patternFill>
      </fill>
    </dxf>
    <dxf>
      <fill>
        <patternFill patternType="solid">
          <fgColor rgb="FFFF0000"/>
          <bgColor rgb="FFFF0000"/>
        </patternFill>
      </fill>
    </dxf>
    <dxf>
      <font>
        <color theme="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none"/>
      </fill>
    </dxf>
    <dxf>
      <font>
        <color theme="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FF99"/>
          <bgColor rgb="FFFFFF99"/>
        </patternFill>
      </fill>
      <border>
        <bottom style="thin">
          <color rgb="FF000000"/>
        </bottom>
      </border>
    </dxf>
    <dxf>
      <font>
        <color rgb="FFBFBFBF"/>
      </font>
      <fill>
        <patternFill patternType="none"/>
      </fill>
    </dxf>
    <dxf>
      <font>
        <color rgb="FFBFBFBF"/>
      </font>
      <fill>
        <patternFill patternType="none"/>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patternType="none"/>
      </fill>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3">
    <tableStyle name="Application-style" pivot="0" count="4" xr9:uid="{00000000-0011-0000-FFFF-FFFF00000000}">
      <tableStyleElement type="wholeTable" size="0" dxfId="132"/>
      <tableStyleElement type="headerRow" dxfId="131"/>
      <tableStyleElement type="firstRowStripe" dxfId="130"/>
      <tableStyleElement type="secondRowStripe" dxfId="129"/>
    </tableStyle>
    <tableStyle name="CalHFA Addendum-style" pivot="0" count="4" xr9:uid="{00000000-0011-0000-FFFF-FFFF01000000}">
      <tableStyleElement type="wholeTable" size="0" dxfId="128"/>
      <tableStyleElement type="headerRow" dxfId="127"/>
      <tableStyleElement type="firstRowStripe" dxfId="126"/>
      <tableStyleElement type="secondRowStripe" dxfId="125"/>
    </tableStyle>
    <tableStyle name="Tie Breaker-style" pivot="0" count="4" xr9:uid="{00000000-0011-0000-FFFF-FFFF02000000}">
      <tableStyleElement type="wholeTable" size="0" dxfId="124"/>
      <tableStyleElement type="headerRow" dxfId="123"/>
      <tableStyleElement type="firstRowStripe" dxfId="122"/>
      <tableStyleElement type="secondRowStripe" dxfId="12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g"/></Relationships>
</file>

<file path=xl/drawings/drawing1.xml><?xml version="1.0" encoding="utf-8"?>
<xdr:wsDr xmlns:xdr="http://schemas.openxmlformats.org/drawingml/2006/spreadsheetDrawing" xmlns:a="http://schemas.openxmlformats.org/drawingml/2006/main">
  <xdr:oneCellAnchor>
    <xdr:from>
      <xdr:col>0</xdr:col>
      <xdr:colOff>0</xdr:colOff>
      <xdr:row>51</xdr:row>
      <xdr:rowOff>0</xdr:rowOff>
    </xdr:from>
    <xdr:ext cx="9525" cy="4057650"/>
    <xdr:pic>
      <xdr:nvPicPr>
        <xdr:cNvPr id="2" name="image8.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400050</xdr:colOff>
      <xdr:row>14</xdr:row>
      <xdr:rowOff>0</xdr:rowOff>
    </xdr:from>
    <xdr:ext cx="0" cy="152400"/>
    <xdr:pic>
      <xdr:nvPicPr>
        <xdr:cNvPr id="3" name="image6.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20</xdr:row>
      <xdr:rowOff>0</xdr:rowOff>
    </xdr:from>
    <xdr:ext cx="0" cy="5248275"/>
    <xdr:pic>
      <xdr:nvPicPr>
        <xdr:cNvPr id="4" name="image4.pn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533400</xdr:colOff>
      <xdr:row>81</xdr:row>
      <xdr:rowOff>0</xdr:rowOff>
    </xdr:from>
    <xdr:ext cx="0" cy="1219200"/>
    <xdr:pic>
      <xdr:nvPicPr>
        <xdr:cNvPr id="5" name="image7.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76200</xdr:colOff>
      <xdr:row>20</xdr:row>
      <xdr:rowOff>0</xdr:rowOff>
    </xdr:from>
    <xdr:ext cx="0" cy="5248275"/>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523875</xdr:colOff>
      <xdr:row>81</xdr:row>
      <xdr:rowOff>0</xdr:rowOff>
    </xdr:from>
    <xdr:ext cx="0" cy="1219200"/>
    <xdr:pic>
      <xdr:nvPicPr>
        <xdr:cNvPr id="7" name="image7.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276225</xdr:colOff>
      <xdr:row>14</xdr:row>
      <xdr:rowOff>47625</xdr:rowOff>
    </xdr:from>
    <xdr:ext cx="2600325" cy="238125"/>
    <xdr:pic>
      <xdr:nvPicPr>
        <xdr:cNvPr id="8" name="image5.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581025</xdr:colOff>
      <xdr:row>20</xdr:row>
      <xdr:rowOff>47625</xdr:rowOff>
    </xdr:from>
    <xdr:ext cx="6962775" cy="80772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xdr:col>
      <xdr:colOff>638175</xdr:colOff>
      <xdr:row>81</xdr:row>
      <xdr:rowOff>57150</xdr:rowOff>
    </xdr:from>
    <xdr:ext cx="4857750" cy="781050"/>
    <xdr:pic>
      <xdr:nvPicPr>
        <xdr:cNvPr id="10" name="image1.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20</xdr:col>
      <xdr:colOff>85725</xdr:colOff>
      <xdr:row>0</xdr:row>
      <xdr:rowOff>114300</xdr:rowOff>
    </xdr:from>
    <xdr:ext cx="1457325" cy="1019175"/>
    <xdr:pic>
      <xdr:nvPicPr>
        <xdr:cNvPr id="2" name="image2.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DLAC_Data" displayName="CDLAC_Data" ref="BD2:BF110">
  <tableColumns count="3">
    <tableColumn id="1" xr3:uid="{00000000-0010-0000-0000-000001000000}" name="Key"/>
    <tableColumn id="2" xr3:uid="{00000000-0010-0000-0000-000002000000}" name="Value"/>
    <tableColumn id="3" xr3:uid="{00000000-0010-0000-0000-000003000000}" name="Notes"/>
  </tableColumns>
  <tableStyleInfo name="Application-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5" displayName="Table25" ref="BM8:BM13">
  <tableColumns count="1">
    <tableColumn id="1" xr3:uid="{00000000-0010-0000-0100-000001000000}" name="Construction Type"/>
  </tableColumns>
  <tableStyleInfo name="CalHFA Addendum-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dlac" displayName="Cdlac" ref="L19:U54">
  <tableColumns count="10">
    <tableColumn id="1" xr3:uid="{00000000-0010-0000-0200-000001000000}" name="Bedrooms"/>
    <tableColumn id="2" xr3:uid="{00000000-0010-0000-0200-000002000000}" name="Quantity"/>
    <tableColumn id="3" xr3:uid="{00000000-0010-0000-0200-000003000000}" name="iAMI"/>
    <tableColumn id="4" xr3:uid="{00000000-0010-0000-0200-000004000000}" name="AMI"/>
    <tableColumn id="5" xr3:uid="{00000000-0010-0000-0200-000005000000}" name="Restricted Rent"/>
    <tableColumn id="6" xr3:uid="{00000000-0010-0000-0200-000006000000}" name="Preservation Rent"/>
    <tableColumn id="7" xr3:uid="{00000000-0010-0000-0200-000007000000}" name="Fair Market Rent"/>
    <tableColumn id="8" xr3:uid="{00000000-0010-0000-0200-000008000000}" name="Delta"/>
    <tableColumn id="9" xr3:uid="{00000000-0010-0000-0200-000009000000}" name="Population"/>
    <tableColumn id="10" xr3:uid="{00000000-0010-0000-0200-00000A000000}" name="Federal"/>
  </tableColumns>
  <tableStyleInfo name="Tie Breake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2" Type="http://schemas.openxmlformats.org/officeDocument/2006/relationships/hyperlink" Target="https://www.treasurer.ca.gov/ctcac/2026/4-instructions.asp" TargetMode="External"/><Relationship Id="rId1" Type="http://schemas.openxmlformats.org/officeDocument/2006/relationships/hyperlink" Target="https://www.treasurer.ca.gov/ctcac/payment.as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treasurer.ca.gov/cdlac/contacts.asp" TargetMode="External"/><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findyourrep.legislature.ca.gov/" TargetMode="External"/><Relationship Id="rId1" Type="http://schemas.openxmlformats.org/officeDocument/2006/relationships/hyperlink" Target="https://www.treasurer.ca.gov/ctcac/2023/contacts.pdf" TargetMode="External"/><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0"/>
  <sheetViews>
    <sheetView showGridLines="0" topLeftCell="A28" workbookViewId="0">
      <selection activeCell="AE19" sqref="AE19"/>
    </sheetView>
  </sheetViews>
  <sheetFormatPr defaultColWidth="12.6328125" defaultRowHeight="15" customHeight="1"/>
  <cols>
    <col min="1" max="5" width="2.6328125" customWidth="1"/>
    <col min="6" max="6" width="3" customWidth="1"/>
    <col min="7" max="30" width="2.6328125" customWidth="1"/>
  </cols>
  <sheetData>
    <row r="1" spans="1:30" ht="12.75" customHeight="1">
      <c r="A1" s="900" t="s">
        <v>2</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2"/>
    </row>
    <row r="2" spans="1:30" ht="12.75" customHeight="1">
      <c r="A2" s="903"/>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5"/>
    </row>
    <row r="3" spans="1:30" ht="12.75" customHeight="1"/>
    <row r="4" spans="1:30" ht="12.75" customHeight="1">
      <c r="A4" s="5"/>
      <c r="B4" s="6" t="s">
        <v>6</v>
      </c>
      <c r="C4" s="6" t="s">
        <v>7</v>
      </c>
      <c r="D4" s="5"/>
      <c r="E4" s="5"/>
      <c r="F4" s="5"/>
      <c r="G4" s="5"/>
      <c r="H4" s="5"/>
      <c r="I4" s="5"/>
      <c r="J4" s="5"/>
      <c r="K4" s="5"/>
      <c r="L4" s="5"/>
      <c r="M4" s="5"/>
      <c r="N4" s="5"/>
      <c r="O4" s="5"/>
      <c r="P4" s="5"/>
      <c r="Q4" s="5"/>
      <c r="R4" s="5"/>
      <c r="S4" s="5"/>
      <c r="T4" s="5"/>
      <c r="U4" s="5"/>
      <c r="V4" s="5"/>
      <c r="W4" s="5"/>
      <c r="X4" s="5"/>
      <c r="Y4" s="5"/>
      <c r="Z4" s="5"/>
      <c r="AA4" s="5"/>
      <c r="AB4" s="5"/>
      <c r="AC4" s="5"/>
      <c r="AD4" s="5"/>
    </row>
    <row r="5" spans="1:30" ht="12.75" customHeight="1">
      <c r="B5" s="8"/>
      <c r="C5" s="8"/>
      <c r="D5" s="1"/>
      <c r="E5" s="1"/>
      <c r="F5" s="1"/>
      <c r="G5" s="1"/>
      <c r="H5" s="1"/>
      <c r="I5" s="1"/>
      <c r="J5" s="1"/>
      <c r="K5" s="1"/>
      <c r="L5" s="1"/>
      <c r="M5" s="1"/>
      <c r="N5" s="1"/>
      <c r="O5" s="1"/>
      <c r="P5" s="1"/>
      <c r="Q5" s="1"/>
      <c r="R5" s="1"/>
      <c r="S5" s="1"/>
      <c r="T5" s="1"/>
      <c r="U5" s="1"/>
      <c r="V5" s="1"/>
      <c r="W5" s="1"/>
      <c r="X5" s="1"/>
      <c r="Y5" s="1"/>
      <c r="Z5" s="1"/>
      <c r="AA5" s="1"/>
      <c r="AB5" s="1"/>
    </row>
    <row r="6" spans="1:30" ht="12.75" customHeight="1">
      <c r="A6" s="1"/>
      <c r="C6" s="8" t="s">
        <v>12</v>
      </c>
      <c r="D6" s="8" t="s">
        <v>13</v>
      </c>
      <c r="F6" s="1"/>
      <c r="G6" s="1"/>
      <c r="H6" s="1"/>
      <c r="I6" s="1"/>
      <c r="J6" s="1"/>
      <c r="K6" s="1"/>
      <c r="L6" s="1"/>
      <c r="M6" s="1"/>
      <c r="N6" s="1"/>
      <c r="O6" s="1"/>
      <c r="P6" s="1"/>
      <c r="Q6" s="1"/>
      <c r="R6" s="1"/>
      <c r="S6" s="1"/>
      <c r="T6" s="1"/>
      <c r="U6" s="1"/>
      <c r="V6" s="1"/>
      <c r="W6" s="1"/>
      <c r="X6" s="1"/>
      <c r="Y6" s="1"/>
      <c r="Z6" s="1"/>
      <c r="AA6" s="1"/>
      <c r="AB6" s="1"/>
    </row>
    <row r="7" spans="1:30" ht="12.75" customHeight="1">
      <c r="A7" s="1"/>
      <c r="B7" s="1"/>
      <c r="C7" s="8"/>
      <c r="D7" s="895" t="s">
        <v>15</v>
      </c>
      <c r="E7" s="893"/>
      <c r="F7" s="893"/>
      <c r="G7" s="893"/>
      <c r="H7" s="893"/>
      <c r="I7" s="893"/>
      <c r="J7" s="893"/>
      <c r="K7" s="893"/>
      <c r="L7" s="893"/>
      <c r="M7" s="893"/>
      <c r="N7" s="893"/>
      <c r="O7" s="893"/>
      <c r="P7" s="893"/>
      <c r="Q7" s="893"/>
      <c r="R7" s="893"/>
      <c r="S7" s="893"/>
      <c r="T7" s="893"/>
      <c r="U7" s="893"/>
      <c r="V7" s="893"/>
      <c r="W7" s="893"/>
      <c r="X7" s="893"/>
      <c r="Y7" s="893"/>
      <c r="Z7" s="893"/>
      <c r="AA7" s="893"/>
      <c r="AB7" s="893"/>
      <c r="AC7" s="893"/>
      <c r="AD7" s="893"/>
    </row>
    <row r="8" spans="1:30" ht="12.75" customHeight="1">
      <c r="A8" s="1"/>
      <c r="B8" s="1"/>
      <c r="C8" s="8"/>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row>
    <row r="9" spans="1:30" ht="12.75" customHeight="1">
      <c r="A9" s="1"/>
      <c r="B9" s="1"/>
      <c r="C9" s="8"/>
      <c r="D9" s="893"/>
      <c r="E9" s="893"/>
      <c r="F9" s="893"/>
      <c r="G9" s="893"/>
      <c r="H9" s="893"/>
      <c r="I9" s="893"/>
      <c r="J9" s="893"/>
      <c r="K9" s="893"/>
      <c r="L9" s="893"/>
      <c r="M9" s="893"/>
      <c r="N9" s="893"/>
      <c r="O9" s="893"/>
      <c r="P9" s="893"/>
      <c r="Q9" s="893"/>
      <c r="R9" s="893"/>
      <c r="S9" s="893"/>
      <c r="T9" s="893"/>
      <c r="U9" s="893"/>
      <c r="V9" s="893"/>
      <c r="W9" s="893"/>
      <c r="X9" s="893"/>
      <c r="Y9" s="893"/>
      <c r="Z9" s="893"/>
      <c r="AA9" s="893"/>
      <c r="AB9" s="893"/>
      <c r="AC9" s="893"/>
      <c r="AD9" s="893"/>
    </row>
    <row r="10" spans="1:30" ht="12.75" customHeight="1">
      <c r="A10" s="1"/>
      <c r="B10" s="1"/>
      <c r="C10" s="8"/>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ht="12.75" customHeight="1">
      <c r="A11" s="1"/>
      <c r="B11" s="1"/>
      <c r="C11" s="8"/>
      <c r="D11" s="895" t="s">
        <v>17</v>
      </c>
      <c r="E11" s="893"/>
      <c r="F11" s="893"/>
      <c r="G11" s="893"/>
      <c r="H11" s="893"/>
      <c r="I11" s="893"/>
      <c r="J11" s="893"/>
      <c r="K11" s="893"/>
      <c r="L11" s="893"/>
      <c r="M11" s="893"/>
      <c r="N11" s="893"/>
      <c r="O11" s="893"/>
      <c r="P11" s="893"/>
      <c r="Q11" s="893"/>
      <c r="R11" s="893"/>
      <c r="S11" s="893"/>
      <c r="T11" s="893"/>
      <c r="U11" s="893"/>
      <c r="V11" s="893"/>
      <c r="W11" s="893"/>
      <c r="X11" s="893"/>
      <c r="Y11" s="893"/>
      <c r="Z11" s="893"/>
      <c r="AA11" s="893"/>
      <c r="AB11" s="893"/>
      <c r="AC11" s="893"/>
      <c r="AD11" s="893"/>
    </row>
    <row r="12" spans="1:30" ht="12.75" customHeight="1">
      <c r="A12" s="1"/>
      <c r="B12" s="1"/>
      <c r="C12" s="8"/>
      <c r="D12" s="893"/>
      <c r="E12" s="893"/>
      <c r="F12" s="893"/>
      <c r="G12" s="893"/>
      <c r="H12" s="893"/>
      <c r="I12" s="893"/>
      <c r="J12" s="893"/>
      <c r="K12" s="893"/>
      <c r="L12" s="893"/>
      <c r="M12" s="893"/>
      <c r="N12" s="893"/>
      <c r="O12" s="893"/>
      <c r="P12" s="893"/>
      <c r="Q12" s="893"/>
      <c r="R12" s="893"/>
      <c r="S12" s="893"/>
      <c r="T12" s="893"/>
      <c r="U12" s="893"/>
      <c r="V12" s="893"/>
      <c r="W12" s="893"/>
      <c r="X12" s="893"/>
      <c r="Y12" s="893"/>
      <c r="Z12" s="893"/>
      <c r="AA12" s="893"/>
      <c r="AB12" s="893"/>
      <c r="AC12" s="893"/>
      <c r="AD12" s="893"/>
    </row>
    <row r="13" spans="1:30" ht="12.75" customHeight="1">
      <c r="A13" s="1"/>
      <c r="B13" s="1"/>
      <c r="C13" s="8"/>
      <c r="D13" s="893"/>
      <c r="E13" s="893"/>
      <c r="F13" s="893"/>
      <c r="G13" s="893"/>
      <c r="H13" s="893"/>
      <c r="I13" s="893"/>
      <c r="J13" s="893"/>
      <c r="K13" s="893"/>
      <c r="L13" s="893"/>
      <c r="M13" s="893"/>
      <c r="N13" s="893"/>
      <c r="O13" s="893"/>
      <c r="P13" s="893"/>
      <c r="Q13" s="893"/>
      <c r="R13" s="893"/>
      <c r="S13" s="893"/>
      <c r="T13" s="893"/>
      <c r="U13" s="893"/>
      <c r="V13" s="893"/>
      <c r="W13" s="893"/>
      <c r="X13" s="893"/>
      <c r="Y13" s="893"/>
      <c r="Z13" s="893"/>
      <c r="AA13" s="893"/>
      <c r="AB13" s="893"/>
      <c r="AC13" s="893"/>
      <c r="AD13" s="893"/>
    </row>
    <row r="14" spans="1:30" ht="12.75" customHeight="1">
      <c r="A14" s="1"/>
      <c r="B14" s="1"/>
      <c r="C14" s="8"/>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1:30" ht="12.75" customHeight="1">
      <c r="A15" s="1"/>
      <c r="B15" s="1"/>
      <c r="C15" s="8"/>
      <c r="D15" s="895" t="s">
        <v>18</v>
      </c>
      <c r="E15" s="893"/>
      <c r="F15" s="893"/>
      <c r="G15" s="893"/>
      <c r="H15" s="893"/>
      <c r="I15" s="893"/>
      <c r="J15" s="893"/>
      <c r="K15" s="893"/>
      <c r="L15" s="893"/>
      <c r="M15" s="893"/>
      <c r="N15" s="893"/>
      <c r="O15" s="893"/>
      <c r="P15" s="893"/>
      <c r="Q15" s="893"/>
      <c r="R15" s="893"/>
      <c r="S15" s="893"/>
      <c r="T15" s="893"/>
      <c r="U15" s="893"/>
      <c r="V15" s="893"/>
      <c r="W15" s="893"/>
      <c r="X15" s="893"/>
      <c r="Y15" s="893"/>
      <c r="Z15" s="893"/>
      <c r="AA15" s="893"/>
      <c r="AB15" s="893"/>
      <c r="AC15" s="893"/>
      <c r="AD15" s="893"/>
    </row>
    <row r="16" spans="1:30" ht="12.75" customHeight="1">
      <c r="A16" s="1"/>
      <c r="B16" s="1"/>
      <c r="C16" s="8"/>
      <c r="D16" s="893"/>
      <c r="E16" s="893"/>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row>
    <row r="17" spans="1:30" ht="12.75" customHeight="1">
      <c r="A17" s="1"/>
      <c r="B17" s="1"/>
      <c r="C17" s="8"/>
      <c r="D17" s="893"/>
      <c r="E17" s="893"/>
      <c r="F17" s="893"/>
      <c r="G17" s="893"/>
      <c r="H17" s="893"/>
      <c r="I17" s="893"/>
      <c r="J17" s="893"/>
      <c r="K17" s="893"/>
      <c r="L17" s="893"/>
      <c r="M17" s="893"/>
      <c r="N17" s="893"/>
      <c r="O17" s="893"/>
      <c r="P17" s="893"/>
      <c r="Q17" s="893"/>
      <c r="R17" s="893"/>
      <c r="S17" s="893"/>
      <c r="T17" s="893"/>
      <c r="U17" s="893"/>
      <c r="V17" s="893"/>
      <c r="W17" s="893"/>
      <c r="X17" s="893"/>
      <c r="Y17" s="893"/>
      <c r="Z17" s="893"/>
      <c r="AA17" s="893"/>
      <c r="AB17" s="893"/>
      <c r="AC17" s="893"/>
      <c r="AD17" s="893"/>
    </row>
    <row r="18" spans="1:30" ht="12.75" customHeight="1">
      <c r="A18" s="1"/>
      <c r="B18" s="1"/>
      <c r="C18" s="8"/>
      <c r="D18" s="14" t="s">
        <v>20</v>
      </c>
      <c r="E18" s="11"/>
      <c r="G18" s="11"/>
      <c r="H18" s="11"/>
      <c r="I18" s="11"/>
      <c r="J18" s="906" t="s">
        <v>21</v>
      </c>
      <c r="K18" s="893"/>
      <c r="L18" s="893"/>
      <c r="M18" s="893"/>
      <c r="N18" s="893"/>
      <c r="O18" s="893"/>
      <c r="P18" s="893"/>
      <c r="Q18" s="893"/>
      <c r="R18" s="893"/>
      <c r="S18" s="893"/>
      <c r="T18" s="893"/>
      <c r="U18" s="893"/>
      <c r="V18" s="893"/>
      <c r="W18" s="893"/>
      <c r="X18" s="893"/>
      <c r="Y18" s="893"/>
      <c r="Z18" s="893"/>
      <c r="AA18" s="893"/>
      <c r="AB18" s="893"/>
      <c r="AC18" s="893"/>
      <c r="AD18" s="893"/>
    </row>
    <row r="19" spans="1:30" ht="12.75" customHeight="1">
      <c r="A19" s="1"/>
      <c r="B19" s="1"/>
      <c r="C19" s="8"/>
      <c r="D19" s="11"/>
      <c r="E19" s="11"/>
      <c r="F19" s="15"/>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ht="12.75" customHeight="1">
      <c r="A20" s="1"/>
      <c r="B20" s="1"/>
      <c r="C20" s="8"/>
      <c r="D20" s="895" t="s">
        <v>24</v>
      </c>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row>
    <row r="21" spans="1:30" ht="12.75" customHeight="1">
      <c r="A21" s="1"/>
      <c r="B21" s="1"/>
      <c r="C21" s="8"/>
      <c r="D21" s="893"/>
      <c r="E21" s="893"/>
      <c r="F21" s="893"/>
      <c r="G21" s="893"/>
      <c r="H21" s="893"/>
      <c r="I21" s="893"/>
      <c r="J21" s="893"/>
      <c r="K21" s="893"/>
      <c r="L21" s="893"/>
      <c r="M21" s="893"/>
      <c r="N21" s="893"/>
      <c r="O21" s="893"/>
      <c r="P21" s="893"/>
      <c r="Q21" s="893"/>
      <c r="R21" s="893"/>
      <c r="S21" s="893"/>
      <c r="T21" s="893"/>
      <c r="U21" s="893"/>
      <c r="V21" s="893"/>
      <c r="W21" s="893"/>
      <c r="X21" s="893"/>
      <c r="Y21" s="893"/>
      <c r="Z21" s="893"/>
      <c r="AA21" s="893"/>
      <c r="AB21" s="893"/>
      <c r="AC21" s="893"/>
      <c r="AD21" s="893"/>
    </row>
    <row r="22" spans="1:30" ht="12.75" customHeight="1">
      <c r="A22" s="1"/>
      <c r="B22" s="1"/>
      <c r="C22" s="8"/>
      <c r="D22" s="893"/>
      <c r="E22" s="893"/>
      <c r="F22" s="893"/>
      <c r="G22" s="893"/>
      <c r="H22" s="893"/>
      <c r="I22" s="893"/>
      <c r="J22" s="893"/>
      <c r="K22" s="893"/>
      <c r="L22" s="893"/>
      <c r="M22" s="893"/>
      <c r="N22" s="893"/>
      <c r="O22" s="893"/>
      <c r="P22" s="893"/>
      <c r="Q22" s="893"/>
      <c r="R22" s="893"/>
      <c r="S22" s="893"/>
      <c r="T22" s="893"/>
      <c r="U22" s="893"/>
      <c r="V22" s="893"/>
      <c r="W22" s="893"/>
      <c r="X22" s="893"/>
      <c r="Y22" s="893"/>
      <c r="Z22" s="893"/>
      <c r="AA22" s="893"/>
      <c r="AB22" s="893"/>
      <c r="AC22" s="893"/>
      <c r="AD22" s="893"/>
    </row>
    <row r="23" spans="1:30" ht="12.75" customHeight="1">
      <c r="A23" s="1"/>
      <c r="B23" s="1"/>
      <c r="C23" s="8"/>
      <c r="D23" s="893"/>
      <c r="E23" s="893"/>
      <c r="F23" s="893"/>
      <c r="G23" s="893"/>
      <c r="H23" s="893"/>
      <c r="I23" s="893"/>
      <c r="J23" s="893"/>
      <c r="K23" s="893"/>
      <c r="L23" s="893"/>
      <c r="M23" s="893"/>
      <c r="N23" s="893"/>
      <c r="O23" s="893"/>
      <c r="P23" s="893"/>
      <c r="Q23" s="893"/>
      <c r="R23" s="893"/>
      <c r="S23" s="893"/>
      <c r="T23" s="893"/>
      <c r="U23" s="893"/>
      <c r="V23" s="893"/>
      <c r="W23" s="893"/>
      <c r="X23" s="893"/>
      <c r="Y23" s="893"/>
      <c r="Z23" s="893"/>
      <c r="AA23" s="893"/>
      <c r="AB23" s="893"/>
      <c r="AC23" s="893"/>
      <c r="AD23" s="893"/>
    </row>
    <row r="24" spans="1:30" ht="12.75" customHeight="1">
      <c r="A24" s="1"/>
      <c r="B24" s="1"/>
      <c r="C24" s="8"/>
      <c r="D24" s="893"/>
      <c r="E24" s="893"/>
      <c r="F24" s="893"/>
      <c r="G24" s="893"/>
      <c r="H24" s="893"/>
      <c r="I24" s="893"/>
      <c r="J24" s="893"/>
      <c r="K24" s="893"/>
      <c r="L24" s="893"/>
      <c r="M24" s="893"/>
      <c r="N24" s="893"/>
      <c r="O24" s="893"/>
      <c r="P24" s="893"/>
      <c r="Q24" s="893"/>
      <c r="R24" s="893"/>
      <c r="S24" s="893"/>
      <c r="T24" s="893"/>
      <c r="U24" s="893"/>
      <c r="V24" s="893"/>
      <c r="W24" s="893"/>
      <c r="X24" s="893"/>
      <c r="Y24" s="893"/>
      <c r="Z24" s="893"/>
      <c r="AA24" s="893"/>
      <c r="AB24" s="893"/>
      <c r="AC24" s="893"/>
      <c r="AD24" s="893"/>
    </row>
    <row r="25" spans="1:30" ht="12.75" customHeight="1">
      <c r="A25" s="1"/>
      <c r="B25" s="1"/>
      <c r="C25" s="8"/>
      <c r="D25" s="893"/>
      <c r="E25" s="893"/>
      <c r="F25" s="893"/>
      <c r="G25" s="893"/>
      <c r="H25" s="893"/>
      <c r="I25" s="893"/>
      <c r="J25" s="893"/>
      <c r="K25" s="893"/>
      <c r="L25" s="893"/>
      <c r="M25" s="893"/>
      <c r="N25" s="893"/>
      <c r="O25" s="893"/>
      <c r="P25" s="893"/>
      <c r="Q25" s="893"/>
      <c r="R25" s="893"/>
      <c r="S25" s="893"/>
      <c r="T25" s="893"/>
      <c r="U25" s="893"/>
      <c r="V25" s="893"/>
      <c r="W25" s="893"/>
      <c r="X25" s="893"/>
      <c r="Y25" s="893"/>
      <c r="Z25" s="893"/>
      <c r="AA25" s="893"/>
      <c r="AB25" s="893"/>
      <c r="AC25" s="893"/>
      <c r="AD25" s="893"/>
    </row>
    <row r="26" spans="1:30" ht="12.75" customHeight="1">
      <c r="A26" s="1"/>
      <c r="B26" s="1"/>
      <c r="C26" s="8"/>
      <c r="D26" s="893"/>
      <c r="E26" s="893"/>
      <c r="F26" s="893"/>
      <c r="G26" s="893"/>
      <c r="H26" s="893"/>
      <c r="I26" s="893"/>
      <c r="J26" s="893"/>
      <c r="K26" s="893"/>
      <c r="L26" s="893"/>
      <c r="M26" s="893"/>
      <c r="N26" s="893"/>
      <c r="O26" s="893"/>
      <c r="P26" s="893"/>
      <c r="Q26" s="893"/>
      <c r="R26" s="893"/>
      <c r="S26" s="893"/>
      <c r="T26" s="893"/>
      <c r="U26" s="893"/>
      <c r="V26" s="893"/>
      <c r="W26" s="893"/>
      <c r="X26" s="893"/>
      <c r="Y26" s="893"/>
      <c r="Z26" s="893"/>
      <c r="AA26" s="893"/>
      <c r="AB26" s="893"/>
      <c r="AC26" s="893"/>
      <c r="AD26" s="893"/>
    </row>
    <row r="27" spans="1:30" ht="12.75" customHeight="1">
      <c r="A27" s="1"/>
      <c r="B27" s="1"/>
      <c r="C27" s="8"/>
      <c r="D27" s="893"/>
      <c r="E27" s="893"/>
      <c r="F27" s="893"/>
      <c r="G27" s="893"/>
      <c r="H27" s="893"/>
      <c r="I27" s="893"/>
      <c r="J27" s="893"/>
      <c r="K27" s="893"/>
      <c r="L27" s="893"/>
      <c r="M27" s="893"/>
      <c r="N27" s="893"/>
      <c r="O27" s="893"/>
      <c r="P27" s="893"/>
      <c r="Q27" s="893"/>
      <c r="R27" s="893"/>
      <c r="S27" s="893"/>
      <c r="T27" s="893"/>
      <c r="U27" s="893"/>
      <c r="V27" s="893"/>
      <c r="W27" s="893"/>
      <c r="X27" s="893"/>
      <c r="Y27" s="893"/>
      <c r="Z27" s="893"/>
      <c r="AA27" s="893"/>
      <c r="AB27" s="893"/>
      <c r="AC27" s="893"/>
      <c r="AD27" s="893"/>
    </row>
    <row r="28" spans="1:30" ht="12.75" customHeight="1">
      <c r="A28" s="1"/>
      <c r="B28" s="1"/>
      <c r="C28" s="8"/>
      <c r="D28" s="893"/>
      <c r="E28" s="893"/>
      <c r="F28" s="893"/>
      <c r="G28" s="893"/>
      <c r="H28" s="893"/>
      <c r="I28" s="893"/>
      <c r="J28" s="893"/>
      <c r="K28" s="893"/>
      <c r="L28" s="893"/>
      <c r="M28" s="893"/>
      <c r="N28" s="893"/>
      <c r="O28" s="893"/>
      <c r="P28" s="893"/>
      <c r="Q28" s="893"/>
      <c r="R28" s="893"/>
      <c r="S28" s="893"/>
      <c r="T28" s="893"/>
      <c r="U28" s="893"/>
      <c r="V28" s="893"/>
      <c r="W28" s="893"/>
      <c r="X28" s="893"/>
      <c r="Y28" s="893"/>
      <c r="Z28" s="893"/>
      <c r="AA28" s="893"/>
      <c r="AB28" s="893"/>
      <c r="AC28" s="893"/>
      <c r="AD28" s="893"/>
    </row>
    <row r="29" spans="1:30" ht="12.75" customHeight="1">
      <c r="A29" s="1"/>
      <c r="B29" s="1"/>
      <c r="C29" s="8"/>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0" ht="12.75" customHeight="1">
      <c r="A30" s="1"/>
      <c r="B30" s="1"/>
      <c r="C30" s="8"/>
      <c r="D30" s="895" t="s">
        <v>25</v>
      </c>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row>
    <row r="31" spans="1:30" ht="12.75" customHeight="1">
      <c r="A31" s="1"/>
      <c r="B31" s="1"/>
      <c r="C31" s="8"/>
      <c r="D31" s="4"/>
      <c r="E31" s="899" t="s">
        <v>26</v>
      </c>
      <c r="F31" s="893"/>
      <c r="G31" s="893"/>
      <c r="H31" s="893"/>
      <c r="I31" s="893"/>
      <c r="J31" s="893"/>
      <c r="K31" s="893"/>
      <c r="L31" s="893"/>
      <c r="M31" s="893"/>
      <c r="N31" s="893"/>
      <c r="O31" s="893"/>
      <c r="P31" s="893"/>
      <c r="Q31" s="893"/>
      <c r="R31" s="893"/>
      <c r="S31" s="893"/>
      <c r="T31" s="893"/>
      <c r="U31" s="893"/>
      <c r="V31" s="893"/>
      <c r="W31" s="893"/>
      <c r="X31" s="893"/>
      <c r="Y31" s="893"/>
      <c r="Z31" s="893"/>
      <c r="AA31" s="893"/>
      <c r="AB31" s="893"/>
      <c r="AC31" s="893"/>
      <c r="AD31" s="893"/>
    </row>
    <row r="32" spans="1:30" ht="12.75" customHeight="1">
      <c r="A32" s="1"/>
      <c r="C32" s="8"/>
    </row>
    <row r="33" spans="1:30" ht="12.75" customHeight="1">
      <c r="A33" s="1"/>
      <c r="D33" s="897" t="s">
        <v>29</v>
      </c>
      <c r="E33" s="893"/>
      <c r="F33" s="893"/>
      <c r="G33" s="893"/>
      <c r="H33" s="893"/>
      <c r="I33" s="893"/>
      <c r="J33" s="893"/>
      <c r="K33" s="893"/>
      <c r="L33" s="893"/>
      <c r="M33" s="893"/>
      <c r="N33" s="893"/>
      <c r="O33" s="893"/>
      <c r="P33" s="893"/>
      <c r="Q33" s="893"/>
      <c r="R33" s="893"/>
      <c r="S33" s="893"/>
      <c r="T33" s="893"/>
      <c r="U33" s="893"/>
      <c r="V33" s="893"/>
      <c r="W33" s="893"/>
      <c r="X33" s="893"/>
      <c r="Y33" s="893"/>
      <c r="Z33" s="893"/>
      <c r="AA33" s="893"/>
      <c r="AB33" s="893"/>
      <c r="AC33" s="893"/>
      <c r="AD33" s="893"/>
    </row>
    <row r="34" spans="1:30" ht="12.75" customHeight="1">
      <c r="A34" s="1"/>
      <c r="D34" s="893"/>
      <c r="E34" s="893"/>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row>
    <row r="35" spans="1:30" ht="12.75" customHeight="1">
      <c r="A35" s="1"/>
      <c r="D35" s="24"/>
      <c r="E35" s="898" t="s">
        <v>32</v>
      </c>
      <c r="F35" s="893"/>
      <c r="G35" s="893"/>
      <c r="H35" s="893"/>
      <c r="I35" s="893"/>
      <c r="J35" s="893"/>
      <c r="K35" s="893"/>
      <c r="L35" s="893"/>
      <c r="M35" s="893"/>
      <c r="N35" s="893"/>
      <c r="O35" s="893"/>
      <c r="P35" s="893"/>
      <c r="Q35" s="893"/>
      <c r="R35" s="893"/>
      <c r="S35" s="893"/>
      <c r="T35" s="893"/>
      <c r="U35" s="893"/>
      <c r="V35" s="893"/>
      <c r="W35" s="893"/>
      <c r="X35" s="893"/>
      <c r="Y35" s="893"/>
      <c r="Z35" s="893"/>
      <c r="AA35" s="893"/>
      <c r="AB35" s="893"/>
      <c r="AC35" s="893"/>
      <c r="AD35" s="893"/>
    </row>
    <row r="36" spans="1:30" ht="12.75" customHeight="1">
      <c r="A36" s="1"/>
      <c r="D36" s="24"/>
      <c r="E36" s="898" t="s">
        <v>35</v>
      </c>
      <c r="F36" s="893"/>
      <c r="G36" s="893"/>
      <c r="H36" s="893"/>
      <c r="I36" s="893"/>
      <c r="J36" s="893"/>
      <c r="K36" s="893"/>
      <c r="L36" s="893"/>
      <c r="M36" s="893"/>
      <c r="N36" s="893"/>
      <c r="O36" s="893"/>
      <c r="P36" s="893"/>
      <c r="Q36" s="893"/>
      <c r="R36" s="893"/>
      <c r="S36" s="893"/>
      <c r="T36" s="893"/>
      <c r="U36" s="893"/>
      <c r="V36" s="893"/>
      <c r="W36" s="893"/>
      <c r="X36" s="893"/>
      <c r="Y36" s="893"/>
      <c r="Z36" s="893"/>
      <c r="AA36" s="893"/>
      <c r="AB36" s="893"/>
      <c r="AC36" s="893"/>
      <c r="AD36" s="893"/>
    </row>
    <row r="37" spans="1:30" ht="12.75" customHeight="1">
      <c r="A37" s="1"/>
      <c r="C37" s="8"/>
      <c r="D37" s="8"/>
      <c r="E37" s="1"/>
      <c r="F37" s="1"/>
      <c r="G37" s="1"/>
      <c r="H37" s="1"/>
      <c r="I37" s="1"/>
      <c r="J37" s="1"/>
      <c r="K37" s="1"/>
      <c r="L37" s="1"/>
      <c r="M37" s="1"/>
      <c r="N37" s="1"/>
      <c r="O37" s="1"/>
      <c r="P37" s="1"/>
      <c r="Q37" s="1"/>
      <c r="R37" s="1"/>
      <c r="S37" s="1"/>
      <c r="T37" s="1"/>
      <c r="U37" s="1"/>
      <c r="V37" s="1"/>
      <c r="W37" s="1"/>
      <c r="X37" s="1"/>
      <c r="Y37" s="1"/>
      <c r="Z37" s="1"/>
      <c r="AA37" s="1"/>
      <c r="AB37" s="1"/>
    </row>
    <row r="38" spans="1:30" ht="12.75" customHeight="1">
      <c r="A38" s="1"/>
      <c r="C38" s="8" t="s">
        <v>37</v>
      </c>
      <c r="D38" s="8" t="s">
        <v>38</v>
      </c>
      <c r="F38" s="1"/>
      <c r="G38" s="1"/>
      <c r="H38" s="1"/>
      <c r="I38" s="1"/>
      <c r="J38" s="1"/>
      <c r="K38" s="1"/>
      <c r="L38" s="1"/>
      <c r="M38" s="1"/>
      <c r="N38" s="1"/>
      <c r="O38" s="1"/>
      <c r="P38" s="1"/>
      <c r="Q38" s="1"/>
      <c r="R38" s="1"/>
      <c r="S38" s="1"/>
      <c r="T38" s="1"/>
      <c r="U38" s="1"/>
      <c r="V38" s="1"/>
      <c r="W38" s="1"/>
      <c r="X38" s="1"/>
      <c r="Y38" s="1"/>
      <c r="Z38" s="1"/>
      <c r="AA38" s="1"/>
      <c r="AB38" s="1"/>
    </row>
    <row r="39" spans="1:30" ht="12.75" customHeight="1">
      <c r="A39" s="1"/>
      <c r="B39" s="1"/>
      <c r="C39" s="1"/>
      <c r="D39" s="7" t="s">
        <v>39</v>
      </c>
      <c r="E39" s="1" t="s">
        <v>40</v>
      </c>
      <c r="F39" s="1"/>
      <c r="G39" s="1"/>
      <c r="H39" s="1"/>
      <c r="I39" s="1"/>
      <c r="J39" s="1"/>
      <c r="K39" s="1"/>
      <c r="L39" s="1"/>
      <c r="M39" s="1"/>
      <c r="N39" s="1"/>
      <c r="O39" s="1"/>
      <c r="P39" s="1"/>
      <c r="Q39" s="1"/>
      <c r="R39" s="1"/>
      <c r="S39" s="1"/>
      <c r="T39" s="1"/>
      <c r="U39" s="1"/>
      <c r="V39" s="1"/>
      <c r="W39" s="1"/>
      <c r="X39" s="1"/>
      <c r="Y39" s="1"/>
      <c r="Z39" s="1"/>
      <c r="AA39" s="1"/>
      <c r="AB39" s="1"/>
    </row>
    <row r="40" spans="1:30" ht="12.75" customHeight="1">
      <c r="A40" s="1"/>
      <c r="C40" s="8"/>
      <c r="D40" s="1"/>
      <c r="E40" s="1" t="s">
        <v>41</v>
      </c>
      <c r="F40" s="895" t="s">
        <v>42</v>
      </c>
      <c r="G40" s="893"/>
      <c r="H40" s="893"/>
      <c r="I40" s="893"/>
      <c r="J40" s="893"/>
      <c r="K40" s="893"/>
      <c r="L40" s="893"/>
      <c r="M40" s="893"/>
      <c r="N40" s="893"/>
      <c r="O40" s="893"/>
      <c r="P40" s="893"/>
      <c r="Q40" s="893"/>
      <c r="R40" s="893"/>
      <c r="S40" s="893"/>
      <c r="T40" s="893"/>
      <c r="U40" s="893"/>
      <c r="V40" s="893"/>
      <c r="W40" s="893"/>
      <c r="X40" s="893"/>
      <c r="Y40" s="893"/>
      <c r="Z40" s="893"/>
      <c r="AA40" s="893"/>
      <c r="AB40" s="893"/>
      <c r="AC40" s="893"/>
      <c r="AD40" s="893"/>
    </row>
    <row r="41" spans="1:30" ht="12.75" customHeight="1">
      <c r="A41" s="1"/>
      <c r="C41" s="8"/>
      <c r="D41" s="1"/>
      <c r="E41" s="1"/>
      <c r="F41" s="893"/>
      <c r="G41" s="893"/>
      <c r="H41" s="893"/>
      <c r="I41" s="893"/>
      <c r="J41" s="893"/>
      <c r="K41" s="893"/>
      <c r="L41" s="893"/>
      <c r="M41" s="893"/>
      <c r="N41" s="893"/>
      <c r="O41" s="893"/>
      <c r="P41" s="893"/>
      <c r="Q41" s="893"/>
      <c r="R41" s="893"/>
      <c r="S41" s="893"/>
      <c r="T41" s="893"/>
      <c r="U41" s="893"/>
      <c r="V41" s="893"/>
      <c r="W41" s="893"/>
      <c r="X41" s="893"/>
      <c r="Y41" s="893"/>
      <c r="Z41" s="893"/>
      <c r="AA41" s="893"/>
      <c r="AB41" s="893"/>
      <c r="AC41" s="893"/>
      <c r="AD41" s="893"/>
    </row>
    <row r="42" spans="1:30" ht="12.75" customHeight="1">
      <c r="A42" s="1"/>
      <c r="C42" s="8"/>
      <c r="D42" s="1"/>
      <c r="E42" s="1"/>
      <c r="F42" s="17" t="s">
        <v>44</v>
      </c>
      <c r="G42" s="1" t="s">
        <v>45</v>
      </c>
      <c r="H42" s="4"/>
      <c r="I42" s="4"/>
      <c r="J42" s="4"/>
      <c r="K42" s="4"/>
      <c r="L42" s="4"/>
      <c r="M42" s="4"/>
      <c r="N42" s="4"/>
      <c r="O42" s="4"/>
      <c r="P42" s="4"/>
      <c r="Q42" s="4"/>
      <c r="R42" s="4"/>
      <c r="S42" s="4"/>
      <c r="T42" s="4"/>
      <c r="U42" s="4"/>
      <c r="V42" s="4"/>
      <c r="W42" s="4"/>
      <c r="X42" s="4"/>
      <c r="Y42" s="4"/>
      <c r="Z42" s="4"/>
      <c r="AA42" s="4"/>
      <c r="AB42" s="4"/>
      <c r="AC42" s="4"/>
      <c r="AD42" s="4"/>
    </row>
    <row r="43" spans="1:30" ht="12.75" customHeight="1">
      <c r="A43" s="1"/>
      <c r="C43" s="8"/>
      <c r="D43" s="1"/>
      <c r="E43" s="1" t="s">
        <v>46</v>
      </c>
      <c r="F43" s="894" t="s">
        <v>47</v>
      </c>
      <c r="G43" s="893"/>
      <c r="H43" s="893"/>
      <c r="I43" s="893"/>
      <c r="J43" s="893"/>
      <c r="K43" s="893"/>
      <c r="L43" s="893"/>
      <c r="M43" s="893"/>
      <c r="N43" s="893"/>
      <c r="O43" s="893"/>
      <c r="P43" s="893"/>
      <c r="Q43" s="893"/>
      <c r="R43" s="893"/>
      <c r="S43" s="893"/>
      <c r="T43" s="893"/>
      <c r="U43" s="893"/>
      <c r="V43" s="893"/>
      <c r="W43" s="893"/>
      <c r="X43" s="893"/>
      <c r="Y43" s="893"/>
      <c r="Z43" s="893"/>
      <c r="AA43" s="893"/>
      <c r="AB43" s="893"/>
      <c r="AC43" s="893"/>
      <c r="AD43" s="893"/>
    </row>
    <row r="44" spans="1:30" ht="12.75" customHeight="1">
      <c r="A44" s="1"/>
      <c r="C44" s="8"/>
      <c r="D44" s="1"/>
      <c r="E44" s="1"/>
      <c r="F44" s="893"/>
      <c r="G44" s="893"/>
      <c r="H44" s="893"/>
      <c r="I44" s="893"/>
      <c r="J44" s="893"/>
      <c r="K44" s="893"/>
      <c r="L44" s="893"/>
      <c r="M44" s="893"/>
      <c r="N44" s="893"/>
      <c r="O44" s="893"/>
      <c r="P44" s="893"/>
      <c r="Q44" s="893"/>
      <c r="R44" s="893"/>
      <c r="S44" s="893"/>
      <c r="T44" s="893"/>
      <c r="U44" s="893"/>
      <c r="V44" s="893"/>
      <c r="W44" s="893"/>
      <c r="X44" s="893"/>
      <c r="Y44" s="893"/>
      <c r="Z44" s="893"/>
      <c r="AA44" s="893"/>
      <c r="AB44" s="893"/>
      <c r="AC44" s="893"/>
      <c r="AD44" s="893"/>
    </row>
    <row r="45" spans="1:30" ht="12.75" customHeight="1">
      <c r="A45" s="1"/>
      <c r="C45" s="8"/>
      <c r="D45" s="1"/>
      <c r="E45" s="1"/>
      <c r="F45" s="893"/>
      <c r="G45" s="893"/>
      <c r="H45" s="893"/>
      <c r="I45" s="893"/>
      <c r="J45" s="893"/>
      <c r="K45" s="893"/>
      <c r="L45" s="893"/>
      <c r="M45" s="893"/>
      <c r="N45" s="893"/>
      <c r="O45" s="893"/>
      <c r="P45" s="893"/>
      <c r="Q45" s="893"/>
      <c r="R45" s="893"/>
      <c r="S45" s="893"/>
      <c r="T45" s="893"/>
      <c r="U45" s="893"/>
      <c r="V45" s="893"/>
      <c r="W45" s="893"/>
      <c r="X45" s="893"/>
      <c r="Y45" s="893"/>
      <c r="Z45" s="893"/>
      <c r="AA45" s="893"/>
      <c r="AB45" s="893"/>
      <c r="AC45" s="893"/>
      <c r="AD45" s="893"/>
    </row>
    <row r="46" spans="1:30" ht="12.75" customHeight="1">
      <c r="A46" s="1"/>
      <c r="C46" s="8"/>
      <c r="D46" s="1"/>
      <c r="E46" s="1"/>
      <c r="F46" s="17" t="s">
        <v>44</v>
      </c>
      <c r="G46" s="1" t="s">
        <v>50</v>
      </c>
      <c r="H46" s="3"/>
      <c r="I46" s="3"/>
      <c r="J46" s="3"/>
      <c r="K46" s="3"/>
      <c r="L46" s="3"/>
      <c r="M46" s="3"/>
      <c r="N46" s="3"/>
      <c r="O46" s="3"/>
      <c r="P46" s="3"/>
      <c r="Q46" s="3"/>
      <c r="R46" s="3"/>
      <c r="S46" s="3"/>
      <c r="T46" s="3"/>
      <c r="U46" s="3"/>
      <c r="V46" s="3"/>
      <c r="W46" s="3"/>
      <c r="X46" s="3"/>
      <c r="Y46" s="3"/>
      <c r="Z46" s="3"/>
      <c r="AA46" s="3"/>
      <c r="AB46" s="3"/>
      <c r="AC46" s="3"/>
      <c r="AD46" s="3"/>
    </row>
    <row r="47" spans="1:30" ht="12.75" customHeight="1">
      <c r="A47" s="1"/>
      <c r="C47" s="8"/>
      <c r="D47" s="1"/>
      <c r="E47" s="1"/>
      <c r="F47" s="17" t="s">
        <v>51</v>
      </c>
      <c r="G47" s="1" t="s">
        <v>52</v>
      </c>
      <c r="I47" s="1"/>
      <c r="J47" s="1"/>
      <c r="K47" s="1"/>
      <c r="L47" s="1"/>
      <c r="O47" s="1"/>
      <c r="P47" s="1"/>
      <c r="Q47" s="1"/>
      <c r="R47" s="1"/>
      <c r="S47" s="1"/>
      <c r="T47" s="1"/>
      <c r="U47" s="1"/>
      <c r="V47" s="1"/>
      <c r="W47" s="1"/>
      <c r="X47" s="1"/>
      <c r="Y47" s="1"/>
      <c r="Z47" s="1"/>
      <c r="AA47" s="1"/>
      <c r="AB47" s="1"/>
    </row>
    <row r="48" spans="1:30" ht="12.75" customHeight="1">
      <c r="A48" s="1"/>
      <c r="C48" s="8"/>
      <c r="D48" s="1"/>
      <c r="E48" s="1" t="s">
        <v>53</v>
      </c>
      <c r="F48" s="895" t="s">
        <v>54</v>
      </c>
      <c r="G48" s="893"/>
      <c r="H48" s="893"/>
      <c r="I48" s="893"/>
      <c r="J48" s="893"/>
      <c r="K48" s="893"/>
      <c r="L48" s="893"/>
      <c r="M48" s="893"/>
      <c r="N48" s="893"/>
      <c r="O48" s="893"/>
      <c r="P48" s="893"/>
      <c r="Q48" s="893"/>
      <c r="R48" s="893"/>
      <c r="S48" s="893"/>
      <c r="T48" s="893"/>
      <c r="U48" s="893"/>
      <c r="V48" s="893"/>
      <c r="W48" s="893"/>
      <c r="X48" s="893"/>
      <c r="Y48" s="893"/>
      <c r="Z48" s="893"/>
      <c r="AA48" s="893"/>
      <c r="AB48" s="893"/>
      <c r="AC48" s="893"/>
      <c r="AD48" s="893"/>
    </row>
    <row r="49" spans="1:30" ht="12.75" customHeight="1">
      <c r="A49" s="1"/>
      <c r="C49" s="8"/>
      <c r="D49" s="1"/>
      <c r="E49" s="1"/>
      <c r="F49" s="893"/>
      <c r="G49" s="893"/>
      <c r="H49" s="893"/>
      <c r="I49" s="893"/>
      <c r="J49" s="893"/>
      <c r="K49" s="893"/>
      <c r="L49" s="893"/>
      <c r="M49" s="893"/>
      <c r="N49" s="893"/>
      <c r="O49" s="893"/>
      <c r="P49" s="893"/>
      <c r="Q49" s="893"/>
      <c r="R49" s="893"/>
      <c r="S49" s="893"/>
      <c r="T49" s="893"/>
      <c r="U49" s="893"/>
      <c r="V49" s="893"/>
      <c r="W49" s="893"/>
      <c r="X49" s="893"/>
      <c r="Y49" s="893"/>
      <c r="Z49" s="893"/>
      <c r="AA49" s="893"/>
      <c r="AB49" s="893"/>
      <c r="AC49" s="893"/>
      <c r="AD49" s="893"/>
    </row>
    <row r="50" spans="1:30" ht="12.75" customHeight="1">
      <c r="A50" s="1"/>
      <c r="C50" s="8"/>
      <c r="D50" s="1"/>
      <c r="F50" s="893"/>
      <c r="G50" s="893"/>
      <c r="H50" s="893"/>
      <c r="I50" s="893"/>
      <c r="J50" s="893"/>
      <c r="K50" s="893"/>
      <c r="L50" s="893"/>
      <c r="M50" s="893"/>
      <c r="N50" s="893"/>
      <c r="O50" s="893"/>
      <c r="P50" s="893"/>
      <c r="Q50" s="893"/>
      <c r="R50" s="893"/>
      <c r="S50" s="893"/>
      <c r="T50" s="893"/>
      <c r="U50" s="893"/>
      <c r="V50" s="893"/>
      <c r="W50" s="893"/>
      <c r="X50" s="893"/>
      <c r="Y50" s="893"/>
      <c r="Z50" s="893"/>
      <c r="AA50" s="893"/>
      <c r="AB50" s="893"/>
      <c r="AC50" s="893"/>
      <c r="AD50" s="893"/>
    </row>
    <row r="51" spans="1:30" ht="12.75" customHeight="1">
      <c r="A51" s="1"/>
      <c r="C51" s="8"/>
      <c r="D51" s="1"/>
      <c r="E51" s="1"/>
      <c r="F51" s="1"/>
      <c r="G51" s="1"/>
      <c r="H51" s="1"/>
      <c r="I51" s="1"/>
      <c r="J51" s="1"/>
      <c r="K51" s="1"/>
      <c r="L51" s="1"/>
      <c r="M51" s="1"/>
      <c r="N51" s="1"/>
      <c r="O51" s="1"/>
      <c r="P51" s="1"/>
      <c r="Q51" s="1"/>
      <c r="R51" s="1"/>
      <c r="S51" s="1"/>
      <c r="T51" s="1"/>
      <c r="U51" s="1"/>
      <c r="V51" s="1"/>
      <c r="W51" s="1"/>
      <c r="X51" s="1"/>
      <c r="Y51" s="1"/>
      <c r="Z51" s="1"/>
      <c r="AA51" s="1"/>
      <c r="AB51" s="1"/>
    </row>
    <row r="52" spans="1:30" ht="12.75" customHeight="1">
      <c r="A52" s="1"/>
      <c r="C52" s="8"/>
      <c r="D52" s="1" t="s">
        <v>56</v>
      </c>
      <c r="E52" s="1" t="s">
        <v>57</v>
      </c>
      <c r="F52" s="1"/>
      <c r="G52" s="1"/>
      <c r="H52" s="1"/>
      <c r="I52" s="1"/>
      <c r="J52" s="27"/>
      <c r="K52" s="27"/>
      <c r="L52" s="27"/>
      <c r="M52" s="27"/>
      <c r="N52" s="27"/>
      <c r="O52" s="24"/>
      <c r="P52" s="24"/>
      <c r="Q52" s="24"/>
      <c r="R52" s="24"/>
      <c r="S52" s="24"/>
      <c r="T52" s="24"/>
      <c r="U52" s="1"/>
      <c r="V52" s="1"/>
      <c r="W52" s="1"/>
      <c r="X52" s="1"/>
      <c r="Y52" s="1"/>
      <c r="Z52" s="1"/>
      <c r="AA52" s="1"/>
      <c r="AB52" s="1"/>
    </row>
    <row r="53" spans="1:30" ht="12.75" customHeight="1">
      <c r="A53" s="1"/>
      <c r="C53" s="8"/>
      <c r="D53" s="8"/>
      <c r="E53" s="1" t="s">
        <v>41</v>
      </c>
      <c r="F53" s="1" t="s">
        <v>58</v>
      </c>
      <c r="G53" s="8"/>
      <c r="H53" s="24"/>
      <c r="I53" s="24"/>
      <c r="L53" s="24"/>
      <c r="M53" s="24"/>
      <c r="N53" s="24"/>
      <c r="O53" s="24"/>
      <c r="P53" s="24"/>
      <c r="Q53" s="24"/>
      <c r="R53" s="24"/>
      <c r="S53" s="24"/>
      <c r="T53" s="24"/>
      <c r="U53" s="24"/>
      <c r="V53" s="24"/>
      <c r="W53" s="24"/>
      <c r="X53" s="24"/>
      <c r="Y53" s="24"/>
      <c r="Z53" s="24"/>
      <c r="AA53" s="24"/>
      <c r="AB53" s="24"/>
      <c r="AC53" s="24"/>
      <c r="AD53" s="24"/>
    </row>
    <row r="54" spans="1:30" ht="12.75" customHeight="1">
      <c r="A54" s="1"/>
      <c r="B54" s="1"/>
      <c r="C54" s="8"/>
      <c r="D54" s="8"/>
      <c r="E54" s="1"/>
      <c r="F54" s="17" t="s">
        <v>44</v>
      </c>
      <c r="G54" s="897" t="s">
        <v>59</v>
      </c>
      <c r="H54" s="893"/>
      <c r="I54" s="893"/>
      <c r="J54" s="893"/>
      <c r="K54" s="893"/>
      <c r="L54" s="893"/>
      <c r="M54" s="893"/>
      <c r="N54" s="893"/>
      <c r="O54" s="893"/>
      <c r="P54" s="893"/>
      <c r="Q54" s="893"/>
      <c r="R54" s="893"/>
      <c r="S54" s="893"/>
      <c r="T54" s="893"/>
      <c r="U54" s="893"/>
      <c r="V54" s="893"/>
      <c r="W54" s="893"/>
      <c r="X54" s="893"/>
      <c r="Y54" s="893"/>
      <c r="Z54" s="893"/>
      <c r="AA54" s="893"/>
      <c r="AB54" s="893"/>
      <c r="AC54" s="893"/>
      <c r="AD54" s="893"/>
    </row>
    <row r="55" spans="1:30" ht="12.75" customHeight="1">
      <c r="A55" s="1"/>
      <c r="B55" s="1"/>
      <c r="C55" s="8"/>
      <c r="D55" s="8"/>
      <c r="E55" s="1"/>
      <c r="F55" s="17"/>
      <c r="G55" s="28" t="s">
        <v>60</v>
      </c>
      <c r="H55" s="23"/>
      <c r="I55" s="23"/>
      <c r="J55" s="23"/>
      <c r="K55" s="23"/>
      <c r="L55" s="23"/>
      <c r="M55" s="23"/>
      <c r="N55" s="23"/>
      <c r="O55" s="23"/>
      <c r="P55" s="23"/>
      <c r="Q55" s="23"/>
      <c r="R55" s="23"/>
      <c r="S55" s="23"/>
      <c r="T55" s="23"/>
      <c r="U55" s="23"/>
      <c r="V55" s="23"/>
      <c r="W55" s="23"/>
      <c r="X55" s="23"/>
      <c r="Y55" s="23"/>
      <c r="Z55" s="23"/>
      <c r="AA55" s="23"/>
      <c r="AB55" s="23"/>
      <c r="AC55" s="23"/>
      <c r="AD55" s="23"/>
    </row>
    <row r="56" spans="1:30" ht="12.75" customHeight="1">
      <c r="A56" s="1"/>
      <c r="B56" s="1"/>
      <c r="C56" s="8"/>
      <c r="D56" s="8"/>
      <c r="E56" s="1"/>
      <c r="F56" s="17"/>
      <c r="G56" s="897" t="s">
        <v>61</v>
      </c>
      <c r="H56" s="893"/>
      <c r="I56" s="893"/>
      <c r="J56" s="29"/>
      <c r="K56" s="29"/>
      <c r="L56" s="29"/>
      <c r="M56" s="29"/>
      <c r="N56" s="29"/>
      <c r="O56" s="29"/>
      <c r="P56" s="29"/>
      <c r="Q56" s="29"/>
      <c r="R56" s="29"/>
      <c r="S56" s="29"/>
      <c r="T56" s="29"/>
      <c r="U56" s="29"/>
      <c r="V56" s="29"/>
      <c r="W56" s="29"/>
      <c r="X56" s="29"/>
      <c r="Y56" s="29"/>
      <c r="Z56" s="29"/>
      <c r="AA56" s="29"/>
      <c r="AB56" s="29"/>
      <c r="AC56" s="29"/>
      <c r="AD56" s="29"/>
    </row>
    <row r="57" spans="1:30" ht="12.75" customHeight="1">
      <c r="A57" s="1"/>
      <c r="B57" s="8"/>
      <c r="C57" s="8"/>
      <c r="D57" s="8"/>
      <c r="E57" s="1"/>
      <c r="F57" s="17" t="s">
        <v>51</v>
      </c>
      <c r="G57" s="897" t="s">
        <v>65</v>
      </c>
      <c r="H57" s="893"/>
      <c r="I57" s="893"/>
      <c r="J57" s="893"/>
      <c r="K57" s="893"/>
      <c r="L57" s="893"/>
      <c r="M57" s="893"/>
      <c r="N57" s="893"/>
      <c r="O57" s="893"/>
      <c r="P57" s="893"/>
      <c r="Q57" s="893"/>
      <c r="R57" s="893"/>
      <c r="S57" s="893"/>
      <c r="T57" s="893"/>
      <c r="U57" s="893"/>
      <c r="V57" s="893"/>
      <c r="W57" s="893"/>
      <c r="X57" s="893"/>
      <c r="Y57" s="893"/>
      <c r="Z57" s="893"/>
      <c r="AA57" s="893"/>
      <c r="AB57" s="893"/>
      <c r="AC57" s="893"/>
      <c r="AD57" s="893"/>
    </row>
    <row r="58" spans="1:30" ht="12.75" customHeight="1">
      <c r="A58" s="1"/>
      <c r="B58" s="1"/>
      <c r="C58" s="8"/>
      <c r="D58" s="8"/>
      <c r="E58" s="1"/>
      <c r="F58" s="17"/>
      <c r="G58" s="893"/>
      <c r="H58" s="893"/>
      <c r="I58" s="893"/>
      <c r="J58" s="893"/>
      <c r="K58" s="893"/>
      <c r="L58" s="893"/>
      <c r="M58" s="893"/>
      <c r="N58" s="893"/>
      <c r="O58" s="893"/>
      <c r="P58" s="893"/>
      <c r="Q58" s="893"/>
      <c r="R58" s="893"/>
      <c r="S58" s="893"/>
      <c r="T58" s="893"/>
      <c r="U58" s="893"/>
      <c r="V58" s="893"/>
      <c r="W58" s="893"/>
      <c r="X58" s="893"/>
      <c r="Y58" s="893"/>
      <c r="Z58" s="893"/>
      <c r="AA58" s="893"/>
      <c r="AB58" s="893"/>
      <c r="AC58" s="893"/>
      <c r="AD58" s="893"/>
    </row>
    <row r="59" spans="1:30" ht="12.75" customHeight="1">
      <c r="A59" s="1"/>
      <c r="B59" s="1"/>
      <c r="C59" s="8"/>
      <c r="D59" s="8"/>
      <c r="E59" s="1"/>
      <c r="F59" s="17"/>
      <c r="G59" s="31" t="s">
        <v>66</v>
      </c>
      <c r="H59" s="29"/>
      <c r="I59" s="29"/>
      <c r="J59" s="29"/>
      <c r="K59" s="29"/>
      <c r="L59" s="29"/>
      <c r="M59" s="29"/>
      <c r="N59" s="29"/>
      <c r="O59" s="29"/>
      <c r="P59" s="29"/>
      <c r="Q59" s="29"/>
      <c r="R59" s="29"/>
      <c r="S59" s="29"/>
      <c r="T59" s="29"/>
      <c r="U59" s="29"/>
      <c r="V59" s="29"/>
      <c r="W59" s="29"/>
      <c r="X59" s="29"/>
      <c r="Y59" s="29"/>
      <c r="Z59" s="29"/>
      <c r="AA59" s="29"/>
      <c r="AB59" s="29"/>
      <c r="AC59" s="29"/>
      <c r="AD59" s="29"/>
    </row>
    <row r="60" spans="1:30" ht="12.75" customHeight="1">
      <c r="A60" s="1"/>
      <c r="C60" s="8"/>
      <c r="D60" s="8"/>
      <c r="E60" s="1"/>
      <c r="F60" s="8"/>
      <c r="G60" s="8"/>
      <c r="I60" s="8"/>
      <c r="J60" s="24"/>
      <c r="K60" s="24"/>
      <c r="L60" s="24"/>
      <c r="M60" s="24"/>
      <c r="N60" s="24"/>
      <c r="O60" s="24"/>
      <c r="P60" s="24"/>
      <c r="Q60" s="24"/>
      <c r="R60" s="24"/>
      <c r="S60" s="24"/>
      <c r="T60" s="24"/>
      <c r="U60" s="24"/>
      <c r="V60" s="24"/>
      <c r="W60" s="24"/>
      <c r="X60" s="24"/>
      <c r="Y60" s="24"/>
      <c r="Z60" s="24"/>
      <c r="AA60" s="24"/>
      <c r="AB60" s="24"/>
      <c r="AC60" s="24"/>
      <c r="AD60" s="24"/>
    </row>
    <row r="61" spans="1:30" ht="12.75" customHeight="1">
      <c r="A61" s="1"/>
      <c r="B61" s="1"/>
      <c r="C61" s="1"/>
      <c r="D61" s="1" t="s">
        <v>67</v>
      </c>
      <c r="E61" s="1" t="s">
        <v>68</v>
      </c>
      <c r="F61" s="1"/>
      <c r="G61" s="1"/>
      <c r="H61" s="1"/>
      <c r="I61" s="1"/>
      <c r="J61" s="1"/>
      <c r="K61" s="1"/>
      <c r="L61" s="1"/>
      <c r="M61" s="1"/>
      <c r="N61" s="1"/>
      <c r="O61" s="1"/>
      <c r="P61" s="1"/>
      <c r="Q61" s="1"/>
      <c r="R61" s="1"/>
      <c r="S61" s="1"/>
      <c r="T61" s="1"/>
      <c r="U61" s="24"/>
      <c r="V61" s="24"/>
      <c r="W61" s="24"/>
      <c r="X61" s="24"/>
      <c r="Y61" s="24"/>
      <c r="Z61" s="24"/>
      <c r="AA61" s="24"/>
      <c r="AB61" s="24"/>
      <c r="AC61" s="24"/>
      <c r="AD61" s="24"/>
    </row>
    <row r="62" spans="1:30" ht="12.75" customHeight="1">
      <c r="A62" s="1"/>
      <c r="C62" s="8"/>
      <c r="E62" s="1" t="s">
        <v>69</v>
      </c>
      <c r="G62" s="1"/>
      <c r="H62" s="1"/>
      <c r="I62" s="1"/>
      <c r="J62" s="1"/>
      <c r="K62" s="1"/>
      <c r="L62" s="1"/>
      <c r="M62" s="1"/>
      <c r="N62" s="1"/>
      <c r="O62" s="1"/>
      <c r="P62" s="1"/>
      <c r="Q62" s="1"/>
      <c r="R62" s="1"/>
      <c r="S62" s="1"/>
      <c r="T62" s="1"/>
      <c r="U62" s="1"/>
      <c r="V62" s="1"/>
      <c r="W62" s="1"/>
      <c r="X62" s="1"/>
      <c r="Y62" s="1"/>
      <c r="Z62" s="1"/>
      <c r="AA62" s="1"/>
      <c r="AB62" s="1"/>
    </row>
    <row r="63" spans="1:30" ht="12.75" customHeight="1">
      <c r="A63" s="1"/>
      <c r="C63" s="8"/>
      <c r="D63" s="1"/>
      <c r="E63" s="1" t="s">
        <v>41</v>
      </c>
      <c r="F63" s="1" t="s">
        <v>7</v>
      </c>
      <c r="G63" s="1"/>
      <c r="H63" s="1"/>
      <c r="I63" s="1"/>
      <c r="J63" s="1"/>
      <c r="K63" s="1"/>
      <c r="L63" s="1"/>
      <c r="M63" s="1"/>
      <c r="P63" s="1"/>
      <c r="Q63" s="1"/>
      <c r="R63" s="1"/>
      <c r="S63" s="1"/>
      <c r="T63" s="1"/>
      <c r="U63" s="1"/>
      <c r="V63" s="1"/>
      <c r="W63" s="1"/>
      <c r="X63" s="1"/>
      <c r="Y63" s="1"/>
      <c r="Z63" s="1"/>
      <c r="AA63" s="1"/>
      <c r="AB63" s="1"/>
    </row>
    <row r="64" spans="1:30" ht="12.75" customHeight="1">
      <c r="A64" s="1"/>
      <c r="C64" s="8"/>
      <c r="D64" s="1"/>
      <c r="E64" s="1"/>
      <c r="F64" s="32" t="s">
        <v>44</v>
      </c>
      <c r="G64" s="895" t="s">
        <v>72</v>
      </c>
      <c r="H64" s="893"/>
      <c r="I64" s="893"/>
      <c r="J64" s="893"/>
      <c r="K64" s="893"/>
      <c r="L64" s="893"/>
      <c r="M64" s="893"/>
      <c r="N64" s="893"/>
      <c r="O64" s="893"/>
      <c r="P64" s="893"/>
      <c r="Q64" s="893"/>
      <c r="R64" s="893"/>
      <c r="S64" s="893"/>
      <c r="T64" s="893"/>
      <c r="U64" s="893"/>
      <c r="V64" s="893"/>
      <c r="W64" s="893"/>
      <c r="X64" s="893"/>
      <c r="Y64" s="893"/>
      <c r="Z64" s="893"/>
      <c r="AA64" s="893"/>
      <c r="AB64" s="893"/>
      <c r="AC64" s="893"/>
      <c r="AD64" s="893"/>
    </row>
    <row r="65" spans="1:30" ht="12.75" customHeight="1">
      <c r="A65" s="1"/>
      <c r="C65" s="8"/>
      <c r="D65" s="1"/>
      <c r="E65" s="1"/>
      <c r="G65" s="893"/>
      <c r="H65" s="893"/>
      <c r="I65" s="893"/>
      <c r="J65" s="893"/>
      <c r="K65" s="893"/>
      <c r="L65" s="893"/>
      <c r="M65" s="893"/>
      <c r="N65" s="893"/>
      <c r="O65" s="893"/>
      <c r="P65" s="893"/>
      <c r="Q65" s="893"/>
      <c r="R65" s="893"/>
      <c r="S65" s="893"/>
      <c r="T65" s="893"/>
      <c r="U65" s="893"/>
      <c r="V65" s="893"/>
      <c r="W65" s="893"/>
      <c r="X65" s="893"/>
      <c r="Y65" s="893"/>
      <c r="Z65" s="893"/>
      <c r="AA65" s="893"/>
      <c r="AB65" s="893"/>
      <c r="AC65" s="893"/>
      <c r="AD65" s="893"/>
    </row>
    <row r="66" spans="1:30" ht="12.75" customHeight="1">
      <c r="A66" s="1"/>
      <c r="C66" s="8"/>
      <c r="D66" s="1"/>
      <c r="E66" s="1"/>
      <c r="G66" s="893"/>
      <c r="H66" s="893"/>
      <c r="I66" s="893"/>
      <c r="J66" s="893"/>
      <c r="K66" s="893"/>
      <c r="L66" s="893"/>
      <c r="M66" s="893"/>
      <c r="N66" s="893"/>
      <c r="O66" s="893"/>
      <c r="P66" s="893"/>
      <c r="Q66" s="893"/>
      <c r="R66" s="893"/>
      <c r="S66" s="893"/>
      <c r="T66" s="893"/>
      <c r="U66" s="893"/>
      <c r="V66" s="893"/>
      <c r="W66" s="893"/>
      <c r="X66" s="893"/>
      <c r="Y66" s="893"/>
      <c r="Z66" s="893"/>
      <c r="AA66" s="893"/>
      <c r="AB66" s="893"/>
      <c r="AC66" s="893"/>
      <c r="AD66" s="893"/>
    </row>
    <row r="67" spans="1:30" ht="12.75" customHeight="1">
      <c r="A67" s="1"/>
      <c r="C67" s="8"/>
      <c r="D67" s="1"/>
      <c r="E67" s="1"/>
      <c r="F67" s="32" t="s">
        <v>51</v>
      </c>
      <c r="G67" s="895" t="s">
        <v>73</v>
      </c>
      <c r="H67" s="893"/>
      <c r="I67" s="893"/>
      <c r="J67" s="893"/>
      <c r="K67" s="893"/>
      <c r="L67" s="893"/>
      <c r="M67" s="893"/>
      <c r="N67" s="893"/>
      <c r="O67" s="893"/>
      <c r="P67" s="893"/>
      <c r="Q67" s="893"/>
      <c r="R67" s="893"/>
      <c r="S67" s="893"/>
      <c r="T67" s="893"/>
      <c r="U67" s="893"/>
      <c r="V67" s="893"/>
      <c r="W67" s="893"/>
      <c r="X67" s="893"/>
      <c r="Y67" s="893"/>
      <c r="Z67" s="893"/>
      <c r="AA67" s="893"/>
      <c r="AB67" s="893"/>
      <c r="AC67" s="893"/>
      <c r="AD67" s="893"/>
    </row>
    <row r="68" spans="1:30" ht="12.75" customHeight="1">
      <c r="A68" s="1"/>
      <c r="C68" s="8"/>
      <c r="D68" s="1"/>
      <c r="E68" s="1"/>
      <c r="F68" s="33"/>
      <c r="G68" s="893"/>
      <c r="H68" s="893"/>
      <c r="I68" s="893"/>
      <c r="J68" s="893"/>
      <c r="K68" s="893"/>
      <c r="L68" s="893"/>
      <c r="M68" s="893"/>
      <c r="N68" s="893"/>
      <c r="O68" s="893"/>
      <c r="P68" s="893"/>
      <c r="Q68" s="893"/>
      <c r="R68" s="893"/>
      <c r="S68" s="893"/>
      <c r="T68" s="893"/>
      <c r="U68" s="893"/>
      <c r="V68" s="893"/>
      <c r="W68" s="893"/>
      <c r="X68" s="893"/>
      <c r="Y68" s="893"/>
      <c r="Z68" s="893"/>
      <c r="AA68" s="893"/>
      <c r="AB68" s="893"/>
      <c r="AC68" s="893"/>
      <c r="AD68" s="893"/>
    </row>
    <row r="69" spans="1:30" ht="12.75" customHeight="1">
      <c r="A69" s="1"/>
      <c r="C69" s="8"/>
      <c r="D69" s="1"/>
      <c r="E69" s="1" t="s">
        <v>46</v>
      </c>
      <c r="F69" s="1" t="s">
        <v>74</v>
      </c>
      <c r="G69" s="4"/>
      <c r="H69" s="4"/>
      <c r="I69" s="4"/>
      <c r="J69" s="4"/>
      <c r="K69" s="4"/>
      <c r="L69" s="4"/>
      <c r="M69" s="4"/>
      <c r="N69" s="4"/>
      <c r="O69" s="4"/>
      <c r="P69" s="4"/>
      <c r="Q69" s="4"/>
      <c r="R69" s="4"/>
      <c r="S69" s="4"/>
      <c r="T69" s="4"/>
      <c r="U69" s="4"/>
      <c r="V69" s="4"/>
      <c r="W69" s="4"/>
      <c r="X69" s="4"/>
      <c r="Y69" s="4"/>
      <c r="Z69" s="4"/>
      <c r="AA69" s="4"/>
      <c r="AB69" s="4"/>
      <c r="AC69" s="4"/>
      <c r="AD69" s="4"/>
    </row>
    <row r="70" spans="1:30" ht="12.75" customHeight="1">
      <c r="A70" s="1"/>
      <c r="C70" s="8"/>
      <c r="D70" s="1"/>
      <c r="E70" s="1"/>
      <c r="F70" s="17" t="s">
        <v>44</v>
      </c>
      <c r="G70" s="895" t="s">
        <v>77</v>
      </c>
      <c r="H70" s="893"/>
      <c r="I70" s="893"/>
      <c r="J70" s="893"/>
      <c r="K70" s="893"/>
      <c r="L70" s="893"/>
      <c r="M70" s="893"/>
      <c r="N70" s="893"/>
      <c r="O70" s="893"/>
      <c r="P70" s="893"/>
      <c r="Q70" s="893"/>
      <c r="R70" s="893"/>
      <c r="S70" s="893"/>
      <c r="T70" s="893"/>
      <c r="U70" s="893"/>
      <c r="V70" s="893"/>
      <c r="W70" s="893"/>
      <c r="X70" s="893"/>
      <c r="Y70" s="893"/>
      <c r="Z70" s="893"/>
      <c r="AA70" s="893"/>
      <c r="AB70" s="893"/>
      <c r="AC70" s="893"/>
      <c r="AD70" s="893"/>
    </row>
    <row r="71" spans="1:30" ht="12.75" customHeight="1">
      <c r="A71" s="1"/>
      <c r="C71" s="8"/>
      <c r="D71" s="1"/>
      <c r="E71" s="1"/>
      <c r="F71" s="17"/>
      <c r="G71" s="893"/>
      <c r="H71" s="893"/>
      <c r="I71" s="893"/>
      <c r="J71" s="893"/>
      <c r="K71" s="893"/>
      <c r="L71" s="893"/>
      <c r="M71" s="893"/>
      <c r="N71" s="893"/>
      <c r="O71" s="893"/>
      <c r="P71" s="893"/>
      <c r="Q71" s="893"/>
      <c r="R71" s="893"/>
      <c r="S71" s="893"/>
      <c r="T71" s="893"/>
      <c r="U71" s="893"/>
      <c r="V71" s="893"/>
      <c r="W71" s="893"/>
      <c r="X71" s="893"/>
      <c r="Y71" s="893"/>
      <c r="Z71" s="893"/>
      <c r="AA71" s="893"/>
      <c r="AB71" s="893"/>
      <c r="AC71" s="893"/>
      <c r="AD71" s="893"/>
    </row>
    <row r="72" spans="1:30" ht="12.75" customHeight="1">
      <c r="A72" s="1"/>
      <c r="C72" s="8"/>
      <c r="D72" s="1"/>
      <c r="E72" s="1"/>
      <c r="F72" s="17" t="s">
        <v>51</v>
      </c>
      <c r="G72" s="895" t="s">
        <v>78</v>
      </c>
      <c r="H72" s="893"/>
      <c r="I72" s="893"/>
      <c r="J72" s="893"/>
      <c r="K72" s="893"/>
      <c r="L72" s="893"/>
      <c r="M72" s="893"/>
      <c r="N72" s="893"/>
      <c r="O72" s="893"/>
      <c r="P72" s="893"/>
      <c r="Q72" s="893"/>
      <c r="R72" s="893"/>
      <c r="S72" s="893"/>
      <c r="T72" s="893"/>
      <c r="U72" s="893"/>
      <c r="V72" s="893"/>
      <c r="W72" s="893"/>
      <c r="X72" s="893"/>
      <c r="Y72" s="893"/>
      <c r="Z72" s="893"/>
      <c r="AA72" s="893"/>
      <c r="AB72" s="893"/>
      <c r="AC72" s="893"/>
      <c r="AD72" s="893"/>
    </row>
    <row r="73" spans="1:30" ht="12.75" customHeight="1">
      <c r="A73" s="1"/>
      <c r="C73" s="8"/>
      <c r="D73" s="1"/>
      <c r="E73" s="1"/>
      <c r="F73" s="17"/>
      <c r="G73" s="893"/>
      <c r="H73" s="893"/>
      <c r="I73" s="893"/>
      <c r="J73" s="893"/>
      <c r="K73" s="893"/>
      <c r="L73" s="893"/>
      <c r="M73" s="893"/>
      <c r="N73" s="893"/>
      <c r="O73" s="893"/>
      <c r="P73" s="893"/>
      <c r="Q73" s="893"/>
      <c r="R73" s="893"/>
      <c r="S73" s="893"/>
      <c r="T73" s="893"/>
      <c r="U73" s="893"/>
      <c r="V73" s="893"/>
      <c r="W73" s="893"/>
      <c r="X73" s="893"/>
      <c r="Y73" s="893"/>
      <c r="Z73" s="893"/>
      <c r="AA73" s="893"/>
      <c r="AB73" s="893"/>
      <c r="AC73" s="893"/>
      <c r="AD73" s="893"/>
    </row>
    <row r="74" spans="1:30" ht="12.75" customHeight="1">
      <c r="A74" s="1"/>
      <c r="C74" s="8"/>
      <c r="D74" s="1"/>
      <c r="E74" s="1"/>
      <c r="F74" s="17"/>
      <c r="G74" s="24" t="s">
        <v>79</v>
      </c>
      <c r="H74" s="1"/>
      <c r="J74" s="24"/>
      <c r="K74" s="24"/>
      <c r="L74" s="24"/>
      <c r="P74" s="1"/>
      <c r="Q74" s="1"/>
      <c r="R74" s="1"/>
      <c r="S74" s="1"/>
      <c r="T74" s="1"/>
      <c r="U74" s="1"/>
      <c r="V74" s="1"/>
      <c r="W74" s="1"/>
      <c r="X74" s="1"/>
      <c r="Y74" s="1"/>
      <c r="Z74" s="1"/>
      <c r="AA74" s="1"/>
      <c r="AB74" s="1"/>
    </row>
    <row r="75" spans="1:30" ht="12.75" customHeight="1">
      <c r="A75" s="1"/>
      <c r="C75" s="8"/>
      <c r="D75" s="1"/>
      <c r="E75" s="1"/>
      <c r="F75" s="17"/>
      <c r="G75" s="24" t="s">
        <v>81</v>
      </c>
      <c r="J75" s="24"/>
      <c r="K75" s="24"/>
      <c r="L75" s="24"/>
      <c r="P75" s="1"/>
      <c r="Q75" s="1"/>
      <c r="R75" s="1"/>
      <c r="S75" s="1"/>
      <c r="T75" s="1"/>
      <c r="U75" s="1"/>
      <c r="V75" s="1"/>
      <c r="W75" s="1"/>
      <c r="X75" s="1"/>
      <c r="Y75" s="1"/>
      <c r="Z75" s="1"/>
      <c r="AA75" s="1"/>
      <c r="AB75" s="1"/>
    </row>
    <row r="76" spans="1:30" ht="12.75" customHeight="1">
      <c r="A76" s="1"/>
      <c r="C76" s="8"/>
      <c r="D76" s="1"/>
      <c r="E76" s="1"/>
      <c r="F76" s="17" t="s">
        <v>82</v>
      </c>
      <c r="G76" s="1" t="s">
        <v>83</v>
      </c>
      <c r="H76" s="1"/>
      <c r="I76" s="1"/>
      <c r="K76" s="1"/>
      <c r="L76" s="1"/>
      <c r="M76" s="1"/>
      <c r="P76" s="1"/>
      <c r="Q76" s="1"/>
      <c r="R76" s="1"/>
      <c r="S76" s="1"/>
      <c r="T76" s="1"/>
      <c r="U76" s="1"/>
      <c r="V76" s="1"/>
      <c r="W76" s="1"/>
      <c r="X76" s="1"/>
      <c r="Y76" s="1"/>
      <c r="Z76" s="1"/>
      <c r="AA76" s="1"/>
      <c r="AB76" s="1"/>
    </row>
    <row r="77" spans="1:30" ht="12.75" customHeight="1">
      <c r="A77" s="1"/>
      <c r="C77" s="8"/>
      <c r="D77" s="1"/>
      <c r="E77" s="1"/>
      <c r="F77" s="1"/>
      <c r="G77" s="1" t="s">
        <v>84</v>
      </c>
      <c r="H77" s="1" t="s">
        <v>85</v>
      </c>
      <c r="K77" s="1"/>
      <c r="L77" s="1"/>
      <c r="M77" s="1"/>
      <c r="P77" s="1"/>
      <c r="Q77" s="1"/>
      <c r="R77" s="1"/>
      <c r="S77" s="1"/>
      <c r="T77" s="1"/>
      <c r="U77" s="1"/>
      <c r="V77" s="1"/>
      <c r="W77" s="1"/>
      <c r="X77" s="1"/>
      <c r="Y77" s="1"/>
      <c r="Z77" s="1"/>
      <c r="AA77" s="1"/>
      <c r="AB77" s="1"/>
    </row>
    <row r="78" spans="1:30" ht="12.75" customHeight="1">
      <c r="A78" s="1"/>
      <c r="C78" s="8"/>
      <c r="D78" s="1"/>
      <c r="E78" s="1"/>
      <c r="F78" s="1"/>
      <c r="G78" s="1" t="s">
        <v>86</v>
      </c>
      <c r="H78" s="1" t="s">
        <v>87</v>
      </c>
      <c r="K78" s="1"/>
      <c r="L78" s="1"/>
      <c r="M78" s="1"/>
      <c r="P78" s="1"/>
      <c r="Q78" s="1"/>
      <c r="R78" s="1"/>
      <c r="S78" s="1"/>
      <c r="T78" s="1"/>
      <c r="U78" s="1"/>
      <c r="V78" s="1"/>
      <c r="W78" s="1"/>
      <c r="X78" s="1"/>
      <c r="Y78" s="1"/>
      <c r="Z78" s="1"/>
      <c r="AA78" s="1"/>
      <c r="AB78" s="1"/>
    </row>
    <row r="79" spans="1:30" ht="12.75" customHeight="1">
      <c r="A79" s="1"/>
      <c r="C79" s="8"/>
      <c r="D79" s="1"/>
      <c r="E79" s="1" t="s">
        <v>53</v>
      </c>
      <c r="F79" s="1" t="s">
        <v>88</v>
      </c>
      <c r="G79" s="1"/>
      <c r="H79" s="1"/>
      <c r="I79" s="1"/>
      <c r="J79" s="1"/>
      <c r="K79" s="1"/>
      <c r="L79" s="1"/>
      <c r="M79" s="1"/>
      <c r="P79" s="1"/>
      <c r="Q79" s="1"/>
      <c r="R79" s="1"/>
      <c r="S79" s="1"/>
      <c r="T79" s="1"/>
      <c r="U79" s="1"/>
      <c r="V79" s="1"/>
      <c r="W79" s="1"/>
      <c r="X79" s="1"/>
      <c r="Y79" s="1"/>
      <c r="Z79" s="1"/>
      <c r="AA79" s="1"/>
      <c r="AB79" s="1"/>
    </row>
    <row r="80" spans="1:30" ht="12.75" customHeight="1">
      <c r="A80" s="1"/>
      <c r="C80" s="8"/>
      <c r="D80" s="1"/>
      <c r="E80" s="1"/>
      <c r="F80" s="17"/>
      <c r="G80" s="895" t="s">
        <v>89</v>
      </c>
      <c r="H80" s="893"/>
      <c r="I80" s="893"/>
      <c r="J80" s="893"/>
      <c r="K80" s="893"/>
      <c r="L80" s="893"/>
      <c r="M80" s="893"/>
      <c r="N80" s="893"/>
      <c r="O80" s="893"/>
      <c r="P80" s="893"/>
      <c r="Q80" s="893"/>
      <c r="R80" s="893"/>
      <c r="S80" s="893"/>
      <c r="T80" s="893"/>
      <c r="U80" s="893"/>
      <c r="V80" s="893"/>
      <c r="W80" s="893"/>
      <c r="X80" s="893"/>
      <c r="Y80" s="893"/>
      <c r="Z80" s="893"/>
      <c r="AA80" s="893"/>
      <c r="AB80" s="893"/>
      <c r="AC80" s="893"/>
      <c r="AD80" s="893"/>
    </row>
    <row r="81" spans="1:30" ht="12.75" customHeight="1">
      <c r="A81" s="1"/>
      <c r="C81" s="8"/>
      <c r="D81" s="1"/>
      <c r="E81" s="1"/>
      <c r="F81" s="1"/>
      <c r="G81" s="893"/>
      <c r="H81" s="893"/>
      <c r="I81" s="893"/>
      <c r="J81" s="893"/>
      <c r="K81" s="893"/>
      <c r="L81" s="893"/>
      <c r="M81" s="893"/>
      <c r="N81" s="893"/>
      <c r="O81" s="893"/>
      <c r="P81" s="893"/>
      <c r="Q81" s="893"/>
      <c r="R81" s="893"/>
      <c r="S81" s="893"/>
      <c r="T81" s="893"/>
      <c r="U81" s="893"/>
      <c r="V81" s="893"/>
      <c r="W81" s="893"/>
      <c r="X81" s="893"/>
      <c r="Y81" s="893"/>
      <c r="Z81" s="893"/>
      <c r="AA81" s="893"/>
      <c r="AB81" s="893"/>
      <c r="AC81" s="893"/>
      <c r="AD81" s="893"/>
    </row>
    <row r="82" spans="1:30" ht="12.75" customHeight="1">
      <c r="A82" s="1"/>
      <c r="C82" s="8"/>
      <c r="D82" s="1"/>
      <c r="E82" s="1"/>
      <c r="F82" s="1"/>
      <c r="G82" s="893"/>
      <c r="H82" s="893"/>
      <c r="I82" s="893"/>
      <c r="J82" s="893"/>
      <c r="K82" s="893"/>
      <c r="L82" s="893"/>
      <c r="M82" s="893"/>
      <c r="N82" s="893"/>
      <c r="O82" s="893"/>
      <c r="P82" s="893"/>
      <c r="Q82" s="893"/>
      <c r="R82" s="893"/>
      <c r="S82" s="893"/>
      <c r="T82" s="893"/>
      <c r="U82" s="893"/>
      <c r="V82" s="893"/>
      <c r="W82" s="893"/>
      <c r="X82" s="893"/>
      <c r="Y82" s="893"/>
      <c r="Z82" s="893"/>
      <c r="AA82" s="893"/>
      <c r="AB82" s="893"/>
      <c r="AC82" s="893"/>
      <c r="AD82" s="893"/>
    </row>
    <row r="83" spans="1:30" ht="12.75" customHeight="1">
      <c r="A83" s="1"/>
      <c r="C83" s="8"/>
      <c r="D83" s="1"/>
      <c r="E83" s="1" t="s">
        <v>90</v>
      </c>
      <c r="F83" s="1" t="s">
        <v>91</v>
      </c>
      <c r="G83" s="1"/>
      <c r="H83" s="1"/>
      <c r="I83" s="1"/>
      <c r="J83" s="1"/>
      <c r="K83" s="1"/>
      <c r="L83" s="1"/>
      <c r="M83" s="1"/>
      <c r="P83" s="1"/>
      <c r="Q83" s="1"/>
      <c r="R83" s="1"/>
      <c r="S83" s="1"/>
      <c r="T83" s="1"/>
      <c r="U83" s="1"/>
      <c r="V83" s="1"/>
      <c r="W83" s="1"/>
      <c r="X83" s="1"/>
      <c r="Y83" s="1"/>
      <c r="Z83" s="1"/>
      <c r="AA83" s="1"/>
      <c r="AB83" s="1"/>
    </row>
    <row r="84" spans="1:30" ht="12.75" customHeight="1">
      <c r="A84" s="1"/>
      <c r="C84" s="8"/>
      <c r="D84" s="1"/>
      <c r="E84" s="1"/>
      <c r="F84" s="17"/>
      <c r="G84" s="895" t="s">
        <v>92</v>
      </c>
      <c r="H84" s="893"/>
      <c r="I84" s="893"/>
      <c r="J84" s="893"/>
      <c r="K84" s="893"/>
      <c r="L84" s="893"/>
      <c r="M84" s="893"/>
      <c r="N84" s="893"/>
      <c r="O84" s="893"/>
      <c r="P84" s="893"/>
      <c r="Q84" s="893"/>
      <c r="R84" s="893"/>
      <c r="S84" s="893"/>
      <c r="T84" s="893"/>
      <c r="U84" s="893"/>
      <c r="V84" s="893"/>
      <c r="W84" s="893"/>
      <c r="X84" s="893"/>
      <c r="Y84" s="893"/>
      <c r="Z84" s="893"/>
      <c r="AA84" s="893"/>
      <c r="AB84" s="893"/>
      <c r="AC84" s="893"/>
      <c r="AD84" s="893"/>
    </row>
    <row r="85" spans="1:30" ht="12.75" customHeight="1">
      <c r="A85" s="1"/>
      <c r="C85" s="8"/>
      <c r="D85" s="1"/>
      <c r="E85" s="1"/>
      <c r="F85" s="1"/>
      <c r="G85" s="893"/>
      <c r="H85" s="893"/>
      <c r="I85" s="893"/>
      <c r="J85" s="893"/>
      <c r="K85" s="893"/>
      <c r="L85" s="893"/>
      <c r="M85" s="893"/>
      <c r="N85" s="893"/>
      <c r="O85" s="893"/>
      <c r="P85" s="893"/>
      <c r="Q85" s="893"/>
      <c r="R85" s="893"/>
      <c r="S85" s="893"/>
      <c r="T85" s="893"/>
      <c r="U85" s="893"/>
      <c r="V85" s="893"/>
      <c r="W85" s="893"/>
      <c r="X85" s="893"/>
      <c r="Y85" s="893"/>
      <c r="Z85" s="893"/>
      <c r="AA85" s="893"/>
      <c r="AB85" s="893"/>
      <c r="AC85" s="893"/>
      <c r="AD85" s="893"/>
    </row>
    <row r="86" spans="1:30" ht="12.75" customHeight="1">
      <c r="A86" s="1"/>
      <c r="C86" s="8"/>
      <c r="D86" s="1"/>
      <c r="E86" s="1"/>
      <c r="G86" s="893"/>
      <c r="H86" s="893"/>
      <c r="I86" s="893"/>
      <c r="J86" s="893"/>
      <c r="K86" s="893"/>
      <c r="L86" s="893"/>
      <c r="M86" s="893"/>
      <c r="N86" s="893"/>
      <c r="O86" s="893"/>
      <c r="P86" s="893"/>
      <c r="Q86" s="893"/>
      <c r="R86" s="893"/>
      <c r="S86" s="893"/>
      <c r="T86" s="893"/>
      <c r="U86" s="893"/>
      <c r="V86" s="893"/>
      <c r="W86" s="893"/>
      <c r="X86" s="893"/>
      <c r="Y86" s="893"/>
      <c r="Z86" s="893"/>
      <c r="AA86" s="893"/>
      <c r="AB86" s="893"/>
      <c r="AC86" s="893"/>
      <c r="AD86" s="893"/>
    </row>
    <row r="87" spans="1:30" ht="12.75" customHeight="1">
      <c r="A87" s="1"/>
      <c r="C87" s="8"/>
      <c r="D87" s="1"/>
      <c r="E87" s="1" t="s">
        <v>94</v>
      </c>
      <c r="F87" s="32" t="s">
        <v>95</v>
      </c>
      <c r="G87" s="1"/>
      <c r="L87" s="1"/>
      <c r="M87" s="1"/>
      <c r="P87" s="1"/>
      <c r="Q87" s="1"/>
      <c r="R87" s="1"/>
      <c r="S87" s="1"/>
      <c r="T87" s="1"/>
      <c r="U87" s="1"/>
      <c r="V87" s="1"/>
      <c r="W87" s="1"/>
      <c r="X87" s="1"/>
      <c r="Y87" s="1"/>
      <c r="Z87" s="1"/>
      <c r="AA87" s="1"/>
      <c r="AB87" s="1"/>
    </row>
    <row r="88" spans="1:30" ht="12.75" customHeight="1">
      <c r="A88" s="1"/>
      <c r="C88" s="8"/>
      <c r="D88" s="1"/>
      <c r="E88" s="1"/>
      <c r="G88" s="895" t="s">
        <v>96</v>
      </c>
      <c r="H88" s="893"/>
      <c r="I88" s="893"/>
      <c r="J88" s="893"/>
      <c r="K88" s="893"/>
      <c r="L88" s="893"/>
      <c r="M88" s="893"/>
      <c r="N88" s="893"/>
      <c r="O88" s="893"/>
      <c r="P88" s="893"/>
      <c r="Q88" s="893"/>
      <c r="R88" s="893"/>
      <c r="S88" s="893"/>
      <c r="T88" s="893"/>
      <c r="U88" s="893"/>
      <c r="V88" s="893"/>
      <c r="W88" s="893"/>
      <c r="X88" s="893"/>
      <c r="Y88" s="893"/>
      <c r="Z88" s="893"/>
      <c r="AA88" s="893"/>
      <c r="AB88" s="893"/>
      <c r="AC88" s="893"/>
      <c r="AD88" s="893"/>
    </row>
    <row r="89" spans="1:30" ht="12.75" customHeight="1">
      <c r="A89" s="1"/>
      <c r="C89" s="8"/>
      <c r="D89" s="1"/>
      <c r="E89" s="1"/>
      <c r="G89" s="893"/>
      <c r="H89" s="893"/>
      <c r="I89" s="893"/>
      <c r="J89" s="893"/>
      <c r="K89" s="893"/>
      <c r="L89" s="893"/>
      <c r="M89" s="893"/>
      <c r="N89" s="893"/>
      <c r="O89" s="893"/>
      <c r="P89" s="893"/>
      <c r="Q89" s="893"/>
      <c r="R89" s="893"/>
      <c r="S89" s="893"/>
      <c r="T89" s="893"/>
      <c r="U89" s="893"/>
      <c r="V89" s="893"/>
      <c r="W89" s="893"/>
      <c r="X89" s="893"/>
      <c r="Y89" s="893"/>
      <c r="Z89" s="893"/>
      <c r="AA89" s="893"/>
      <c r="AB89" s="893"/>
      <c r="AC89" s="893"/>
      <c r="AD89" s="893"/>
    </row>
    <row r="90" spans="1:30" ht="12.75" customHeight="1">
      <c r="A90" s="1"/>
      <c r="C90" s="8"/>
      <c r="D90" s="1"/>
      <c r="E90" s="1"/>
      <c r="G90" s="893"/>
      <c r="H90" s="893"/>
      <c r="I90" s="893"/>
      <c r="J90" s="893"/>
      <c r="K90" s="893"/>
      <c r="L90" s="893"/>
      <c r="M90" s="893"/>
      <c r="N90" s="893"/>
      <c r="O90" s="893"/>
      <c r="P90" s="893"/>
      <c r="Q90" s="893"/>
      <c r="R90" s="893"/>
      <c r="S90" s="893"/>
      <c r="T90" s="893"/>
      <c r="U90" s="893"/>
      <c r="V90" s="893"/>
      <c r="W90" s="893"/>
      <c r="X90" s="893"/>
      <c r="Y90" s="893"/>
      <c r="Z90" s="893"/>
      <c r="AA90" s="893"/>
      <c r="AB90" s="893"/>
      <c r="AC90" s="893"/>
      <c r="AD90" s="893"/>
    </row>
    <row r="91" spans="1:30" ht="12.75" customHeight="1">
      <c r="A91" s="1"/>
      <c r="C91" s="8"/>
      <c r="D91" s="1"/>
      <c r="E91" s="1" t="s">
        <v>97</v>
      </c>
      <c r="F91" s="1" t="s">
        <v>98</v>
      </c>
      <c r="G91" s="1"/>
      <c r="H91" s="1"/>
      <c r="I91" s="1"/>
      <c r="J91" s="1"/>
      <c r="K91" s="1"/>
      <c r="L91" s="1"/>
      <c r="M91" s="1"/>
      <c r="P91" s="1"/>
      <c r="Q91" s="1"/>
      <c r="R91" s="1"/>
      <c r="S91" s="1"/>
      <c r="T91" s="1"/>
      <c r="U91" s="1"/>
      <c r="V91" s="1"/>
      <c r="W91" s="1"/>
      <c r="X91" s="1"/>
      <c r="Y91" s="1"/>
      <c r="Z91" s="1"/>
      <c r="AA91" s="1"/>
      <c r="AB91" s="1"/>
    </row>
    <row r="92" spans="1:30" ht="12.75" customHeight="1">
      <c r="A92" s="1"/>
      <c r="C92" s="8"/>
      <c r="D92" s="1"/>
      <c r="E92" s="1"/>
      <c r="F92" s="1"/>
      <c r="G92" s="895" t="s">
        <v>99</v>
      </c>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row>
    <row r="93" spans="1:30" ht="12.75" customHeight="1">
      <c r="A93" s="1"/>
      <c r="C93" s="8"/>
      <c r="D93" s="1"/>
      <c r="E93" s="1"/>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row>
    <row r="94" spans="1:30" ht="12.75" customHeight="1">
      <c r="A94" s="1"/>
      <c r="C94" s="8"/>
      <c r="D94" s="1"/>
      <c r="E94" s="1" t="s">
        <v>100</v>
      </c>
      <c r="F94" s="1" t="s">
        <v>101</v>
      </c>
      <c r="G94" s="1"/>
      <c r="L94" s="1"/>
      <c r="M94" s="1"/>
      <c r="P94" s="1"/>
      <c r="Q94" s="1"/>
      <c r="R94" s="1"/>
      <c r="S94" s="1"/>
      <c r="T94" s="1"/>
      <c r="U94" s="1"/>
      <c r="V94" s="1"/>
      <c r="W94" s="1"/>
      <c r="X94" s="1"/>
      <c r="Y94" s="1"/>
      <c r="Z94" s="1"/>
      <c r="AA94" s="1"/>
      <c r="AB94" s="1"/>
    </row>
    <row r="95" spans="1:30" ht="12.75" customHeight="1">
      <c r="A95" s="1"/>
      <c r="C95" s="8"/>
      <c r="D95" s="1"/>
      <c r="E95" s="1"/>
      <c r="G95" s="895" t="s">
        <v>102</v>
      </c>
      <c r="H95" s="893"/>
      <c r="I95" s="893"/>
      <c r="J95" s="893"/>
      <c r="K95" s="893"/>
      <c r="L95" s="893"/>
      <c r="M95" s="893"/>
      <c r="N95" s="893"/>
      <c r="O95" s="893"/>
      <c r="P95" s="893"/>
      <c r="Q95" s="893"/>
      <c r="R95" s="893"/>
      <c r="S95" s="893"/>
      <c r="T95" s="893"/>
      <c r="U95" s="893"/>
      <c r="V95" s="893"/>
      <c r="W95" s="893"/>
      <c r="X95" s="893"/>
      <c r="Y95" s="893"/>
      <c r="Z95" s="893"/>
      <c r="AA95" s="893"/>
      <c r="AB95" s="893"/>
      <c r="AC95" s="893"/>
      <c r="AD95" s="893"/>
    </row>
    <row r="96" spans="1:30" ht="12.75" customHeight="1">
      <c r="A96" s="1"/>
      <c r="C96" s="8"/>
      <c r="D96" s="1"/>
      <c r="E96" s="1"/>
      <c r="G96" s="893"/>
      <c r="H96" s="893"/>
      <c r="I96" s="893"/>
      <c r="J96" s="893"/>
      <c r="K96" s="893"/>
      <c r="L96" s="893"/>
      <c r="M96" s="893"/>
      <c r="N96" s="893"/>
      <c r="O96" s="893"/>
      <c r="P96" s="893"/>
      <c r="Q96" s="893"/>
      <c r="R96" s="893"/>
      <c r="S96" s="893"/>
      <c r="T96" s="893"/>
      <c r="U96" s="893"/>
      <c r="V96" s="893"/>
      <c r="W96" s="893"/>
      <c r="X96" s="893"/>
      <c r="Y96" s="893"/>
      <c r="Z96" s="893"/>
      <c r="AA96" s="893"/>
      <c r="AB96" s="893"/>
      <c r="AC96" s="893"/>
      <c r="AD96" s="893"/>
    </row>
    <row r="97" spans="1:30" ht="12.75" customHeight="1">
      <c r="A97" s="1"/>
      <c r="C97" s="8"/>
      <c r="D97" s="1"/>
      <c r="E97" s="1"/>
      <c r="G97" s="893"/>
      <c r="H97" s="893"/>
      <c r="I97" s="893"/>
      <c r="J97" s="893"/>
      <c r="K97" s="893"/>
      <c r="L97" s="893"/>
      <c r="M97" s="893"/>
      <c r="N97" s="893"/>
      <c r="O97" s="893"/>
      <c r="P97" s="893"/>
      <c r="Q97" s="893"/>
      <c r="R97" s="893"/>
      <c r="S97" s="893"/>
      <c r="T97" s="893"/>
      <c r="U97" s="893"/>
      <c r="V97" s="893"/>
      <c r="W97" s="893"/>
      <c r="X97" s="893"/>
      <c r="Y97" s="893"/>
      <c r="Z97" s="893"/>
      <c r="AA97" s="893"/>
      <c r="AB97" s="893"/>
      <c r="AC97" s="893"/>
      <c r="AD97" s="893"/>
    </row>
    <row r="98" spans="1:30" ht="12.75" customHeight="1">
      <c r="A98" s="1"/>
      <c r="D98" s="35"/>
      <c r="E98" s="896" t="s">
        <v>104</v>
      </c>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row>
    <row r="99" spans="1:30" ht="12.75" customHeight="1">
      <c r="A99" s="1"/>
      <c r="D99" s="35"/>
      <c r="E99" s="893"/>
      <c r="F99" s="893"/>
      <c r="G99" s="893"/>
      <c r="H99" s="893"/>
      <c r="I99" s="893"/>
      <c r="J99" s="893"/>
      <c r="K99" s="893"/>
      <c r="L99" s="893"/>
      <c r="M99" s="893"/>
      <c r="N99" s="893"/>
      <c r="O99" s="893"/>
      <c r="P99" s="893"/>
      <c r="Q99" s="893"/>
      <c r="R99" s="893"/>
      <c r="S99" s="893"/>
      <c r="T99" s="893"/>
      <c r="U99" s="893"/>
      <c r="V99" s="893"/>
      <c r="W99" s="893"/>
      <c r="X99" s="893"/>
      <c r="Y99" s="893"/>
      <c r="Z99" s="893"/>
      <c r="AA99" s="893"/>
      <c r="AB99" s="893"/>
      <c r="AC99" s="893"/>
      <c r="AD99" s="893"/>
    </row>
    <row r="100" spans="1:30" ht="12.75" customHeight="1">
      <c r="A100" s="1"/>
      <c r="B100" s="37"/>
      <c r="C100" s="35"/>
      <c r="D100" s="35"/>
      <c r="E100" s="37"/>
      <c r="F100" s="35"/>
      <c r="G100" s="35"/>
      <c r="H100" s="35"/>
      <c r="I100" s="8"/>
      <c r="J100" s="8"/>
      <c r="K100" s="8"/>
      <c r="L100" s="8"/>
      <c r="M100" s="8"/>
      <c r="N100" s="8"/>
      <c r="P100" s="1"/>
      <c r="Q100" s="1"/>
      <c r="R100" s="1"/>
      <c r="S100" s="1"/>
      <c r="T100" s="1"/>
      <c r="U100" s="1"/>
      <c r="V100" s="1"/>
      <c r="W100" s="1"/>
      <c r="X100" s="1"/>
      <c r="Y100" s="1"/>
      <c r="Z100" s="1"/>
      <c r="AA100" s="1"/>
      <c r="AB100" s="1"/>
    </row>
    <row r="101" spans="1:30" ht="12.75" customHeight="1">
      <c r="A101" s="5"/>
      <c r="B101" s="6" t="s">
        <v>105</v>
      </c>
      <c r="C101" s="6" t="s">
        <v>74</v>
      </c>
      <c r="D101" s="6"/>
      <c r="E101" s="6"/>
      <c r="F101" s="6"/>
      <c r="G101" s="6"/>
      <c r="H101" s="6"/>
      <c r="I101" s="6"/>
      <c r="J101" s="6"/>
      <c r="K101" s="6"/>
      <c r="L101" s="5"/>
      <c r="M101" s="5"/>
      <c r="N101" s="5"/>
      <c r="O101" s="5"/>
      <c r="P101" s="5"/>
      <c r="Q101" s="5"/>
      <c r="R101" s="5"/>
      <c r="S101" s="5"/>
      <c r="T101" s="5"/>
      <c r="U101" s="5"/>
      <c r="V101" s="5"/>
      <c r="W101" s="5"/>
      <c r="X101" s="5"/>
      <c r="Y101" s="5"/>
      <c r="Z101" s="5"/>
      <c r="AA101" s="5"/>
      <c r="AB101" s="5"/>
      <c r="AC101" s="5"/>
      <c r="AD101" s="5"/>
    </row>
    <row r="102" spans="1:30" ht="12.75" customHeight="1">
      <c r="B102" s="8"/>
      <c r="C102" s="8"/>
      <c r="D102" s="8"/>
      <c r="E102" s="8"/>
      <c r="F102" s="8"/>
      <c r="G102" s="8"/>
      <c r="H102" s="8"/>
      <c r="I102" s="8"/>
      <c r="J102" s="8"/>
      <c r="K102" s="8"/>
    </row>
    <row r="103" spans="1:30" ht="12.75" customHeight="1">
      <c r="B103" s="8"/>
      <c r="C103" s="8" t="s">
        <v>107</v>
      </c>
      <c r="E103" s="8"/>
      <c r="F103" s="8"/>
      <c r="G103" s="8" t="s">
        <v>108</v>
      </c>
      <c r="H103" s="8"/>
      <c r="I103" s="8"/>
      <c r="K103" s="8"/>
    </row>
    <row r="104" spans="1:30" ht="12.75" customHeight="1">
      <c r="B104" s="8"/>
      <c r="C104" s="8"/>
      <c r="D104" s="8" t="s">
        <v>12</v>
      </c>
      <c r="E104" s="8" t="s">
        <v>109</v>
      </c>
      <c r="F104" s="8"/>
      <c r="G104" s="8"/>
      <c r="H104" s="8"/>
      <c r="I104" s="8"/>
      <c r="J104" s="8"/>
      <c r="K104" s="8"/>
      <c r="L104" s="8"/>
      <c r="M104" s="8"/>
    </row>
    <row r="105" spans="1:30" ht="12.75" customHeight="1">
      <c r="B105" s="8"/>
      <c r="C105" s="8"/>
      <c r="E105" s="1" t="s">
        <v>39</v>
      </c>
      <c r="F105" s="38" t="s">
        <v>110</v>
      </c>
      <c r="G105" s="8"/>
      <c r="H105" s="8"/>
      <c r="I105" s="8"/>
      <c r="J105" s="8"/>
      <c r="K105" s="8"/>
    </row>
    <row r="106" spans="1:30" ht="12.75" customHeight="1">
      <c r="E106" s="1"/>
      <c r="F106" s="32" t="s">
        <v>111</v>
      </c>
    </row>
    <row r="107" spans="1:30" ht="12.75" customHeight="1">
      <c r="E107" s="1"/>
      <c r="F107" s="32" t="s">
        <v>112</v>
      </c>
    </row>
    <row r="108" spans="1:30" ht="12.75" customHeight="1">
      <c r="E108" s="1"/>
    </row>
    <row r="109" spans="1:30" ht="12.75" customHeight="1">
      <c r="E109" s="1" t="s">
        <v>56</v>
      </c>
      <c r="F109" s="38" t="s">
        <v>113</v>
      </c>
      <c r="G109" s="8"/>
      <c r="H109" s="8"/>
      <c r="I109" s="8"/>
      <c r="J109" s="8"/>
    </row>
    <row r="110" spans="1:30" ht="12.75" customHeight="1">
      <c r="E110" s="1"/>
      <c r="F110" s="32" t="s">
        <v>114</v>
      </c>
    </row>
    <row r="111" spans="1:30" ht="12.75" customHeight="1">
      <c r="E111" s="1"/>
    </row>
    <row r="112" spans="1:30" ht="12.75" customHeight="1">
      <c r="E112" s="1" t="s">
        <v>67</v>
      </c>
      <c r="F112" s="38" t="s">
        <v>116</v>
      </c>
      <c r="G112" s="8"/>
      <c r="H112" s="8"/>
      <c r="I112" s="8"/>
      <c r="J112" s="8"/>
      <c r="K112" s="8"/>
      <c r="L112" s="8"/>
      <c r="M112" s="8"/>
      <c r="N112" s="8"/>
      <c r="O112" s="8"/>
      <c r="P112" s="8"/>
    </row>
    <row r="113" spans="2:10" ht="12.75" customHeight="1">
      <c r="E113" s="1"/>
      <c r="F113" s="1" t="s">
        <v>117</v>
      </c>
    </row>
    <row r="114" spans="2:10" ht="12.75" customHeight="1">
      <c r="F114" s="1" t="s">
        <v>118</v>
      </c>
    </row>
    <row r="115" spans="2:10" ht="12.75" customHeight="1"/>
    <row r="116" spans="2:10" ht="12.75" customHeight="1">
      <c r="E116" s="32" t="s">
        <v>119</v>
      </c>
      <c r="F116" s="38" t="s">
        <v>120</v>
      </c>
    </row>
    <row r="117" spans="2:10" ht="12.75" customHeight="1">
      <c r="F117" s="1" t="s">
        <v>121</v>
      </c>
      <c r="G117" s="1"/>
    </row>
    <row r="118" spans="2:10" ht="12.75" customHeight="1">
      <c r="F118" s="35" t="s">
        <v>123</v>
      </c>
      <c r="G118" s="35"/>
    </row>
    <row r="119" spans="2:10" ht="12.75" customHeight="1">
      <c r="G119" s="35"/>
    </row>
    <row r="120" spans="2:10" ht="12.75" customHeight="1">
      <c r="E120" s="1" t="s">
        <v>124</v>
      </c>
      <c r="F120" s="38" t="s">
        <v>125</v>
      </c>
    </row>
    <row r="121" spans="2:10" ht="12.75" customHeight="1">
      <c r="E121" s="1"/>
      <c r="F121" s="1" t="s">
        <v>126</v>
      </c>
    </row>
    <row r="122" spans="2:10" ht="12.75" customHeight="1">
      <c r="B122" s="8"/>
      <c r="C122" s="8"/>
      <c r="F122" s="8"/>
    </row>
    <row r="123" spans="2:10" ht="12.75" customHeight="1">
      <c r="B123" s="8"/>
      <c r="C123" s="8" t="s">
        <v>127</v>
      </c>
      <c r="G123" s="8" t="s">
        <v>128</v>
      </c>
    </row>
    <row r="124" spans="2:10" ht="12.75" customHeight="1">
      <c r="B124" s="8"/>
      <c r="C124" s="8"/>
      <c r="D124" s="8" t="s">
        <v>12</v>
      </c>
      <c r="E124" s="8" t="s">
        <v>129</v>
      </c>
      <c r="F124" s="8"/>
      <c r="G124" s="8"/>
      <c r="H124" s="8"/>
      <c r="I124" s="8"/>
      <c r="J124" s="8"/>
    </row>
    <row r="125" spans="2:10" ht="12.75" customHeight="1">
      <c r="B125" s="8"/>
      <c r="C125" s="8"/>
      <c r="E125" s="1" t="s">
        <v>130</v>
      </c>
      <c r="F125" s="1"/>
    </row>
    <row r="126" spans="2:10" ht="12.75" customHeight="1"/>
    <row r="127" spans="2:10" ht="12.75" customHeight="1">
      <c r="D127" s="8" t="s">
        <v>37</v>
      </c>
      <c r="E127" s="8" t="s">
        <v>132</v>
      </c>
    </row>
    <row r="128" spans="2:10" ht="12.75" customHeight="1">
      <c r="E128" s="1" t="s">
        <v>130</v>
      </c>
      <c r="F128" s="1"/>
    </row>
    <row r="129" spans="4:30" ht="12.75" customHeight="1"/>
    <row r="130" spans="4:30" ht="12.75" customHeight="1">
      <c r="D130" s="8" t="s">
        <v>133</v>
      </c>
      <c r="E130" s="8" t="s">
        <v>134</v>
      </c>
      <c r="G130" s="8"/>
      <c r="H130" s="8"/>
      <c r="I130" s="8"/>
      <c r="J130" s="8"/>
      <c r="K130" s="8"/>
      <c r="L130" s="8"/>
      <c r="M130" s="8"/>
      <c r="N130" s="8"/>
    </row>
    <row r="131" spans="4:30" ht="12.75" customHeight="1">
      <c r="D131" s="8"/>
      <c r="E131" s="41" t="s">
        <v>136</v>
      </c>
      <c r="G131" s="8"/>
      <c r="H131" s="8"/>
      <c r="I131" s="8"/>
      <c r="J131" s="8"/>
      <c r="K131" s="8"/>
      <c r="L131" s="8"/>
      <c r="M131" s="8"/>
      <c r="N131" s="8"/>
    </row>
    <row r="132" spans="4:30" ht="12.75" customHeight="1">
      <c r="E132" s="41" t="s">
        <v>137</v>
      </c>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row>
    <row r="133" spans="4:30" ht="12.75" customHeight="1">
      <c r="E133" s="41" t="s">
        <v>138</v>
      </c>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row>
    <row r="134" spans="4:30" ht="12.75" customHeight="1">
      <c r="F134" s="1"/>
    </row>
    <row r="135" spans="4:30" ht="12.75" customHeight="1">
      <c r="D135" s="8" t="s">
        <v>139</v>
      </c>
      <c r="E135" s="8" t="s">
        <v>140</v>
      </c>
      <c r="F135" s="8"/>
    </row>
    <row r="136" spans="4:30" ht="12.75" customHeight="1">
      <c r="E136" s="1" t="s">
        <v>142</v>
      </c>
      <c r="F136" s="1"/>
    </row>
    <row r="137" spans="4:30" ht="12.75" customHeight="1">
      <c r="F137" s="1"/>
    </row>
    <row r="138" spans="4:30" ht="12.75" customHeight="1">
      <c r="D138" s="8" t="s">
        <v>143</v>
      </c>
      <c r="E138" s="8" t="s">
        <v>144</v>
      </c>
      <c r="F138" s="8"/>
      <c r="G138" s="8"/>
      <c r="H138" s="8"/>
    </row>
    <row r="139" spans="4:30" ht="12.75" customHeight="1">
      <c r="E139" s="32" t="s">
        <v>39</v>
      </c>
      <c r="F139" s="32" t="s">
        <v>145</v>
      </c>
    </row>
    <row r="140" spans="4:30" ht="12.75" customHeight="1">
      <c r="E140" s="32" t="s">
        <v>56</v>
      </c>
      <c r="F140" s="32" t="s">
        <v>146</v>
      </c>
    </row>
    <row r="141" spans="4:30" ht="12.75" customHeight="1"/>
    <row r="142" spans="4:30" ht="12.75" customHeight="1">
      <c r="D142" s="8" t="s">
        <v>147</v>
      </c>
      <c r="E142" s="8" t="s">
        <v>148</v>
      </c>
    </row>
    <row r="143" spans="4:30" ht="12.75" customHeight="1">
      <c r="E143" s="1" t="s">
        <v>149</v>
      </c>
      <c r="F143" s="1"/>
    </row>
    <row r="144" spans="4:30" ht="12.75" customHeight="1"/>
    <row r="145" spans="3:7" ht="12.75" customHeight="1">
      <c r="C145" s="8" t="s">
        <v>150</v>
      </c>
      <c r="G145" s="8" t="s">
        <v>151</v>
      </c>
    </row>
    <row r="146" spans="3:7" ht="12.75" customHeight="1">
      <c r="D146" s="8" t="s">
        <v>12</v>
      </c>
      <c r="E146" s="8" t="s">
        <v>152</v>
      </c>
    </row>
    <row r="147" spans="3:7" ht="12.75" customHeight="1">
      <c r="E147" s="32" t="s">
        <v>153</v>
      </c>
    </row>
    <row r="148" spans="3:7" ht="12.75" customHeight="1"/>
    <row r="149" spans="3:7" ht="12.75" customHeight="1">
      <c r="D149" s="8" t="s">
        <v>37</v>
      </c>
      <c r="E149" s="8" t="s">
        <v>154</v>
      </c>
      <c r="F149" s="8"/>
    </row>
    <row r="150" spans="3:7" ht="12.75" customHeight="1">
      <c r="E150" s="1" t="s">
        <v>155</v>
      </c>
      <c r="F150" s="1"/>
    </row>
    <row r="151" spans="3:7" ht="12.75" customHeight="1"/>
    <row r="152" spans="3:7" ht="12.75" customHeight="1">
      <c r="D152" s="8" t="s">
        <v>133</v>
      </c>
      <c r="E152" s="8" t="s">
        <v>156</v>
      </c>
    </row>
    <row r="153" spans="3:7" ht="12.75" customHeight="1">
      <c r="E153" s="1" t="s">
        <v>157</v>
      </c>
    </row>
    <row r="154" spans="3:7" ht="12.75" customHeight="1">
      <c r="E154" s="1" t="s">
        <v>158</v>
      </c>
      <c r="G154" s="1"/>
    </row>
    <row r="155" spans="3:7" ht="12.75" customHeight="1"/>
    <row r="156" spans="3:7" ht="12.75" customHeight="1">
      <c r="D156" s="8" t="s">
        <v>139</v>
      </c>
      <c r="E156" s="8" t="s">
        <v>159</v>
      </c>
    </row>
    <row r="157" spans="3:7" ht="12.75" customHeight="1">
      <c r="E157" s="32" t="s">
        <v>39</v>
      </c>
      <c r="F157" s="1" t="s">
        <v>160</v>
      </c>
    </row>
    <row r="158" spans="3:7" ht="12.75" customHeight="1">
      <c r="E158" s="1" t="s">
        <v>56</v>
      </c>
      <c r="F158" s="1" t="s">
        <v>161</v>
      </c>
    </row>
    <row r="159" spans="3:7" ht="12.75" customHeight="1">
      <c r="E159" s="1" t="s">
        <v>67</v>
      </c>
      <c r="F159" s="32" t="s">
        <v>162</v>
      </c>
    </row>
    <row r="160" spans="3:7" ht="12.75" customHeight="1"/>
    <row r="161" spans="3:20" ht="12.75" customHeight="1">
      <c r="D161" s="8" t="s">
        <v>143</v>
      </c>
      <c r="E161" s="8" t="s">
        <v>163</v>
      </c>
    </row>
    <row r="162" spans="3:20" ht="12.75" customHeight="1">
      <c r="E162" s="1" t="s">
        <v>164</v>
      </c>
      <c r="F162" s="1"/>
    </row>
    <row r="163" spans="3:20" ht="12.75" customHeight="1"/>
    <row r="164" spans="3:20" ht="12.75" customHeight="1">
      <c r="D164" s="8" t="s">
        <v>147</v>
      </c>
      <c r="E164" s="8" t="s">
        <v>165</v>
      </c>
    </row>
    <row r="165" spans="3:20" ht="12.75" customHeight="1">
      <c r="E165" s="1" t="s">
        <v>166</v>
      </c>
    </row>
    <row r="166" spans="3:20" ht="12.75" customHeight="1">
      <c r="E166" s="1" t="s">
        <v>167</v>
      </c>
    </row>
    <row r="167" spans="3:20" ht="12.75" customHeight="1"/>
    <row r="168" spans="3:20" ht="12.75" customHeight="1">
      <c r="D168" s="8" t="s">
        <v>168</v>
      </c>
      <c r="E168" s="8" t="s">
        <v>169</v>
      </c>
    </row>
    <row r="169" spans="3:20" ht="12.75" customHeight="1">
      <c r="E169" s="32" t="s">
        <v>39</v>
      </c>
      <c r="F169" s="32" t="s">
        <v>170</v>
      </c>
    </row>
    <row r="170" spans="3:20" ht="12.75" customHeight="1">
      <c r="E170" s="32" t="s">
        <v>56</v>
      </c>
      <c r="F170" s="32" t="s">
        <v>171</v>
      </c>
    </row>
    <row r="171" spans="3:20" ht="12.75" customHeight="1">
      <c r="F171" s="1"/>
    </row>
    <row r="172" spans="3:20" ht="12.75" customHeight="1">
      <c r="C172" s="8" t="s">
        <v>172</v>
      </c>
      <c r="E172" s="1"/>
      <c r="G172" s="8" t="s">
        <v>173</v>
      </c>
    </row>
    <row r="173" spans="3:20" ht="12.75" customHeight="1">
      <c r="E173" s="1" t="s">
        <v>174</v>
      </c>
      <c r="F173" s="1"/>
      <c r="I173" s="1"/>
      <c r="J173" s="1"/>
      <c r="K173" s="1"/>
      <c r="L173" s="1"/>
      <c r="M173" s="1"/>
      <c r="N173" s="1"/>
      <c r="O173" s="1"/>
      <c r="P173" s="1"/>
      <c r="Q173" s="1"/>
      <c r="R173" s="1"/>
      <c r="S173" s="1"/>
      <c r="T173" s="1"/>
    </row>
    <row r="174" spans="3:20" ht="12.75" customHeight="1">
      <c r="F174" s="1"/>
      <c r="H174" s="1"/>
      <c r="I174" s="1"/>
      <c r="J174" s="1"/>
      <c r="K174" s="1"/>
      <c r="L174" s="1"/>
      <c r="M174" s="1"/>
      <c r="N174" s="1"/>
      <c r="O174" s="1"/>
      <c r="P174" s="1"/>
      <c r="Q174" s="1"/>
      <c r="R174" s="1"/>
      <c r="S174" s="1"/>
      <c r="T174" s="1"/>
    </row>
    <row r="175" spans="3:20" ht="12.75" customHeight="1">
      <c r="C175" s="8" t="s">
        <v>176</v>
      </c>
      <c r="D175" s="8"/>
      <c r="F175" s="1"/>
      <c r="G175" s="8" t="s">
        <v>132</v>
      </c>
    </row>
    <row r="176" spans="3:20" ht="12.75" customHeight="1">
      <c r="D176" s="8" t="s">
        <v>12</v>
      </c>
      <c r="E176" s="8" t="s">
        <v>177</v>
      </c>
      <c r="G176" s="1"/>
      <c r="H176" s="1"/>
      <c r="I176" s="1"/>
      <c r="J176" s="1"/>
      <c r="K176" s="1"/>
      <c r="L176" s="1"/>
      <c r="M176" s="1"/>
      <c r="N176" s="1"/>
    </row>
    <row r="177" spans="2:19" ht="12.75" customHeight="1">
      <c r="E177" s="32" t="s">
        <v>39</v>
      </c>
      <c r="F177" s="1" t="s">
        <v>178</v>
      </c>
    </row>
    <row r="178" spans="2:19" ht="12.75" customHeight="1">
      <c r="F178" s="24" t="s">
        <v>179</v>
      </c>
      <c r="I178" s="24"/>
    </row>
    <row r="179" spans="2:19" ht="12.75" customHeight="1">
      <c r="I179" s="24"/>
    </row>
    <row r="180" spans="2:19" ht="12.75" customHeight="1">
      <c r="B180" s="1"/>
      <c r="C180" s="1"/>
      <c r="E180" s="32" t="s">
        <v>56</v>
      </c>
      <c r="F180" s="1" t="s">
        <v>180</v>
      </c>
      <c r="H180" s="1"/>
    </row>
    <row r="181" spans="2:19" ht="12.75" customHeight="1">
      <c r="B181" s="1"/>
      <c r="C181" s="1"/>
      <c r="F181" s="32" t="s">
        <v>41</v>
      </c>
      <c r="G181" s="32" t="s">
        <v>181</v>
      </c>
      <c r="H181" s="1"/>
      <c r="O181" s="1"/>
      <c r="P181" s="1"/>
      <c r="Q181" s="1"/>
      <c r="R181" s="1"/>
      <c r="S181" s="1"/>
    </row>
    <row r="182" spans="2:19" ht="12.75" customHeight="1">
      <c r="B182" s="1"/>
      <c r="C182" s="1"/>
      <c r="H182" s="1"/>
      <c r="O182" s="1"/>
      <c r="P182" s="1"/>
      <c r="Q182" s="1"/>
      <c r="R182" s="1"/>
      <c r="S182" s="1"/>
    </row>
    <row r="183" spans="2:19" ht="12.75" customHeight="1">
      <c r="D183" s="8" t="s">
        <v>37</v>
      </c>
      <c r="E183" s="8" t="s">
        <v>183</v>
      </c>
    </row>
    <row r="184" spans="2:19" ht="12.75" customHeight="1">
      <c r="B184" s="1"/>
      <c r="C184" s="1"/>
      <c r="E184" s="1" t="s">
        <v>184</v>
      </c>
      <c r="F184" s="1"/>
      <c r="I184" s="1"/>
    </row>
    <row r="185" spans="2:19" ht="12.75" customHeight="1">
      <c r="B185" s="1"/>
      <c r="C185" s="1"/>
      <c r="E185" s="1" t="s">
        <v>185</v>
      </c>
      <c r="F185" s="24"/>
      <c r="G185" s="1"/>
      <c r="I185" s="24"/>
    </row>
    <row r="186" spans="2:19" ht="12.75" customHeight="1">
      <c r="B186" s="1"/>
      <c r="C186" s="1"/>
      <c r="F186" s="24"/>
      <c r="G186" s="1"/>
      <c r="I186" s="24"/>
    </row>
    <row r="187" spans="2:19" ht="12.75" customHeight="1">
      <c r="B187" s="1"/>
      <c r="C187" s="1"/>
      <c r="D187" s="8" t="s">
        <v>133</v>
      </c>
      <c r="E187" s="8" t="s">
        <v>186</v>
      </c>
      <c r="F187" s="24"/>
      <c r="G187" s="1"/>
      <c r="I187" s="24"/>
    </row>
    <row r="188" spans="2:19" ht="12.75" customHeight="1">
      <c r="B188" s="1"/>
      <c r="C188" s="1"/>
      <c r="D188" s="8"/>
      <c r="E188" s="1" t="s">
        <v>187</v>
      </c>
      <c r="F188" s="1"/>
      <c r="G188" s="1"/>
      <c r="I188" s="24"/>
    </row>
    <row r="189" spans="2:19" ht="12.75" customHeight="1">
      <c r="B189" s="1"/>
      <c r="C189" s="1"/>
      <c r="F189" s="24"/>
      <c r="G189" s="1"/>
      <c r="I189" s="24"/>
    </row>
    <row r="190" spans="2:19" ht="12.75" customHeight="1">
      <c r="D190" s="8" t="s">
        <v>139</v>
      </c>
      <c r="E190" s="8" t="s">
        <v>188</v>
      </c>
    </row>
    <row r="191" spans="2:19" ht="12.75" customHeight="1">
      <c r="B191" s="1"/>
      <c r="C191" s="8"/>
      <c r="E191" s="32" t="s">
        <v>39</v>
      </c>
      <c r="F191" s="1" t="s">
        <v>189</v>
      </c>
      <c r="G191" s="1"/>
      <c r="H191" s="1"/>
      <c r="I191" s="1"/>
    </row>
    <row r="192" spans="2:19" ht="12.75" customHeight="1">
      <c r="B192" s="1"/>
      <c r="C192" s="8"/>
      <c r="F192" s="1" t="s">
        <v>41</v>
      </c>
      <c r="G192" s="1" t="s">
        <v>190</v>
      </c>
    </row>
    <row r="193" spans="2:30" ht="12.75" customHeight="1">
      <c r="B193" s="1"/>
      <c r="C193" s="1"/>
      <c r="F193" s="1" t="s">
        <v>46</v>
      </c>
      <c r="G193" s="1" t="s">
        <v>191</v>
      </c>
      <c r="I193" s="1"/>
      <c r="J193" s="1"/>
      <c r="M193" s="1"/>
      <c r="N193" s="1"/>
      <c r="O193" s="1"/>
      <c r="P193" s="1"/>
      <c r="Q193" s="1"/>
      <c r="R193" s="1"/>
      <c r="S193" s="1"/>
    </row>
    <row r="194" spans="2:30" ht="12.75" customHeight="1">
      <c r="B194" s="1"/>
      <c r="C194" s="1"/>
      <c r="F194" s="1" t="s">
        <v>53</v>
      </c>
      <c r="G194" s="1" t="s">
        <v>192</v>
      </c>
      <c r="I194" s="1"/>
      <c r="J194" s="1"/>
      <c r="M194" s="1"/>
      <c r="N194" s="1"/>
      <c r="O194" s="1"/>
      <c r="P194" s="1"/>
      <c r="Q194" s="1"/>
      <c r="R194" s="1"/>
      <c r="S194" s="1"/>
    </row>
    <row r="195" spans="2:30" ht="12.75" customHeight="1">
      <c r="B195" s="1"/>
      <c r="C195" s="1"/>
      <c r="F195" s="1"/>
      <c r="G195" s="1"/>
      <c r="I195" s="1"/>
      <c r="J195" s="1"/>
      <c r="M195" s="1"/>
      <c r="N195" s="1"/>
      <c r="O195" s="1"/>
      <c r="P195" s="1"/>
      <c r="Q195" s="1"/>
      <c r="R195" s="1"/>
      <c r="S195" s="1"/>
    </row>
    <row r="196" spans="2:30" ht="12.75" customHeight="1">
      <c r="B196" s="1"/>
      <c r="C196" s="1"/>
      <c r="D196" s="8" t="s">
        <v>143</v>
      </c>
      <c r="E196" s="8" t="s">
        <v>194</v>
      </c>
      <c r="G196" s="1"/>
      <c r="H196" s="1"/>
      <c r="I196" s="1"/>
      <c r="J196" s="1"/>
      <c r="M196" s="1"/>
      <c r="N196" s="1"/>
      <c r="O196" s="1"/>
      <c r="P196" s="1"/>
      <c r="Q196" s="1"/>
      <c r="R196" s="1"/>
      <c r="S196" s="1"/>
    </row>
    <row r="197" spans="2:30" ht="12.75" customHeight="1">
      <c r="B197" s="1"/>
      <c r="C197" s="1"/>
      <c r="D197" s="1"/>
      <c r="E197" s="1" t="s">
        <v>195</v>
      </c>
      <c r="F197" s="1"/>
      <c r="G197" s="1"/>
      <c r="H197" s="1"/>
      <c r="I197" s="1"/>
      <c r="J197" s="1"/>
      <c r="M197" s="1"/>
      <c r="N197" s="1"/>
      <c r="O197" s="1"/>
      <c r="P197" s="1"/>
      <c r="Q197" s="1"/>
      <c r="R197" s="1"/>
      <c r="S197" s="1"/>
    </row>
    <row r="198" spans="2:30" ht="12.75" customHeight="1">
      <c r="B198" s="1"/>
      <c r="C198" s="1"/>
      <c r="D198" s="1"/>
      <c r="F198" s="1"/>
      <c r="G198" s="1"/>
      <c r="H198" s="1"/>
      <c r="I198" s="1"/>
      <c r="J198" s="1"/>
      <c r="M198" s="1"/>
      <c r="N198" s="1"/>
      <c r="O198" s="1"/>
      <c r="P198" s="1"/>
      <c r="Q198" s="1"/>
      <c r="R198" s="1"/>
      <c r="S198" s="1"/>
    </row>
    <row r="199" spans="2:30" ht="12.75" customHeight="1">
      <c r="B199" s="1"/>
      <c r="C199" s="1"/>
      <c r="D199" s="8" t="s">
        <v>147</v>
      </c>
      <c r="E199" s="8" t="s">
        <v>196</v>
      </c>
      <c r="G199" s="1"/>
      <c r="H199" s="1"/>
      <c r="I199" s="1"/>
      <c r="J199" s="1"/>
      <c r="M199" s="1"/>
      <c r="N199" s="1"/>
      <c r="O199" s="1"/>
      <c r="P199" s="1"/>
      <c r="Q199" s="1"/>
      <c r="R199" s="1"/>
      <c r="S199" s="1"/>
    </row>
    <row r="200" spans="2:30" ht="12.75" customHeight="1">
      <c r="B200" s="1"/>
      <c r="C200" s="1"/>
      <c r="D200" s="8"/>
      <c r="E200" s="1" t="s">
        <v>39</v>
      </c>
      <c r="F200" s="1" t="s">
        <v>197</v>
      </c>
      <c r="M200" s="1"/>
      <c r="N200" s="1"/>
      <c r="O200" s="1"/>
      <c r="P200" s="1"/>
      <c r="Q200" s="1"/>
      <c r="R200" s="1"/>
      <c r="S200" s="1"/>
    </row>
    <row r="201" spans="2:30" ht="12.75" customHeight="1">
      <c r="B201" s="1"/>
      <c r="C201" s="1"/>
      <c r="D201" s="8"/>
      <c r="E201" s="1" t="s">
        <v>56</v>
      </c>
      <c r="F201" s="1" t="s">
        <v>198</v>
      </c>
      <c r="I201" s="1"/>
      <c r="J201" s="1"/>
      <c r="M201" s="1"/>
      <c r="N201" s="1"/>
      <c r="O201" s="1"/>
      <c r="P201" s="1"/>
      <c r="Q201" s="1"/>
      <c r="R201" s="1"/>
      <c r="S201" s="1"/>
      <c r="T201" s="1"/>
      <c r="U201" s="1"/>
      <c r="V201" s="1"/>
      <c r="W201" s="1"/>
      <c r="X201" s="1"/>
      <c r="Y201" s="1"/>
      <c r="Z201" s="1"/>
      <c r="AA201" s="1"/>
      <c r="AB201" s="1"/>
      <c r="AC201" s="1"/>
      <c r="AD201" s="1"/>
    </row>
    <row r="202" spans="2:30" ht="12.75" customHeight="1">
      <c r="B202" s="1"/>
      <c r="C202" s="1"/>
      <c r="D202" s="8"/>
      <c r="E202" s="1" t="s">
        <v>67</v>
      </c>
      <c r="F202" s="1" t="s">
        <v>200</v>
      </c>
      <c r="I202" s="1"/>
      <c r="J202" s="1"/>
      <c r="M202" s="1"/>
      <c r="N202" s="1"/>
      <c r="O202" s="1"/>
      <c r="P202" s="1"/>
      <c r="Q202" s="1"/>
      <c r="R202" s="1"/>
      <c r="S202" s="1"/>
      <c r="T202" s="1"/>
      <c r="U202" s="1"/>
      <c r="V202" s="1"/>
      <c r="W202" s="1"/>
      <c r="X202" s="1"/>
      <c r="Y202" s="1"/>
      <c r="Z202" s="1"/>
      <c r="AA202" s="1"/>
      <c r="AB202" s="1"/>
      <c r="AC202" s="1"/>
      <c r="AD202" s="1"/>
    </row>
    <row r="203" spans="2:30" ht="12.75" customHeight="1">
      <c r="B203" s="1"/>
      <c r="C203" s="1"/>
      <c r="F203" s="1" t="s">
        <v>41</v>
      </c>
      <c r="G203" s="1" t="s">
        <v>201</v>
      </c>
      <c r="I203" s="1"/>
      <c r="J203" s="1"/>
      <c r="M203" s="1"/>
      <c r="N203" s="1"/>
      <c r="O203" s="1"/>
      <c r="P203" s="1"/>
      <c r="Q203" s="1"/>
      <c r="R203" s="1"/>
      <c r="S203" s="1"/>
      <c r="T203" s="1"/>
      <c r="U203" s="1"/>
      <c r="V203" s="1"/>
      <c r="W203" s="1"/>
      <c r="X203" s="1"/>
      <c r="Y203" s="1"/>
    </row>
    <row r="204" spans="2:30" ht="12.75" customHeight="1">
      <c r="B204" s="1"/>
      <c r="C204" s="1"/>
      <c r="D204" s="8"/>
      <c r="E204" s="1" t="s">
        <v>119</v>
      </c>
      <c r="F204" s="1" t="s">
        <v>202</v>
      </c>
      <c r="M204" s="1"/>
      <c r="N204" s="1"/>
      <c r="O204" s="1"/>
      <c r="P204" s="1"/>
      <c r="Q204" s="1"/>
      <c r="R204" s="1"/>
      <c r="S204" s="1"/>
    </row>
    <row r="205" spans="2:30" ht="12.75" customHeight="1">
      <c r="B205" s="1"/>
      <c r="C205" s="1"/>
      <c r="D205" s="8"/>
      <c r="F205" s="32" t="s">
        <v>41</v>
      </c>
      <c r="G205" s="895" t="s">
        <v>203</v>
      </c>
      <c r="H205" s="893"/>
      <c r="I205" s="893"/>
      <c r="J205" s="893"/>
      <c r="K205" s="893"/>
      <c r="L205" s="893"/>
      <c r="M205" s="893"/>
      <c r="N205" s="893"/>
      <c r="O205" s="893"/>
      <c r="P205" s="893"/>
      <c r="Q205" s="893"/>
      <c r="R205" s="893"/>
      <c r="S205" s="893"/>
      <c r="T205" s="893"/>
      <c r="U205" s="893"/>
      <c r="V205" s="893"/>
      <c r="W205" s="893"/>
      <c r="X205" s="893"/>
      <c r="Y205" s="893"/>
      <c r="Z205" s="893"/>
      <c r="AA205" s="893"/>
      <c r="AB205" s="893"/>
      <c r="AC205" s="893"/>
      <c r="AD205" s="893"/>
    </row>
    <row r="206" spans="2:30" ht="12.75" customHeight="1">
      <c r="B206" s="1"/>
      <c r="C206" s="1"/>
      <c r="D206" s="8"/>
      <c r="G206" s="893"/>
      <c r="H206" s="893"/>
      <c r="I206" s="893"/>
      <c r="J206" s="893"/>
      <c r="K206" s="893"/>
      <c r="L206" s="893"/>
      <c r="M206" s="893"/>
      <c r="N206" s="893"/>
      <c r="O206" s="893"/>
      <c r="P206" s="893"/>
      <c r="Q206" s="893"/>
      <c r="R206" s="893"/>
      <c r="S206" s="893"/>
      <c r="T206" s="893"/>
      <c r="U206" s="893"/>
      <c r="V206" s="893"/>
      <c r="W206" s="893"/>
      <c r="X206" s="893"/>
      <c r="Y206" s="893"/>
      <c r="Z206" s="893"/>
      <c r="AA206" s="893"/>
      <c r="AB206" s="893"/>
      <c r="AC206" s="893"/>
      <c r="AD206" s="893"/>
    </row>
    <row r="207" spans="2:30" ht="12.75" customHeight="1">
      <c r="B207" s="1"/>
      <c r="C207" s="1"/>
      <c r="D207" s="8"/>
      <c r="M207" s="1"/>
      <c r="N207" s="1"/>
      <c r="O207" s="1"/>
      <c r="P207" s="1"/>
      <c r="Q207" s="1"/>
      <c r="R207" s="1"/>
      <c r="S207" s="1"/>
    </row>
    <row r="208" spans="2:30" ht="12.75" customHeight="1">
      <c r="B208" s="1"/>
      <c r="C208" s="1"/>
      <c r="D208" s="8" t="s">
        <v>168</v>
      </c>
      <c r="E208" s="8" t="s">
        <v>205</v>
      </c>
      <c r="G208" s="1"/>
      <c r="H208" s="1"/>
      <c r="I208" s="1"/>
      <c r="J208" s="1"/>
      <c r="M208" s="1"/>
      <c r="N208" s="1"/>
      <c r="O208" s="1"/>
      <c r="P208" s="1"/>
      <c r="Q208" s="1"/>
      <c r="R208" s="1"/>
      <c r="S208" s="1"/>
      <c r="T208" s="1"/>
      <c r="U208" s="1"/>
      <c r="V208" s="1"/>
      <c r="W208" s="1"/>
    </row>
    <row r="209" spans="1:30" ht="12.75" customHeight="1">
      <c r="B209" s="1"/>
      <c r="C209" s="1"/>
      <c r="E209" s="1" t="s">
        <v>206</v>
      </c>
      <c r="F209" s="1"/>
      <c r="I209" s="1"/>
      <c r="J209" s="1"/>
      <c r="M209" s="1"/>
      <c r="N209" s="1"/>
      <c r="O209" s="1"/>
      <c r="P209" s="1"/>
      <c r="Q209" s="1"/>
      <c r="R209" s="1"/>
      <c r="S209" s="1"/>
      <c r="T209" s="1"/>
      <c r="U209" s="1"/>
      <c r="V209" s="1"/>
      <c r="W209" s="1"/>
    </row>
    <row r="210" spans="1:30" ht="12.75" customHeight="1">
      <c r="B210" s="1"/>
      <c r="C210" s="1"/>
      <c r="F210" s="1"/>
      <c r="G210" s="1"/>
      <c r="I210" s="1"/>
      <c r="J210" s="1"/>
      <c r="M210" s="1"/>
      <c r="N210" s="1"/>
      <c r="O210" s="1"/>
      <c r="P210" s="1"/>
      <c r="Q210" s="1"/>
      <c r="R210" s="1"/>
      <c r="S210" s="1"/>
      <c r="T210" s="1"/>
      <c r="U210" s="1"/>
      <c r="V210" s="1"/>
      <c r="W210" s="1"/>
    </row>
    <row r="211" spans="1:30" ht="12.75" customHeight="1">
      <c r="B211" s="1"/>
      <c r="C211" s="1"/>
      <c r="D211" s="8" t="s">
        <v>207</v>
      </c>
      <c r="E211" s="8" t="s">
        <v>208</v>
      </c>
      <c r="F211" s="1"/>
      <c r="G211" s="1"/>
      <c r="I211" s="1"/>
      <c r="J211" s="1"/>
      <c r="M211" s="1"/>
      <c r="N211" s="1"/>
      <c r="O211" s="1"/>
      <c r="P211" s="1"/>
      <c r="Q211" s="1"/>
      <c r="R211" s="1"/>
      <c r="S211" s="1"/>
      <c r="T211" s="1"/>
      <c r="U211" s="1"/>
      <c r="V211" s="1"/>
      <c r="W211" s="1"/>
    </row>
    <row r="212" spans="1:30" ht="12.75" customHeight="1">
      <c r="B212" s="1"/>
      <c r="C212" s="1"/>
      <c r="D212" s="8"/>
      <c r="E212" s="1" t="s">
        <v>187</v>
      </c>
      <c r="F212" s="1"/>
      <c r="G212" s="1"/>
      <c r="I212" s="1"/>
      <c r="J212" s="1"/>
      <c r="M212" s="1"/>
      <c r="N212" s="1"/>
      <c r="O212" s="1"/>
      <c r="P212" s="1"/>
      <c r="Q212" s="1"/>
      <c r="R212" s="1"/>
      <c r="S212" s="1"/>
      <c r="T212" s="1"/>
      <c r="U212" s="1"/>
      <c r="V212" s="1"/>
      <c r="W212" s="1"/>
    </row>
    <row r="213" spans="1:30" ht="12.75" customHeight="1">
      <c r="B213" s="1"/>
      <c r="C213" s="1"/>
      <c r="D213" s="8"/>
      <c r="M213" s="1"/>
      <c r="N213" s="1"/>
      <c r="O213" s="1"/>
      <c r="P213" s="1"/>
      <c r="Q213" s="1"/>
      <c r="R213" s="1"/>
      <c r="S213" s="1"/>
    </row>
    <row r="214" spans="1:30" ht="12.75" customHeight="1">
      <c r="C214" s="8" t="s">
        <v>210</v>
      </c>
      <c r="D214" s="8"/>
      <c r="G214" s="8" t="s">
        <v>211</v>
      </c>
      <c r="M214" s="1"/>
      <c r="N214" s="1"/>
      <c r="O214" s="1"/>
      <c r="P214" s="1"/>
      <c r="Q214" s="1"/>
      <c r="R214" s="1"/>
      <c r="S214" s="1"/>
    </row>
    <row r="215" spans="1:30" ht="12.75" customHeight="1">
      <c r="B215" s="1"/>
      <c r="C215" s="1"/>
      <c r="E215" s="32" t="s">
        <v>39</v>
      </c>
      <c r="F215" s="1" t="s">
        <v>212</v>
      </c>
      <c r="G215" s="1"/>
      <c r="H215" s="1"/>
      <c r="I215" s="1"/>
      <c r="L215" s="1"/>
      <c r="N215" s="1"/>
      <c r="O215" s="1"/>
      <c r="P215" s="1"/>
      <c r="Q215" s="1"/>
      <c r="R215" s="1"/>
      <c r="S215" s="1"/>
    </row>
    <row r="216" spans="1:30" ht="12.75" customHeight="1">
      <c r="B216" s="1"/>
      <c r="C216" s="1"/>
      <c r="F216" s="1" t="s">
        <v>41</v>
      </c>
      <c r="G216" s="1" t="s">
        <v>213</v>
      </c>
      <c r="I216" s="1"/>
      <c r="M216" s="1"/>
      <c r="N216" s="1"/>
      <c r="O216" s="1"/>
      <c r="P216" s="1"/>
      <c r="Q216" s="1"/>
      <c r="R216" s="1"/>
      <c r="S216" s="1"/>
    </row>
    <row r="217" spans="1:30" ht="12.75" customHeight="1">
      <c r="B217" s="1"/>
      <c r="C217" s="1"/>
      <c r="E217" s="32" t="s">
        <v>56</v>
      </c>
      <c r="F217" s="1" t="s">
        <v>214</v>
      </c>
      <c r="G217" s="1"/>
      <c r="H217" s="1"/>
      <c r="I217" s="1"/>
      <c r="M217" s="1"/>
      <c r="N217" s="1"/>
      <c r="O217" s="1"/>
      <c r="P217" s="1"/>
      <c r="Q217" s="1"/>
      <c r="R217" s="1"/>
      <c r="S217" s="1"/>
    </row>
    <row r="218" spans="1:30" ht="12.75" customHeight="1">
      <c r="B218" s="1"/>
      <c r="C218" s="1"/>
      <c r="F218" s="1" t="s">
        <v>41</v>
      </c>
      <c r="G218" s="1" t="s">
        <v>215</v>
      </c>
      <c r="I218" s="1"/>
      <c r="M218" s="1"/>
      <c r="N218" s="1"/>
      <c r="O218" s="1"/>
      <c r="P218" s="1"/>
      <c r="Q218" s="1"/>
      <c r="R218" s="1"/>
      <c r="S218" s="1"/>
    </row>
    <row r="219" spans="1:30" ht="12.75" customHeight="1">
      <c r="B219" s="1"/>
      <c r="C219" s="1"/>
      <c r="F219" s="1"/>
      <c r="G219" s="1" t="s">
        <v>216</v>
      </c>
      <c r="I219" s="1"/>
      <c r="M219" s="1"/>
      <c r="N219" s="1"/>
      <c r="O219" s="1"/>
      <c r="P219" s="1"/>
      <c r="Q219" s="1"/>
      <c r="R219" s="1"/>
      <c r="S219" s="1"/>
    </row>
    <row r="220" spans="1:30" ht="12.75" customHeight="1">
      <c r="B220" s="1"/>
      <c r="C220" s="1"/>
      <c r="F220" s="1"/>
      <c r="K220" s="1"/>
      <c r="M220" s="1"/>
      <c r="N220" s="1"/>
      <c r="O220" s="1"/>
      <c r="P220" s="1"/>
      <c r="Q220" s="1"/>
      <c r="R220" s="1"/>
      <c r="S220" s="1"/>
    </row>
    <row r="221" spans="1:30" ht="12.75" customHeight="1">
      <c r="A221" s="5"/>
      <c r="B221" s="6" t="s">
        <v>217</v>
      </c>
      <c r="C221" s="6" t="s">
        <v>218</v>
      </c>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row>
    <row r="222" spans="1:30" ht="12.75" customHeight="1">
      <c r="B222" s="8"/>
      <c r="D222" s="8"/>
      <c r="E222" s="1"/>
      <c r="F222" s="1"/>
      <c r="G222" s="1"/>
      <c r="H222" s="1"/>
      <c r="I222" s="1"/>
      <c r="J222" s="1"/>
      <c r="L222" s="1"/>
      <c r="M222" s="1"/>
      <c r="N222" s="1"/>
      <c r="O222" s="1"/>
      <c r="P222" s="1"/>
      <c r="Q222" s="1"/>
      <c r="R222" s="1"/>
      <c r="S222" s="1"/>
    </row>
    <row r="223" spans="1:30" ht="12.75" customHeight="1">
      <c r="B223" s="1"/>
      <c r="C223" s="8" t="s">
        <v>107</v>
      </c>
      <c r="D223" s="1"/>
      <c r="E223" s="1"/>
      <c r="F223" s="1"/>
      <c r="G223" s="8" t="s">
        <v>219</v>
      </c>
      <c r="I223" s="1"/>
      <c r="J223" s="1"/>
      <c r="K223" s="1"/>
      <c r="M223" s="1"/>
      <c r="N223" s="1"/>
      <c r="O223" s="1"/>
      <c r="P223" s="1"/>
      <c r="Q223" s="1"/>
      <c r="R223" s="1"/>
      <c r="S223" s="1"/>
    </row>
    <row r="224" spans="1:30" ht="12.75" customHeight="1">
      <c r="B224" s="8"/>
      <c r="E224" s="1" t="s">
        <v>39</v>
      </c>
      <c r="F224" s="1" t="s">
        <v>220</v>
      </c>
      <c r="G224" s="1"/>
      <c r="I224" s="1"/>
      <c r="J224" s="1"/>
      <c r="K224" s="1"/>
      <c r="L224" s="1"/>
      <c r="M224" s="1"/>
      <c r="N224" s="1"/>
      <c r="O224" s="1"/>
      <c r="P224" s="1"/>
      <c r="Q224" s="1"/>
      <c r="R224" s="1"/>
      <c r="S224" s="1"/>
    </row>
    <row r="225" spans="2:19" ht="12.75" customHeight="1">
      <c r="B225" s="8"/>
      <c r="E225" s="1" t="s">
        <v>56</v>
      </c>
      <c r="F225" s="1" t="s">
        <v>221</v>
      </c>
      <c r="G225" s="1"/>
      <c r="I225" s="1"/>
      <c r="J225" s="1"/>
      <c r="K225" s="1"/>
      <c r="L225" s="1"/>
      <c r="M225" s="1"/>
      <c r="N225" s="1"/>
      <c r="O225" s="1"/>
      <c r="P225" s="1"/>
      <c r="Q225" s="1"/>
      <c r="R225" s="1"/>
      <c r="S225" s="1"/>
    </row>
    <row r="226" spans="2:19" ht="12.75" customHeight="1">
      <c r="B226" s="8"/>
      <c r="E226" s="1"/>
      <c r="F226" s="1"/>
      <c r="G226" s="1"/>
      <c r="H226" s="1"/>
      <c r="I226" s="1"/>
      <c r="J226" s="1"/>
      <c r="K226" s="1"/>
      <c r="L226" s="1"/>
      <c r="M226" s="1"/>
      <c r="N226" s="1"/>
      <c r="O226" s="1"/>
      <c r="P226" s="1"/>
      <c r="Q226" s="1"/>
      <c r="R226" s="1"/>
      <c r="S226" s="1"/>
    </row>
    <row r="227" spans="2:19" ht="12.75" customHeight="1">
      <c r="B227" s="8"/>
      <c r="C227" s="8" t="s">
        <v>127</v>
      </c>
      <c r="D227" s="1"/>
      <c r="E227" s="1"/>
      <c r="F227" s="1"/>
      <c r="G227" s="8" t="s">
        <v>222</v>
      </c>
      <c r="I227" s="1"/>
      <c r="J227" s="1"/>
      <c r="K227" s="1"/>
      <c r="L227" s="1"/>
      <c r="M227" s="1"/>
      <c r="N227" s="1"/>
      <c r="O227" s="1"/>
      <c r="P227" s="1"/>
      <c r="Q227" s="1"/>
      <c r="R227" s="1"/>
      <c r="S227" s="1"/>
    </row>
    <row r="228" spans="2:19" ht="12.75" customHeight="1">
      <c r="B228" s="8"/>
      <c r="E228" s="1" t="s">
        <v>39</v>
      </c>
      <c r="F228" s="1" t="s">
        <v>223</v>
      </c>
      <c r="G228" s="1"/>
      <c r="I228" s="1"/>
      <c r="J228" s="1"/>
      <c r="K228" s="1"/>
      <c r="L228" s="1"/>
      <c r="M228" s="1"/>
      <c r="N228" s="1"/>
      <c r="O228" s="1"/>
      <c r="P228" s="1"/>
      <c r="Q228" s="1"/>
      <c r="R228" s="1"/>
      <c r="S228" s="1"/>
    </row>
    <row r="229" spans="2:19" ht="12.75" customHeight="1">
      <c r="B229" s="8"/>
      <c r="E229" s="1"/>
      <c r="F229" s="1" t="s">
        <v>224</v>
      </c>
      <c r="G229" s="1"/>
      <c r="H229" s="1"/>
      <c r="I229" s="1"/>
      <c r="J229" s="1"/>
      <c r="K229" s="1"/>
      <c r="L229" s="1"/>
      <c r="M229" s="1"/>
      <c r="N229" s="1"/>
      <c r="O229" s="1"/>
      <c r="P229" s="1"/>
      <c r="Q229" s="1"/>
      <c r="R229" s="1"/>
      <c r="S229" s="1"/>
    </row>
    <row r="230" spans="2:19" ht="12.75" customHeight="1">
      <c r="B230" s="8"/>
      <c r="D230" s="1"/>
      <c r="E230" s="1" t="s">
        <v>56</v>
      </c>
      <c r="F230" s="1" t="s">
        <v>221</v>
      </c>
      <c r="G230" s="1"/>
      <c r="I230" s="1"/>
      <c r="J230" s="1"/>
      <c r="K230" s="1"/>
      <c r="L230" s="1"/>
      <c r="M230" s="1"/>
      <c r="N230" s="1"/>
      <c r="O230" s="1"/>
      <c r="P230" s="1"/>
      <c r="Q230" s="1"/>
      <c r="R230" s="1"/>
      <c r="S230" s="1"/>
    </row>
    <row r="231" spans="2:19" ht="12.75" customHeight="1">
      <c r="B231" s="8"/>
      <c r="E231" s="1" t="s">
        <v>67</v>
      </c>
      <c r="F231" s="38" t="s">
        <v>225</v>
      </c>
      <c r="G231" s="1"/>
      <c r="I231" s="1"/>
      <c r="J231" s="1"/>
      <c r="K231" s="1"/>
      <c r="L231" s="1"/>
      <c r="M231" s="1"/>
      <c r="N231" s="1"/>
      <c r="O231" s="1"/>
      <c r="P231" s="1"/>
      <c r="Q231" s="1"/>
      <c r="R231" s="1"/>
      <c r="S231" s="1"/>
    </row>
    <row r="232" spans="2:19" ht="12.75" customHeight="1">
      <c r="B232" s="8"/>
      <c r="D232" s="1"/>
      <c r="E232" s="1"/>
      <c r="F232" s="1"/>
      <c r="G232" s="1"/>
      <c r="H232" s="1"/>
      <c r="I232" s="1"/>
      <c r="J232" s="1"/>
      <c r="K232" s="1"/>
      <c r="L232" s="1"/>
      <c r="M232" s="1"/>
      <c r="N232" s="1"/>
      <c r="O232" s="1"/>
      <c r="P232" s="1"/>
      <c r="Q232" s="1"/>
      <c r="R232" s="1"/>
      <c r="S232" s="1"/>
    </row>
    <row r="233" spans="2:19" ht="12.75" customHeight="1">
      <c r="B233" s="1"/>
      <c r="C233" s="8"/>
      <c r="E233" s="8" t="s">
        <v>226</v>
      </c>
      <c r="F233" s="1"/>
      <c r="J233" s="1"/>
      <c r="K233" s="1"/>
      <c r="M233" s="1"/>
      <c r="N233" s="1"/>
      <c r="O233" s="1"/>
      <c r="P233" s="1"/>
      <c r="Q233" s="1"/>
      <c r="R233" s="1"/>
      <c r="S233" s="1"/>
    </row>
    <row r="234" spans="2:19" ht="12.75" customHeight="1">
      <c r="B234" s="1"/>
      <c r="C234" s="1"/>
      <c r="E234" s="32" t="s">
        <v>39</v>
      </c>
      <c r="F234" s="1" t="s">
        <v>226</v>
      </c>
      <c r="G234" s="8"/>
      <c r="H234" s="8"/>
      <c r="I234" s="8"/>
      <c r="L234" s="8"/>
      <c r="M234" s="8"/>
      <c r="N234" s="8"/>
      <c r="O234" s="8"/>
      <c r="P234" s="8"/>
      <c r="Q234" s="8"/>
      <c r="R234" s="1"/>
      <c r="S234" s="1"/>
    </row>
    <row r="235" spans="2:19" ht="12.75" customHeight="1">
      <c r="B235" s="1"/>
      <c r="C235" s="1"/>
      <c r="F235" s="1" t="s">
        <v>41</v>
      </c>
      <c r="G235" s="1" t="s">
        <v>227</v>
      </c>
      <c r="I235" s="1"/>
      <c r="M235" s="1"/>
      <c r="N235" s="1"/>
      <c r="O235" s="1"/>
      <c r="P235" s="1"/>
      <c r="Q235" s="1"/>
      <c r="R235" s="1"/>
      <c r="S235" s="1"/>
    </row>
    <row r="236" spans="2:19" ht="12.75" customHeight="1">
      <c r="B236" s="1"/>
      <c r="C236" s="1"/>
      <c r="F236" s="1"/>
      <c r="G236" s="1" t="s">
        <v>228</v>
      </c>
      <c r="I236" s="1"/>
      <c r="M236" s="1"/>
      <c r="N236" s="1"/>
      <c r="O236" s="1"/>
      <c r="P236" s="1"/>
      <c r="Q236" s="1"/>
      <c r="R236" s="1"/>
      <c r="S236" s="1"/>
    </row>
    <row r="237" spans="2:19" ht="12.75" customHeight="1">
      <c r="B237" s="1"/>
      <c r="C237" s="1"/>
      <c r="E237" s="32" t="s">
        <v>56</v>
      </c>
      <c r="F237" s="46" t="s">
        <v>229</v>
      </c>
      <c r="G237" s="8"/>
      <c r="H237" s="8"/>
      <c r="I237" s="8"/>
      <c r="L237" s="8"/>
      <c r="M237" s="8"/>
      <c r="N237" s="8"/>
      <c r="O237" s="8"/>
      <c r="P237" s="8"/>
      <c r="Q237" s="8"/>
      <c r="R237" s="8"/>
      <c r="S237" s="8"/>
    </row>
    <row r="238" spans="2:19" ht="12.75" customHeight="1">
      <c r="B238" s="1"/>
      <c r="C238" s="1"/>
      <c r="F238" s="1" t="s">
        <v>41</v>
      </c>
      <c r="G238" s="1" t="s">
        <v>230</v>
      </c>
      <c r="I238" s="1"/>
      <c r="M238" s="1"/>
      <c r="N238" s="1"/>
      <c r="O238" s="1"/>
      <c r="P238" s="1"/>
      <c r="Q238" s="1"/>
      <c r="R238" s="1"/>
      <c r="S238" s="1"/>
    </row>
    <row r="239" spans="2:19" ht="12.75" customHeight="1">
      <c r="B239" s="1"/>
      <c r="C239" s="1"/>
      <c r="F239" s="1"/>
      <c r="G239" s="1" t="s">
        <v>44</v>
      </c>
      <c r="H239" s="1" t="s">
        <v>231</v>
      </c>
      <c r="I239" s="1"/>
      <c r="M239" s="1"/>
      <c r="N239" s="1"/>
      <c r="O239" s="1"/>
      <c r="P239" s="1"/>
      <c r="Q239" s="1"/>
      <c r="R239" s="1"/>
      <c r="S239" s="1"/>
    </row>
    <row r="240" spans="2:19" ht="12.75" customHeight="1">
      <c r="B240" s="1"/>
      <c r="C240" s="1"/>
      <c r="F240" s="1" t="s">
        <v>46</v>
      </c>
      <c r="G240" s="46" t="s">
        <v>232</v>
      </c>
      <c r="I240" s="1"/>
      <c r="M240" s="1"/>
      <c r="N240" s="1"/>
      <c r="O240" s="1"/>
      <c r="P240" s="1"/>
      <c r="Q240" s="1"/>
      <c r="R240" s="1"/>
      <c r="S240" s="1"/>
    </row>
    <row r="241" spans="2:21" ht="12.75" customHeight="1">
      <c r="B241" s="1"/>
      <c r="C241" s="1"/>
      <c r="E241" s="32" t="s">
        <v>67</v>
      </c>
      <c r="F241" s="1" t="s">
        <v>41</v>
      </c>
      <c r="G241" s="46" t="s">
        <v>233</v>
      </c>
      <c r="I241" s="1"/>
      <c r="M241" s="1"/>
      <c r="N241" s="1"/>
      <c r="O241" s="1"/>
      <c r="P241" s="1"/>
      <c r="Q241" s="1"/>
      <c r="R241" s="1"/>
      <c r="S241" s="1"/>
    </row>
    <row r="242" spans="2:21" ht="12.75" customHeight="1">
      <c r="B242" s="1"/>
      <c r="C242" s="1"/>
      <c r="F242" s="1" t="s">
        <v>46</v>
      </c>
      <c r="G242" s="46" t="s">
        <v>234</v>
      </c>
      <c r="I242" s="1"/>
      <c r="M242" s="1"/>
      <c r="N242" s="1"/>
      <c r="O242" s="1"/>
      <c r="P242" s="1"/>
      <c r="Q242" s="1"/>
      <c r="R242" s="1"/>
      <c r="S242" s="1"/>
    </row>
    <row r="243" spans="2:21" ht="12.75" customHeight="1">
      <c r="B243" s="1"/>
      <c r="C243" s="1"/>
      <c r="F243" s="1" t="s">
        <v>53</v>
      </c>
      <c r="G243" s="46" t="s">
        <v>235</v>
      </c>
      <c r="I243" s="1"/>
      <c r="M243" s="1"/>
      <c r="N243" s="1"/>
      <c r="O243" s="1"/>
      <c r="P243" s="1"/>
      <c r="Q243" s="1"/>
      <c r="R243" s="1"/>
      <c r="S243" s="1"/>
    </row>
    <row r="244" spans="2:21" ht="12.75" customHeight="1">
      <c r="B244" s="1"/>
      <c r="C244" s="1"/>
      <c r="F244" s="1"/>
      <c r="G244" s="46" t="s">
        <v>236</v>
      </c>
      <c r="I244" s="1"/>
      <c r="M244" s="1"/>
      <c r="N244" s="1"/>
      <c r="O244" s="1"/>
      <c r="P244" s="1"/>
      <c r="Q244" s="1"/>
      <c r="R244" s="1"/>
      <c r="S244" s="1"/>
    </row>
    <row r="245" spans="2:21" ht="12.75" customHeight="1">
      <c r="B245" s="1"/>
      <c r="C245" s="1"/>
      <c r="D245" s="8"/>
      <c r="E245" s="1" t="s">
        <v>67</v>
      </c>
      <c r="F245" s="1" t="s">
        <v>237</v>
      </c>
      <c r="H245" s="1"/>
      <c r="I245" s="1"/>
      <c r="M245" s="1"/>
      <c r="N245" s="1"/>
      <c r="O245" s="1"/>
      <c r="P245" s="1"/>
      <c r="Q245" s="1"/>
      <c r="R245" s="1"/>
      <c r="S245" s="1"/>
    </row>
    <row r="246" spans="2:21" ht="12.75" customHeight="1">
      <c r="B246" s="1"/>
      <c r="C246" s="1"/>
      <c r="D246" s="8"/>
      <c r="E246" s="8"/>
      <c r="F246" s="32" t="s">
        <v>41</v>
      </c>
      <c r="G246" s="1" t="s">
        <v>238</v>
      </c>
      <c r="I246" s="1"/>
      <c r="M246" s="1"/>
      <c r="N246" s="1"/>
      <c r="O246" s="1"/>
      <c r="P246" s="1"/>
      <c r="Q246" s="1"/>
      <c r="R246" s="1"/>
      <c r="S246" s="1"/>
    </row>
    <row r="247" spans="2:21" ht="12.75" customHeight="1">
      <c r="B247" s="1"/>
      <c r="C247" s="1"/>
      <c r="D247" s="8"/>
      <c r="E247" s="8"/>
      <c r="F247" s="1"/>
      <c r="G247" s="1" t="s">
        <v>239</v>
      </c>
      <c r="I247" s="1"/>
      <c r="M247" s="1"/>
      <c r="N247" s="1"/>
      <c r="O247" s="1"/>
      <c r="P247" s="1"/>
      <c r="Q247" s="1"/>
      <c r="R247" s="1"/>
      <c r="S247" s="1"/>
    </row>
    <row r="248" spans="2:21" ht="12.75" customHeight="1">
      <c r="B248" s="1"/>
      <c r="C248" s="1"/>
      <c r="D248" s="8"/>
      <c r="E248" s="8"/>
      <c r="F248" s="1"/>
      <c r="G248" s="1"/>
      <c r="I248" s="1"/>
      <c r="M248" s="1"/>
      <c r="N248" s="1"/>
      <c r="O248" s="1"/>
      <c r="P248" s="1"/>
      <c r="Q248" s="1"/>
      <c r="R248" s="1"/>
      <c r="S248" s="1"/>
    </row>
    <row r="249" spans="2:21" ht="12.75" customHeight="1">
      <c r="B249" s="8"/>
      <c r="C249" s="8" t="s">
        <v>150</v>
      </c>
      <c r="E249" s="1"/>
      <c r="F249" s="1"/>
      <c r="G249" s="8" t="s">
        <v>241</v>
      </c>
      <c r="I249" s="1"/>
      <c r="J249" s="1"/>
      <c r="K249" s="1"/>
      <c r="L249" s="1"/>
      <c r="M249" s="1"/>
      <c r="N249" s="1"/>
      <c r="O249" s="1"/>
      <c r="P249" s="1"/>
      <c r="Q249" s="1"/>
      <c r="R249" s="1"/>
      <c r="S249" s="1"/>
    </row>
    <row r="250" spans="2:21" ht="12.75" customHeight="1">
      <c r="B250" s="8"/>
      <c r="C250" s="8"/>
      <c r="E250" s="1" t="s">
        <v>39</v>
      </c>
      <c r="F250" s="1" t="s">
        <v>242</v>
      </c>
      <c r="G250" s="1"/>
      <c r="I250" s="1"/>
      <c r="J250" s="1"/>
      <c r="K250" s="1"/>
      <c r="L250" s="1"/>
      <c r="M250" s="1"/>
      <c r="N250" s="1"/>
      <c r="O250" s="1"/>
      <c r="P250" s="1"/>
      <c r="Q250" s="1"/>
      <c r="R250" s="1"/>
      <c r="S250" s="1"/>
      <c r="T250" s="1"/>
      <c r="U250" s="1"/>
    </row>
    <row r="251" spans="2:21" ht="12.75" customHeight="1">
      <c r="B251" s="8"/>
      <c r="C251" s="8"/>
      <c r="E251" s="1"/>
      <c r="F251" s="24" t="s">
        <v>243</v>
      </c>
      <c r="G251" s="1"/>
      <c r="I251" s="24"/>
      <c r="J251" s="1"/>
      <c r="K251" s="1"/>
      <c r="L251" s="1"/>
      <c r="M251" s="1"/>
      <c r="N251" s="1"/>
      <c r="O251" s="1"/>
      <c r="P251" s="1"/>
      <c r="Q251" s="1"/>
      <c r="R251" s="1"/>
      <c r="S251" s="1"/>
      <c r="T251" s="1"/>
      <c r="U251" s="1"/>
    </row>
    <row r="252" spans="2:21" ht="12.75" customHeight="1">
      <c r="B252" s="8"/>
      <c r="C252" s="8"/>
      <c r="E252" s="1" t="s">
        <v>56</v>
      </c>
      <c r="F252" s="1" t="s">
        <v>244</v>
      </c>
      <c r="I252" s="1"/>
      <c r="J252" s="1"/>
      <c r="K252" s="1"/>
      <c r="L252" s="1"/>
      <c r="M252" s="1"/>
      <c r="N252" s="1"/>
      <c r="O252" s="1"/>
      <c r="P252" s="1"/>
      <c r="Q252" s="1"/>
      <c r="R252" s="1"/>
      <c r="S252" s="1"/>
      <c r="T252" s="1"/>
      <c r="U252" s="1"/>
    </row>
    <row r="253" spans="2:21" ht="12.75" customHeight="1">
      <c r="B253" s="8"/>
      <c r="C253" s="8"/>
      <c r="E253" s="1"/>
      <c r="F253" s="1" t="s">
        <v>41</v>
      </c>
      <c r="G253" s="1" t="s">
        <v>245</v>
      </c>
      <c r="I253" s="1"/>
      <c r="K253" s="1"/>
      <c r="L253" s="1"/>
      <c r="M253" s="1"/>
      <c r="N253" s="1"/>
      <c r="O253" s="1"/>
      <c r="Q253" s="1"/>
      <c r="R253" s="1"/>
      <c r="S253" s="1"/>
      <c r="T253" s="1"/>
      <c r="U253" s="1"/>
    </row>
    <row r="254" spans="2:21" ht="12.75" customHeight="1">
      <c r="B254" s="8"/>
      <c r="C254" s="8"/>
      <c r="E254" s="1"/>
      <c r="F254" s="1"/>
      <c r="G254" s="1" t="s">
        <v>246</v>
      </c>
      <c r="I254" s="1"/>
      <c r="K254" s="1"/>
      <c r="L254" s="1"/>
      <c r="M254" s="1"/>
      <c r="N254" s="1"/>
      <c r="O254" s="1"/>
      <c r="P254" s="1"/>
    </row>
    <row r="255" spans="2:21" ht="12.75" customHeight="1">
      <c r="B255" s="8"/>
      <c r="C255" s="8"/>
      <c r="E255" s="1"/>
      <c r="F255" s="1" t="s">
        <v>46</v>
      </c>
      <c r="G255" s="1" t="s">
        <v>247</v>
      </c>
      <c r="I255" s="1"/>
      <c r="K255" s="1"/>
      <c r="L255" s="1"/>
      <c r="M255" s="1"/>
      <c r="N255" s="1"/>
      <c r="O255" s="1"/>
      <c r="P255" s="1"/>
    </row>
    <row r="256" spans="2:21" ht="12.75" customHeight="1">
      <c r="B256" s="8"/>
      <c r="C256" s="8"/>
      <c r="E256" s="1"/>
      <c r="F256" s="1"/>
      <c r="G256" s="1" t="s">
        <v>248</v>
      </c>
      <c r="I256" s="1"/>
      <c r="K256" s="1"/>
      <c r="L256" s="1"/>
      <c r="M256" s="1"/>
      <c r="N256" s="1"/>
      <c r="O256" s="1"/>
      <c r="P256" s="1"/>
      <c r="Q256" s="1"/>
      <c r="R256" s="1"/>
      <c r="S256" s="1"/>
      <c r="T256" s="1"/>
      <c r="U256" s="1"/>
    </row>
    <row r="257" spans="2:21" ht="12.75" customHeight="1">
      <c r="B257" s="8"/>
      <c r="C257" s="8"/>
      <c r="E257" s="1"/>
      <c r="G257" s="1"/>
      <c r="I257" s="1"/>
      <c r="K257" s="1"/>
      <c r="L257" s="1"/>
      <c r="M257" s="1"/>
      <c r="N257" s="1"/>
      <c r="O257" s="1"/>
      <c r="P257" s="1"/>
      <c r="Q257" s="1"/>
      <c r="R257" s="1"/>
      <c r="S257" s="1"/>
      <c r="T257" s="1"/>
      <c r="U257" s="1"/>
    </row>
    <row r="258" spans="2:21" ht="12.75" customHeight="1">
      <c r="B258" s="8"/>
      <c r="C258" s="8"/>
      <c r="D258" s="8" t="s">
        <v>12</v>
      </c>
      <c r="E258" s="8" t="s">
        <v>249</v>
      </c>
      <c r="G258" s="1"/>
      <c r="H258" s="1"/>
      <c r="I258" s="1"/>
      <c r="J258" s="1"/>
      <c r="K258" s="1"/>
      <c r="L258" s="1"/>
      <c r="M258" s="1"/>
      <c r="N258" s="1"/>
      <c r="O258" s="1"/>
      <c r="P258" s="1"/>
      <c r="Q258" s="1"/>
      <c r="R258" s="1"/>
      <c r="S258" s="1"/>
    </row>
    <row r="259" spans="2:21" ht="12.75" customHeight="1">
      <c r="B259" s="8"/>
      <c r="C259" s="8"/>
      <c r="E259" s="1" t="s">
        <v>39</v>
      </c>
      <c r="F259" s="1" t="s">
        <v>250</v>
      </c>
      <c r="G259" s="1"/>
      <c r="I259" s="1"/>
      <c r="J259" s="1"/>
      <c r="K259" s="1"/>
      <c r="L259" s="1"/>
      <c r="M259" s="1"/>
      <c r="N259" s="1"/>
      <c r="O259" s="1"/>
      <c r="P259" s="1"/>
      <c r="Q259" s="1"/>
      <c r="R259" s="1"/>
      <c r="S259" s="1"/>
    </row>
    <row r="260" spans="2:21" ht="12.75" customHeight="1">
      <c r="B260" s="8"/>
      <c r="C260" s="8"/>
      <c r="E260" s="1" t="s">
        <v>56</v>
      </c>
      <c r="F260" s="1" t="s">
        <v>251</v>
      </c>
      <c r="G260" s="1"/>
      <c r="I260" s="1"/>
      <c r="J260" s="1"/>
      <c r="K260" s="1"/>
      <c r="L260" s="1"/>
      <c r="M260" s="1"/>
      <c r="N260" s="1"/>
      <c r="O260" s="1"/>
      <c r="P260" s="1"/>
      <c r="Q260" s="1"/>
      <c r="R260" s="1"/>
      <c r="S260" s="1"/>
    </row>
    <row r="261" spans="2:21" ht="12.75" customHeight="1">
      <c r="B261" s="8"/>
      <c r="C261" s="8"/>
      <c r="E261" s="1" t="s">
        <v>67</v>
      </c>
      <c r="F261" s="1" t="s">
        <v>252</v>
      </c>
      <c r="I261" s="1"/>
      <c r="J261" s="1"/>
      <c r="K261" s="1"/>
      <c r="L261" s="1"/>
      <c r="M261" s="1"/>
      <c r="N261" s="1"/>
      <c r="O261" s="1"/>
      <c r="P261" s="1"/>
      <c r="Q261" s="1"/>
      <c r="R261" s="1"/>
      <c r="S261" s="1"/>
    </row>
    <row r="262" spans="2:21" ht="12.75" customHeight="1">
      <c r="B262" s="8"/>
      <c r="C262" s="8"/>
      <c r="E262" s="8"/>
      <c r="F262" s="1" t="s">
        <v>253</v>
      </c>
      <c r="I262" s="1"/>
      <c r="J262" s="1"/>
      <c r="K262" s="1"/>
      <c r="L262" s="1"/>
      <c r="M262" s="1"/>
      <c r="N262" s="1"/>
      <c r="O262" s="1"/>
      <c r="P262" s="1"/>
      <c r="Q262" s="1"/>
      <c r="R262" s="1"/>
      <c r="S262" s="1"/>
    </row>
    <row r="263" spans="2:21" ht="12.75" customHeight="1">
      <c r="B263" s="8"/>
      <c r="C263" s="8"/>
      <c r="E263" s="1" t="s">
        <v>119</v>
      </c>
      <c r="F263" s="1" t="s">
        <v>254</v>
      </c>
      <c r="I263" s="1"/>
      <c r="J263" s="1"/>
      <c r="K263" s="1"/>
      <c r="L263" s="1"/>
      <c r="M263" s="1"/>
      <c r="N263" s="1"/>
      <c r="O263" s="1"/>
      <c r="P263" s="1"/>
      <c r="Q263" s="1"/>
      <c r="R263" s="1"/>
      <c r="S263" s="1"/>
    </row>
    <row r="264" spans="2:21" ht="12.75" customHeight="1">
      <c r="B264" s="8"/>
      <c r="C264" s="8"/>
      <c r="E264" s="8"/>
      <c r="F264" s="1"/>
      <c r="H264" s="1"/>
      <c r="I264" s="1"/>
      <c r="J264" s="1"/>
      <c r="K264" s="1"/>
      <c r="L264" s="1"/>
      <c r="M264" s="1"/>
      <c r="N264" s="1"/>
      <c r="O264" s="1"/>
      <c r="P264" s="1"/>
      <c r="Q264" s="1"/>
      <c r="R264" s="1"/>
      <c r="S264" s="1"/>
    </row>
    <row r="265" spans="2:21" ht="12.75" customHeight="1">
      <c r="B265" s="8"/>
      <c r="C265" s="8"/>
      <c r="D265" s="8" t="s">
        <v>37</v>
      </c>
      <c r="E265" s="8" t="s">
        <v>256</v>
      </c>
      <c r="G265" s="1"/>
      <c r="H265" s="1"/>
      <c r="I265" s="1"/>
      <c r="J265" s="1"/>
      <c r="K265" s="1"/>
      <c r="L265" s="1"/>
      <c r="M265" s="1"/>
      <c r="N265" s="1"/>
      <c r="O265" s="1"/>
      <c r="P265" s="1"/>
      <c r="Q265" s="1"/>
      <c r="R265" s="1"/>
      <c r="S265" s="1"/>
    </row>
    <row r="266" spans="2:21" ht="12.75" customHeight="1">
      <c r="B266" s="8"/>
      <c r="C266" s="8"/>
      <c r="E266" s="1" t="s">
        <v>257</v>
      </c>
      <c r="F266" s="1"/>
      <c r="G266" s="1"/>
      <c r="O266" s="1"/>
      <c r="P266" s="1"/>
      <c r="Q266" s="1"/>
      <c r="R266" s="1"/>
      <c r="S266" s="1"/>
    </row>
    <row r="267" spans="2:21" ht="12.75" customHeight="1">
      <c r="B267" s="8"/>
      <c r="C267" s="8"/>
      <c r="E267" s="8"/>
      <c r="G267" s="1"/>
      <c r="H267" s="1"/>
      <c r="O267" s="1"/>
      <c r="P267" s="1"/>
      <c r="Q267" s="1"/>
      <c r="R267" s="1"/>
      <c r="S267" s="1"/>
    </row>
    <row r="268" spans="2:21" ht="12.75" customHeight="1">
      <c r="B268" s="8"/>
      <c r="C268" s="8"/>
      <c r="D268" s="8" t="s">
        <v>133</v>
      </c>
      <c r="E268" s="8" t="s">
        <v>258</v>
      </c>
      <c r="G268" s="1"/>
    </row>
    <row r="269" spans="2:21" ht="12.75" customHeight="1">
      <c r="B269" s="8"/>
      <c r="C269" s="8"/>
      <c r="E269" s="1" t="s">
        <v>260</v>
      </c>
      <c r="F269" s="1"/>
      <c r="G269" s="1"/>
      <c r="J269" s="1"/>
      <c r="K269" s="1"/>
      <c r="L269" s="1"/>
      <c r="M269" s="1"/>
      <c r="N269" s="1"/>
    </row>
    <row r="270" spans="2:21" ht="12.75" customHeight="1">
      <c r="B270" s="8"/>
      <c r="C270" s="8"/>
      <c r="E270" s="1" t="s">
        <v>262</v>
      </c>
      <c r="F270" s="1"/>
      <c r="G270" s="1"/>
      <c r="J270" s="1"/>
      <c r="K270" s="1"/>
      <c r="L270" s="1"/>
      <c r="M270" s="1"/>
      <c r="N270" s="1"/>
    </row>
    <row r="271" spans="2:21" ht="12.75" customHeight="1">
      <c r="B271" s="8"/>
      <c r="C271" s="8"/>
      <c r="E271" s="8"/>
      <c r="G271" s="1"/>
      <c r="H271" s="1"/>
      <c r="J271" s="1"/>
      <c r="K271" s="1"/>
      <c r="L271" s="1"/>
      <c r="M271" s="1"/>
      <c r="N271" s="1"/>
      <c r="O271" s="1"/>
      <c r="P271" s="1"/>
      <c r="Q271" s="1"/>
      <c r="R271" s="1"/>
      <c r="S271" s="1"/>
      <c r="T271" s="1"/>
      <c r="U271" s="1"/>
    </row>
    <row r="272" spans="2:21" ht="12.75" customHeight="1">
      <c r="B272" s="8"/>
      <c r="D272" s="8" t="s">
        <v>139</v>
      </c>
      <c r="E272" s="8" t="s">
        <v>263</v>
      </c>
      <c r="G272" s="1"/>
      <c r="H272" s="1"/>
      <c r="J272" s="1"/>
      <c r="K272" s="1"/>
      <c r="L272" s="1"/>
      <c r="M272" s="1"/>
      <c r="N272" s="1"/>
      <c r="O272" s="1"/>
      <c r="P272" s="1"/>
      <c r="Q272" s="1"/>
      <c r="R272" s="1"/>
      <c r="S272" s="1"/>
      <c r="T272" s="1"/>
      <c r="U272" s="1"/>
    </row>
    <row r="273" spans="2:23" ht="12.75" customHeight="1">
      <c r="B273" s="8"/>
      <c r="D273" s="1"/>
      <c r="E273" s="1" t="s">
        <v>264</v>
      </c>
      <c r="J273" s="1"/>
      <c r="K273" s="1"/>
      <c r="L273" s="1"/>
      <c r="M273" s="1"/>
      <c r="N273" s="1"/>
      <c r="O273" s="1"/>
      <c r="P273" s="1"/>
      <c r="Q273" s="1"/>
      <c r="R273" s="1"/>
      <c r="S273" s="1"/>
      <c r="T273" s="1"/>
      <c r="U273" s="1"/>
    </row>
    <row r="274" spans="2:23" ht="12.75" customHeight="1">
      <c r="B274" s="8"/>
      <c r="D274" s="1"/>
      <c r="E274" s="1" t="s">
        <v>265</v>
      </c>
      <c r="J274" s="1"/>
      <c r="K274" s="1"/>
      <c r="L274" s="1"/>
      <c r="M274" s="1"/>
      <c r="N274" s="1"/>
      <c r="O274" s="1"/>
      <c r="P274" s="1"/>
      <c r="Q274" s="1"/>
      <c r="R274" s="1"/>
      <c r="S274" s="1"/>
      <c r="T274" s="1"/>
      <c r="U274" s="1"/>
    </row>
    <row r="275" spans="2:23" ht="12.75" customHeight="1">
      <c r="B275" s="8"/>
      <c r="D275" s="1"/>
      <c r="E275" s="1"/>
      <c r="J275" s="1"/>
      <c r="K275" s="1"/>
      <c r="L275" s="1"/>
      <c r="M275" s="1"/>
      <c r="N275" s="1"/>
      <c r="O275" s="1"/>
      <c r="P275" s="1"/>
      <c r="Q275" s="1"/>
      <c r="R275" s="1"/>
      <c r="S275" s="1"/>
      <c r="T275" s="1"/>
      <c r="U275" s="1"/>
    </row>
    <row r="276" spans="2:23" ht="12.75" customHeight="1">
      <c r="B276" s="8"/>
      <c r="D276" s="8" t="s">
        <v>143</v>
      </c>
      <c r="E276" s="8" t="s">
        <v>268</v>
      </c>
      <c r="K276" s="1"/>
      <c r="L276" s="1"/>
      <c r="M276" s="1"/>
      <c r="N276" s="1"/>
      <c r="O276" s="1"/>
      <c r="P276" s="1"/>
      <c r="Q276" s="1"/>
      <c r="R276" s="1"/>
      <c r="S276" s="1"/>
      <c r="T276" s="1"/>
      <c r="U276" s="1"/>
    </row>
    <row r="277" spans="2:23" ht="12.75" customHeight="1">
      <c r="B277" s="8"/>
      <c r="D277" s="8"/>
      <c r="E277" s="32" t="s">
        <v>269</v>
      </c>
      <c r="K277" s="1"/>
      <c r="L277" s="1"/>
      <c r="M277" s="1"/>
      <c r="N277" s="1"/>
      <c r="O277" s="1"/>
      <c r="P277" s="1"/>
      <c r="Q277" s="1"/>
      <c r="R277" s="1"/>
      <c r="S277" s="1"/>
    </row>
    <row r="278" spans="2:23" ht="12.75" customHeight="1">
      <c r="B278" s="8"/>
      <c r="D278" s="1"/>
      <c r="E278" s="1" t="s">
        <v>270</v>
      </c>
      <c r="I278" s="1"/>
      <c r="J278" s="1"/>
      <c r="K278" s="1"/>
      <c r="L278" s="1"/>
      <c r="M278" s="1"/>
      <c r="N278" s="1"/>
      <c r="O278" s="1"/>
      <c r="P278" s="1"/>
      <c r="Q278" s="1"/>
      <c r="R278" s="1"/>
      <c r="S278" s="1"/>
    </row>
    <row r="279" spans="2:23" ht="12.75" customHeight="1">
      <c r="B279" s="8"/>
      <c r="D279" s="1"/>
      <c r="E279" s="1"/>
      <c r="I279" s="1"/>
      <c r="J279" s="1"/>
      <c r="K279" s="1"/>
      <c r="L279" s="1"/>
      <c r="M279" s="1"/>
      <c r="N279" s="1"/>
      <c r="O279" s="1"/>
      <c r="P279" s="1"/>
      <c r="Q279" s="1"/>
      <c r="R279" s="1"/>
      <c r="S279" s="1"/>
    </row>
    <row r="280" spans="2:23" ht="12.75" customHeight="1">
      <c r="B280" s="8"/>
      <c r="D280" s="8" t="s">
        <v>147</v>
      </c>
      <c r="E280" s="8" t="s">
        <v>272</v>
      </c>
      <c r="G280" s="1"/>
      <c r="H280" s="1"/>
      <c r="I280" s="1"/>
      <c r="J280" s="1"/>
      <c r="K280" s="1"/>
      <c r="L280" s="1"/>
      <c r="M280" s="1"/>
      <c r="O280" s="1"/>
      <c r="P280" s="1"/>
      <c r="Q280" s="1"/>
      <c r="R280" s="1"/>
      <c r="S280" s="1"/>
    </row>
    <row r="281" spans="2:23" ht="12.75" customHeight="1">
      <c r="B281" s="8"/>
      <c r="D281" s="8"/>
      <c r="E281" s="32" t="s">
        <v>274</v>
      </c>
      <c r="G281" s="1"/>
      <c r="H281" s="1"/>
      <c r="I281" s="1"/>
      <c r="J281" s="1"/>
      <c r="K281" s="1"/>
      <c r="L281" s="1"/>
      <c r="M281" s="1"/>
      <c r="P281" s="1"/>
      <c r="Q281" s="1"/>
      <c r="R281" s="1"/>
      <c r="S281" s="1"/>
    </row>
    <row r="282" spans="2:23" ht="12.75" customHeight="1">
      <c r="B282" s="8"/>
      <c r="D282" s="8"/>
      <c r="E282" s="32" t="s">
        <v>275</v>
      </c>
      <c r="G282" s="1"/>
      <c r="H282" s="1"/>
      <c r="I282" s="1"/>
      <c r="J282" s="1"/>
      <c r="K282" s="1"/>
      <c r="L282" s="1"/>
      <c r="M282" s="1"/>
      <c r="P282" s="1"/>
      <c r="Q282" s="1"/>
      <c r="R282" s="1"/>
      <c r="S282" s="1"/>
    </row>
    <row r="283" spans="2:23" ht="12.75" customHeight="1">
      <c r="B283" s="8"/>
      <c r="D283" s="8"/>
      <c r="E283" s="24" t="s">
        <v>276</v>
      </c>
      <c r="F283" s="24"/>
      <c r="G283" s="1"/>
      <c r="H283" s="24"/>
      <c r="I283" s="24"/>
      <c r="J283" s="1"/>
      <c r="K283" s="1"/>
      <c r="L283" s="1"/>
      <c r="M283" s="1"/>
      <c r="P283" s="1"/>
      <c r="Q283" s="1"/>
      <c r="R283" s="1"/>
      <c r="S283" s="1"/>
    </row>
    <row r="284" spans="2:23" ht="12.75" customHeight="1">
      <c r="B284" s="8"/>
      <c r="D284" s="8"/>
      <c r="E284" s="24" t="s">
        <v>277</v>
      </c>
      <c r="G284" s="1"/>
      <c r="H284" s="24"/>
      <c r="I284" s="24"/>
      <c r="J284" s="1"/>
      <c r="K284" s="1"/>
      <c r="L284" s="1"/>
      <c r="M284" s="1"/>
      <c r="O284" s="1"/>
      <c r="P284" s="1"/>
      <c r="Q284" s="1"/>
      <c r="R284" s="1"/>
      <c r="S284" s="1"/>
    </row>
    <row r="285" spans="2:23" ht="12.75" customHeight="1">
      <c r="B285" s="8"/>
      <c r="D285" s="8"/>
      <c r="E285" s="1"/>
      <c r="F285" s="1"/>
      <c r="G285" s="1"/>
      <c r="H285" s="1"/>
      <c r="I285" s="1"/>
      <c r="J285" s="1"/>
      <c r="K285" s="1"/>
      <c r="L285" s="1"/>
      <c r="M285" s="1"/>
    </row>
    <row r="286" spans="2:23" ht="12.75" customHeight="1">
      <c r="B286" s="8"/>
      <c r="D286" s="8" t="s">
        <v>168</v>
      </c>
      <c r="E286" s="8" t="s">
        <v>278</v>
      </c>
      <c r="K286" s="1"/>
      <c r="L286" s="1"/>
      <c r="M286" s="1"/>
      <c r="N286" s="1"/>
    </row>
    <row r="287" spans="2:23" ht="12.75" customHeight="1">
      <c r="B287" s="8"/>
      <c r="D287" s="1"/>
      <c r="E287" s="1" t="s">
        <v>39</v>
      </c>
      <c r="F287" s="1" t="s">
        <v>279</v>
      </c>
      <c r="G287" s="1"/>
      <c r="O287" s="1"/>
      <c r="P287" s="1"/>
      <c r="Q287" s="1"/>
      <c r="R287" s="1"/>
      <c r="S287" s="1"/>
      <c r="T287" s="1"/>
      <c r="U287" s="1"/>
      <c r="V287" s="1"/>
      <c r="W287" s="1"/>
    </row>
    <row r="288" spans="2:23" ht="12.75" customHeight="1">
      <c r="B288" s="8"/>
      <c r="D288" s="1"/>
      <c r="E288" s="1"/>
      <c r="F288" s="24" t="s">
        <v>280</v>
      </c>
      <c r="G288" s="24"/>
      <c r="H288" s="24"/>
      <c r="I288" s="24"/>
      <c r="J288" s="24"/>
      <c r="K288" s="24"/>
      <c r="L288" s="24"/>
      <c r="M288" s="24"/>
      <c r="N288" s="24"/>
      <c r="O288" s="1"/>
      <c r="P288" s="1"/>
      <c r="Q288" s="1"/>
      <c r="R288" s="1"/>
      <c r="S288" s="1"/>
      <c r="T288" s="1"/>
      <c r="U288" s="1"/>
      <c r="V288" s="1"/>
      <c r="W288" s="1"/>
    </row>
    <row r="289" spans="2:23" ht="12.75" customHeight="1">
      <c r="B289" s="8"/>
      <c r="D289" s="1"/>
      <c r="E289" s="1" t="s">
        <v>56</v>
      </c>
      <c r="F289" s="1" t="s">
        <v>282</v>
      </c>
      <c r="G289" s="1"/>
      <c r="L289" s="1"/>
      <c r="M289" s="1"/>
      <c r="N289" s="1"/>
      <c r="O289" s="1"/>
      <c r="P289" s="1"/>
      <c r="Q289" s="1"/>
      <c r="R289" s="1"/>
      <c r="S289" s="1"/>
      <c r="T289" s="1"/>
      <c r="U289" s="1"/>
      <c r="V289" s="1"/>
      <c r="W289" s="1"/>
    </row>
    <row r="290" spans="2:23" ht="12.75" customHeight="1">
      <c r="B290" s="8"/>
      <c r="D290" s="1"/>
      <c r="E290" s="1" t="s">
        <v>67</v>
      </c>
      <c r="F290" s="1" t="s">
        <v>283</v>
      </c>
      <c r="G290" s="1"/>
      <c r="H290" s="1"/>
      <c r="K290" s="1"/>
      <c r="L290" s="1"/>
      <c r="M290" s="1"/>
      <c r="N290" s="1"/>
      <c r="O290" s="1"/>
      <c r="P290" s="1"/>
      <c r="Q290" s="1"/>
      <c r="R290" s="1"/>
      <c r="S290" s="1"/>
      <c r="T290" s="1"/>
      <c r="U290" s="1"/>
      <c r="V290" s="1"/>
      <c r="W290" s="1"/>
    </row>
    <row r="291" spans="2:23" ht="12.75" customHeight="1">
      <c r="B291" s="8"/>
      <c r="D291" s="1"/>
      <c r="E291" s="1"/>
      <c r="F291" s="1" t="s">
        <v>41</v>
      </c>
      <c r="G291" s="1" t="s">
        <v>284</v>
      </c>
      <c r="K291" s="1"/>
      <c r="L291" s="1"/>
      <c r="M291" s="1"/>
      <c r="N291" s="1"/>
      <c r="O291" s="1"/>
      <c r="P291" s="1"/>
      <c r="Q291" s="1"/>
      <c r="R291" s="1"/>
      <c r="S291" s="1"/>
      <c r="T291" s="1"/>
      <c r="U291" s="1"/>
      <c r="V291" s="1"/>
      <c r="W291" s="1"/>
    </row>
    <row r="292" spans="2:23" ht="12.75" customHeight="1">
      <c r="B292" s="8"/>
      <c r="D292" s="1"/>
      <c r="E292" s="1"/>
      <c r="F292" s="1" t="s">
        <v>46</v>
      </c>
      <c r="G292" s="1" t="s">
        <v>285</v>
      </c>
      <c r="H292" s="1"/>
      <c r="K292" s="1"/>
      <c r="L292" s="1"/>
      <c r="M292" s="1"/>
      <c r="N292" s="1"/>
      <c r="O292" s="1"/>
      <c r="P292" s="1"/>
      <c r="Q292" s="1"/>
      <c r="R292" s="1"/>
      <c r="S292" s="1"/>
      <c r="T292" s="1"/>
      <c r="U292" s="1"/>
      <c r="V292" s="1"/>
      <c r="W292" s="1"/>
    </row>
    <row r="293" spans="2:23" ht="12.75" customHeight="1">
      <c r="B293" s="8"/>
      <c r="D293" s="1"/>
      <c r="E293" s="1"/>
      <c r="F293" s="1" t="s">
        <v>53</v>
      </c>
      <c r="G293" s="1" t="s">
        <v>286</v>
      </c>
      <c r="K293" s="1"/>
      <c r="L293" s="1"/>
      <c r="M293" s="1"/>
      <c r="N293" s="1"/>
      <c r="O293" s="1"/>
      <c r="P293" s="1"/>
      <c r="Q293" s="1"/>
      <c r="R293" s="1"/>
      <c r="S293" s="1"/>
      <c r="T293" s="1"/>
      <c r="U293" s="1"/>
      <c r="V293" s="1"/>
      <c r="W293" s="1"/>
    </row>
    <row r="294" spans="2:23" ht="12.75" customHeight="1">
      <c r="B294" s="8"/>
      <c r="D294" s="1"/>
      <c r="E294" s="1"/>
      <c r="F294" s="1" t="s">
        <v>90</v>
      </c>
      <c r="G294" s="1" t="s">
        <v>287</v>
      </c>
      <c r="H294" s="1"/>
      <c r="K294" s="1"/>
      <c r="L294" s="1"/>
      <c r="M294" s="1"/>
      <c r="N294" s="1"/>
      <c r="O294" s="1"/>
      <c r="P294" s="1"/>
      <c r="Q294" s="1"/>
      <c r="R294" s="1"/>
      <c r="S294" s="1"/>
      <c r="T294" s="1"/>
      <c r="U294" s="1"/>
      <c r="V294" s="1"/>
      <c r="W294" s="1"/>
    </row>
    <row r="295" spans="2:23" ht="12.75" customHeight="1">
      <c r="B295" s="8"/>
      <c r="D295" s="1"/>
      <c r="E295" s="1"/>
      <c r="F295" s="1" t="s">
        <v>94</v>
      </c>
      <c r="G295" s="1" t="s">
        <v>288</v>
      </c>
      <c r="K295" s="1"/>
      <c r="L295" s="1"/>
      <c r="M295" s="1"/>
      <c r="N295" s="1"/>
      <c r="O295" s="1"/>
      <c r="P295" s="1"/>
      <c r="Q295" s="1"/>
      <c r="R295" s="1"/>
      <c r="S295" s="1"/>
      <c r="T295" s="1"/>
      <c r="U295" s="1"/>
      <c r="V295" s="1"/>
      <c r="W295" s="1"/>
    </row>
    <row r="296" spans="2:23" ht="12.75" customHeight="1">
      <c r="B296" s="8"/>
      <c r="D296" s="1"/>
      <c r="E296" s="1"/>
      <c r="F296" s="1" t="s">
        <v>97</v>
      </c>
      <c r="G296" s="1" t="s">
        <v>289</v>
      </c>
      <c r="H296" s="1"/>
      <c r="K296" s="1"/>
      <c r="L296" s="1"/>
      <c r="M296" s="1"/>
      <c r="N296" s="1"/>
      <c r="O296" s="1"/>
      <c r="P296" s="1"/>
      <c r="Q296" s="1"/>
      <c r="R296" s="1"/>
      <c r="S296" s="1"/>
      <c r="T296" s="1"/>
      <c r="U296" s="1"/>
      <c r="V296" s="1"/>
      <c r="W296" s="1"/>
    </row>
    <row r="297" spans="2:23" ht="12.75" customHeight="1">
      <c r="B297" s="8"/>
      <c r="D297" s="1"/>
      <c r="E297" s="1" t="s">
        <v>119</v>
      </c>
      <c r="F297" s="1" t="s">
        <v>290</v>
      </c>
      <c r="G297" s="1"/>
      <c r="K297" s="1"/>
      <c r="L297" s="1"/>
      <c r="M297" s="1"/>
      <c r="N297" s="1"/>
      <c r="O297" s="1"/>
      <c r="P297" s="1"/>
      <c r="Q297" s="1"/>
      <c r="R297" s="1"/>
      <c r="S297" s="1"/>
      <c r="T297" s="1"/>
      <c r="U297" s="1"/>
      <c r="V297" s="1"/>
      <c r="W297" s="1"/>
    </row>
    <row r="298" spans="2:23" ht="12.75" customHeight="1">
      <c r="B298" s="8"/>
      <c r="D298" s="1"/>
      <c r="E298" s="1" t="s">
        <v>124</v>
      </c>
      <c r="F298" s="1" t="s">
        <v>292</v>
      </c>
      <c r="G298" s="1"/>
      <c r="K298" s="1"/>
      <c r="L298" s="1"/>
      <c r="M298" s="1"/>
      <c r="N298" s="1"/>
      <c r="O298" s="1"/>
      <c r="P298" s="1"/>
      <c r="Q298" s="1"/>
      <c r="R298" s="1"/>
      <c r="S298" s="1"/>
      <c r="T298" s="1"/>
      <c r="U298" s="1"/>
      <c r="V298" s="1"/>
      <c r="W298" s="1"/>
    </row>
    <row r="299" spans="2:23" ht="12.75" customHeight="1">
      <c r="B299" s="8"/>
      <c r="D299" s="1"/>
      <c r="E299" s="1"/>
      <c r="F299" s="24" t="s">
        <v>293</v>
      </c>
      <c r="G299" s="24"/>
      <c r="H299" s="24"/>
      <c r="I299" s="24"/>
      <c r="J299" s="24"/>
      <c r="K299" s="24"/>
      <c r="L299" s="24"/>
      <c r="M299" s="1"/>
      <c r="N299" s="1"/>
      <c r="O299" s="1"/>
      <c r="P299" s="1"/>
      <c r="Q299" s="1"/>
      <c r="R299" s="1"/>
      <c r="S299" s="1"/>
      <c r="T299" s="1"/>
      <c r="U299" s="1"/>
      <c r="V299" s="1"/>
      <c r="W299" s="1"/>
    </row>
    <row r="300" spans="2:23" ht="12.75" customHeight="1">
      <c r="B300" s="8"/>
      <c r="D300" s="1"/>
      <c r="E300" s="1"/>
      <c r="F300" s="24" t="s">
        <v>294</v>
      </c>
      <c r="G300" s="24"/>
      <c r="H300" s="24"/>
      <c r="I300" s="24"/>
      <c r="J300" s="24"/>
      <c r="K300" s="24"/>
      <c r="L300" s="24"/>
      <c r="M300" s="1"/>
      <c r="N300" s="1"/>
      <c r="O300" s="1"/>
      <c r="P300" s="1"/>
      <c r="Q300" s="1"/>
      <c r="R300" s="1"/>
      <c r="S300" s="1"/>
      <c r="T300" s="1"/>
      <c r="U300" s="1"/>
      <c r="V300" s="1"/>
      <c r="W300" s="1"/>
    </row>
    <row r="301" spans="2:23" ht="12.75" customHeight="1">
      <c r="B301" s="8"/>
      <c r="D301" s="1"/>
      <c r="E301" s="1"/>
      <c r="F301" s="24" t="s">
        <v>295</v>
      </c>
      <c r="G301" s="24"/>
      <c r="H301" s="24"/>
      <c r="I301" s="24"/>
      <c r="J301" s="24"/>
      <c r="K301" s="24"/>
      <c r="L301" s="24"/>
      <c r="M301" s="1"/>
      <c r="N301" s="1"/>
      <c r="O301" s="1"/>
      <c r="P301" s="1"/>
      <c r="Q301" s="1"/>
      <c r="R301" s="1"/>
      <c r="S301" s="1"/>
      <c r="T301" s="1"/>
      <c r="U301" s="1"/>
      <c r="V301" s="1"/>
      <c r="W301" s="1"/>
    </row>
    <row r="302" spans="2:23" ht="12.75" customHeight="1">
      <c r="B302" s="8"/>
      <c r="D302" s="1"/>
      <c r="E302" s="1"/>
      <c r="F302" s="24"/>
      <c r="G302" s="24"/>
      <c r="H302" s="24"/>
      <c r="I302" s="24"/>
      <c r="J302" s="24"/>
      <c r="K302" s="24"/>
      <c r="L302" s="24"/>
      <c r="M302" s="1"/>
      <c r="N302" s="1"/>
      <c r="O302" s="1"/>
      <c r="P302" s="1"/>
      <c r="Q302" s="1"/>
      <c r="R302" s="1"/>
      <c r="S302" s="1"/>
      <c r="T302" s="1"/>
      <c r="U302" s="1"/>
      <c r="V302" s="1"/>
      <c r="W302" s="1"/>
    </row>
    <row r="303" spans="2:23" ht="12.75" customHeight="1">
      <c r="B303" s="8"/>
      <c r="D303" s="8" t="s">
        <v>207</v>
      </c>
      <c r="E303" s="8" t="s">
        <v>296</v>
      </c>
      <c r="G303" s="1"/>
      <c r="H303" s="1"/>
      <c r="I303" s="1"/>
      <c r="J303" s="1"/>
      <c r="K303" s="1"/>
      <c r="L303" s="1"/>
      <c r="M303" s="1"/>
      <c r="N303" s="1"/>
      <c r="O303" s="1"/>
      <c r="P303" s="1"/>
      <c r="Q303" s="1"/>
      <c r="R303" s="1"/>
      <c r="S303" s="1"/>
      <c r="T303" s="1"/>
      <c r="U303" s="1"/>
      <c r="V303" s="1"/>
      <c r="W303" s="1"/>
    </row>
    <row r="304" spans="2:23" ht="12.75" customHeight="1">
      <c r="B304" s="8"/>
      <c r="D304" s="8"/>
      <c r="E304" s="1" t="s">
        <v>299</v>
      </c>
      <c r="F304" s="1"/>
      <c r="K304" s="1"/>
      <c r="L304" s="1"/>
      <c r="M304" s="1"/>
      <c r="N304" s="1"/>
      <c r="O304" s="1"/>
      <c r="P304" s="1"/>
      <c r="Q304" s="1"/>
      <c r="R304" s="1"/>
      <c r="S304" s="1"/>
      <c r="T304" s="1"/>
      <c r="U304" s="1"/>
      <c r="V304" s="1"/>
      <c r="W304" s="1"/>
    </row>
    <row r="305" spans="2:23" ht="12.75" customHeight="1">
      <c r="B305" s="8"/>
      <c r="D305" s="8"/>
      <c r="E305" s="1" t="s">
        <v>270</v>
      </c>
      <c r="F305" s="1"/>
      <c r="I305" s="1"/>
      <c r="J305" s="1"/>
      <c r="K305" s="1"/>
      <c r="L305" s="1"/>
      <c r="M305" s="1"/>
      <c r="N305" s="1"/>
      <c r="O305" s="1"/>
      <c r="P305" s="1"/>
      <c r="Q305" s="1"/>
      <c r="R305" s="1"/>
      <c r="S305" s="1"/>
      <c r="T305" s="1"/>
      <c r="U305" s="1"/>
      <c r="V305" s="1"/>
      <c r="W305" s="1"/>
    </row>
    <row r="306" spans="2:23" ht="12.75" customHeight="1">
      <c r="B306" s="8"/>
      <c r="D306" s="1"/>
      <c r="E306" s="1"/>
      <c r="F306" s="24"/>
      <c r="G306" s="24"/>
      <c r="H306" s="24"/>
      <c r="I306" s="24"/>
      <c r="J306" s="24"/>
      <c r="K306" s="24"/>
      <c r="L306" s="24"/>
      <c r="M306" s="1"/>
      <c r="N306" s="1"/>
      <c r="O306" s="1"/>
      <c r="P306" s="1"/>
      <c r="Q306" s="1"/>
      <c r="R306" s="1"/>
      <c r="S306" s="1"/>
      <c r="T306" s="1"/>
      <c r="U306" s="1"/>
      <c r="V306" s="1"/>
      <c r="W306" s="1"/>
    </row>
    <row r="307" spans="2:23" ht="12.75" customHeight="1">
      <c r="B307" s="8"/>
      <c r="C307" s="8" t="s">
        <v>172</v>
      </c>
      <c r="D307" s="8"/>
      <c r="F307" s="8"/>
      <c r="G307" s="8" t="s">
        <v>300</v>
      </c>
      <c r="I307" s="1"/>
      <c r="J307" s="1"/>
      <c r="K307" s="1"/>
      <c r="L307" s="1"/>
      <c r="M307" s="1"/>
      <c r="N307" s="1"/>
      <c r="O307" s="1"/>
      <c r="P307" s="1"/>
    </row>
    <row r="308" spans="2:23" ht="12.75" customHeight="1">
      <c r="B308" s="8"/>
      <c r="D308" s="8" t="s">
        <v>12</v>
      </c>
      <c r="E308" s="8" t="s">
        <v>301</v>
      </c>
      <c r="G308" s="8"/>
      <c r="H308" s="8"/>
      <c r="I308" s="8"/>
      <c r="J308" s="8"/>
      <c r="K308" s="8"/>
      <c r="L308" s="8"/>
      <c r="M308" s="8"/>
      <c r="N308" s="8"/>
      <c r="O308" s="8"/>
      <c r="P308" s="8"/>
      <c r="Q308" s="8"/>
      <c r="R308" s="8"/>
    </row>
    <row r="309" spans="2:23" ht="12.75" customHeight="1">
      <c r="B309" s="8"/>
      <c r="D309" s="8"/>
      <c r="E309" s="32" t="s">
        <v>302</v>
      </c>
      <c r="G309" s="1"/>
      <c r="I309" s="1"/>
      <c r="K309" s="1"/>
    </row>
    <row r="310" spans="2:23" ht="12.75" customHeight="1">
      <c r="B310" s="8"/>
      <c r="D310" s="8"/>
      <c r="E310" s="1" t="s">
        <v>303</v>
      </c>
      <c r="F310" s="1"/>
      <c r="G310" s="1"/>
      <c r="I310" s="1"/>
      <c r="K310" s="1"/>
    </row>
    <row r="311" spans="2:23" ht="12.75" customHeight="1">
      <c r="B311" s="8"/>
      <c r="D311" s="8"/>
      <c r="E311" s="1" t="s">
        <v>304</v>
      </c>
      <c r="F311" s="1"/>
      <c r="G311" s="1"/>
      <c r="I311" s="1"/>
      <c r="K311" s="1"/>
    </row>
    <row r="312" spans="2:23" ht="12.75" customHeight="1">
      <c r="B312" s="8"/>
      <c r="D312" s="8"/>
      <c r="E312" s="1" t="s">
        <v>306</v>
      </c>
      <c r="F312" s="1"/>
      <c r="G312" s="1"/>
      <c r="I312" s="1"/>
      <c r="K312" s="1"/>
    </row>
    <row r="313" spans="2:23" ht="12.75" customHeight="1">
      <c r="B313" s="8"/>
      <c r="D313" s="8"/>
      <c r="G313" s="1"/>
      <c r="I313" s="1"/>
      <c r="K313" s="1"/>
    </row>
    <row r="314" spans="2:23" ht="12.75" customHeight="1">
      <c r="B314" s="8"/>
      <c r="D314" s="8" t="s">
        <v>37</v>
      </c>
      <c r="E314" s="8" t="s">
        <v>307</v>
      </c>
      <c r="G314" s="1"/>
      <c r="H314" s="1"/>
      <c r="I314" s="1"/>
      <c r="J314" s="1"/>
      <c r="K314" s="1"/>
      <c r="P314" s="1"/>
      <c r="Q314" s="1"/>
      <c r="R314" s="1"/>
      <c r="S314" s="1"/>
    </row>
    <row r="315" spans="2:23" ht="12.75" customHeight="1">
      <c r="B315" s="8"/>
      <c r="D315" s="8"/>
      <c r="E315" s="32" t="s">
        <v>308</v>
      </c>
      <c r="G315" s="1"/>
      <c r="I315" s="1"/>
      <c r="J315" s="1"/>
      <c r="K315" s="1"/>
      <c r="L315" s="1"/>
      <c r="M315" s="1"/>
      <c r="N315" s="1"/>
      <c r="O315" s="1"/>
      <c r="P315" s="1"/>
      <c r="Q315" s="1"/>
      <c r="R315" s="1"/>
      <c r="S315" s="1"/>
    </row>
    <row r="316" spans="2:23" ht="12.75" customHeight="1">
      <c r="B316" s="8"/>
      <c r="D316" s="8"/>
      <c r="G316" s="1"/>
      <c r="I316" s="1"/>
      <c r="J316" s="1"/>
      <c r="K316" s="1"/>
      <c r="L316" s="1"/>
      <c r="M316" s="1"/>
      <c r="N316" s="1"/>
      <c r="O316" s="1"/>
      <c r="P316" s="1"/>
      <c r="Q316" s="1"/>
      <c r="R316" s="1"/>
      <c r="S316" s="1"/>
    </row>
    <row r="317" spans="2:23" ht="12.75" customHeight="1">
      <c r="B317" s="8"/>
      <c r="D317" s="8" t="s">
        <v>133</v>
      </c>
      <c r="E317" s="8" t="s">
        <v>309</v>
      </c>
      <c r="F317" s="1"/>
      <c r="G317" s="1"/>
      <c r="H317" s="1"/>
      <c r="I317" s="1"/>
      <c r="J317" s="1"/>
      <c r="K317" s="1"/>
      <c r="L317" s="1"/>
      <c r="M317" s="1"/>
      <c r="N317" s="1"/>
      <c r="O317" s="1"/>
      <c r="P317" s="1"/>
      <c r="Q317" s="1"/>
      <c r="R317" s="1"/>
      <c r="S317" s="1"/>
    </row>
    <row r="318" spans="2:23" ht="12.75" customHeight="1">
      <c r="B318" s="8"/>
      <c r="E318" s="32" t="s">
        <v>311</v>
      </c>
      <c r="I318" s="1"/>
      <c r="J318" s="1"/>
      <c r="K318" s="1"/>
      <c r="L318" s="1"/>
      <c r="M318" s="1"/>
      <c r="N318" s="1"/>
      <c r="O318" s="1"/>
      <c r="P318" s="1"/>
      <c r="Q318" s="1"/>
      <c r="R318" s="1"/>
      <c r="S318" s="1"/>
    </row>
    <row r="319" spans="2:23" ht="12.75" customHeight="1">
      <c r="B319" s="8"/>
      <c r="E319" s="32" t="s">
        <v>312</v>
      </c>
      <c r="I319" s="1"/>
      <c r="J319" s="1"/>
      <c r="K319" s="1"/>
      <c r="L319" s="1"/>
      <c r="M319" s="1"/>
      <c r="N319" s="1"/>
      <c r="O319" s="1"/>
      <c r="P319" s="1"/>
      <c r="Q319" s="1"/>
      <c r="R319" s="1"/>
      <c r="S319" s="1"/>
    </row>
    <row r="320" spans="2:23" ht="12.75" customHeight="1">
      <c r="B320" s="8"/>
      <c r="E320" s="32" t="s">
        <v>313</v>
      </c>
      <c r="I320" s="1"/>
      <c r="J320" s="1"/>
      <c r="K320" s="1"/>
      <c r="L320" s="1"/>
      <c r="M320" s="1"/>
      <c r="N320" s="1"/>
      <c r="O320" s="1"/>
      <c r="P320" s="1"/>
      <c r="Q320" s="1"/>
      <c r="R320" s="1"/>
      <c r="S320" s="1"/>
    </row>
    <row r="321" spans="1:30" ht="12.75" customHeight="1">
      <c r="B321" s="8"/>
      <c r="I321" s="1"/>
      <c r="J321" s="1"/>
      <c r="K321" s="1"/>
      <c r="L321" s="1"/>
      <c r="M321" s="1"/>
      <c r="N321" s="1"/>
      <c r="O321" s="1"/>
      <c r="P321" s="1"/>
      <c r="Q321" s="1"/>
      <c r="R321" s="1"/>
      <c r="S321" s="1"/>
    </row>
    <row r="322" spans="1:30" ht="12.75" customHeight="1">
      <c r="B322" s="8"/>
      <c r="C322" s="8" t="s">
        <v>176</v>
      </c>
      <c r="G322" s="8" t="s">
        <v>314</v>
      </c>
      <c r="I322" s="1"/>
      <c r="J322" s="1"/>
      <c r="K322" s="1"/>
      <c r="L322" s="1"/>
      <c r="M322" s="1"/>
      <c r="N322" s="1"/>
      <c r="O322" s="1"/>
      <c r="P322" s="1"/>
      <c r="Q322" s="1"/>
      <c r="R322" s="1"/>
      <c r="S322" s="1"/>
    </row>
    <row r="323" spans="1:30" ht="12.75" customHeight="1">
      <c r="A323" s="32" t="s">
        <v>9</v>
      </c>
      <c r="D323" s="8" t="s">
        <v>12</v>
      </c>
      <c r="E323" s="8" t="s">
        <v>314</v>
      </c>
      <c r="J323" s="8"/>
      <c r="K323" s="8"/>
      <c r="L323" s="8"/>
      <c r="M323" s="1"/>
      <c r="N323" s="1"/>
      <c r="O323" s="1"/>
      <c r="P323" s="1"/>
      <c r="Q323" s="1"/>
      <c r="R323" s="1"/>
      <c r="S323" s="1"/>
    </row>
    <row r="324" spans="1:30" ht="12.75" customHeight="1">
      <c r="E324" s="32" t="s">
        <v>39</v>
      </c>
      <c r="F324" s="1" t="s">
        <v>315</v>
      </c>
      <c r="J324" s="1"/>
      <c r="K324" s="1"/>
      <c r="L324" s="1"/>
      <c r="M324" s="1"/>
      <c r="N324" s="1"/>
      <c r="O324" s="1"/>
      <c r="P324" s="1"/>
      <c r="Q324" s="1"/>
      <c r="R324" s="1"/>
      <c r="S324" s="1"/>
    </row>
    <row r="325" spans="1:30" ht="12.75" customHeight="1">
      <c r="E325" s="1" t="s">
        <v>56</v>
      </c>
      <c r="F325" s="32" t="s">
        <v>316</v>
      </c>
      <c r="J325" s="1"/>
      <c r="K325" s="1"/>
      <c r="L325" s="1"/>
      <c r="M325" s="1"/>
      <c r="N325" s="1"/>
      <c r="O325" s="1"/>
      <c r="P325" s="1"/>
      <c r="Q325" s="1"/>
      <c r="R325" s="1"/>
      <c r="S325" s="1"/>
    </row>
    <row r="326" spans="1:30" ht="12.75" customHeight="1">
      <c r="F326" s="24" t="s">
        <v>317</v>
      </c>
      <c r="I326" s="24"/>
      <c r="J326" s="1"/>
      <c r="K326" s="1"/>
      <c r="L326" s="1"/>
      <c r="M326" s="1"/>
      <c r="N326" s="1"/>
      <c r="O326" s="1"/>
      <c r="P326" s="1"/>
      <c r="Q326" s="1"/>
      <c r="R326" s="1"/>
      <c r="S326" s="1"/>
    </row>
    <row r="327" spans="1:30" ht="12.75" customHeight="1">
      <c r="F327" s="24" t="s">
        <v>318</v>
      </c>
      <c r="I327" s="24"/>
      <c r="J327" s="1"/>
      <c r="K327" s="1"/>
      <c r="L327" s="1"/>
      <c r="M327" s="1"/>
      <c r="N327" s="1"/>
      <c r="O327" s="1"/>
      <c r="P327" s="1"/>
      <c r="Q327" s="1"/>
      <c r="R327" s="1"/>
      <c r="S327" s="1"/>
    </row>
    <row r="328" spans="1:30" ht="12.75" customHeight="1">
      <c r="J328" s="1"/>
      <c r="K328" s="1"/>
      <c r="L328" s="1"/>
      <c r="M328" s="1"/>
      <c r="N328" s="1"/>
      <c r="O328" s="1"/>
      <c r="P328" s="1"/>
      <c r="Q328" s="1"/>
      <c r="R328" s="1"/>
      <c r="S328" s="1"/>
    </row>
    <row r="329" spans="1:30" ht="12.75" customHeight="1">
      <c r="A329" s="5"/>
      <c r="B329" s="6" t="s">
        <v>319</v>
      </c>
      <c r="C329" s="6" t="s">
        <v>88</v>
      </c>
      <c r="D329" s="5"/>
      <c r="E329" s="6"/>
      <c r="F329" s="6"/>
      <c r="G329" s="6"/>
      <c r="H329" s="6"/>
      <c r="I329" s="6"/>
      <c r="J329" s="5"/>
      <c r="K329" s="5"/>
      <c r="L329" s="5"/>
      <c r="M329" s="5"/>
      <c r="N329" s="5"/>
      <c r="O329" s="5"/>
      <c r="P329" s="5"/>
      <c r="Q329" s="5"/>
      <c r="R329" s="5"/>
      <c r="S329" s="5"/>
      <c r="T329" s="5"/>
      <c r="U329" s="5"/>
      <c r="V329" s="5"/>
      <c r="W329" s="5"/>
      <c r="X329" s="5"/>
      <c r="Y329" s="5"/>
      <c r="Z329" s="5"/>
      <c r="AA329" s="5"/>
      <c r="AB329" s="5"/>
      <c r="AC329" s="5"/>
      <c r="AD329" s="5"/>
    </row>
    <row r="330" spans="1:30" ht="12.75" customHeight="1">
      <c r="B330" s="8"/>
      <c r="D330" s="8"/>
      <c r="E330" s="8"/>
      <c r="F330" s="8"/>
      <c r="G330" s="8"/>
      <c r="H330" s="8"/>
      <c r="I330" s="8"/>
      <c r="J330" s="1"/>
      <c r="K330" s="1"/>
      <c r="L330" s="1"/>
      <c r="M330" s="1"/>
      <c r="N330" s="1"/>
      <c r="O330" s="1"/>
      <c r="P330" s="1"/>
      <c r="Q330" s="1"/>
      <c r="R330" s="1"/>
      <c r="S330" s="1"/>
    </row>
    <row r="331" spans="1:30" ht="12.75" customHeight="1">
      <c r="B331" s="8"/>
      <c r="C331" s="8" t="s">
        <v>107</v>
      </c>
      <c r="G331" s="8" t="s">
        <v>88</v>
      </c>
      <c r="I331" s="8"/>
      <c r="J331" s="1"/>
      <c r="K331" s="1"/>
      <c r="L331" s="1"/>
      <c r="M331" s="1"/>
      <c r="N331" s="1"/>
      <c r="O331" s="1"/>
      <c r="P331" s="1"/>
      <c r="Q331" s="1"/>
      <c r="R331" s="1"/>
      <c r="S331" s="1"/>
    </row>
    <row r="332" spans="1:30" ht="12.75" customHeight="1">
      <c r="B332" s="8"/>
      <c r="C332" s="8"/>
      <c r="D332" s="8" t="s">
        <v>12</v>
      </c>
      <c r="E332" s="8" t="s">
        <v>88</v>
      </c>
      <c r="G332" s="8"/>
      <c r="I332" s="8"/>
      <c r="J332" s="1"/>
      <c r="K332" s="1"/>
      <c r="L332" s="1"/>
      <c r="M332" s="1"/>
      <c r="N332" s="1"/>
      <c r="O332" s="1"/>
      <c r="P332" s="1"/>
      <c r="Q332" s="1"/>
      <c r="R332" s="1"/>
      <c r="S332" s="1"/>
    </row>
    <row r="333" spans="1:30" ht="12.75" customHeight="1">
      <c r="B333" s="8"/>
      <c r="E333" s="32" t="s">
        <v>39</v>
      </c>
      <c r="F333" s="32" t="s">
        <v>321</v>
      </c>
      <c r="J333" s="1"/>
      <c r="K333" s="1"/>
      <c r="L333" s="1"/>
      <c r="M333" s="1"/>
      <c r="N333" s="1"/>
      <c r="O333" s="1"/>
      <c r="P333" s="1"/>
      <c r="Q333" s="1"/>
      <c r="R333" s="1"/>
      <c r="S333" s="1"/>
    </row>
    <row r="334" spans="1:30" ht="12.75" customHeight="1">
      <c r="B334" s="8"/>
      <c r="E334" s="1"/>
      <c r="F334" s="1" t="s">
        <v>322</v>
      </c>
      <c r="J334" s="1"/>
      <c r="K334" s="1"/>
      <c r="L334" s="1"/>
      <c r="M334" s="1"/>
      <c r="N334" s="1"/>
      <c r="O334" s="1"/>
      <c r="P334" s="1"/>
      <c r="Q334" s="1"/>
      <c r="R334" s="1"/>
      <c r="S334" s="1"/>
    </row>
    <row r="335" spans="1:30" ht="12.75" customHeight="1">
      <c r="B335" s="8"/>
      <c r="E335" s="1"/>
      <c r="F335" s="1" t="s">
        <v>323</v>
      </c>
      <c r="I335" s="1"/>
      <c r="J335" s="1"/>
      <c r="K335" s="1"/>
      <c r="L335" s="1"/>
      <c r="M335" s="1"/>
      <c r="N335" s="1"/>
      <c r="O335" s="1"/>
      <c r="P335" s="1"/>
      <c r="Q335" s="1"/>
      <c r="R335" s="1"/>
      <c r="S335" s="1"/>
    </row>
    <row r="336" spans="1:30" ht="12.75" customHeight="1">
      <c r="B336" s="8"/>
      <c r="E336" s="1" t="s">
        <v>56</v>
      </c>
      <c r="F336" s="895" t="s">
        <v>324</v>
      </c>
      <c r="G336" s="893"/>
      <c r="H336" s="893"/>
      <c r="I336" s="893"/>
      <c r="J336" s="893"/>
      <c r="K336" s="893"/>
      <c r="L336" s="893"/>
      <c r="M336" s="893"/>
      <c r="N336" s="893"/>
      <c r="O336" s="893"/>
      <c r="P336" s="893"/>
      <c r="Q336" s="893"/>
      <c r="R336" s="893"/>
      <c r="S336" s="893"/>
      <c r="T336" s="893"/>
      <c r="U336" s="893"/>
      <c r="V336" s="893"/>
      <c r="W336" s="893"/>
      <c r="X336" s="893"/>
      <c r="Y336" s="893"/>
      <c r="Z336" s="893"/>
      <c r="AA336" s="893"/>
      <c r="AB336" s="893"/>
      <c r="AC336" s="893"/>
      <c r="AD336" s="893"/>
    </row>
    <row r="337" spans="2:30" ht="12.75" customHeight="1">
      <c r="B337" s="8"/>
      <c r="E337" s="1"/>
      <c r="F337" s="893"/>
      <c r="G337" s="893"/>
      <c r="H337" s="893"/>
      <c r="I337" s="893"/>
      <c r="J337" s="893"/>
      <c r="K337" s="893"/>
      <c r="L337" s="893"/>
      <c r="M337" s="893"/>
      <c r="N337" s="893"/>
      <c r="O337" s="893"/>
      <c r="P337" s="893"/>
      <c r="Q337" s="893"/>
      <c r="R337" s="893"/>
      <c r="S337" s="893"/>
      <c r="T337" s="893"/>
      <c r="U337" s="893"/>
      <c r="V337" s="893"/>
      <c r="W337" s="893"/>
      <c r="X337" s="893"/>
      <c r="Y337" s="893"/>
      <c r="Z337" s="893"/>
      <c r="AA337" s="893"/>
      <c r="AB337" s="893"/>
      <c r="AC337" s="893"/>
      <c r="AD337" s="893"/>
    </row>
    <row r="338" spans="2:30" ht="12.75" customHeight="1">
      <c r="B338" s="8"/>
      <c r="E338" s="1"/>
      <c r="F338" s="893"/>
      <c r="G338" s="893"/>
      <c r="H338" s="893"/>
      <c r="I338" s="893"/>
      <c r="J338" s="893"/>
      <c r="K338" s="893"/>
      <c r="L338" s="893"/>
      <c r="M338" s="893"/>
      <c r="N338" s="893"/>
      <c r="O338" s="893"/>
      <c r="P338" s="893"/>
      <c r="Q338" s="893"/>
      <c r="R338" s="893"/>
      <c r="S338" s="893"/>
      <c r="T338" s="893"/>
      <c r="U338" s="893"/>
      <c r="V338" s="893"/>
      <c r="W338" s="893"/>
      <c r="X338" s="893"/>
      <c r="Y338" s="893"/>
      <c r="Z338" s="893"/>
      <c r="AA338" s="893"/>
      <c r="AB338" s="893"/>
      <c r="AC338" s="893"/>
      <c r="AD338" s="893"/>
    </row>
    <row r="339" spans="2:30" ht="12.75" customHeight="1">
      <c r="B339" s="8"/>
      <c r="F339" s="1"/>
      <c r="H339" s="1"/>
      <c r="I339" s="1"/>
      <c r="J339" s="1"/>
      <c r="K339" s="1"/>
      <c r="L339" s="1"/>
      <c r="M339" s="1"/>
      <c r="N339" s="1"/>
      <c r="O339" s="1"/>
      <c r="P339" s="1"/>
      <c r="Q339" s="1"/>
      <c r="R339" s="1"/>
      <c r="S339" s="1"/>
    </row>
    <row r="340" spans="2:30" ht="12.75" customHeight="1">
      <c r="B340" s="8"/>
      <c r="C340" s="8" t="s">
        <v>127</v>
      </c>
      <c r="G340" s="8" t="s">
        <v>327</v>
      </c>
      <c r="I340" s="8"/>
      <c r="J340" s="1"/>
      <c r="K340" s="1"/>
      <c r="L340" s="1"/>
      <c r="M340" s="1"/>
      <c r="N340" s="1"/>
      <c r="O340" s="1"/>
      <c r="P340" s="1"/>
      <c r="Q340" s="1"/>
      <c r="R340" s="1"/>
      <c r="S340" s="1"/>
    </row>
    <row r="341" spans="2:30" ht="12.75" customHeight="1">
      <c r="B341" s="8"/>
      <c r="E341" s="897" t="s">
        <v>328</v>
      </c>
      <c r="F341" s="893"/>
      <c r="G341" s="893"/>
      <c r="H341" s="893"/>
      <c r="I341" s="893"/>
      <c r="J341" s="893"/>
      <c r="K341" s="893"/>
      <c r="L341" s="893"/>
      <c r="M341" s="893"/>
      <c r="N341" s="893"/>
      <c r="O341" s="893"/>
      <c r="P341" s="893"/>
      <c r="Q341" s="893"/>
      <c r="R341" s="893"/>
      <c r="S341" s="893"/>
      <c r="T341" s="893"/>
      <c r="U341" s="893"/>
      <c r="V341" s="893"/>
      <c r="W341" s="893"/>
      <c r="X341" s="893"/>
      <c r="Y341" s="893"/>
      <c r="Z341" s="893"/>
      <c r="AA341" s="893"/>
      <c r="AB341" s="893"/>
      <c r="AC341" s="893"/>
      <c r="AD341" s="893"/>
    </row>
    <row r="342" spans="2:30" ht="12.75" customHeight="1">
      <c r="B342" s="8"/>
      <c r="E342" s="893"/>
      <c r="F342" s="893"/>
      <c r="G342" s="893"/>
      <c r="H342" s="893"/>
      <c r="I342" s="893"/>
      <c r="J342" s="893"/>
      <c r="K342" s="893"/>
      <c r="L342" s="893"/>
      <c r="M342" s="893"/>
      <c r="N342" s="893"/>
      <c r="O342" s="893"/>
      <c r="P342" s="893"/>
      <c r="Q342" s="893"/>
      <c r="R342" s="893"/>
      <c r="S342" s="893"/>
      <c r="T342" s="893"/>
      <c r="U342" s="893"/>
      <c r="V342" s="893"/>
      <c r="W342" s="893"/>
      <c r="X342" s="893"/>
      <c r="Y342" s="893"/>
      <c r="Z342" s="893"/>
      <c r="AA342" s="893"/>
      <c r="AB342" s="893"/>
      <c r="AC342" s="893"/>
      <c r="AD342" s="893"/>
    </row>
    <row r="343" spans="2:30" ht="12.75" customHeight="1">
      <c r="B343" s="8"/>
      <c r="E343" s="893"/>
      <c r="F343" s="893"/>
      <c r="G343" s="893"/>
      <c r="H343" s="893"/>
      <c r="I343" s="893"/>
      <c r="J343" s="893"/>
      <c r="K343" s="893"/>
      <c r="L343" s="893"/>
      <c r="M343" s="893"/>
      <c r="N343" s="893"/>
      <c r="O343" s="893"/>
      <c r="P343" s="893"/>
      <c r="Q343" s="893"/>
      <c r="R343" s="893"/>
      <c r="S343" s="893"/>
      <c r="T343" s="893"/>
      <c r="U343" s="893"/>
      <c r="V343" s="893"/>
      <c r="W343" s="893"/>
      <c r="X343" s="893"/>
      <c r="Y343" s="893"/>
      <c r="Z343" s="893"/>
      <c r="AA343" s="893"/>
      <c r="AB343" s="893"/>
      <c r="AC343" s="893"/>
      <c r="AD343" s="893"/>
    </row>
    <row r="344" spans="2:30" ht="12.75" customHeight="1">
      <c r="B344" s="8"/>
      <c r="E344" s="893"/>
      <c r="F344" s="893"/>
      <c r="G344" s="893"/>
      <c r="H344" s="893"/>
      <c r="I344" s="893"/>
      <c r="J344" s="893"/>
      <c r="K344" s="893"/>
      <c r="L344" s="893"/>
      <c r="M344" s="893"/>
      <c r="N344" s="893"/>
      <c r="O344" s="893"/>
      <c r="P344" s="893"/>
      <c r="Q344" s="893"/>
      <c r="R344" s="893"/>
      <c r="S344" s="893"/>
      <c r="T344" s="893"/>
      <c r="U344" s="893"/>
      <c r="V344" s="893"/>
      <c r="W344" s="893"/>
      <c r="X344" s="893"/>
      <c r="Y344" s="893"/>
      <c r="Z344" s="893"/>
      <c r="AA344" s="893"/>
      <c r="AB344" s="893"/>
      <c r="AC344" s="893"/>
      <c r="AD344" s="893"/>
    </row>
    <row r="345" spans="2:30" ht="12.75" customHeight="1">
      <c r="B345" s="8"/>
      <c r="E345" s="893"/>
      <c r="F345" s="893"/>
      <c r="G345" s="893"/>
      <c r="H345" s="893"/>
      <c r="I345" s="893"/>
      <c r="J345" s="893"/>
      <c r="K345" s="893"/>
      <c r="L345" s="893"/>
      <c r="M345" s="893"/>
      <c r="N345" s="893"/>
      <c r="O345" s="893"/>
      <c r="P345" s="893"/>
      <c r="Q345" s="893"/>
      <c r="R345" s="893"/>
      <c r="S345" s="893"/>
      <c r="T345" s="893"/>
      <c r="U345" s="893"/>
      <c r="V345" s="893"/>
      <c r="W345" s="893"/>
      <c r="X345" s="893"/>
      <c r="Y345" s="893"/>
      <c r="Z345" s="893"/>
      <c r="AA345" s="893"/>
      <c r="AB345" s="893"/>
      <c r="AC345" s="893"/>
      <c r="AD345" s="893"/>
    </row>
    <row r="346" spans="2:30" ht="12.75" customHeight="1">
      <c r="B346" s="8"/>
      <c r="E346" s="1" t="s">
        <v>39</v>
      </c>
      <c r="F346" s="895" t="s">
        <v>330</v>
      </c>
      <c r="G346" s="893"/>
      <c r="H346" s="893"/>
      <c r="I346" s="893"/>
      <c r="J346" s="893"/>
      <c r="K346" s="893"/>
      <c r="L346" s="893"/>
      <c r="M346" s="893"/>
      <c r="N346" s="893"/>
      <c r="O346" s="893"/>
      <c r="P346" s="893"/>
      <c r="Q346" s="893"/>
      <c r="R346" s="893"/>
      <c r="S346" s="893"/>
      <c r="T346" s="893"/>
      <c r="U346" s="893"/>
      <c r="V346" s="893"/>
      <c r="W346" s="893"/>
      <c r="X346" s="893"/>
      <c r="Y346" s="893"/>
      <c r="Z346" s="893"/>
      <c r="AA346" s="893"/>
      <c r="AB346" s="893"/>
      <c r="AC346" s="893"/>
      <c r="AD346" s="893"/>
    </row>
    <row r="347" spans="2:30" ht="12.75" customHeight="1">
      <c r="B347" s="8"/>
      <c r="E347" s="1"/>
      <c r="F347" s="893"/>
      <c r="G347" s="893"/>
      <c r="H347" s="893"/>
      <c r="I347" s="893"/>
      <c r="J347" s="893"/>
      <c r="K347" s="893"/>
      <c r="L347" s="893"/>
      <c r="M347" s="893"/>
      <c r="N347" s="893"/>
      <c r="O347" s="893"/>
      <c r="P347" s="893"/>
      <c r="Q347" s="893"/>
      <c r="R347" s="893"/>
      <c r="S347" s="893"/>
      <c r="T347" s="893"/>
      <c r="U347" s="893"/>
      <c r="V347" s="893"/>
      <c r="W347" s="893"/>
      <c r="X347" s="893"/>
      <c r="Y347" s="893"/>
      <c r="Z347" s="893"/>
      <c r="AA347" s="893"/>
      <c r="AB347" s="893"/>
      <c r="AC347" s="893"/>
      <c r="AD347" s="893"/>
    </row>
    <row r="348" spans="2:30" ht="12.75" customHeight="1">
      <c r="B348" s="8"/>
      <c r="E348" s="1"/>
      <c r="F348" s="893"/>
      <c r="G348" s="893"/>
      <c r="H348" s="893"/>
      <c r="I348" s="893"/>
      <c r="J348" s="893"/>
      <c r="K348" s="893"/>
      <c r="L348" s="893"/>
      <c r="M348" s="893"/>
      <c r="N348" s="893"/>
      <c r="O348" s="893"/>
      <c r="P348" s="893"/>
      <c r="Q348" s="893"/>
      <c r="R348" s="893"/>
      <c r="S348" s="893"/>
      <c r="T348" s="893"/>
      <c r="U348" s="893"/>
      <c r="V348" s="893"/>
      <c r="W348" s="893"/>
      <c r="X348" s="893"/>
      <c r="Y348" s="893"/>
      <c r="Z348" s="893"/>
      <c r="AA348" s="893"/>
      <c r="AB348" s="893"/>
      <c r="AC348" s="893"/>
      <c r="AD348" s="893"/>
    </row>
    <row r="349" spans="2:30" ht="12.75" customHeight="1">
      <c r="B349" s="8"/>
      <c r="E349" s="1"/>
      <c r="F349" s="893"/>
      <c r="G349" s="893"/>
      <c r="H349" s="893"/>
      <c r="I349" s="893"/>
      <c r="J349" s="893"/>
      <c r="K349" s="893"/>
      <c r="L349" s="893"/>
      <c r="M349" s="893"/>
      <c r="N349" s="893"/>
      <c r="O349" s="893"/>
      <c r="P349" s="893"/>
      <c r="Q349" s="893"/>
      <c r="R349" s="893"/>
      <c r="S349" s="893"/>
      <c r="T349" s="893"/>
      <c r="U349" s="893"/>
      <c r="V349" s="893"/>
      <c r="W349" s="893"/>
      <c r="X349" s="893"/>
      <c r="Y349" s="893"/>
      <c r="Z349" s="893"/>
      <c r="AA349" s="893"/>
      <c r="AB349" s="893"/>
      <c r="AC349" s="893"/>
      <c r="AD349" s="893"/>
    </row>
    <row r="350" spans="2:30" ht="12.75" customHeight="1">
      <c r="B350" s="8"/>
      <c r="E350" s="1" t="s">
        <v>56</v>
      </c>
      <c r="F350" s="895" t="s">
        <v>331</v>
      </c>
      <c r="G350" s="893"/>
      <c r="H350" s="893"/>
      <c r="I350" s="893"/>
      <c r="J350" s="893"/>
      <c r="K350" s="893"/>
      <c r="L350" s="893"/>
      <c r="M350" s="893"/>
      <c r="N350" s="893"/>
      <c r="O350" s="893"/>
      <c r="P350" s="893"/>
      <c r="Q350" s="893"/>
      <c r="R350" s="893"/>
      <c r="S350" s="893"/>
      <c r="T350" s="893"/>
      <c r="U350" s="893"/>
      <c r="V350" s="893"/>
      <c r="W350" s="893"/>
      <c r="X350" s="893"/>
      <c r="Y350" s="893"/>
      <c r="Z350" s="893"/>
      <c r="AA350" s="893"/>
      <c r="AB350" s="893"/>
      <c r="AC350" s="893"/>
      <c r="AD350" s="893"/>
    </row>
    <row r="351" spans="2:30" ht="12.75" customHeight="1">
      <c r="B351" s="8"/>
      <c r="F351" s="893"/>
      <c r="G351" s="893"/>
      <c r="H351" s="893"/>
      <c r="I351" s="893"/>
      <c r="J351" s="893"/>
      <c r="K351" s="893"/>
      <c r="L351" s="893"/>
      <c r="M351" s="893"/>
      <c r="N351" s="893"/>
      <c r="O351" s="893"/>
      <c r="P351" s="893"/>
      <c r="Q351" s="893"/>
      <c r="R351" s="893"/>
      <c r="S351" s="893"/>
      <c r="T351" s="893"/>
      <c r="U351" s="893"/>
      <c r="V351" s="893"/>
      <c r="W351" s="893"/>
      <c r="X351" s="893"/>
      <c r="Y351" s="893"/>
      <c r="Z351" s="893"/>
      <c r="AA351" s="893"/>
      <c r="AB351" s="893"/>
      <c r="AC351" s="893"/>
      <c r="AD351" s="893"/>
    </row>
    <row r="352" spans="2:30" ht="12.75" customHeight="1">
      <c r="B352" s="8"/>
      <c r="F352" s="893"/>
      <c r="G352" s="893"/>
      <c r="H352" s="893"/>
      <c r="I352" s="893"/>
      <c r="J352" s="893"/>
      <c r="K352" s="893"/>
      <c r="L352" s="893"/>
      <c r="M352" s="893"/>
      <c r="N352" s="893"/>
      <c r="O352" s="893"/>
      <c r="P352" s="893"/>
      <c r="Q352" s="893"/>
      <c r="R352" s="893"/>
      <c r="S352" s="893"/>
      <c r="T352" s="893"/>
      <c r="U352" s="893"/>
      <c r="V352" s="893"/>
      <c r="W352" s="893"/>
      <c r="X352" s="893"/>
      <c r="Y352" s="893"/>
      <c r="Z352" s="893"/>
      <c r="AA352" s="893"/>
      <c r="AB352" s="893"/>
      <c r="AC352" s="893"/>
      <c r="AD352" s="893"/>
    </row>
    <row r="353" spans="1:30" ht="12.75" customHeight="1">
      <c r="B353" s="8"/>
      <c r="F353" s="1"/>
      <c r="H353" s="1"/>
      <c r="I353" s="1"/>
      <c r="J353" s="1"/>
      <c r="K353" s="1"/>
      <c r="L353" s="1"/>
      <c r="M353" s="1"/>
      <c r="N353" s="1"/>
      <c r="O353" s="1"/>
      <c r="P353" s="1"/>
      <c r="Q353" s="1"/>
      <c r="R353" s="1"/>
      <c r="S353" s="1"/>
    </row>
    <row r="354" spans="1:30" ht="12.75" customHeight="1">
      <c r="A354" s="5"/>
      <c r="B354" s="6" t="s">
        <v>334</v>
      </c>
      <c r="C354" s="6" t="s">
        <v>91</v>
      </c>
      <c r="D354" s="5"/>
      <c r="E354" s="6"/>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row>
    <row r="355" spans="1:30" ht="12.75" customHeight="1">
      <c r="B355" s="8"/>
      <c r="D355" s="24"/>
      <c r="E355" s="8"/>
      <c r="M355" s="1"/>
      <c r="N355" s="1"/>
      <c r="O355" s="1"/>
      <c r="P355" s="1"/>
      <c r="Q355" s="1"/>
      <c r="R355" s="1"/>
      <c r="S355" s="1"/>
      <c r="T355" s="1"/>
    </row>
    <row r="356" spans="1:30" ht="12.75" customHeight="1">
      <c r="B356" s="8"/>
      <c r="C356" s="6" t="s">
        <v>336</v>
      </c>
      <c r="D356" s="5"/>
      <c r="E356" s="5"/>
      <c r="F356" s="5"/>
      <c r="G356" s="5"/>
      <c r="H356" s="5"/>
      <c r="I356" s="29"/>
      <c r="J356" s="29"/>
      <c r="K356" s="29"/>
      <c r="L356" s="29"/>
      <c r="M356" s="29"/>
      <c r="N356" s="29"/>
      <c r="O356" s="29"/>
      <c r="P356" s="29"/>
      <c r="Q356" s="29"/>
      <c r="R356" s="29"/>
      <c r="S356" s="29"/>
      <c r="T356" s="29"/>
      <c r="U356" s="29"/>
      <c r="V356" s="29"/>
      <c r="W356" s="29"/>
      <c r="X356" s="29"/>
      <c r="Y356" s="29"/>
      <c r="Z356" s="29"/>
      <c r="AA356" s="29"/>
      <c r="AB356" s="29"/>
      <c r="AC356" s="29"/>
      <c r="AD356" s="29"/>
    </row>
    <row r="357" spans="1:30" ht="12.75" customHeight="1">
      <c r="B357" s="8"/>
      <c r="C357" s="8"/>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row>
    <row r="358" spans="1:30" ht="12.75" customHeight="1">
      <c r="B358" s="8"/>
      <c r="D358" s="8" t="s">
        <v>12</v>
      </c>
      <c r="E358" s="8" t="s">
        <v>337</v>
      </c>
      <c r="I358" s="1"/>
      <c r="J358" s="1"/>
      <c r="K358" s="1"/>
      <c r="L358" s="1"/>
      <c r="M358" s="1"/>
      <c r="N358" s="1"/>
      <c r="O358" s="1"/>
      <c r="P358" s="1"/>
      <c r="Q358" s="1"/>
      <c r="R358" s="1"/>
      <c r="S358" s="1"/>
    </row>
    <row r="359" spans="1:30" ht="12.75" customHeight="1">
      <c r="B359" s="8"/>
      <c r="E359" s="32" t="s">
        <v>39</v>
      </c>
      <c r="F359" s="1" t="s">
        <v>338</v>
      </c>
      <c r="I359" s="1"/>
      <c r="J359" s="1"/>
      <c r="K359" s="1"/>
      <c r="L359" s="1"/>
      <c r="M359" s="1"/>
      <c r="N359" s="1"/>
      <c r="O359" s="1"/>
      <c r="P359" s="1"/>
      <c r="Q359" s="1"/>
      <c r="R359" s="1"/>
      <c r="S359" s="1"/>
    </row>
    <row r="360" spans="1:30" ht="12.75" customHeight="1">
      <c r="B360" s="8"/>
      <c r="F360" s="1" t="s">
        <v>339</v>
      </c>
      <c r="I360" s="1"/>
      <c r="J360" s="1"/>
      <c r="K360" s="1"/>
      <c r="L360" s="1"/>
      <c r="M360" s="1"/>
      <c r="N360" s="1"/>
      <c r="O360" s="1"/>
      <c r="P360" s="1"/>
      <c r="Q360" s="1"/>
      <c r="R360" s="1"/>
      <c r="S360" s="1"/>
    </row>
    <row r="361" spans="1:30" ht="12.75" customHeight="1">
      <c r="B361" s="8"/>
      <c r="F361" s="1" t="s">
        <v>340</v>
      </c>
      <c r="G361" s="1"/>
      <c r="K361" s="1"/>
      <c r="L361" s="1"/>
      <c r="M361" s="1"/>
      <c r="N361" s="1"/>
      <c r="O361" s="1"/>
      <c r="P361" s="1"/>
      <c r="Q361" s="1"/>
      <c r="R361" s="1"/>
      <c r="S361" s="1"/>
    </row>
    <row r="362" spans="1:30" ht="12.75" customHeight="1">
      <c r="B362" s="8"/>
      <c r="E362" s="32" t="s">
        <v>56</v>
      </c>
      <c r="F362" s="1" t="s">
        <v>341</v>
      </c>
      <c r="I362" s="1"/>
      <c r="J362" s="1"/>
      <c r="K362" s="1"/>
      <c r="L362" s="1"/>
      <c r="M362" s="1"/>
      <c r="N362" s="1"/>
      <c r="O362" s="1"/>
      <c r="P362" s="1"/>
      <c r="Q362" s="1"/>
      <c r="R362" s="1"/>
      <c r="S362" s="1"/>
    </row>
    <row r="363" spans="1:30" ht="12.75" customHeight="1">
      <c r="B363" s="8"/>
      <c r="E363" s="32" t="s">
        <v>67</v>
      </c>
      <c r="F363" s="1" t="s">
        <v>342</v>
      </c>
      <c r="I363" s="1"/>
      <c r="J363" s="1"/>
      <c r="K363" s="1"/>
      <c r="L363" s="1"/>
      <c r="M363" s="1"/>
      <c r="N363" s="1"/>
      <c r="O363" s="1"/>
      <c r="P363" s="1"/>
      <c r="Q363" s="1"/>
      <c r="R363" s="1"/>
      <c r="S363" s="1"/>
    </row>
    <row r="364" spans="1:30" ht="12.75" customHeight="1">
      <c r="B364" s="8"/>
      <c r="F364" s="1" t="s">
        <v>344</v>
      </c>
      <c r="J364" s="1"/>
      <c r="K364" s="1"/>
      <c r="L364" s="1"/>
      <c r="M364" s="1"/>
      <c r="N364" s="1"/>
      <c r="O364" s="1"/>
      <c r="P364" s="1"/>
      <c r="Q364" s="1"/>
      <c r="R364" s="1"/>
      <c r="S364" s="1"/>
    </row>
    <row r="365" spans="1:30" ht="12.75" customHeight="1">
      <c r="B365" s="8"/>
      <c r="E365" s="892" t="s">
        <v>346</v>
      </c>
      <c r="F365" s="893"/>
      <c r="G365" s="893"/>
      <c r="H365" s="893"/>
      <c r="I365" s="893"/>
      <c r="J365" s="893"/>
      <c r="K365" s="893"/>
      <c r="L365" s="893"/>
      <c r="M365" s="893"/>
      <c r="N365" s="893"/>
      <c r="O365" s="893"/>
      <c r="P365" s="893"/>
      <c r="Q365" s="893"/>
      <c r="R365" s="893"/>
      <c r="S365" s="893"/>
      <c r="T365" s="893"/>
      <c r="U365" s="893"/>
      <c r="V365" s="893"/>
      <c r="W365" s="893"/>
      <c r="X365" s="893"/>
      <c r="Y365" s="893"/>
      <c r="Z365" s="893"/>
      <c r="AA365" s="893"/>
      <c r="AB365" s="893"/>
      <c r="AC365" s="893"/>
      <c r="AD365" s="893"/>
    </row>
    <row r="366" spans="1:30" ht="12.75" customHeight="1">
      <c r="B366" s="8"/>
      <c r="E366" s="893"/>
      <c r="F366" s="893"/>
      <c r="G366" s="893"/>
      <c r="H366" s="893"/>
      <c r="I366" s="893"/>
      <c r="J366" s="893"/>
      <c r="K366" s="893"/>
      <c r="L366" s="893"/>
      <c r="M366" s="893"/>
      <c r="N366" s="893"/>
      <c r="O366" s="893"/>
      <c r="P366" s="893"/>
      <c r="Q366" s="893"/>
      <c r="R366" s="893"/>
      <c r="S366" s="893"/>
      <c r="T366" s="893"/>
      <c r="U366" s="893"/>
      <c r="V366" s="893"/>
      <c r="W366" s="893"/>
      <c r="X366" s="893"/>
      <c r="Y366" s="893"/>
      <c r="Z366" s="893"/>
      <c r="AA366" s="893"/>
      <c r="AB366" s="893"/>
      <c r="AC366" s="893"/>
      <c r="AD366" s="893"/>
    </row>
    <row r="367" spans="1:30" ht="12.75" customHeight="1">
      <c r="B367" s="8"/>
      <c r="E367" s="894" t="s">
        <v>348</v>
      </c>
      <c r="F367" s="893"/>
      <c r="G367" s="893"/>
      <c r="H367" s="893"/>
      <c r="I367" s="893"/>
      <c r="J367" s="893"/>
      <c r="K367" s="893"/>
      <c r="L367" s="893"/>
      <c r="M367" s="893"/>
      <c r="N367" s="893"/>
      <c r="O367" s="893"/>
      <c r="P367" s="893"/>
      <c r="Q367" s="893"/>
      <c r="R367" s="893"/>
      <c r="S367" s="893"/>
      <c r="T367" s="893"/>
      <c r="U367" s="893"/>
      <c r="V367" s="893"/>
      <c r="W367" s="893"/>
      <c r="X367" s="893"/>
      <c r="Y367" s="893"/>
      <c r="Z367" s="893"/>
      <c r="AA367" s="893"/>
      <c r="AB367" s="893"/>
      <c r="AC367" s="893"/>
      <c r="AD367" s="893"/>
    </row>
    <row r="368" spans="1:30" ht="12.75" customHeight="1">
      <c r="B368" s="8"/>
      <c r="C368" s="8"/>
      <c r="E368" s="893"/>
      <c r="F368" s="893"/>
      <c r="G368" s="893"/>
      <c r="H368" s="893"/>
      <c r="I368" s="893"/>
      <c r="J368" s="893"/>
      <c r="K368" s="893"/>
      <c r="L368" s="893"/>
      <c r="M368" s="893"/>
      <c r="N368" s="893"/>
      <c r="O368" s="893"/>
      <c r="P368" s="893"/>
      <c r="Q368" s="893"/>
      <c r="R368" s="893"/>
      <c r="S368" s="893"/>
      <c r="T368" s="893"/>
      <c r="U368" s="893"/>
      <c r="V368" s="893"/>
      <c r="W368" s="893"/>
      <c r="X368" s="893"/>
      <c r="Y368" s="893"/>
      <c r="Z368" s="893"/>
      <c r="AA368" s="893"/>
      <c r="AB368" s="893"/>
      <c r="AC368" s="893"/>
      <c r="AD368" s="893"/>
    </row>
    <row r="369" spans="2:30" ht="12.75" customHeight="1">
      <c r="B369" s="8"/>
      <c r="E369" s="1"/>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row>
    <row r="370" spans="2:30" ht="12.75" customHeight="1">
      <c r="B370" s="8"/>
      <c r="D370" s="8" t="s">
        <v>37</v>
      </c>
      <c r="E370" s="8" t="s">
        <v>349</v>
      </c>
      <c r="J370" s="1"/>
      <c r="K370" s="1"/>
      <c r="L370" s="1"/>
      <c r="M370" s="1"/>
      <c r="N370" s="1"/>
      <c r="O370" s="1"/>
      <c r="P370" s="1"/>
      <c r="Q370" s="1"/>
      <c r="R370" s="1"/>
      <c r="S370" s="1"/>
    </row>
    <row r="371" spans="2:30" ht="12.75" customHeight="1">
      <c r="B371" s="8"/>
      <c r="E371" s="1" t="s">
        <v>350</v>
      </c>
      <c r="F371" s="1"/>
      <c r="G371" s="1"/>
      <c r="H371" s="1"/>
      <c r="I371" s="1"/>
      <c r="J371" s="1"/>
      <c r="K371" s="1"/>
      <c r="L371" s="1"/>
      <c r="M371" s="1"/>
      <c r="N371" s="1"/>
      <c r="O371" s="1"/>
      <c r="P371" s="1"/>
      <c r="Q371" s="1"/>
      <c r="R371" s="1"/>
      <c r="S371" s="1"/>
    </row>
    <row r="372" spans="2:30" ht="12.75" customHeight="1">
      <c r="B372" s="8"/>
      <c r="E372" s="1" t="s">
        <v>351</v>
      </c>
      <c r="F372" s="1"/>
      <c r="G372" s="1"/>
      <c r="H372" s="1"/>
      <c r="I372" s="1"/>
      <c r="J372" s="1"/>
      <c r="K372" s="1"/>
      <c r="L372" s="1"/>
      <c r="M372" s="1"/>
      <c r="N372" s="1"/>
      <c r="O372" s="1"/>
      <c r="P372" s="1"/>
      <c r="Q372" s="1"/>
      <c r="R372" s="1"/>
      <c r="S372" s="1"/>
    </row>
    <row r="373" spans="2:30" ht="12.75" customHeight="1">
      <c r="B373" s="8"/>
      <c r="E373" s="1"/>
      <c r="F373" s="1"/>
      <c r="G373" s="1"/>
      <c r="H373" s="1"/>
      <c r="I373" s="1"/>
      <c r="J373" s="1"/>
      <c r="K373" s="1"/>
      <c r="L373" s="1"/>
      <c r="M373" s="1"/>
      <c r="N373" s="1"/>
      <c r="O373" s="1"/>
      <c r="P373" s="1"/>
      <c r="Q373" s="1"/>
      <c r="R373" s="1"/>
      <c r="S373" s="1"/>
    </row>
    <row r="374" spans="2:30" ht="12.75" customHeight="1">
      <c r="B374" s="8"/>
      <c r="D374" s="8" t="s">
        <v>133</v>
      </c>
      <c r="E374" s="8" t="s">
        <v>353</v>
      </c>
      <c r="J374" s="1"/>
      <c r="K374" s="1"/>
      <c r="L374" s="1"/>
      <c r="M374" s="1"/>
      <c r="N374" s="1"/>
      <c r="O374" s="1"/>
      <c r="P374" s="1"/>
      <c r="Q374" s="1"/>
      <c r="R374" s="1"/>
      <c r="S374" s="1"/>
    </row>
    <row r="375" spans="2:30" ht="12.75" customHeight="1">
      <c r="B375" s="8"/>
      <c r="E375" s="1" t="s">
        <v>39</v>
      </c>
      <c r="F375" s="1" t="s">
        <v>356</v>
      </c>
      <c r="G375" s="1"/>
      <c r="I375" s="1"/>
      <c r="J375" s="1"/>
      <c r="K375" s="1"/>
      <c r="L375" s="1"/>
      <c r="M375" s="1"/>
      <c r="N375" s="1"/>
      <c r="O375" s="1"/>
      <c r="P375" s="1"/>
      <c r="Q375" s="1"/>
      <c r="R375" s="1"/>
      <c r="S375" s="1"/>
    </row>
    <row r="376" spans="2:30" ht="12.75" customHeight="1">
      <c r="B376" s="8"/>
      <c r="E376" s="1"/>
      <c r="F376" s="24" t="s">
        <v>357</v>
      </c>
      <c r="G376" s="1"/>
      <c r="I376" s="24"/>
      <c r="J376" s="1"/>
      <c r="K376" s="1"/>
      <c r="L376" s="1"/>
      <c r="M376" s="1"/>
      <c r="N376" s="1"/>
      <c r="O376" s="1"/>
      <c r="P376" s="1"/>
      <c r="Q376" s="1"/>
      <c r="R376" s="1"/>
      <c r="S376" s="1"/>
    </row>
    <row r="377" spans="2:30" ht="12.75" customHeight="1">
      <c r="B377" s="8"/>
      <c r="E377" s="1" t="s">
        <v>56</v>
      </c>
      <c r="F377" s="1" t="s">
        <v>358</v>
      </c>
      <c r="G377" s="1"/>
      <c r="I377" s="24"/>
      <c r="J377" s="1"/>
      <c r="K377" s="1"/>
      <c r="L377" s="1"/>
      <c r="M377" s="1"/>
      <c r="N377" s="1"/>
      <c r="O377" s="1"/>
      <c r="P377" s="1"/>
      <c r="Q377" s="1"/>
      <c r="R377" s="1"/>
      <c r="S377" s="1"/>
    </row>
    <row r="378" spans="2:30" ht="12.75" customHeight="1">
      <c r="B378" s="8"/>
      <c r="E378" s="1"/>
      <c r="F378" s="1"/>
      <c r="G378" s="1"/>
      <c r="I378" s="24"/>
      <c r="J378" s="1"/>
      <c r="K378" s="1"/>
      <c r="L378" s="1"/>
      <c r="M378" s="1"/>
      <c r="N378" s="1"/>
      <c r="O378" s="1"/>
      <c r="P378" s="1"/>
      <c r="Q378" s="1"/>
      <c r="R378" s="1"/>
      <c r="S378" s="1"/>
    </row>
    <row r="379" spans="2:30" ht="12.75" customHeight="1">
      <c r="B379" s="8"/>
      <c r="D379" s="8" t="s">
        <v>139</v>
      </c>
      <c r="E379" s="8" t="s">
        <v>361</v>
      </c>
      <c r="J379" s="1"/>
      <c r="K379" s="1"/>
      <c r="L379" s="1"/>
      <c r="M379" s="1"/>
      <c r="N379" s="1"/>
      <c r="O379" s="1"/>
      <c r="P379" s="1"/>
      <c r="Q379" s="1"/>
      <c r="R379" s="1"/>
      <c r="S379" s="1"/>
    </row>
    <row r="380" spans="2:30" ht="12.75" customHeight="1">
      <c r="B380" s="8"/>
      <c r="D380" s="8"/>
      <c r="E380" s="1" t="s">
        <v>350</v>
      </c>
      <c r="F380" s="1"/>
      <c r="G380" s="1"/>
      <c r="J380" s="1"/>
      <c r="K380" s="1"/>
      <c r="L380" s="1"/>
      <c r="M380" s="1"/>
      <c r="N380" s="1"/>
      <c r="O380" s="1"/>
      <c r="P380" s="1"/>
      <c r="Q380" s="1"/>
      <c r="R380" s="1"/>
      <c r="S380" s="1"/>
    </row>
    <row r="381" spans="2:30" ht="12.75" customHeight="1">
      <c r="B381" s="8"/>
      <c r="D381" s="8"/>
      <c r="E381" s="1" t="s">
        <v>363</v>
      </c>
      <c r="F381" s="1"/>
      <c r="G381" s="1"/>
      <c r="J381" s="1"/>
      <c r="K381" s="1"/>
      <c r="L381" s="1"/>
      <c r="M381" s="1"/>
      <c r="N381" s="1"/>
      <c r="O381" s="1"/>
      <c r="P381" s="1"/>
      <c r="Q381" s="1"/>
      <c r="R381" s="1"/>
      <c r="S381" s="1"/>
    </row>
    <row r="382" spans="2:30" ht="12.75" customHeight="1">
      <c r="B382" s="8"/>
      <c r="D382" s="8"/>
      <c r="E382" s="1"/>
      <c r="F382" s="1"/>
      <c r="G382" s="1"/>
      <c r="J382" s="1"/>
      <c r="K382" s="1"/>
      <c r="L382" s="1"/>
      <c r="M382" s="1"/>
      <c r="N382" s="1"/>
      <c r="O382" s="1"/>
      <c r="P382" s="1"/>
      <c r="Q382" s="1"/>
      <c r="R382" s="1"/>
      <c r="S382" s="1"/>
    </row>
    <row r="383" spans="2:30" ht="12.75" customHeight="1">
      <c r="B383" s="8"/>
      <c r="D383" s="8" t="s">
        <v>143</v>
      </c>
      <c r="E383" s="8" t="s">
        <v>365</v>
      </c>
      <c r="J383" s="1"/>
      <c r="K383" s="1"/>
      <c r="L383" s="1"/>
      <c r="M383" s="1"/>
      <c r="N383" s="1"/>
      <c r="O383" s="1"/>
      <c r="P383" s="1"/>
      <c r="Q383" s="1"/>
      <c r="R383" s="1"/>
      <c r="S383" s="1"/>
    </row>
    <row r="384" spans="2:30" ht="12.75" customHeight="1">
      <c r="B384" s="8"/>
      <c r="E384" s="1" t="s">
        <v>39</v>
      </c>
      <c r="F384" s="1" t="s">
        <v>366</v>
      </c>
      <c r="G384" s="1"/>
      <c r="I384" s="1"/>
      <c r="J384" s="1"/>
      <c r="K384" s="1"/>
      <c r="L384" s="1"/>
      <c r="M384" s="1"/>
      <c r="N384" s="1"/>
      <c r="O384" s="1"/>
      <c r="P384" s="1"/>
      <c r="Q384" s="1"/>
      <c r="R384" s="1"/>
      <c r="S384" s="1"/>
    </row>
    <row r="385" spans="2:30" ht="12.75" customHeight="1">
      <c r="B385" s="8"/>
      <c r="E385" s="1"/>
      <c r="F385" s="24" t="s">
        <v>357</v>
      </c>
      <c r="G385" s="1"/>
      <c r="I385" s="1"/>
      <c r="J385" s="1"/>
      <c r="K385" s="1"/>
      <c r="L385" s="1"/>
      <c r="M385" s="1"/>
      <c r="N385" s="1"/>
      <c r="O385" s="1"/>
      <c r="P385" s="1"/>
      <c r="Q385" s="1"/>
      <c r="R385" s="1"/>
      <c r="S385" s="1"/>
    </row>
    <row r="386" spans="2:30" ht="12.75" customHeight="1">
      <c r="B386" s="8"/>
      <c r="E386" s="1" t="s">
        <v>56</v>
      </c>
      <c r="F386" s="895" t="s">
        <v>369</v>
      </c>
      <c r="G386" s="893"/>
      <c r="H386" s="893"/>
      <c r="I386" s="893"/>
      <c r="J386" s="893"/>
      <c r="K386" s="893"/>
      <c r="L386" s="893"/>
      <c r="M386" s="893"/>
      <c r="N386" s="893"/>
      <c r="O386" s="893"/>
      <c r="P386" s="893"/>
      <c r="Q386" s="893"/>
      <c r="R386" s="893"/>
      <c r="S386" s="893"/>
      <c r="T386" s="893"/>
      <c r="U386" s="893"/>
      <c r="V386" s="893"/>
      <c r="W386" s="893"/>
      <c r="X386" s="893"/>
      <c r="Y386" s="893"/>
      <c r="Z386" s="893"/>
      <c r="AA386" s="893"/>
      <c r="AB386" s="893"/>
      <c r="AC386" s="893"/>
      <c r="AD386" s="893"/>
    </row>
    <row r="387" spans="2:30" ht="12.75" customHeight="1">
      <c r="B387" s="8"/>
      <c r="E387" s="1"/>
      <c r="F387" s="893"/>
      <c r="G387" s="893"/>
      <c r="H387" s="893"/>
      <c r="I387" s="893"/>
      <c r="J387" s="893"/>
      <c r="K387" s="893"/>
      <c r="L387" s="893"/>
      <c r="M387" s="893"/>
      <c r="N387" s="893"/>
      <c r="O387" s="893"/>
      <c r="P387" s="893"/>
      <c r="Q387" s="893"/>
      <c r="R387" s="893"/>
      <c r="S387" s="893"/>
      <c r="T387" s="893"/>
      <c r="U387" s="893"/>
      <c r="V387" s="893"/>
      <c r="W387" s="893"/>
      <c r="X387" s="893"/>
      <c r="Y387" s="893"/>
      <c r="Z387" s="893"/>
      <c r="AA387" s="893"/>
      <c r="AB387" s="893"/>
      <c r="AC387" s="893"/>
      <c r="AD387" s="893"/>
    </row>
    <row r="388" spans="2:30" ht="12.75" customHeight="1">
      <c r="B388" s="8"/>
      <c r="E388" s="1"/>
      <c r="F388" s="893"/>
      <c r="G388" s="893"/>
      <c r="H388" s="893"/>
      <c r="I388" s="893"/>
      <c r="J388" s="893"/>
      <c r="K388" s="893"/>
      <c r="L388" s="893"/>
      <c r="M388" s="893"/>
      <c r="N388" s="893"/>
      <c r="O388" s="893"/>
      <c r="P388" s="893"/>
      <c r="Q388" s="893"/>
      <c r="R388" s="893"/>
      <c r="S388" s="893"/>
      <c r="T388" s="893"/>
      <c r="U388" s="893"/>
      <c r="V388" s="893"/>
      <c r="W388" s="893"/>
      <c r="X388" s="893"/>
      <c r="Y388" s="893"/>
      <c r="Z388" s="893"/>
      <c r="AA388" s="893"/>
      <c r="AB388" s="893"/>
      <c r="AC388" s="893"/>
      <c r="AD388" s="893"/>
    </row>
    <row r="389" spans="2:30" ht="12.75" customHeight="1">
      <c r="B389" s="8"/>
      <c r="E389" s="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2:30" ht="12.75" customHeight="1">
      <c r="B390" s="8"/>
      <c r="C390" s="8"/>
      <c r="D390" s="8" t="s">
        <v>147</v>
      </c>
      <c r="E390" s="8" t="s">
        <v>371</v>
      </c>
      <c r="F390" s="1"/>
      <c r="G390" s="8"/>
      <c r="I390" s="24"/>
      <c r="J390" s="1"/>
      <c r="K390" s="1"/>
      <c r="L390" s="1"/>
      <c r="M390" s="1"/>
      <c r="N390" s="1"/>
      <c r="O390" s="1"/>
      <c r="P390" s="1"/>
      <c r="Q390" s="1"/>
      <c r="R390" s="1"/>
      <c r="S390" s="1"/>
    </row>
    <row r="391" spans="2:30" ht="12.75" customHeight="1">
      <c r="B391" s="8"/>
      <c r="D391" s="8"/>
      <c r="E391" s="1" t="s">
        <v>372</v>
      </c>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row>
    <row r="392" spans="2:30" ht="12.75" customHeight="1">
      <c r="B392" s="8"/>
      <c r="E392" s="32" t="s">
        <v>363</v>
      </c>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row>
    <row r="393" spans="2:30" ht="12.75" customHeight="1">
      <c r="B393" s="8"/>
      <c r="S393" s="1"/>
    </row>
    <row r="394" spans="2:30" ht="12.75" hidden="1" customHeight="1">
      <c r="B394" s="8"/>
      <c r="S394" s="1"/>
    </row>
    <row r="395" spans="2:30" ht="12.75" hidden="1" customHeight="1">
      <c r="B395" s="8"/>
      <c r="S395" s="1"/>
    </row>
    <row r="396" spans="2:30" ht="12.75" hidden="1" customHeight="1">
      <c r="B396" s="8"/>
      <c r="S396" s="1"/>
    </row>
    <row r="397" spans="2:30" ht="12.75" hidden="1" customHeight="1">
      <c r="B397" s="8"/>
      <c r="S397" s="1"/>
    </row>
    <row r="398" spans="2:30" ht="12.75" hidden="1" customHeight="1">
      <c r="B398" s="8"/>
      <c r="S398" s="1"/>
    </row>
    <row r="399" spans="2:30" ht="12.75" hidden="1" customHeight="1">
      <c r="B399" s="8"/>
      <c r="S399" s="1"/>
    </row>
    <row r="400" spans="2:30" ht="12.75" hidden="1" customHeight="1">
      <c r="B400" s="8"/>
      <c r="S400" s="1"/>
    </row>
    <row r="401" spans="2:19" ht="12.75" hidden="1" customHeight="1">
      <c r="B401" s="8"/>
      <c r="S401" s="1"/>
    </row>
    <row r="402" spans="2:19" ht="12.75" hidden="1" customHeight="1">
      <c r="B402" s="8"/>
      <c r="S402" s="1"/>
    </row>
    <row r="403" spans="2:19" ht="12.75" hidden="1" customHeight="1">
      <c r="B403" s="8"/>
      <c r="S403" s="1"/>
    </row>
    <row r="404" spans="2:19" ht="12.75" hidden="1" customHeight="1">
      <c r="B404" s="8"/>
      <c r="S404" s="1"/>
    </row>
    <row r="405" spans="2:19" ht="12.75" hidden="1" customHeight="1">
      <c r="B405" s="8"/>
      <c r="S405" s="1"/>
    </row>
    <row r="406" spans="2:19" ht="12.75" hidden="1" customHeight="1">
      <c r="B406" s="8"/>
      <c r="D406" s="8"/>
      <c r="E406" s="1"/>
      <c r="F406" s="1"/>
      <c r="G406" s="1"/>
      <c r="H406" s="1"/>
      <c r="I406" s="1"/>
      <c r="J406" s="1"/>
      <c r="K406" s="1"/>
      <c r="L406" s="1"/>
      <c r="M406" s="1"/>
      <c r="N406" s="1"/>
      <c r="O406" s="1"/>
      <c r="P406" s="1"/>
      <c r="Q406" s="1"/>
      <c r="R406" s="1"/>
      <c r="S406" s="1"/>
    </row>
    <row r="407" spans="2:19" ht="12.75" hidden="1" customHeight="1">
      <c r="B407" s="8"/>
      <c r="D407" s="8"/>
      <c r="E407" s="1"/>
      <c r="F407" s="1"/>
      <c r="G407" s="1"/>
      <c r="H407" s="1"/>
      <c r="I407" s="1"/>
      <c r="J407" s="1"/>
      <c r="K407" s="1"/>
      <c r="L407" s="1"/>
      <c r="M407" s="1"/>
      <c r="N407" s="1"/>
      <c r="O407" s="1"/>
      <c r="P407" s="1"/>
      <c r="Q407" s="1"/>
      <c r="R407" s="1"/>
      <c r="S407" s="1"/>
    </row>
    <row r="408" spans="2:19" ht="12.75" hidden="1" customHeight="1">
      <c r="J408" s="1"/>
      <c r="K408" s="1"/>
      <c r="L408" s="1"/>
      <c r="M408" s="1"/>
      <c r="N408" s="1"/>
      <c r="O408" s="1"/>
      <c r="P408" s="1"/>
      <c r="Q408" s="1"/>
      <c r="R408" s="1"/>
      <c r="S408" s="1"/>
    </row>
    <row r="409" spans="2:19" ht="12.75" hidden="1" customHeight="1">
      <c r="J409" s="1"/>
      <c r="K409" s="1"/>
      <c r="L409" s="1"/>
      <c r="M409" s="1"/>
      <c r="N409" s="1"/>
      <c r="O409" s="1"/>
      <c r="P409" s="1"/>
      <c r="Q409" s="1"/>
      <c r="R409" s="1"/>
      <c r="S409" s="1"/>
    </row>
    <row r="410" spans="2:19" ht="12.75" hidden="1" customHeight="1">
      <c r="J410" s="1"/>
      <c r="K410" s="1"/>
      <c r="L410" s="1"/>
      <c r="M410" s="1"/>
      <c r="N410" s="1"/>
      <c r="O410" s="1"/>
      <c r="P410" s="1"/>
      <c r="Q410" s="1"/>
      <c r="R410" s="1"/>
      <c r="S410" s="1"/>
    </row>
    <row r="411" spans="2:19" ht="12.75" hidden="1" customHeight="1">
      <c r="J411" s="1"/>
      <c r="K411" s="1"/>
      <c r="L411" s="1"/>
      <c r="M411" s="1"/>
      <c r="N411" s="1"/>
      <c r="O411" s="1"/>
      <c r="P411" s="1"/>
      <c r="Q411" s="1"/>
      <c r="R411" s="1"/>
      <c r="S411" s="1"/>
    </row>
    <row r="412" spans="2:19" ht="12.75" hidden="1" customHeight="1">
      <c r="J412" s="1"/>
      <c r="K412" s="1"/>
      <c r="L412" s="1"/>
      <c r="M412" s="1"/>
      <c r="N412" s="1"/>
      <c r="O412" s="1"/>
      <c r="P412" s="1"/>
      <c r="Q412" s="1"/>
      <c r="R412" s="1"/>
      <c r="S412" s="1"/>
    </row>
    <row r="413" spans="2:19" ht="12.75" hidden="1" customHeight="1">
      <c r="J413" s="1"/>
      <c r="K413" s="1"/>
      <c r="L413" s="1"/>
      <c r="M413" s="1"/>
      <c r="N413" s="1"/>
      <c r="O413" s="1"/>
      <c r="P413" s="1"/>
      <c r="Q413" s="1"/>
      <c r="R413" s="1"/>
      <c r="S413" s="1"/>
    </row>
    <row r="414" spans="2:19" ht="12.75" hidden="1" customHeight="1">
      <c r="J414" s="1"/>
      <c r="K414" s="1"/>
      <c r="L414" s="1"/>
      <c r="M414" s="1"/>
      <c r="N414" s="1"/>
      <c r="O414" s="1"/>
      <c r="P414" s="1"/>
      <c r="Q414" s="1"/>
      <c r="R414" s="1"/>
      <c r="S414" s="1"/>
    </row>
    <row r="415" spans="2:19" ht="12.75" hidden="1" customHeight="1">
      <c r="J415" s="1"/>
      <c r="K415" s="1"/>
      <c r="L415" s="1"/>
      <c r="M415" s="1"/>
      <c r="N415" s="1"/>
      <c r="O415" s="1"/>
      <c r="P415" s="1"/>
      <c r="Q415" s="1"/>
      <c r="R415" s="1"/>
      <c r="S415" s="1"/>
    </row>
    <row r="416" spans="2:19" ht="12.75" hidden="1" customHeight="1">
      <c r="J416" s="1"/>
      <c r="K416" s="1"/>
      <c r="L416" s="1"/>
      <c r="M416" s="1"/>
      <c r="N416" s="1"/>
      <c r="O416" s="1"/>
      <c r="P416" s="1"/>
      <c r="Q416" s="1"/>
      <c r="R416" s="1"/>
      <c r="S416" s="1"/>
    </row>
    <row r="417" spans="2:19" ht="12.75" hidden="1" customHeight="1">
      <c r="L417" s="1"/>
      <c r="M417" s="1"/>
      <c r="N417" s="1"/>
      <c r="O417" s="1"/>
      <c r="P417" s="1"/>
      <c r="Q417" s="1"/>
      <c r="R417" s="1"/>
      <c r="S417" s="1"/>
    </row>
    <row r="418" spans="2:19" ht="12.75" hidden="1" customHeight="1">
      <c r="J418" s="1"/>
      <c r="K418" s="1"/>
      <c r="L418" s="1"/>
      <c r="M418" s="1"/>
      <c r="N418" s="1"/>
      <c r="O418" s="1"/>
      <c r="P418" s="1"/>
      <c r="Q418" s="1"/>
      <c r="R418" s="1"/>
      <c r="S418" s="1"/>
    </row>
    <row r="419" spans="2:19" ht="12.75" hidden="1" customHeight="1">
      <c r="B419" s="8"/>
      <c r="D419" s="8"/>
      <c r="E419" s="1"/>
      <c r="F419" s="1"/>
      <c r="G419" s="1"/>
      <c r="H419" s="1"/>
      <c r="I419" s="1"/>
      <c r="J419" s="1"/>
      <c r="K419" s="1"/>
      <c r="L419" s="1"/>
      <c r="M419" s="1"/>
      <c r="N419" s="1"/>
      <c r="O419" s="1"/>
      <c r="P419" s="1"/>
      <c r="Q419" s="1"/>
      <c r="R419" s="1"/>
      <c r="S419" s="1"/>
    </row>
    <row r="420" spans="2:19" ht="12.75" hidden="1" customHeight="1">
      <c r="B420" s="8"/>
      <c r="C420" s="8"/>
      <c r="D420" s="8"/>
      <c r="E420" s="1"/>
      <c r="F420" s="1"/>
      <c r="G420" s="1"/>
      <c r="H420" s="1"/>
      <c r="I420" s="1"/>
      <c r="J420" s="1"/>
      <c r="K420" s="1"/>
      <c r="L420" s="1"/>
      <c r="M420" s="1"/>
      <c r="N420" s="1"/>
      <c r="O420" s="1"/>
      <c r="P420" s="1"/>
      <c r="Q420" s="1"/>
      <c r="R420" s="1"/>
      <c r="S420" s="1"/>
    </row>
    <row r="421" spans="2:19" ht="12.75" hidden="1" customHeight="1">
      <c r="D421" s="8"/>
    </row>
    <row r="422" spans="2:19" ht="12.75" customHeight="1"/>
    <row r="423" spans="2:19" ht="12.75" customHeight="1"/>
    <row r="424" spans="2:19" ht="12.75" customHeight="1"/>
    <row r="425" spans="2:19" ht="12.75" customHeight="1"/>
    <row r="426" spans="2:19" ht="12.75" customHeight="1"/>
    <row r="427" spans="2:19" ht="12.75" customHeight="1"/>
    <row r="428" spans="2:19" ht="12.75" customHeight="1"/>
    <row r="429" spans="2:19" ht="12.75" customHeight="1"/>
    <row r="430" spans="2:19" ht="12.75" customHeight="1"/>
    <row r="431" spans="2:19" ht="12.75" customHeight="1"/>
    <row r="432" spans="2:19"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5">
    <mergeCell ref="A1:AD2"/>
    <mergeCell ref="D7:AD9"/>
    <mergeCell ref="D11:AD13"/>
    <mergeCell ref="D15:AD17"/>
    <mergeCell ref="J18:AD18"/>
    <mergeCell ref="D20:AD28"/>
    <mergeCell ref="D30:AD30"/>
    <mergeCell ref="E31:AD31"/>
    <mergeCell ref="D33:AD34"/>
    <mergeCell ref="E35:AD35"/>
    <mergeCell ref="E36:AD36"/>
    <mergeCell ref="F40:AD41"/>
    <mergeCell ref="F43:AD45"/>
    <mergeCell ref="F48:AD50"/>
    <mergeCell ref="G54:AD54"/>
    <mergeCell ref="G56:I56"/>
    <mergeCell ref="G57:AD58"/>
    <mergeCell ref="G64:AD66"/>
    <mergeCell ref="G67:AD68"/>
    <mergeCell ref="G70:AD71"/>
    <mergeCell ref="G72:AD73"/>
    <mergeCell ref="F336:AD338"/>
    <mergeCell ref="E341:AD345"/>
    <mergeCell ref="F346:AD349"/>
    <mergeCell ref="F350:AD352"/>
    <mergeCell ref="E365:AD366"/>
    <mergeCell ref="E367:AD368"/>
    <mergeCell ref="F386:AD388"/>
    <mergeCell ref="G80:AD82"/>
    <mergeCell ref="G84:AD86"/>
    <mergeCell ref="G88:AD90"/>
    <mergeCell ref="G92:AD93"/>
    <mergeCell ref="G95:AD97"/>
    <mergeCell ref="E98:AD99"/>
    <mergeCell ref="G205:AD206"/>
  </mergeCells>
  <hyperlinks>
    <hyperlink ref="J18" r:id="rId1" xr:uid="{00000000-0004-0000-0000-000000000000}"/>
    <hyperlink ref="E31" r:id="rId2" xr:uid="{00000000-0004-0000-0000-000001000000}"/>
    <hyperlink ref="E35" r:id="rId3" xr:uid="{00000000-0004-0000-0000-000002000000}"/>
    <hyperlink ref="E36" r:id="rId4" xr:uid="{00000000-0004-0000-0000-000003000000}"/>
  </hyperlinks>
  <pageMargins left="0.75" right="0.75" top="0.75" bottom="0.75" header="0" footer="0"/>
  <pageSetup orientation="portrait"/>
  <rowBreaks count="7" manualBreakCount="7">
    <brk id="160" man="1"/>
    <brk id="353" man="1"/>
    <brk id="100" man="1"/>
    <brk id="279" man="1"/>
    <brk id="328" man="1"/>
    <brk id="59" man="1"/>
    <brk id="220" man="1"/>
  </rowBreaks>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2.6328125" defaultRowHeight="15" customHeight="1"/>
  <cols>
    <col min="1" max="10" width="10.7265625" customWidth="1"/>
    <col min="11" max="26" width="8.6328125" customWidth="1"/>
  </cols>
  <sheetData>
    <row r="1" spans="1:26" ht="12" customHeight="1">
      <c r="A1" s="907" t="s">
        <v>0</v>
      </c>
      <c r="B1" s="893"/>
      <c r="C1" s="893"/>
      <c r="D1" s="893"/>
      <c r="E1" s="893"/>
      <c r="F1" s="893"/>
      <c r="G1" s="893"/>
      <c r="H1" s="893"/>
      <c r="I1" s="893"/>
      <c r="J1" s="893"/>
      <c r="K1" s="1"/>
      <c r="L1" s="1"/>
      <c r="M1" s="1"/>
      <c r="N1" s="1"/>
      <c r="O1" s="1"/>
      <c r="P1" s="1"/>
      <c r="Q1" s="1"/>
      <c r="R1" s="1"/>
      <c r="S1" s="1"/>
      <c r="T1" s="1"/>
      <c r="U1" s="1"/>
      <c r="V1" s="1"/>
      <c r="W1" s="1"/>
      <c r="X1" s="1"/>
      <c r="Y1" s="1"/>
      <c r="Z1" s="1"/>
    </row>
    <row r="2" spans="1:26" ht="12" customHeight="1">
      <c r="A2" s="908" t="s">
        <v>1</v>
      </c>
      <c r="B2" s="893"/>
      <c r="C2" s="893"/>
      <c r="D2" s="893"/>
      <c r="E2" s="893"/>
      <c r="F2" s="893"/>
      <c r="G2" s="893"/>
      <c r="H2" s="893"/>
      <c r="I2" s="893"/>
      <c r="J2" s="893"/>
      <c r="K2" s="1"/>
      <c r="L2" s="1"/>
      <c r="M2" s="1"/>
      <c r="N2" s="1"/>
      <c r="O2" s="1"/>
      <c r="P2" s="1"/>
      <c r="Q2" s="1"/>
      <c r="R2" s="1"/>
      <c r="S2" s="1"/>
      <c r="T2" s="1"/>
      <c r="U2" s="1"/>
      <c r="V2" s="1"/>
      <c r="W2" s="1"/>
      <c r="X2" s="1"/>
      <c r="Y2" s="1"/>
      <c r="Z2" s="1"/>
    </row>
    <row r="3" spans="1:26" ht="12" customHeight="1">
      <c r="A3" s="1"/>
      <c r="B3" s="1"/>
      <c r="C3" s="1"/>
      <c r="D3" s="1"/>
      <c r="E3" s="1"/>
      <c r="F3" s="1"/>
      <c r="G3" s="1"/>
      <c r="H3" s="1"/>
      <c r="I3" s="1"/>
      <c r="J3" s="1"/>
      <c r="K3" s="1"/>
      <c r="L3" s="1"/>
      <c r="M3" s="1"/>
      <c r="N3" s="1"/>
      <c r="O3" s="1"/>
      <c r="P3" s="1"/>
      <c r="Q3" s="1"/>
      <c r="R3" s="1"/>
      <c r="S3" s="1"/>
      <c r="T3" s="1"/>
      <c r="U3" s="1"/>
      <c r="V3" s="1"/>
      <c r="W3" s="1"/>
      <c r="X3" s="1"/>
      <c r="Y3" s="1"/>
      <c r="Z3" s="1"/>
    </row>
    <row r="4" spans="1:26" ht="12.75" customHeight="1">
      <c r="A4" s="909" t="s">
        <v>3</v>
      </c>
      <c r="B4" s="893"/>
      <c r="C4" s="893"/>
      <c r="D4" s="893"/>
      <c r="E4" s="893"/>
      <c r="F4" s="893"/>
      <c r="G4" s="893"/>
      <c r="H4" s="893"/>
      <c r="I4" s="893"/>
      <c r="J4" s="893"/>
      <c r="K4" s="1"/>
      <c r="L4" s="1"/>
      <c r="M4" s="1"/>
      <c r="N4" s="1"/>
      <c r="O4" s="1"/>
      <c r="P4" s="1"/>
      <c r="Q4" s="1"/>
      <c r="R4" s="1"/>
      <c r="S4" s="1"/>
      <c r="T4" s="1"/>
      <c r="U4" s="1"/>
      <c r="V4" s="1"/>
      <c r="W4" s="1"/>
      <c r="X4" s="1"/>
      <c r="Y4" s="1"/>
      <c r="Z4" s="1"/>
    </row>
    <row r="5" spans="1:26" ht="12" customHeight="1">
      <c r="A5" s="893"/>
      <c r="B5" s="893"/>
      <c r="C5" s="893"/>
      <c r="D5" s="893"/>
      <c r="E5" s="893"/>
      <c r="F5" s="893"/>
      <c r="G5" s="893"/>
      <c r="H5" s="893"/>
      <c r="I5" s="893"/>
      <c r="J5" s="893"/>
      <c r="K5" s="1"/>
      <c r="L5" s="1"/>
      <c r="M5" s="1"/>
      <c r="N5" s="1"/>
      <c r="O5" s="1"/>
      <c r="P5" s="1"/>
      <c r="Q5" s="1"/>
      <c r="R5" s="1"/>
      <c r="S5" s="1"/>
      <c r="T5" s="1"/>
      <c r="U5" s="1"/>
      <c r="V5" s="1"/>
      <c r="W5" s="1"/>
      <c r="X5" s="1"/>
      <c r="Y5" s="1"/>
      <c r="Z5" s="1"/>
    </row>
    <row r="6" spans="1:26" ht="30" customHeight="1">
      <c r="A6" s="893"/>
      <c r="B6" s="893"/>
      <c r="C6" s="893"/>
      <c r="D6" s="893"/>
      <c r="E6" s="893"/>
      <c r="F6" s="893"/>
      <c r="G6" s="893"/>
      <c r="H6" s="893"/>
      <c r="I6" s="893"/>
      <c r="J6" s="893"/>
      <c r="K6" s="1"/>
      <c r="L6" s="1"/>
      <c r="M6" s="1"/>
      <c r="N6" s="1"/>
      <c r="O6" s="1"/>
      <c r="P6" s="1"/>
      <c r="Q6" s="1"/>
      <c r="R6" s="1"/>
      <c r="S6" s="1"/>
      <c r="T6" s="1"/>
      <c r="U6" s="1"/>
      <c r="V6" s="1"/>
      <c r="W6" s="1"/>
      <c r="X6" s="1"/>
      <c r="Y6" s="1"/>
      <c r="Z6" s="1"/>
    </row>
    <row r="7" spans="1:26" ht="12" customHeight="1">
      <c r="A7" s="3"/>
      <c r="B7" s="3"/>
      <c r="C7" s="3"/>
      <c r="D7" s="3"/>
      <c r="E7" s="3"/>
      <c r="F7" s="3"/>
      <c r="G7" s="3"/>
      <c r="H7" s="3"/>
      <c r="I7" s="3"/>
      <c r="J7" s="3"/>
      <c r="K7" s="1"/>
      <c r="L7" s="1"/>
      <c r="M7" s="1"/>
      <c r="N7" s="1"/>
      <c r="O7" s="1"/>
      <c r="P7" s="1"/>
      <c r="Q7" s="1"/>
      <c r="R7" s="1"/>
      <c r="S7" s="1"/>
      <c r="T7" s="1"/>
      <c r="U7" s="1"/>
      <c r="V7" s="1"/>
      <c r="W7" s="1"/>
      <c r="X7" s="1"/>
      <c r="Y7" s="1"/>
      <c r="Z7" s="1"/>
    </row>
    <row r="8" spans="1:26" ht="12.75" customHeight="1">
      <c r="A8" s="1" t="s">
        <v>4</v>
      </c>
      <c r="B8" s="3"/>
      <c r="C8" s="3"/>
      <c r="D8" s="3"/>
      <c r="E8" s="3"/>
      <c r="F8" s="3"/>
      <c r="G8" s="3"/>
      <c r="H8" s="3"/>
      <c r="I8" s="3"/>
      <c r="J8" s="3"/>
      <c r="K8" s="1"/>
      <c r="L8" s="1"/>
      <c r="M8" s="1"/>
      <c r="N8" s="1"/>
      <c r="O8" s="1"/>
      <c r="P8" s="1"/>
      <c r="Q8" s="1"/>
      <c r="R8" s="1"/>
      <c r="S8" s="1"/>
      <c r="T8" s="1"/>
      <c r="U8" s="1"/>
      <c r="V8" s="1"/>
      <c r="W8" s="1"/>
      <c r="X8" s="1"/>
      <c r="Y8" s="1"/>
      <c r="Z8" s="1"/>
    </row>
    <row r="9" spans="1:26" ht="12" customHeight="1">
      <c r="A9" s="1"/>
      <c r="B9" s="1"/>
      <c r="C9" s="1"/>
      <c r="D9" s="1"/>
      <c r="E9" s="1"/>
      <c r="F9" s="1"/>
      <c r="G9" s="1"/>
      <c r="H9" s="1"/>
      <c r="I9" s="1"/>
      <c r="J9" s="1"/>
      <c r="K9" s="1"/>
      <c r="L9" s="1"/>
      <c r="M9" s="1"/>
      <c r="N9" s="1"/>
      <c r="O9" s="1"/>
      <c r="P9" s="1"/>
      <c r="Q9" s="1"/>
      <c r="R9" s="1"/>
      <c r="S9" s="1"/>
      <c r="T9" s="1"/>
      <c r="U9" s="1"/>
      <c r="V9" s="1"/>
      <c r="W9" s="1"/>
      <c r="X9" s="1"/>
      <c r="Y9" s="1"/>
      <c r="Z9" s="1"/>
    </row>
    <row r="10" spans="1:26" ht="12.75" customHeight="1">
      <c r="A10" s="910" t="s">
        <v>5</v>
      </c>
      <c r="B10" s="893"/>
      <c r="C10" s="893"/>
      <c r="D10" s="893"/>
      <c r="E10" s="893"/>
      <c r="F10" s="893"/>
      <c r="G10" s="893"/>
      <c r="H10" s="893"/>
      <c r="I10" s="893"/>
      <c r="J10" s="893"/>
      <c r="K10" s="1"/>
      <c r="L10" s="1"/>
      <c r="M10" s="1"/>
      <c r="N10" s="1"/>
      <c r="O10" s="1"/>
      <c r="P10" s="1"/>
      <c r="Q10" s="1"/>
      <c r="R10" s="1"/>
      <c r="S10" s="1"/>
      <c r="T10" s="1"/>
      <c r="U10" s="1"/>
      <c r="V10" s="1"/>
      <c r="W10" s="1"/>
      <c r="X10" s="1"/>
      <c r="Y10" s="1"/>
      <c r="Z10" s="1"/>
    </row>
    <row r="11" spans="1:26" ht="12" customHeight="1">
      <c r="A11" s="893"/>
      <c r="B11" s="893"/>
      <c r="C11" s="893"/>
      <c r="D11" s="893"/>
      <c r="E11" s="893"/>
      <c r="F11" s="893"/>
      <c r="G11" s="893"/>
      <c r="H11" s="893"/>
      <c r="I11" s="893"/>
      <c r="J11" s="893"/>
      <c r="K11" s="1"/>
      <c r="L11" s="1"/>
      <c r="M11" s="1"/>
      <c r="N11" s="1"/>
      <c r="O11" s="1"/>
      <c r="P11" s="1"/>
      <c r="Q11" s="1"/>
      <c r="R11" s="1"/>
      <c r="S11" s="1"/>
      <c r="T11" s="1"/>
      <c r="U11" s="1"/>
      <c r="V11" s="1"/>
      <c r="W11" s="1"/>
      <c r="X11" s="1"/>
      <c r="Y11" s="1"/>
      <c r="Z11" s="1"/>
    </row>
    <row r="12" spans="1:26" ht="12" customHeight="1">
      <c r="A12" s="893"/>
      <c r="B12" s="893"/>
      <c r="C12" s="893"/>
      <c r="D12" s="893"/>
      <c r="E12" s="893"/>
      <c r="F12" s="893"/>
      <c r="G12" s="893"/>
      <c r="H12" s="893"/>
      <c r="I12" s="893"/>
      <c r="J12" s="893"/>
      <c r="K12" s="1"/>
      <c r="L12" s="1"/>
      <c r="M12" s="1"/>
      <c r="N12" s="1"/>
      <c r="O12" s="1"/>
      <c r="P12" s="1"/>
      <c r="Q12" s="1"/>
      <c r="R12" s="1"/>
      <c r="S12" s="1"/>
      <c r="T12" s="1"/>
      <c r="U12" s="1"/>
      <c r="V12" s="1"/>
      <c r="W12" s="1"/>
      <c r="X12" s="1"/>
      <c r="Y12" s="1"/>
      <c r="Z12" s="1"/>
    </row>
    <row r="13" spans="1:26" ht="12" customHeight="1">
      <c r="A13" s="893"/>
      <c r="B13" s="893"/>
      <c r="C13" s="893"/>
      <c r="D13" s="893"/>
      <c r="E13" s="893"/>
      <c r="F13" s="893"/>
      <c r="G13" s="893"/>
      <c r="H13" s="893"/>
      <c r="I13" s="893"/>
      <c r="J13" s="893"/>
      <c r="K13" s="1"/>
      <c r="L13" s="1"/>
      <c r="M13" s="1"/>
      <c r="N13" s="1"/>
      <c r="O13" s="1"/>
      <c r="P13" s="1"/>
      <c r="Q13" s="1"/>
      <c r="R13" s="1"/>
      <c r="S13" s="1"/>
      <c r="T13" s="1"/>
      <c r="U13" s="1"/>
      <c r="V13" s="1"/>
      <c r="W13" s="1"/>
      <c r="X13" s="1"/>
      <c r="Y13" s="1"/>
      <c r="Z13" s="1"/>
    </row>
    <row r="14" spans="1:26" ht="12" customHeight="1">
      <c r="A14" s="893"/>
      <c r="B14" s="893"/>
      <c r="C14" s="893"/>
      <c r="D14" s="893"/>
      <c r="E14" s="893"/>
      <c r="F14" s="893"/>
      <c r="G14" s="893"/>
      <c r="H14" s="893"/>
      <c r="I14" s="893"/>
      <c r="J14" s="893"/>
      <c r="K14" s="1"/>
      <c r="L14" s="1"/>
      <c r="M14" s="1"/>
      <c r="N14" s="1"/>
      <c r="O14" s="1"/>
      <c r="P14" s="1"/>
      <c r="Q14" s="1"/>
      <c r="R14" s="1"/>
      <c r="S14" s="1"/>
      <c r="T14" s="1"/>
      <c r="U14" s="1"/>
      <c r="V14" s="1"/>
      <c r="W14" s="1"/>
      <c r="X14" s="1"/>
      <c r="Y14" s="1"/>
      <c r="Z14" s="1"/>
    </row>
    <row r="15" spans="1:26" ht="12" customHeight="1">
      <c r="A15" s="893"/>
      <c r="B15" s="893"/>
      <c r="C15" s="893"/>
      <c r="D15" s="893"/>
      <c r="E15" s="893"/>
      <c r="F15" s="893"/>
      <c r="G15" s="893"/>
      <c r="H15" s="893"/>
      <c r="I15" s="893"/>
      <c r="J15" s="893"/>
      <c r="K15" s="1"/>
      <c r="L15" s="1"/>
      <c r="M15" s="1"/>
      <c r="N15" s="1"/>
      <c r="O15" s="1"/>
      <c r="P15" s="1"/>
      <c r="Q15" s="1"/>
      <c r="R15" s="1"/>
      <c r="S15" s="1"/>
      <c r="T15" s="1"/>
      <c r="U15" s="1"/>
      <c r="V15" s="1"/>
      <c r="W15" s="1"/>
      <c r="X15" s="1"/>
      <c r="Y15" s="1"/>
      <c r="Z15" s="1"/>
    </row>
    <row r="16" spans="1:26" ht="12" customHeight="1">
      <c r="A16" s="4"/>
      <c r="B16" s="4"/>
      <c r="C16" s="4"/>
      <c r="D16" s="4"/>
      <c r="E16" s="4"/>
      <c r="F16" s="4"/>
      <c r="G16" s="4"/>
      <c r="H16" s="4"/>
      <c r="I16" s="4"/>
      <c r="J16" s="4"/>
      <c r="K16" s="1"/>
      <c r="L16" s="1"/>
      <c r="M16" s="1"/>
      <c r="N16" s="1"/>
      <c r="O16" s="1"/>
      <c r="P16" s="1"/>
      <c r="Q16" s="1"/>
      <c r="R16" s="1"/>
      <c r="S16" s="1"/>
      <c r="T16" s="1"/>
      <c r="U16" s="1"/>
      <c r="V16" s="1"/>
      <c r="W16" s="1"/>
      <c r="X16" s="1"/>
      <c r="Y16" s="1"/>
      <c r="Z16" s="1"/>
    </row>
    <row r="17" spans="1:26" ht="12" customHeight="1">
      <c r="A17" s="1" t="s">
        <v>8</v>
      </c>
      <c r="B17" s="3"/>
      <c r="C17" s="3"/>
      <c r="D17" s="3"/>
      <c r="E17" s="3"/>
      <c r="F17" s="3"/>
      <c r="G17" s="3"/>
      <c r="H17" s="3"/>
      <c r="I17" s="3"/>
      <c r="J17" s="3"/>
      <c r="K17" s="1"/>
      <c r="L17" s="1"/>
      <c r="M17" s="1"/>
      <c r="N17" s="1"/>
      <c r="O17" s="1"/>
      <c r="P17" s="1"/>
      <c r="Q17" s="1"/>
      <c r="R17" s="1"/>
      <c r="S17" s="1"/>
      <c r="T17" s="1"/>
      <c r="U17" s="1"/>
      <c r="V17" s="1"/>
      <c r="W17" s="1"/>
      <c r="X17" s="1"/>
      <c r="Y17" s="1"/>
      <c r="Z17" s="1"/>
    </row>
    <row r="18" spans="1:26" ht="12" customHeight="1">
      <c r="A18" s="3" t="s">
        <v>9</v>
      </c>
      <c r="B18" s="3"/>
      <c r="C18" s="3"/>
      <c r="D18" s="3"/>
      <c r="E18" s="3"/>
      <c r="F18" s="3"/>
      <c r="G18" s="3"/>
      <c r="H18" s="3"/>
      <c r="I18" s="3"/>
      <c r="J18" s="3"/>
      <c r="K18" s="1"/>
      <c r="L18" s="1"/>
      <c r="M18" s="1"/>
      <c r="N18" s="1"/>
      <c r="O18" s="1"/>
      <c r="P18" s="1"/>
      <c r="Q18" s="1"/>
      <c r="R18" s="1"/>
      <c r="S18" s="1"/>
      <c r="T18" s="1"/>
      <c r="U18" s="1"/>
      <c r="V18" s="1"/>
      <c r="W18" s="1"/>
      <c r="X18" s="1"/>
      <c r="Y18" s="1"/>
      <c r="Z18" s="1"/>
    </row>
    <row r="19" spans="1:26" ht="12" customHeight="1">
      <c r="A19" s="911" t="s">
        <v>10</v>
      </c>
      <c r="B19" s="893"/>
      <c r="C19" s="893"/>
      <c r="D19" s="893"/>
      <c r="E19" s="893"/>
      <c r="F19" s="1"/>
      <c r="G19" s="1"/>
      <c r="H19" s="1"/>
      <c r="I19" s="1"/>
      <c r="J19" s="1"/>
      <c r="K19" s="1"/>
      <c r="L19" s="1"/>
      <c r="M19" s="1"/>
      <c r="N19" s="1"/>
      <c r="O19" s="1"/>
      <c r="P19" s="1"/>
      <c r="Q19" s="1"/>
      <c r="R19" s="1"/>
      <c r="S19" s="1"/>
      <c r="T19" s="1"/>
      <c r="U19" s="1"/>
      <c r="V19" s="1"/>
      <c r="W19" s="1"/>
      <c r="X19" s="1"/>
      <c r="Y19" s="1"/>
      <c r="Z19" s="1"/>
    </row>
    <row r="20" spans="1:26" ht="12"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909" t="s">
        <v>49</v>
      </c>
      <c r="B76" s="893"/>
      <c r="C76" s="893"/>
      <c r="D76" s="893"/>
      <c r="E76" s="893"/>
      <c r="F76" s="893"/>
      <c r="G76" s="893"/>
      <c r="H76" s="893"/>
      <c r="I76" s="893"/>
      <c r="J76" s="893"/>
      <c r="K76" s="1"/>
      <c r="L76" s="1"/>
      <c r="M76" s="1"/>
      <c r="N76" s="1"/>
      <c r="O76" s="1"/>
      <c r="P76" s="1"/>
      <c r="Q76" s="1"/>
      <c r="R76" s="1"/>
      <c r="S76" s="1"/>
      <c r="T76" s="1"/>
      <c r="U76" s="1"/>
      <c r="V76" s="1"/>
      <c r="W76" s="1"/>
      <c r="X76" s="1"/>
      <c r="Y76" s="1"/>
      <c r="Z76" s="1"/>
    </row>
    <row r="77" spans="1:26" ht="12" customHeight="1">
      <c r="A77" s="893"/>
      <c r="B77" s="893"/>
      <c r="C77" s="893"/>
      <c r="D77" s="893"/>
      <c r="E77" s="893"/>
      <c r="F77" s="893"/>
      <c r="G77" s="893"/>
      <c r="H77" s="893"/>
      <c r="I77" s="893"/>
      <c r="J77" s="893"/>
      <c r="K77" s="1"/>
      <c r="L77" s="1"/>
      <c r="M77" s="1"/>
      <c r="N77" s="1"/>
      <c r="O77" s="1"/>
      <c r="P77" s="1"/>
      <c r="Q77" s="1"/>
      <c r="R77" s="1"/>
      <c r="S77" s="1"/>
      <c r="T77" s="1"/>
      <c r="U77" s="1"/>
      <c r="V77" s="1"/>
      <c r="W77" s="1"/>
      <c r="X77" s="1"/>
      <c r="Y77" s="1"/>
      <c r="Z77" s="1"/>
    </row>
    <row r="78" spans="1:26" ht="12" customHeight="1">
      <c r="A78" s="893"/>
      <c r="B78" s="893"/>
      <c r="C78" s="893"/>
      <c r="D78" s="893"/>
      <c r="E78" s="893"/>
      <c r="F78" s="893"/>
      <c r="G78" s="893"/>
      <c r="H78" s="893"/>
      <c r="I78" s="893"/>
      <c r="J78" s="893"/>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t="s">
        <v>10</v>
      </c>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912" t="s">
        <v>62</v>
      </c>
      <c r="B89" s="893"/>
      <c r="C89" s="893"/>
      <c r="D89" s="893"/>
      <c r="E89" s="893"/>
      <c r="F89" s="893"/>
      <c r="G89" s="893"/>
      <c r="H89" s="893"/>
      <c r="I89" s="893"/>
      <c r="J89" s="1"/>
      <c r="K89" s="1"/>
      <c r="L89" s="1"/>
      <c r="M89" s="1"/>
      <c r="N89" s="1"/>
      <c r="O89" s="1"/>
      <c r="P89" s="1"/>
      <c r="Q89" s="1"/>
      <c r="R89" s="1"/>
      <c r="S89" s="1"/>
      <c r="T89" s="1"/>
      <c r="U89" s="1"/>
      <c r="V89" s="1"/>
      <c r="W89" s="1"/>
      <c r="X89" s="1"/>
      <c r="Y89" s="1"/>
      <c r="Z89" s="1"/>
    </row>
    <row r="90" spans="1:26" ht="12" customHeight="1">
      <c r="A90" s="898" t="s">
        <v>64</v>
      </c>
      <c r="B90" s="893"/>
      <c r="C90" s="893"/>
      <c r="D90" s="893"/>
      <c r="E90" s="893"/>
      <c r="F90" s="1"/>
      <c r="G90" s="1"/>
      <c r="H90" s="1"/>
      <c r="I90" s="1"/>
      <c r="J90" s="1"/>
      <c r="K90" s="1"/>
      <c r="L90" s="1"/>
      <c r="M90" s="1"/>
      <c r="N90" s="1"/>
      <c r="O90" s="1"/>
      <c r="P90" s="1"/>
      <c r="Q90" s="1"/>
      <c r="R90" s="1"/>
      <c r="S90" s="1"/>
      <c r="T90" s="1"/>
      <c r="U90" s="1"/>
      <c r="V90" s="1"/>
      <c r="W90" s="1"/>
      <c r="X90" s="1"/>
      <c r="Y90" s="1"/>
      <c r="Z90" s="1"/>
    </row>
    <row r="91" spans="1:26" ht="12" customHeight="1">
      <c r="A91" s="898" t="s">
        <v>71</v>
      </c>
      <c r="B91" s="893"/>
      <c r="C91" s="893"/>
      <c r="D91" s="893"/>
      <c r="E91" s="893"/>
      <c r="F91" s="1"/>
      <c r="G91" s="1"/>
      <c r="H91" s="1"/>
      <c r="I91" s="1"/>
      <c r="J91" s="1"/>
      <c r="K91" s="1"/>
      <c r="L91" s="1"/>
      <c r="M91" s="1"/>
      <c r="N91" s="1"/>
      <c r="O91" s="1"/>
      <c r="P91" s="1"/>
      <c r="Q91" s="1"/>
      <c r="R91" s="1"/>
      <c r="S91" s="1"/>
      <c r="T91" s="1"/>
      <c r="U91" s="1"/>
      <c r="V91" s="1"/>
      <c r="W91" s="1"/>
      <c r="X91" s="1"/>
      <c r="Y91" s="1"/>
      <c r="Z91" s="1"/>
    </row>
    <row r="92" spans="1:26" ht="12" customHeight="1">
      <c r="A92" s="898" t="s">
        <v>75</v>
      </c>
      <c r="B92" s="893"/>
      <c r="C92" s="893"/>
      <c r="D92" s="893"/>
      <c r="E92" s="893"/>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hidden="1"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A90:E90"/>
    <mergeCell ref="A91:E91"/>
    <mergeCell ref="A92:E92"/>
    <mergeCell ref="A1:J1"/>
    <mergeCell ref="A2:J2"/>
    <mergeCell ref="A4:J6"/>
    <mergeCell ref="A10:J15"/>
    <mergeCell ref="A19:E19"/>
    <mergeCell ref="A76:J78"/>
    <mergeCell ref="A89:I89"/>
  </mergeCells>
  <hyperlinks>
    <hyperlink ref="A90" r:id="rId1" xr:uid="{00000000-0004-0000-0100-000000000000}"/>
    <hyperlink ref="A91" r:id="rId2" xr:uid="{00000000-0004-0000-0100-000001000000}"/>
    <hyperlink ref="A92" r:id="rId3" xr:uid="{00000000-0004-0000-0100-000002000000}"/>
  </hyperlinks>
  <pageMargins left="0.7" right="0.7" top="0.75" bottom="0.75" header="0" footer="0"/>
  <pageSetup orientation="portrait"/>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407"/>
  <sheetViews>
    <sheetView showGridLines="0" workbookViewId="0"/>
  </sheetViews>
  <sheetFormatPr defaultColWidth="12.6328125" defaultRowHeight="15" customHeight="1"/>
  <cols>
    <col min="1" max="1" width="3.6328125" customWidth="1"/>
    <col min="2" max="2" width="13.6328125" customWidth="1"/>
    <col min="3" max="3" width="2.6328125" customWidth="1"/>
    <col min="4" max="5" width="3.6328125" customWidth="1"/>
    <col min="6" max="6" width="65.6328125" customWidth="1"/>
    <col min="7" max="7" width="1.6328125" customWidth="1"/>
    <col min="8" max="8" width="3.6328125" customWidth="1"/>
    <col min="9" max="9" width="9.08984375" customWidth="1"/>
    <col min="10" max="13" width="8.90625" hidden="1" customWidth="1"/>
    <col min="14" max="26" width="8.6328125" customWidth="1"/>
  </cols>
  <sheetData>
    <row r="1" spans="1:26" ht="12.75" customHeight="1">
      <c r="A1" s="7"/>
      <c r="B1" s="7"/>
      <c r="C1" s="7"/>
      <c r="D1" s="1"/>
      <c r="E1" s="1"/>
      <c r="F1" s="1"/>
      <c r="G1" s="1"/>
      <c r="H1" s="1"/>
      <c r="I1" s="8"/>
      <c r="J1" s="1"/>
      <c r="K1" s="1"/>
      <c r="L1" s="1"/>
      <c r="M1" s="1"/>
      <c r="N1" s="1"/>
      <c r="O1" s="1"/>
      <c r="P1" s="1"/>
      <c r="Q1" s="1"/>
      <c r="R1" s="1"/>
      <c r="S1" s="1"/>
      <c r="T1" s="1"/>
      <c r="U1" s="1"/>
      <c r="V1" s="1"/>
      <c r="W1" s="1"/>
      <c r="X1" s="1"/>
      <c r="Y1" s="1"/>
      <c r="Z1" s="1"/>
    </row>
    <row r="2" spans="1:26" ht="12.75" customHeight="1">
      <c r="A2" s="938" t="s">
        <v>11</v>
      </c>
      <c r="B2" s="893"/>
      <c r="C2" s="893"/>
      <c r="D2" s="893"/>
      <c r="E2" s="893"/>
      <c r="F2" s="893"/>
      <c r="G2" s="893"/>
      <c r="H2" s="893"/>
      <c r="I2" s="893"/>
      <c r="J2" s="1"/>
      <c r="K2" s="1"/>
      <c r="L2" s="1"/>
      <c r="M2" s="1"/>
      <c r="N2" s="1"/>
      <c r="O2" s="1"/>
      <c r="P2" s="1"/>
      <c r="Q2" s="1"/>
      <c r="R2" s="1"/>
      <c r="S2" s="1"/>
      <c r="T2" s="1"/>
      <c r="U2" s="1"/>
      <c r="V2" s="1"/>
      <c r="W2" s="1"/>
      <c r="X2" s="1"/>
      <c r="Y2" s="1"/>
      <c r="Z2" s="1"/>
    </row>
    <row r="3" spans="1:26" ht="12.75" customHeight="1">
      <c r="A3" s="939" t="s">
        <v>14</v>
      </c>
      <c r="B3" s="893"/>
      <c r="C3" s="893"/>
      <c r="D3" s="893"/>
      <c r="E3" s="893"/>
      <c r="F3" s="893"/>
      <c r="G3" s="893"/>
      <c r="H3" s="893"/>
      <c r="I3" s="893"/>
      <c r="J3" s="1"/>
      <c r="K3" s="1"/>
      <c r="L3" s="1"/>
      <c r="M3" s="1"/>
      <c r="N3" s="1"/>
      <c r="O3" s="1"/>
      <c r="P3" s="1"/>
      <c r="Q3" s="1"/>
      <c r="R3" s="1"/>
      <c r="S3" s="1"/>
      <c r="T3" s="1"/>
      <c r="U3" s="1"/>
      <c r="V3" s="1"/>
      <c r="W3" s="1"/>
      <c r="X3" s="1"/>
      <c r="Y3" s="1"/>
      <c r="Z3" s="1"/>
    </row>
    <row r="4" spans="1:26" ht="12.75" customHeight="1">
      <c r="A4" s="939"/>
      <c r="B4" s="893"/>
      <c r="C4" s="893"/>
      <c r="D4" s="893"/>
      <c r="E4" s="893"/>
      <c r="F4" s="893"/>
      <c r="G4" s="893"/>
      <c r="H4" s="1"/>
      <c r="I4" s="8"/>
      <c r="J4" s="1"/>
      <c r="K4" s="1"/>
      <c r="L4" s="1"/>
      <c r="M4" s="1"/>
      <c r="N4" s="1"/>
      <c r="O4" s="1"/>
      <c r="P4" s="1"/>
      <c r="Q4" s="1"/>
      <c r="R4" s="1"/>
      <c r="S4" s="1"/>
      <c r="T4" s="1"/>
      <c r="U4" s="1"/>
      <c r="V4" s="1"/>
      <c r="W4" s="1"/>
      <c r="X4" s="1"/>
      <c r="Y4" s="1"/>
      <c r="Z4" s="1"/>
    </row>
    <row r="5" spans="1:26" ht="12.75" customHeight="1">
      <c r="A5" s="939"/>
      <c r="B5" s="893"/>
      <c r="C5" s="893"/>
      <c r="D5" s="893"/>
      <c r="E5" s="893"/>
      <c r="F5" s="893"/>
      <c r="G5" s="893"/>
      <c r="H5" s="1"/>
      <c r="I5" s="8"/>
      <c r="J5" s="1"/>
      <c r="K5" s="1"/>
      <c r="L5" s="1"/>
      <c r="M5" s="1"/>
      <c r="N5" s="1"/>
      <c r="O5" s="1"/>
      <c r="P5" s="1"/>
      <c r="Q5" s="1"/>
      <c r="R5" s="1"/>
      <c r="S5" s="1"/>
      <c r="T5" s="1"/>
      <c r="U5" s="1"/>
      <c r="V5" s="1"/>
      <c r="W5" s="1"/>
      <c r="X5" s="1"/>
      <c r="Y5" s="1"/>
      <c r="Z5" s="1"/>
    </row>
    <row r="6" spans="1:26" ht="12.75" customHeight="1">
      <c r="A6" s="940" t="s">
        <v>16</v>
      </c>
      <c r="B6" s="893"/>
      <c r="C6" s="893"/>
      <c r="D6" s="893"/>
      <c r="E6" s="893"/>
      <c r="F6" s="893"/>
      <c r="G6" s="893"/>
      <c r="H6" s="1"/>
      <c r="I6" s="10"/>
      <c r="J6" s="1"/>
      <c r="K6" s="1"/>
      <c r="L6" s="1"/>
      <c r="M6" s="1"/>
      <c r="N6" s="1"/>
      <c r="O6" s="1"/>
      <c r="P6" s="1"/>
      <c r="Q6" s="1"/>
      <c r="R6" s="1"/>
      <c r="S6" s="1"/>
      <c r="T6" s="1"/>
      <c r="U6" s="1"/>
      <c r="V6" s="1"/>
      <c r="W6" s="1"/>
      <c r="X6" s="1"/>
      <c r="Y6" s="1"/>
      <c r="Z6" s="1"/>
    </row>
    <row r="7" spans="1:26" ht="12.75" customHeight="1">
      <c r="A7" s="893"/>
      <c r="B7" s="893"/>
      <c r="C7" s="893"/>
      <c r="D7" s="893"/>
      <c r="E7" s="893"/>
      <c r="F7" s="893"/>
      <c r="G7" s="893"/>
      <c r="H7" s="1"/>
      <c r="I7" s="10"/>
      <c r="J7" s="1"/>
      <c r="K7" s="1"/>
      <c r="L7" s="1"/>
      <c r="M7" s="1"/>
      <c r="N7" s="1"/>
      <c r="O7" s="1"/>
      <c r="P7" s="1"/>
      <c r="Q7" s="1"/>
      <c r="R7" s="1"/>
      <c r="S7" s="1"/>
      <c r="T7" s="1"/>
      <c r="U7" s="1"/>
      <c r="V7" s="1"/>
      <c r="W7" s="1"/>
      <c r="X7" s="1"/>
      <c r="Y7" s="1"/>
      <c r="Z7" s="1"/>
    </row>
    <row r="8" spans="1:26" ht="12.75" customHeight="1">
      <c r="A8" s="12"/>
      <c r="B8" s="12"/>
      <c r="C8" s="9"/>
      <c r="D8" s="9"/>
      <c r="E8" s="9"/>
      <c r="F8" s="9"/>
      <c r="G8" s="1"/>
      <c r="H8" s="1"/>
      <c r="I8" s="8"/>
      <c r="J8" s="1"/>
      <c r="K8" s="1"/>
      <c r="L8" s="1"/>
      <c r="M8" s="1"/>
      <c r="N8" s="1"/>
      <c r="O8" s="1"/>
      <c r="P8" s="1"/>
      <c r="Q8" s="1"/>
      <c r="R8" s="1"/>
      <c r="S8" s="1"/>
      <c r="T8" s="1"/>
      <c r="U8" s="1"/>
      <c r="V8" s="1"/>
      <c r="W8" s="1"/>
      <c r="X8" s="1"/>
      <c r="Y8" s="1"/>
      <c r="Z8" s="1"/>
    </row>
    <row r="9" spans="1:26" ht="12.75" customHeight="1">
      <c r="A9" s="920" t="s">
        <v>19</v>
      </c>
      <c r="B9" s="921"/>
      <c r="C9" s="921"/>
      <c r="D9" s="921"/>
      <c r="E9" s="921"/>
      <c r="F9" s="921"/>
      <c r="G9" s="921"/>
      <c r="H9" s="5"/>
      <c r="I9" s="6"/>
      <c r="J9" s="1"/>
      <c r="K9" s="1"/>
      <c r="L9" s="1"/>
      <c r="M9" s="1"/>
      <c r="N9" s="1"/>
      <c r="O9" s="1"/>
      <c r="P9" s="1"/>
      <c r="Q9" s="1"/>
      <c r="R9" s="1"/>
      <c r="S9" s="1"/>
      <c r="T9" s="1"/>
      <c r="U9" s="1"/>
      <c r="V9" s="1"/>
      <c r="W9" s="1"/>
      <c r="X9" s="1"/>
      <c r="Y9" s="1"/>
      <c r="Z9" s="1"/>
    </row>
    <row r="10" spans="1:26" ht="12.75" customHeight="1">
      <c r="A10" s="9"/>
      <c r="B10" s="9"/>
      <c r="C10" s="7"/>
      <c r="D10" s="1"/>
      <c r="E10" s="8"/>
      <c r="F10" s="1"/>
      <c r="G10" s="1"/>
      <c r="H10" s="1"/>
      <c r="I10" s="8"/>
      <c r="J10" s="1"/>
      <c r="K10" s="1"/>
      <c r="L10" s="1"/>
      <c r="M10" s="1"/>
      <c r="N10" s="1"/>
      <c r="O10" s="1"/>
      <c r="P10" s="1"/>
      <c r="Q10" s="1"/>
      <c r="R10" s="1"/>
      <c r="S10" s="1"/>
      <c r="T10" s="1"/>
      <c r="U10" s="1"/>
      <c r="V10" s="1"/>
      <c r="W10" s="1"/>
      <c r="X10" s="1"/>
      <c r="Y10" s="1"/>
      <c r="Z10" s="1"/>
    </row>
    <row r="11" spans="1:26" ht="13.5" customHeight="1">
      <c r="A11" s="7"/>
      <c r="B11" s="7"/>
      <c r="C11" s="9"/>
      <c r="D11" s="941" t="s">
        <v>22</v>
      </c>
      <c r="E11" s="893"/>
      <c r="F11" s="893"/>
      <c r="G11" s="1"/>
      <c r="H11" s="1"/>
      <c r="I11" s="8"/>
      <c r="J11" s="1"/>
      <c r="K11" s="1"/>
      <c r="L11" s="1"/>
      <c r="M11" s="1"/>
      <c r="N11" s="1"/>
      <c r="O11" s="1"/>
      <c r="P11" s="1"/>
      <c r="Q11" s="1"/>
      <c r="R11" s="1"/>
      <c r="S11" s="1"/>
      <c r="T11" s="1"/>
      <c r="U11" s="1"/>
      <c r="V11" s="1"/>
      <c r="W11" s="1"/>
      <c r="X11" s="1"/>
      <c r="Y11" s="1"/>
      <c r="Z11" s="1"/>
    </row>
    <row r="12" spans="1:26" ht="12.75" customHeight="1">
      <c r="A12" s="7"/>
      <c r="B12" s="7"/>
      <c r="C12" s="9"/>
      <c r="D12" s="893"/>
      <c r="E12" s="893"/>
      <c r="F12" s="893"/>
      <c r="G12" s="1"/>
      <c r="H12" s="1"/>
      <c r="I12" s="8"/>
      <c r="J12" s="1"/>
      <c r="K12" s="1"/>
      <c r="L12" s="1"/>
      <c r="M12" s="1"/>
      <c r="N12" s="1"/>
      <c r="O12" s="1"/>
      <c r="P12" s="1"/>
      <c r="Q12" s="1"/>
      <c r="R12" s="1"/>
      <c r="S12" s="1"/>
      <c r="T12" s="1"/>
      <c r="U12" s="1"/>
      <c r="V12" s="1"/>
      <c r="W12" s="1"/>
      <c r="X12" s="1"/>
      <c r="Y12" s="1"/>
      <c r="Z12" s="1"/>
    </row>
    <row r="13" spans="1:26" ht="12.75" customHeight="1">
      <c r="A13" s="16"/>
      <c r="B13" s="16"/>
      <c r="C13" s="16"/>
      <c r="D13" s="915" t="s">
        <v>23</v>
      </c>
      <c r="E13" s="893"/>
      <c r="F13" s="893"/>
      <c r="G13" s="1"/>
      <c r="H13" s="1"/>
      <c r="I13" s="8"/>
      <c r="J13" s="1"/>
      <c r="K13" s="1"/>
      <c r="L13" s="1"/>
      <c r="M13" s="18"/>
      <c r="N13" s="1"/>
      <c r="O13" s="1"/>
      <c r="P13" s="1"/>
      <c r="Q13" s="1"/>
      <c r="R13" s="1"/>
      <c r="S13" s="1"/>
      <c r="T13" s="1"/>
      <c r="U13" s="1"/>
      <c r="V13" s="1"/>
      <c r="W13" s="1"/>
      <c r="X13" s="1"/>
      <c r="Y13" s="1"/>
      <c r="Z13" s="1"/>
    </row>
    <row r="14" spans="1:26" ht="12.75" customHeight="1">
      <c r="A14" s="16"/>
      <c r="B14" s="16"/>
      <c r="C14" s="16"/>
      <c r="D14" s="1"/>
      <c r="E14" s="1"/>
      <c r="F14" s="1"/>
      <c r="G14" s="1"/>
      <c r="H14" s="1"/>
      <c r="I14" s="8"/>
      <c r="J14" s="1"/>
      <c r="K14" s="1"/>
      <c r="L14" s="19"/>
      <c r="M14" s="1"/>
      <c r="N14" s="1"/>
      <c r="O14" s="1"/>
      <c r="P14" s="1"/>
      <c r="Q14" s="1"/>
      <c r="R14" s="1"/>
      <c r="S14" s="1"/>
      <c r="T14" s="1"/>
      <c r="U14" s="1"/>
      <c r="V14" s="1"/>
      <c r="W14" s="1"/>
      <c r="X14" s="1"/>
      <c r="Y14" s="1"/>
      <c r="Z14" s="1"/>
    </row>
    <row r="15" spans="1:26" ht="12.75" customHeight="1">
      <c r="A15" s="20"/>
      <c r="B15" s="21" t="s">
        <v>27</v>
      </c>
      <c r="C15" s="16"/>
      <c r="D15" s="895" t="s">
        <v>28</v>
      </c>
      <c r="E15" s="893"/>
      <c r="F15" s="893"/>
      <c r="G15" s="1"/>
      <c r="H15" s="1"/>
      <c r="I15" s="10"/>
      <c r="J15" s="1"/>
      <c r="K15" s="1"/>
      <c r="L15" s="1"/>
      <c r="M15" s="1"/>
      <c r="N15" s="1"/>
      <c r="O15" s="1"/>
      <c r="P15" s="1"/>
      <c r="Q15" s="1"/>
      <c r="R15" s="1"/>
      <c r="S15" s="1"/>
      <c r="T15" s="1"/>
      <c r="U15" s="1"/>
      <c r="V15" s="1"/>
      <c r="W15" s="1"/>
      <c r="X15" s="1"/>
      <c r="Y15" s="1"/>
      <c r="Z15" s="1"/>
    </row>
    <row r="16" spans="1:26" ht="12.75" customHeight="1">
      <c r="A16" s="16"/>
      <c r="B16" s="16"/>
      <c r="C16" s="16"/>
      <c r="D16" s="893"/>
      <c r="E16" s="893"/>
      <c r="F16" s="893"/>
      <c r="G16" s="1"/>
      <c r="H16" s="1"/>
      <c r="I16" s="10"/>
      <c r="J16" s="1"/>
      <c r="K16" s="1"/>
      <c r="L16" s="1"/>
      <c r="M16" s="1"/>
      <c r="N16" s="1"/>
      <c r="O16" s="1"/>
      <c r="P16" s="1"/>
      <c r="Q16" s="1"/>
      <c r="R16" s="1"/>
      <c r="S16" s="1"/>
      <c r="T16" s="1"/>
      <c r="U16" s="1"/>
      <c r="V16" s="1"/>
      <c r="W16" s="1"/>
      <c r="X16" s="1"/>
      <c r="Y16" s="1"/>
      <c r="Z16" s="1"/>
    </row>
    <row r="17" spans="1:26" ht="12.75" customHeight="1">
      <c r="A17" s="16"/>
      <c r="B17" s="16"/>
      <c r="C17" s="16"/>
      <c r="D17" s="893"/>
      <c r="E17" s="893"/>
      <c r="F17" s="893"/>
      <c r="G17" s="1"/>
      <c r="H17" s="1"/>
      <c r="I17" s="10"/>
      <c r="J17" s="1"/>
      <c r="K17" s="1"/>
      <c r="L17" s="1"/>
      <c r="M17" s="1"/>
      <c r="N17" s="1"/>
      <c r="O17" s="1"/>
      <c r="P17" s="1"/>
      <c r="Q17" s="1"/>
      <c r="R17" s="1"/>
      <c r="S17" s="1"/>
      <c r="T17" s="1"/>
      <c r="U17" s="1"/>
      <c r="V17" s="1"/>
      <c r="W17" s="1"/>
      <c r="X17" s="1"/>
      <c r="Y17" s="1"/>
      <c r="Z17" s="1"/>
    </row>
    <row r="18" spans="1:26" ht="12.75" customHeight="1">
      <c r="A18" s="16"/>
      <c r="B18" s="16"/>
      <c r="C18" s="16"/>
      <c r="D18" s="11"/>
      <c r="E18" s="19" t="s">
        <v>30</v>
      </c>
      <c r="F18" s="11"/>
      <c r="G18" s="1"/>
      <c r="H18" s="1"/>
      <c r="I18" s="10"/>
      <c r="J18" s="1"/>
      <c r="K18" s="1"/>
      <c r="L18" s="1"/>
      <c r="M18" s="1"/>
      <c r="N18" s="1"/>
      <c r="O18" s="1"/>
      <c r="P18" s="1"/>
      <c r="Q18" s="1"/>
      <c r="R18" s="1"/>
      <c r="S18" s="1"/>
      <c r="T18" s="1"/>
      <c r="U18" s="1"/>
      <c r="V18" s="1"/>
      <c r="W18" s="1"/>
      <c r="X18" s="1"/>
      <c r="Y18" s="1"/>
      <c r="Z18" s="1"/>
    </row>
    <row r="19" spans="1:26" ht="12.75" customHeight="1">
      <c r="A19" s="16"/>
      <c r="B19" s="16"/>
      <c r="C19" s="16"/>
      <c r="D19" s="1"/>
      <c r="E19" s="1"/>
      <c r="F19" s="1"/>
      <c r="G19" s="1"/>
      <c r="H19" s="1"/>
      <c r="I19" s="10"/>
      <c r="J19" s="1"/>
      <c r="K19" s="1"/>
      <c r="L19" s="1"/>
      <c r="M19" s="1"/>
      <c r="N19" s="1"/>
      <c r="O19" s="1"/>
      <c r="P19" s="1"/>
      <c r="Q19" s="1"/>
      <c r="R19" s="1"/>
      <c r="S19" s="1"/>
      <c r="T19" s="1"/>
      <c r="U19" s="1"/>
      <c r="V19" s="1"/>
      <c r="W19" s="1"/>
      <c r="X19" s="1"/>
      <c r="Y19" s="1"/>
      <c r="Z19" s="1"/>
    </row>
    <row r="20" spans="1:26" ht="12.75" customHeight="1">
      <c r="A20" s="20"/>
      <c r="B20" s="21" t="s">
        <v>27</v>
      </c>
      <c r="C20" s="7"/>
      <c r="D20" s="895" t="s">
        <v>31</v>
      </c>
      <c r="E20" s="893"/>
      <c r="F20" s="893"/>
      <c r="G20" s="1"/>
      <c r="H20" s="1"/>
      <c r="I20" s="10"/>
      <c r="J20" s="1"/>
      <c r="K20" s="1"/>
      <c r="L20" s="1"/>
      <c r="M20" s="1"/>
      <c r="N20" s="1"/>
      <c r="O20" s="1"/>
      <c r="P20" s="1"/>
      <c r="Q20" s="1"/>
      <c r="R20" s="1"/>
      <c r="S20" s="1"/>
      <c r="T20" s="1"/>
      <c r="U20" s="1"/>
      <c r="V20" s="1"/>
      <c r="W20" s="1"/>
      <c r="X20" s="1"/>
      <c r="Y20" s="1"/>
      <c r="Z20" s="1"/>
    </row>
    <row r="21" spans="1:26" ht="12.75" customHeight="1">
      <c r="A21" s="20"/>
      <c r="B21" s="7"/>
      <c r="C21" s="7"/>
      <c r="D21" s="893"/>
      <c r="E21" s="893"/>
      <c r="F21" s="893"/>
      <c r="G21" s="1"/>
      <c r="H21" s="1"/>
      <c r="I21" s="10"/>
      <c r="J21" s="1"/>
      <c r="K21" s="1"/>
      <c r="L21" s="1"/>
      <c r="M21" s="1"/>
      <c r="N21" s="1"/>
      <c r="O21" s="1"/>
      <c r="P21" s="1"/>
      <c r="Q21" s="1"/>
      <c r="R21" s="1"/>
      <c r="S21" s="1"/>
      <c r="T21" s="1"/>
      <c r="U21" s="1"/>
      <c r="V21" s="1"/>
      <c r="W21" s="1"/>
      <c r="X21" s="1"/>
      <c r="Y21" s="1"/>
      <c r="Z21" s="1"/>
    </row>
    <row r="22" spans="1:26" ht="12.75" customHeight="1">
      <c r="A22" s="20"/>
      <c r="B22" s="7"/>
      <c r="C22" s="7"/>
      <c r="D22" s="14"/>
      <c r="E22" s="18" t="s">
        <v>33</v>
      </c>
      <c r="F22" s="14"/>
      <c r="G22" s="1"/>
      <c r="H22" s="1"/>
      <c r="I22" s="10"/>
      <c r="J22" s="1"/>
      <c r="K22" s="1"/>
      <c r="L22" s="1"/>
      <c r="M22" s="1"/>
      <c r="N22" s="1"/>
      <c r="O22" s="1"/>
      <c r="P22" s="1"/>
      <c r="Q22" s="1"/>
      <c r="R22" s="1"/>
      <c r="S22" s="1"/>
      <c r="T22" s="1"/>
      <c r="U22" s="1"/>
      <c r="V22" s="1"/>
      <c r="W22" s="1"/>
      <c r="X22" s="1"/>
      <c r="Y22" s="1"/>
      <c r="Z22" s="1"/>
    </row>
    <row r="23" spans="1:26" ht="12.75" customHeight="1">
      <c r="A23" s="20"/>
      <c r="B23" s="20"/>
      <c r="C23" s="7"/>
      <c r="D23" s="17"/>
      <c r="E23" s="1"/>
      <c r="F23" s="1"/>
      <c r="G23" s="1"/>
      <c r="H23" s="1"/>
      <c r="I23" s="10"/>
      <c r="J23" s="1"/>
      <c r="K23" s="1"/>
      <c r="L23" s="1"/>
      <c r="M23" s="1"/>
      <c r="N23" s="1"/>
      <c r="O23" s="1"/>
      <c r="P23" s="1"/>
      <c r="Q23" s="1"/>
      <c r="R23" s="1"/>
      <c r="S23" s="1"/>
      <c r="T23" s="1"/>
      <c r="U23" s="1"/>
      <c r="V23" s="1"/>
      <c r="W23" s="1"/>
      <c r="X23" s="1"/>
      <c r="Y23" s="1"/>
      <c r="Z23" s="1"/>
    </row>
    <row r="24" spans="1:26" ht="12.75" customHeight="1">
      <c r="A24" s="20"/>
      <c r="B24" s="21" t="s">
        <v>27</v>
      </c>
      <c r="C24" s="7"/>
      <c r="D24" s="895" t="s">
        <v>34</v>
      </c>
      <c r="E24" s="893"/>
      <c r="F24" s="893"/>
      <c r="G24" s="1"/>
      <c r="H24" s="1"/>
      <c r="I24" s="10"/>
      <c r="J24" s="1"/>
      <c r="K24" s="1"/>
      <c r="L24" s="1"/>
      <c r="M24" s="1"/>
      <c r="N24" s="1"/>
      <c r="O24" s="1"/>
      <c r="P24" s="1"/>
      <c r="Q24" s="1"/>
      <c r="R24" s="1"/>
      <c r="S24" s="1"/>
      <c r="T24" s="1"/>
      <c r="U24" s="1"/>
      <c r="V24" s="1"/>
      <c r="W24" s="1"/>
      <c r="X24" s="1"/>
      <c r="Y24" s="1"/>
      <c r="Z24" s="1"/>
    </row>
    <row r="25" spans="1:26" ht="12.75" customHeight="1">
      <c r="A25" s="20"/>
      <c r="B25" s="20"/>
      <c r="C25" s="7"/>
      <c r="D25" s="893"/>
      <c r="E25" s="893"/>
      <c r="F25" s="893"/>
      <c r="G25" s="1"/>
      <c r="H25" s="1"/>
      <c r="I25" s="10"/>
      <c r="J25" s="1"/>
      <c r="K25" s="1"/>
      <c r="L25" s="1"/>
      <c r="M25" s="1"/>
      <c r="N25" s="1"/>
      <c r="O25" s="1"/>
      <c r="P25" s="1"/>
      <c r="Q25" s="1"/>
      <c r="R25" s="1"/>
      <c r="S25" s="1"/>
      <c r="T25" s="1"/>
      <c r="U25" s="1"/>
      <c r="V25" s="1"/>
      <c r="W25" s="1"/>
      <c r="X25" s="1"/>
      <c r="Y25" s="1"/>
      <c r="Z25" s="1"/>
    </row>
    <row r="26" spans="1:26" ht="12.75" customHeight="1">
      <c r="A26" s="7"/>
      <c r="B26" s="7"/>
      <c r="C26" s="7"/>
      <c r="D26" s="1"/>
      <c r="E26" s="1"/>
      <c r="F26" s="1"/>
      <c r="G26" s="1"/>
      <c r="H26" s="1"/>
      <c r="I26" s="10"/>
      <c r="J26" s="1"/>
      <c r="K26" s="1"/>
      <c r="L26" s="1"/>
      <c r="M26" s="1"/>
      <c r="N26" s="1"/>
      <c r="O26" s="1"/>
      <c r="P26" s="1"/>
      <c r="Q26" s="1"/>
      <c r="R26" s="1"/>
      <c r="S26" s="1"/>
      <c r="T26" s="1"/>
      <c r="U26" s="1"/>
      <c r="V26" s="1"/>
      <c r="W26" s="1"/>
      <c r="X26" s="1"/>
      <c r="Y26" s="1"/>
      <c r="Z26" s="1"/>
    </row>
    <row r="27" spans="1:26" ht="12.75" customHeight="1">
      <c r="A27" s="20"/>
      <c r="B27" s="21" t="s">
        <v>27</v>
      </c>
      <c r="C27" s="7"/>
      <c r="D27" s="895" t="s">
        <v>36</v>
      </c>
      <c r="E27" s="893"/>
      <c r="F27" s="893"/>
      <c r="G27" s="1"/>
      <c r="H27" s="1"/>
      <c r="I27" s="10"/>
      <c r="J27" s="1"/>
      <c r="K27" s="1"/>
      <c r="L27" s="1"/>
      <c r="M27" s="1"/>
      <c r="N27" s="1"/>
      <c r="O27" s="1"/>
      <c r="P27" s="1"/>
      <c r="Q27" s="1"/>
      <c r="R27" s="1"/>
      <c r="S27" s="1"/>
      <c r="T27" s="1"/>
      <c r="U27" s="1"/>
      <c r="V27" s="1"/>
      <c r="W27" s="1"/>
      <c r="X27" s="1"/>
      <c r="Y27" s="1"/>
      <c r="Z27" s="1"/>
    </row>
    <row r="28" spans="1:26" ht="12.75" customHeight="1">
      <c r="A28" s="7"/>
      <c r="B28" s="7"/>
      <c r="C28" s="7"/>
      <c r="D28" s="893"/>
      <c r="E28" s="893"/>
      <c r="F28" s="893"/>
      <c r="G28" s="1"/>
      <c r="H28" s="1"/>
      <c r="I28" s="10"/>
      <c r="J28" s="1"/>
      <c r="K28" s="1"/>
      <c r="L28" s="1"/>
      <c r="M28" s="1"/>
      <c r="N28" s="1"/>
      <c r="O28" s="1"/>
      <c r="P28" s="1"/>
      <c r="Q28" s="1"/>
      <c r="R28" s="1"/>
      <c r="S28" s="1"/>
      <c r="T28" s="1"/>
      <c r="U28" s="1"/>
      <c r="V28" s="1"/>
      <c r="W28" s="1"/>
      <c r="X28" s="1"/>
      <c r="Y28" s="1"/>
      <c r="Z28" s="1"/>
    </row>
    <row r="29" spans="1:26" ht="12.75" customHeight="1">
      <c r="A29" s="7"/>
      <c r="B29" s="7"/>
      <c r="C29" s="7"/>
      <c r="D29" s="893"/>
      <c r="E29" s="893"/>
      <c r="F29" s="893"/>
      <c r="G29" s="1"/>
      <c r="H29" s="1"/>
      <c r="I29" s="10"/>
      <c r="J29" s="1"/>
      <c r="K29" s="1"/>
      <c r="L29" s="1"/>
      <c r="M29" s="1"/>
      <c r="N29" s="1"/>
      <c r="O29" s="1"/>
      <c r="P29" s="1"/>
      <c r="Q29" s="1"/>
      <c r="R29" s="1"/>
      <c r="S29" s="1"/>
      <c r="T29" s="1"/>
      <c r="U29" s="1"/>
      <c r="V29" s="1"/>
      <c r="W29" s="1"/>
      <c r="X29" s="1"/>
      <c r="Y29" s="1"/>
      <c r="Z29" s="1"/>
    </row>
    <row r="30" spans="1:26" ht="12.75" customHeight="1">
      <c r="A30" s="7"/>
      <c r="B30" s="7"/>
      <c r="C30" s="7"/>
      <c r="D30" s="893"/>
      <c r="E30" s="893"/>
      <c r="F30" s="893"/>
      <c r="G30" s="1"/>
      <c r="H30" s="1"/>
      <c r="I30" s="10"/>
      <c r="J30" s="1"/>
      <c r="K30" s="1"/>
      <c r="L30" s="1"/>
      <c r="M30" s="1"/>
      <c r="N30" s="1"/>
      <c r="O30" s="1"/>
      <c r="P30" s="1"/>
      <c r="Q30" s="1"/>
      <c r="R30" s="1"/>
      <c r="S30" s="1"/>
      <c r="T30" s="1"/>
      <c r="U30" s="1"/>
      <c r="V30" s="1"/>
      <c r="W30" s="1"/>
      <c r="X30" s="1"/>
      <c r="Y30" s="1"/>
      <c r="Z30" s="1"/>
    </row>
    <row r="31" spans="1:26" ht="12.75" customHeight="1">
      <c r="A31" s="7"/>
      <c r="B31" s="7"/>
      <c r="C31" s="7"/>
      <c r="D31" s="893"/>
      <c r="E31" s="893"/>
      <c r="F31" s="893"/>
      <c r="G31" s="1"/>
      <c r="H31" s="1"/>
      <c r="I31" s="10"/>
      <c r="J31" s="1"/>
      <c r="K31" s="1"/>
      <c r="L31" s="1"/>
      <c r="M31" s="1"/>
      <c r="N31" s="1"/>
      <c r="O31" s="1"/>
      <c r="P31" s="1"/>
      <c r="Q31" s="1"/>
      <c r="R31" s="1"/>
      <c r="S31" s="1"/>
      <c r="T31" s="1"/>
      <c r="U31" s="1"/>
      <c r="V31" s="1"/>
      <c r="W31" s="1"/>
      <c r="X31" s="1"/>
      <c r="Y31" s="1"/>
      <c r="Z31" s="1"/>
    </row>
    <row r="32" spans="1:26" ht="12.75" customHeight="1">
      <c r="A32" s="7"/>
      <c r="B32" s="7"/>
      <c r="C32" s="7"/>
      <c r="D32" s="17"/>
      <c r="E32" s="1"/>
      <c r="F32" s="1"/>
      <c r="G32" s="1"/>
      <c r="H32" s="1"/>
      <c r="I32" s="10"/>
      <c r="J32" s="1"/>
      <c r="K32" s="1"/>
      <c r="L32" s="1"/>
      <c r="M32" s="1"/>
      <c r="N32" s="1"/>
      <c r="O32" s="1"/>
      <c r="P32" s="1"/>
      <c r="Q32" s="1"/>
      <c r="R32" s="1"/>
      <c r="S32" s="1"/>
      <c r="T32" s="1"/>
      <c r="U32" s="1"/>
      <c r="V32" s="1"/>
      <c r="W32" s="1"/>
      <c r="X32" s="1"/>
      <c r="Y32" s="1"/>
      <c r="Z32" s="1"/>
    </row>
    <row r="33" spans="1:26" ht="12.75" customHeight="1">
      <c r="A33" s="7"/>
      <c r="B33" s="21" t="s">
        <v>27</v>
      </c>
      <c r="C33" s="7"/>
      <c r="D33" s="895" t="s">
        <v>43</v>
      </c>
      <c r="E33" s="893"/>
      <c r="F33" s="893"/>
      <c r="G33" s="1"/>
      <c r="H33" s="1"/>
      <c r="I33" s="10"/>
      <c r="J33" s="1"/>
      <c r="K33" s="1"/>
      <c r="L33" s="1"/>
      <c r="M33" s="1"/>
      <c r="N33" s="1"/>
      <c r="O33" s="1"/>
      <c r="P33" s="1"/>
      <c r="Q33" s="1"/>
      <c r="R33" s="1"/>
      <c r="S33" s="1"/>
      <c r="T33" s="1"/>
      <c r="U33" s="1"/>
      <c r="V33" s="1"/>
      <c r="W33" s="1"/>
      <c r="X33" s="1"/>
      <c r="Y33" s="1"/>
      <c r="Z33" s="1"/>
    </row>
    <row r="34" spans="1:26" ht="12.75" customHeight="1">
      <c r="A34" s="7"/>
      <c r="B34" s="7"/>
      <c r="C34" s="7"/>
      <c r="D34" s="893"/>
      <c r="E34" s="893"/>
      <c r="F34" s="893"/>
      <c r="G34" s="1"/>
      <c r="H34" s="1"/>
      <c r="I34" s="10"/>
      <c r="J34" s="1"/>
      <c r="K34" s="1"/>
      <c r="L34" s="1"/>
      <c r="M34" s="1"/>
      <c r="N34" s="1"/>
      <c r="O34" s="1"/>
      <c r="P34" s="1"/>
      <c r="Q34" s="1"/>
      <c r="R34" s="1"/>
      <c r="S34" s="1"/>
      <c r="T34" s="1"/>
      <c r="U34" s="1"/>
      <c r="V34" s="1"/>
      <c r="W34" s="1"/>
      <c r="X34" s="1"/>
      <c r="Y34" s="1"/>
      <c r="Z34" s="1"/>
    </row>
    <row r="35" spans="1:26" ht="12.75" customHeight="1">
      <c r="A35" s="20"/>
      <c r="B35" s="20"/>
      <c r="C35" s="7"/>
      <c r="D35" s="17"/>
      <c r="E35" s="1"/>
      <c r="F35" s="1"/>
      <c r="G35" s="1"/>
      <c r="H35" s="1"/>
      <c r="I35" s="10"/>
      <c r="J35" s="1"/>
      <c r="K35" s="1"/>
      <c r="L35" s="1"/>
      <c r="M35" s="1"/>
      <c r="N35" s="1"/>
      <c r="O35" s="1"/>
      <c r="P35" s="1"/>
      <c r="Q35" s="1"/>
      <c r="R35" s="1"/>
      <c r="S35" s="1"/>
      <c r="T35" s="1"/>
      <c r="U35" s="1"/>
      <c r="V35" s="1"/>
      <c r="W35" s="1"/>
      <c r="X35" s="1"/>
      <c r="Y35" s="1"/>
      <c r="Z35" s="1"/>
    </row>
    <row r="36" spans="1:26" ht="14.25" customHeight="1">
      <c r="A36" s="20"/>
      <c r="B36" s="21" t="s">
        <v>27</v>
      </c>
      <c r="C36" s="7"/>
      <c r="D36" s="895" t="s">
        <v>48</v>
      </c>
      <c r="E36" s="893"/>
      <c r="F36" s="893"/>
      <c r="G36" s="1"/>
      <c r="H36" s="1"/>
      <c r="I36" s="10"/>
      <c r="J36" s="1"/>
      <c r="K36" s="1"/>
      <c r="L36" s="1"/>
      <c r="M36" s="1"/>
      <c r="N36" s="1"/>
      <c r="O36" s="1"/>
      <c r="P36" s="1"/>
      <c r="Q36" s="1"/>
      <c r="R36" s="1"/>
      <c r="S36" s="1"/>
      <c r="T36" s="1"/>
      <c r="U36" s="1"/>
      <c r="V36" s="1"/>
      <c r="W36" s="1"/>
      <c r="X36" s="1"/>
      <c r="Y36" s="1"/>
      <c r="Z36" s="1"/>
    </row>
    <row r="37" spans="1:26" ht="12.75" customHeight="1">
      <c r="A37" s="20"/>
      <c r="B37" s="20"/>
      <c r="C37" s="7"/>
      <c r="D37" s="893"/>
      <c r="E37" s="893"/>
      <c r="F37" s="893"/>
      <c r="G37" s="1"/>
      <c r="H37" s="1"/>
      <c r="I37" s="10"/>
      <c r="J37" s="1"/>
      <c r="K37" s="1"/>
      <c r="L37" s="1"/>
      <c r="M37" s="1"/>
      <c r="N37" s="1"/>
      <c r="O37" s="1"/>
      <c r="P37" s="1"/>
      <c r="Q37" s="1"/>
      <c r="R37" s="1"/>
      <c r="S37" s="1"/>
      <c r="T37" s="1"/>
      <c r="U37" s="1"/>
      <c r="V37" s="1"/>
      <c r="W37" s="1"/>
      <c r="X37" s="1"/>
      <c r="Y37" s="1"/>
      <c r="Z37" s="1"/>
    </row>
    <row r="38" spans="1:26" ht="12.75" customHeight="1">
      <c r="A38" s="20"/>
      <c r="B38" s="20"/>
      <c r="C38" s="7"/>
      <c r="D38" s="893"/>
      <c r="E38" s="893"/>
      <c r="F38" s="893"/>
      <c r="G38" s="1"/>
      <c r="H38" s="1"/>
      <c r="I38" s="10"/>
      <c r="J38" s="1"/>
      <c r="K38" s="1"/>
      <c r="L38" s="1"/>
      <c r="M38" s="1"/>
      <c r="N38" s="1"/>
      <c r="O38" s="1"/>
      <c r="P38" s="1"/>
      <c r="Q38" s="1"/>
      <c r="R38" s="1"/>
      <c r="S38" s="1"/>
      <c r="T38" s="1"/>
      <c r="U38" s="1"/>
      <c r="V38" s="1"/>
      <c r="W38" s="1"/>
      <c r="X38" s="1"/>
      <c r="Y38" s="1"/>
      <c r="Z38" s="1"/>
    </row>
    <row r="39" spans="1:26" ht="12.75" customHeight="1">
      <c r="A39" s="20"/>
      <c r="B39" s="20"/>
      <c r="C39" s="7"/>
      <c r="D39" s="893"/>
      <c r="E39" s="893"/>
      <c r="F39" s="893"/>
      <c r="G39" s="1"/>
      <c r="H39" s="1"/>
      <c r="I39" s="10"/>
      <c r="J39" s="1"/>
      <c r="K39" s="1"/>
      <c r="L39" s="1"/>
      <c r="M39" s="1"/>
      <c r="N39" s="1"/>
      <c r="O39" s="1"/>
      <c r="P39" s="1"/>
      <c r="Q39" s="1"/>
      <c r="R39" s="1"/>
      <c r="S39" s="1"/>
      <c r="T39" s="1"/>
      <c r="U39" s="1"/>
      <c r="V39" s="1"/>
      <c r="W39" s="1"/>
      <c r="X39" s="1"/>
      <c r="Y39" s="1"/>
      <c r="Z39" s="1"/>
    </row>
    <row r="40" spans="1:26" ht="12.75" customHeight="1">
      <c r="A40" s="20"/>
      <c r="B40" s="20"/>
      <c r="C40" s="7"/>
      <c r="D40" s="1"/>
      <c r="E40" s="1"/>
      <c r="F40" s="1"/>
      <c r="G40" s="1"/>
      <c r="H40" s="1"/>
      <c r="I40" s="10"/>
      <c r="J40" s="1"/>
      <c r="K40" s="1"/>
      <c r="L40" s="1"/>
      <c r="M40" s="1"/>
      <c r="N40" s="1"/>
      <c r="O40" s="1"/>
      <c r="P40" s="1"/>
      <c r="Q40" s="1"/>
      <c r="R40" s="1"/>
      <c r="S40" s="1"/>
      <c r="T40" s="1"/>
      <c r="U40" s="1"/>
      <c r="V40" s="1"/>
      <c r="W40" s="1"/>
      <c r="X40" s="1"/>
      <c r="Y40" s="1"/>
      <c r="Z40" s="1"/>
    </row>
    <row r="41" spans="1:26" ht="12.75" customHeight="1">
      <c r="A41" s="20"/>
      <c r="B41" s="21" t="s">
        <v>27</v>
      </c>
      <c r="C41" s="7"/>
      <c r="D41" s="895" t="s">
        <v>55</v>
      </c>
      <c r="E41" s="893"/>
      <c r="F41" s="893"/>
      <c r="G41" s="1"/>
      <c r="H41" s="1"/>
      <c r="I41" s="10"/>
      <c r="J41" s="1"/>
      <c r="K41" s="1"/>
      <c r="L41" s="1"/>
      <c r="M41" s="1"/>
      <c r="N41" s="1"/>
      <c r="O41" s="1"/>
      <c r="P41" s="1"/>
      <c r="Q41" s="1"/>
      <c r="R41" s="1"/>
      <c r="S41" s="1"/>
      <c r="T41" s="1"/>
      <c r="U41" s="1"/>
      <c r="V41" s="1"/>
      <c r="W41" s="1"/>
      <c r="X41" s="1"/>
      <c r="Y41" s="1"/>
      <c r="Z41" s="1"/>
    </row>
    <row r="42" spans="1:26" ht="12.75" customHeight="1">
      <c r="A42" s="20"/>
      <c r="B42" s="20"/>
      <c r="C42" s="7"/>
      <c r="D42" s="893"/>
      <c r="E42" s="893"/>
      <c r="F42" s="893"/>
      <c r="G42" s="1"/>
      <c r="H42" s="1"/>
      <c r="I42" s="10"/>
      <c r="J42" s="1"/>
      <c r="K42" s="1"/>
      <c r="L42" s="1"/>
      <c r="M42" s="1"/>
      <c r="N42" s="1"/>
      <c r="O42" s="1"/>
      <c r="P42" s="1"/>
      <c r="Q42" s="1"/>
      <c r="R42" s="1"/>
      <c r="S42" s="1"/>
      <c r="T42" s="1"/>
      <c r="U42" s="1"/>
      <c r="V42" s="1"/>
      <c r="W42" s="1"/>
      <c r="X42" s="1"/>
      <c r="Y42" s="1"/>
      <c r="Z42" s="1"/>
    </row>
    <row r="43" spans="1:26" ht="12.75" customHeight="1">
      <c r="A43" s="20"/>
      <c r="B43" s="20"/>
      <c r="C43" s="7"/>
      <c r="D43" s="893"/>
      <c r="E43" s="893"/>
      <c r="F43" s="893"/>
      <c r="G43" s="1"/>
      <c r="H43" s="1"/>
      <c r="I43" s="10"/>
      <c r="J43" s="1"/>
      <c r="K43" s="1"/>
      <c r="L43" s="1"/>
      <c r="M43" s="1"/>
      <c r="N43" s="1"/>
      <c r="O43" s="1"/>
      <c r="P43" s="1"/>
      <c r="Q43" s="1"/>
      <c r="R43" s="1"/>
      <c r="S43" s="1"/>
      <c r="T43" s="1"/>
      <c r="U43" s="1"/>
      <c r="V43" s="1"/>
      <c r="W43" s="1"/>
      <c r="X43" s="1"/>
      <c r="Y43" s="1"/>
      <c r="Z43" s="1"/>
    </row>
    <row r="44" spans="1:26" ht="12.75" customHeight="1">
      <c r="A44" s="20"/>
      <c r="B44" s="20"/>
      <c r="C44" s="7"/>
      <c r="D44" s="893"/>
      <c r="E44" s="893"/>
      <c r="F44" s="893"/>
      <c r="G44" s="1"/>
      <c r="H44" s="1"/>
      <c r="I44" s="10"/>
      <c r="J44" s="1"/>
      <c r="K44" s="1"/>
      <c r="L44" s="1"/>
      <c r="M44" s="1"/>
      <c r="N44" s="1"/>
      <c r="O44" s="1"/>
      <c r="P44" s="1"/>
      <c r="Q44" s="1"/>
      <c r="R44" s="1"/>
      <c r="S44" s="1"/>
      <c r="T44" s="1"/>
      <c r="U44" s="1"/>
      <c r="V44" s="1"/>
      <c r="W44" s="1"/>
      <c r="X44" s="1"/>
      <c r="Y44" s="1"/>
      <c r="Z44" s="1"/>
    </row>
    <row r="45" spans="1:26" ht="12.75" customHeight="1">
      <c r="A45" s="20"/>
      <c r="B45" s="20"/>
      <c r="C45" s="7"/>
      <c r="D45" s="893"/>
      <c r="E45" s="893"/>
      <c r="F45" s="893"/>
      <c r="G45" s="1"/>
      <c r="H45" s="1"/>
      <c r="I45" s="10"/>
      <c r="J45" s="1"/>
      <c r="K45" s="1"/>
      <c r="L45" s="1"/>
      <c r="M45" s="1"/>
      <c r="N45" s="1"/>
      <c r="O45" s="1"/>
      <c r="P45" s="1"/>
      <c r="Q45" s="1"/>
      <c r="R45" s="1"/>
      <c r="S45" s="1"/>
      <c r="T45" s="1"/>
      <c r="U45" s="1"/>
      <c r="V45" s="1"/>
      <c r="W45" s="1"/>
      <c r="X45" s="1"/>
      <c r="Y45" s="1"/>
      <c r="Z45" s="1"/>
    </row>
    <row r="46" spans="1:26" ht="12.75" customHeight="1">
      <c r="A46" s="20"/>
      <c r="B46" s="20"/>
      <c r="C46" s="7"/>
      <c r="D46" s="11"/>
      <c r="E46" s="11"/>
      <c r="F46" s="11"/>
      <c r="G46" s="1"/>
      <c r="H46" s="1"/>
      <c r="I46" s="10"/>
      <c r="J46" s="1"/>
      <c r="K46" s="1"/>
      <c r="L46" s="1"/>
      <c r="M46" s="1"/>
      <c r="N46" s="1"/>
      <c r="O46" s="1"/>
      <c r="P46" s="1"/>
      <c r="Q46" s="1"/>
      <c r="R46" s="1"/>
      <c r="S46" s="1"/>
      <c r="T46" s="1"/>
      <c r="U46" s="1"/>
      <c r="V46" s="1"/>
      <c r="W46" s="1"/>
      <c r="X46" s="1"/>
      <c r="Y46" s="1"/>
      <c r="Z46" s="1"/>
    </row>
    <row r="47" spans="1:26" ht="12.75" customHeight="1">
      <c r="A47" s="20"/>
      <c r="B47" s="21" t="s">
        <v>27</v>
      </c>
      <c r="C47" s="7"/>
      <c r="D47" s="895" t="s">
        <v>63</v>
      </c>
      <c r="E47" s="893"/>
      <c r="F47" s="893"/>
      <c r="G47" s="1"/>
      <c r="H47" s="1"/>
      <c r="I47" s="10"/>
      <c r="J47" s="1"/>
      <c r="K47" s="1"/>
      <c r="L47" s="1"/>
      <c r="M47" s="1"/>
      <c r="N47" s="1"/>
      <c r="O47" s="1"/>
      <c r="P47" s="1"/>
      <c r="Q47" s="1"/>
      <c r="R47" s="1"/>
      <c r="S47" s="1"/>
      <c r="T47" s="1"/>
      <c r="U47" s="1"/>
      <c r="V47" s="1"/>
      <c r="W47" s="1"/>
      <c r="X47" s="1"/>
      <c r="Y47" s="1"/>
      <c r="Z47" s="1"/>
    </row>
    <row r="48" spans="1:26" ht="12.75" customHeight="1">
      <c r="A48" s="20"/>
      <c r="B48" s="20"/>
      <c r="C48" s="7"/>
      <c r="D48" s="893"/>
      <c r="E48" s="893"/>
      <c r="F48" s="893"/>
      <c r="G48" s="1"/>
      <c r="H48" s="1"/>
      <c r="I48" s="10"/>
      <c r="J48" s="1"/>
      <c r="K48" s="1"/>
      <c r="L48" s="1"/>
      <c r="M48" s="1"/>
      <c r="N48" s="1"/>
      <c r="O48" s="1"/>
      <c r="P48" s="1"/>
      <c r="Q48" s="1"/>
      <c r="R48" s="1"/>
      <c r="S48" s="1"/>
      <c r="T48" s="1"/>
      <c r="U48" s="1"/>
      <c r="V48" s="1"/>
      <c r="W48" s="1"/>
      <c r="X48" s="1"/>
      <c r="Y48" s="1"/>
      <c r="Z48" s="1"/>
    </row>
    <row r="49" spans="1:26" ht="12.75" customHeight="1">
      <c r="A49" s="20"/>
      <c r="B49" s="20"/>
      <c r="C49" s="7"/>
      <c r="D49" s="893"/>
      <c r="E49" s="893"/>
      <c r="F49" s="893"/>
      <c r="G49" s="1"/>
      <c r="H49" s="1"/>
      <c r="I49" s="10"/>
      <c r="J49" s="1"/>
      <c r="K49" s="1"/>
      <c r="L49" s="1"/>
      <c r="M49" s="1"/>
      <c r="N49" s="1"/>
      <c r="O49" s="1"/>
      <c r="P49" s="1"/>
      <c r="Q49" s="1"/>
      <c r="R49" s="1"/>
      <c r="S49" s="1"/>
      <c r="T49" s="1"/>
      <c r="U49" s="1"/>
      <c r="V49" s="1"/>
      <c r="W49" s="1"/>
      <c r="X49" s="1"/>
      <c r="Y49" s="1"/>
      <c r="Z49" s="1"/>
    </row>
    <row r="50" spans="1:26" ht="23.25" customHeight="1">
      <c r="A50" s="20"/>
      <c r="B50" s="20"/>
      <c r="C50" s="7"/>
      <c r="D50" s="893"/>
      <c r="E50" s="893"/>
      <c r="F50" s="893"/>
      <c r="G50" s="1"/>
      <c r="H50" s="1"/>
      <c r="I50" s="10"/>
      <c r="J50" s="1"/>
      <c r="K50" s="1"/>
      <c r="L50" s="1"/>
      <c r="M50" s="1"/>
      <c r="N50" s="1"/>
      <c r="O50" s="1"/>
      <c r="P50" s="1"/>
      <c r="Q50" s="1"/>
      <c r="R50" s="1"/>
      <c r="S50" s="1"/>
      <c r="T50" s="1"/>
      <c r="U50" s="1"/>
      <c r="V50" s="1"/>
      <c r="W50" s="1"/>
      <c r="X50" s="1"/>
      <c r="Y50" s="1"/>
      <c r="Z50" s="1"/>
    </row>
    <row r="51" spans="1:26" ht="12.75" customHeight="1">
      <c r="A51" s="20"/>
      <c r="B51" s="20"/>
      <c r="C51" s="7"/>
      <c r="D51" s="17"/>
      <c r="E51" s="1"/>
      <c r="F51" s="1"/>
      <c r="G51" s="1"/>
      <c r="H51" s="1"/>
      <c r="I51" s="10"/>
      <c r="J51" s="1"/>
      <c r="K51" s="1"/>
      <c r="L51" s="1"/>
      <c r="M51" s="1"/>
      <c r="N51" s="1"/>
      <c r="O51" s="1"/>
      <c r="P51" s="1"/>
      <c r="Q51" s="1"/>
      <c r="R51" s="1"/>
      <c r="S51" s="1"/>
      <c r="T51" s="1"/>
      <c r="U51" s="1"/>
      <c r="V51" s="1"/>
      <c r="W51" s="1"/>
      <c r="X51" s="1"/>
      <c r="Y51" s="1"/>
      <c r="Z51" s="1"/>
    </row>
    <row r="52" spans="1:26" ht="14.25" customHeight="1">
      <c r="A52" s="20"/>
      <c r="B52" s="21" t="s">
        <v>27</v>
      </c>
      <c r="C52" s="7"/>
      <c r="D52" s="895" t="s">
        <v>70</v>
      </c>
      <c r="E52" s="893"/>
      <c r="F52" s="893"/>
      <c r="G52" s="1"/>
      <c r="H52" s="1"/>
      <c r="I52" s="10"/>
      <c r="J52" s="1"/>
      <c r="K52" s="1"/>
      <c r="L52" s="1"/>
      <c r="M52" s="1"/>
      <c r="N52" s="1"/>
      <c r="O52" s="1"/>
      <c r="P52" s="1"/>
      <c r="Q52" s="1"/>
      <c r="R52" s="1"/>
      <c r="S52" s="1"/>
      <c r="T52" s="1"/>
      <c r="U52" s="1"/>
      <c r="V52" s="1"/>
      <c r="W52" s="1"/>
      <c r="X52" s="1"/>
      <c r="Y52" s="1"/>
      <c r="Z52" s="1"/>
    </row>
    <row r="53" spans="1:26" ht="12.75" customHeight="1">
      <c r="A53" s="20"/>
      <c r="B53" s="20"/>
      <c r="C53" s="7"/>
      <c r="D53" s="893"/>
      <c r="E53" s="893"/>
      <c r="F53" s="893"/>
      <c r="G53" s="1"/>
      <c r="H53" s="1"/>
      <c r="I53" s="10"/>
      <c r="J53" s="1"/>
      <c r="K53" s="1"/>
      <c r="L53" s="1"/>
      <c r="M53" s="1"/>
      <c r="N53" s="1"/>
      <c r="O53" s="1"/>
      <c r="P53" s="1"/>
      <c r="Q53" s="1"/>
      <c r="R53" s="1"/>
      <c r="S53" s="1"/>
      <c r="T53" s="1"/>
      <c r="U53" s="1"/>
      <c r="V53" s="1"/>
      <c r="W53" s="1"/>
      <c r="X53" s="1"/>
      <c r="Y53" s="1"/>
      <c r="Z53" s="1"/>
    </row>
    <row r="54" spans="1:26" ht="12.75" customHeight="1">
      <c r="A54" s="20"/>
      <c r="B54" s="20"/>
      <c r="C54" s="7"/>
      <c r="D54" s="893"/>
      <c r="E54" s="893"/>
      <c r="F54" s="893"/>
      <c r="G54" s="1"/>
      <c r="H54" s="1"/>
      <c r="I54" s="10"/>
      <c r="J54" s="1"/>
      <c r="K54" s="1"/>
      <c r="L54" s="1"/>
      <c r="M54" s="1"/>
      <c r="N54" s="1"/>
      <c r="O54" s="1"/>
      <c r="P54" s="1"/>
      <c r="Q54" s="1"/>
      <c r="R54" s="1"/>
      <c r="S54" s="1"/>
      <c r="T54" s="1"/>
      <c r="U54" s="1"/>
      <c r="V54" s="1"/>
      <c r="W54" s="1"/>
      <c r="X54" s="1"/>
      <c r="Y54" s="1"/>
      <c r="Z54" s="1"/>
    </row>
    <row r="55" spans="1:26" ht="12.75" customHeight="1">
      <c r="A55" s="20"/>
      <c r="B55" s="20"/>
      <c r="C55" s="7"/>
      <c r="D55" s="1"/>
      <c r="E55" s="1"/>
      <c r="F55" s="1"/>
      <c r="G55" s="1"/>
      <c r="H55" s="1"/>
      <c r="I55" s="10"/>
      <c r="J55" s="1"/>
      <c r="K55" s="1"/>
      <c r="L55" s="1"/>
      <c r="M55" s="1"/>
      <c r="N55" s="1"/>
      <c r="O55" s="1"/>
      <c r="P55" s="1"/>
      <c r="Q55" s="1"/>
      <c r="R55" s="1"/>
      <c r="S55" s="1"/>
      <c r="T55" s="1"/>
      <c r="U55" s="1"/>
      <c r="V55" s="1"/>
      <c r="W55" s="1"/>
      <c r="X55" s="1"/>
      <c r="Y55" s="1"/>
      <c r="Z55" s="1"/>
    </row>
    <row r="56" spans="1:26" ht="12.75" customHeight="1">
      <c r="A56" s="20"/>
      <c r="B56" s="21" t="s">
        <v>27</v>
      </c>
      <c r="C56" s="7"/>
      <c r="D56" s="922" t="s">
        <v>76</v>
      </c>
      <c r="E56" s="893"/>
      <c r="F56" s="893"/>
      <c r="G56" s="1"/>
      <c r="H56" s="1"/>
      <c r="I56" s="10"/>
      <c r="J56" s="1"/>
      <c r="K56" s="1"/>
      <c r="L56" s="1"/>
      <c r="M56" s="1"/>
      <c r="N56" s="1"/>
      <c r="O56" s="1"/>
      <c r="P56" s="1"/>
      <c r="Q56" s="1"/>
      <c r="R56" s="1"/>
      <c r="S56" s="1"/>
      <c r="T56" s="1"/>
      <c r="U56" s="1"/>
      <c r="V56" s="1"/>
      <c r="W56" s="1"/>
      <c r="X56" s="1"/>
      <c r="Y56" s="1"/>
      <c r="Z56" s="1"/>
    </row>
    <row r="57" spans="1:26" ht="12.75" customHeight="1">
      <c r="A57" s="20"/>
      <c r="B57" s="20"/>
      <c r="C57" s="7"/>
      <c r="D57" s="893"/>
      <c r="E57" s="893"/>
      <c r="F57" s="893"/>
      <c r="G57" s="1"/>
      <c r="H57" s="1"/>
      <c r="I57" s="10"/>
      <c r="J57" s="1"/>
      <c r="K57" s="1"/>
      <c r="L57" s="1"/>
      <c r="M57" s="1"/>
      <c r="N57" s="1"/>
      <c r="O57" s="1"/>
      <c r="P57" s="1"/>
      <c r="Q57" s="1"/>
      <c r="R57" s="1"/>
      <c r="S57" s="1"/>
      <c r="T57" s="1"/>
      <c r="U57" s="1"/>
      <c r="V57" s="1"/>
      <c r="W57" s="1"/>
      <c r="X57" s="1"/>
      <c r="Y57" s="1"/>
      <c r="Z57" s="1"/>
    </row>
    <row r="58" spans="1:26" ht="12.75" customHeight="1">
      <c r="A58" s="20"/>
      <c r="B58" s="20"/>
      <c r="C58" s="7"/>
      <c r="D58" s="14" t="s">
        <v>80</v>
      </c>
      <c r="E58" s="11"/>
      <c r="F58" s="11"/>
      <c r="G58" s="1"/>
      <c r="H58" s="1"/>
      <c r="I58" s="10"/>
      <c r="J58" s="1"/>
      <c r="K58" s="1"/>
      <c r="L58" s="1"/>
      <c r="M58" s="1"/>
      <c r="N58" s="1"/>
      <c r="O58" s="1"/>
      <c r="P58" s="1"/>
      <c r="Q58" s="1"/>
      <c r="R58" s="1"/>
      <c r="S58" s="1"/>
      <c r="T58" s="1"/>
      <c r="U58" s="1"/>
      <c r="V58" s="1"/>
      <c r="W58" s="1"/>
      <c r="X58" s="1"/>
      <c r="Y58" s="1"/>
      <c r="Z58" s="1"/>
    </row>
    <row r="59" spans="1:26" ht="12.75" customHeight="1">
      <c r="A59" s="20"/>
      <c r="B59" s="20"/>
      <c r="C59" s="7"/>
      <c r="D59" s="11"/>
      <c r="E59" s="19" t="s">
        <v>30</v>
      </c>
      <c r="F59" s="11"/>
      <c r="G59" s="1"/>
      <c r="H59" s="1"/>
      <c r="I59" s="10"/>
      <c r="J59" s="1"/>
      <c r="K59" s="1"/>
      <c r="L59" s="1"/>
      <c r="M59" s="1"/>
      <c r="N59" s="1"/>
      <c r="O59" s="1"/>
      <c r="P59" s="1"/>
      <c r="Q59" s="1"/>
      <c r="R59" s="1"/>
      <c r="S59" s="1"/>
      <c r="T59" s="1"/>
      <c r="U59" s="1"/>
      <c r="V59" s="1"/>
      <c r="W59" s="1"/>
      <c r="X59" s="1"/>
      <c r="Y59" s="1"/>
      <c r="Z59" s="1"/>
    </row>
    <row r="60" spans="1:26" ht="12.75" customHeight="1">
      <c r="A60" s="7"/>
      <c r="B60" s="7"/>
      <c r="C60" s="7"/>
      <c r="D60" s="17"/>
      <c r="E60" s="1"/>
      <c r="F60" s="1"/>
      <c r="G60" s="1"/>
      <c r="H60" s="1"/>
      <c r="I60" s="10"/>
      <c r="J60" s="1"/>
      <c r="K60" s="1"/>
      <c r="L60" s="1"/>
      <c r="M60" s="1"/>
      <c r="N60" s="1"/>
      <c r="O60" s="1"/>
      <c r="P60" s="1"/>
      <c r="Q60" s="1"/>
      <c r="R60" s="1"/>
      <c r="S60" s="1"/>
      <c r="T60" s="1"/>
      <c r="U60" s="1"/>
      <c r="V60" s="1"/>
      <c r="W60" s="1"/>
      <c r="X60" s="1"/>
      <c r="Y60" s="1"/>
      <c r="Z60" s="1"/>
    </row>
    <row r="61" spans="1:26" ht="12.75" customHeight="1">
      <c r="A61" s="20"/>
      <c r="B61" s="21" t="s">
        <v>27</v>
      </c>
      <c r="C61" s="7"/>
      <c r="D61" s="895" t="s">
        <v>93</v>
      </c>
      <c r="E61" s="893"/>
      <c r="F61" s="893"/>
      <c r="G61" s="1"/>
      <c r="H61" s="1"/>
      <c r="I61" s="10"/>
      <c r="J61" s="1"/>
      <c r="K61" s="1"/>
      <c r="L61" s="1"/>
      <c r="M61" s="1"/>
      <c r="N61" s="1"/>
      <c r="O61" s="1"/>
      <c r="P61" s="1"/>
      <c r="Q61" s="1"/>
      <c r="R61" s="1"/>
      <c r="S61" s="1"/>
      <c r="T61" s="1"/>
      <c r="U61" s="1"/>
      <c r="V61" s="1"/>
      <c r="W61" s="1"/>
      <c r="X61" s="1"/>
      <c r="Y61" s="1"/>
      <c r="Z61" s="1"/>
    </row>
    <row r="62" spans="1:26" ht="12.75" customHeight="1">
      <c r="A62" s="7"/>
      <c r="B62" s="7"/>
      <c r="C62" s="7"/>
      <c r="D62" s="893"/>
      <c r="E62" s="893"/>
      <c r="F62" s="893"/>
      <c r="G62" s="1"/>
      <c r="H62" s="1"/>
      <c r="I62" s="10"/>
      <c r="J62" s="1"/>
      <c r="K62" s="1"/>
      <c r="L62" s="1"/>
      <c r="M62" s="1"/>
      <c r="N62" s="1"/>
      <c r="O62" s="1"/>
      <c r="P62" s="1"/>
      <c r="Q62" s="1"/>
      <c r="R62" s="1"/>
      <c r="S62" s="1"/>
      <c r="T62" s="1"/>
      <c r="U62" s="1"/>
      <c r="V62" s="1"/>
      <c r="W62" s="1"/>
      <c r="X62" s="1"/>
      <c r="Y62" s="1"/>
      <c r="Z62" s="1"/>
    </row>
    <row r="63" spans="1:26" ht="12.75" customHeight="1">
      <c r="A63" s="7"/>
      <c r="B63" s="7"/>
      <c r="C63" s="7"/>
      <c r="D63" s="893"/>
      <c r="E63" s="893"/>
      <c r="F63" s="893"/>
      <c r="G63" s="1"/>
      <c r="H63" s="1"/>
      <c r="I63" s="10"/>
      <c r="J63" s="1"/>
      <c r="K63" s="1"/>
      <c r="L63" s="1"/>
      <c r="M63" s="1"/>
      <c r="N63" s="1"/>
      <c r="O63" s="1"/>
      <c r="P63" s="1"/>
      <c r="Q63" s="1"/>
      <c r="R63" s="1"/>
      <c r="S63" s="1"/>
      <c r="T63" s="1"/>
      <c r="U63" s="1"/>
      <c r="V63" s="1"/>
      <c r="W63" s="1"/>
      <c r="X63" s="1"/>
      <c r="Y63" s="1"/>
      <c r="Z63" s="1"/>
    </row>
    <row r="64" spans="1:26" ht="12.75" customHeight="1">
      <c r="A64" s="7"/>
      <c r="B64" s="7"/>
      <c r="C64" s="7"/>
      <c r="D64" s="1"/>
      <c r="E64" s="1"/>
      <c r="F64" s="1"/>
      <c r="G64" s="1"/>
      <c r="H64" s="1"/>
      <c r="I64" s="10"/>
      <c r="J64" s="1"/>
      <c r="K64" s="1"/>
      <c r="L64" s="1"/>
      <c r="M64" s="1"/>
      <c r="N64" s="1"/>
      <c r="O64" s="1"/>
      <c r="P64" s="1"/>
      <c r="Q64" s="1"/>
      <c r="R64" s="1"/>
      <c r="S64" s="1"/>
      <c r="T64" s="1"/>
      <c r="U64" s="1"/>
      <c r="V64" s="1"/>
      <c r="W64" s="1"/>
      <c r="X64" s="1"/>
      <c r="Y64" s="1"/>
      <c r="Z64" s="1"/>
    </row>
    <row r="65" spans="1:26" ht="12.75" customHeight="1">
      <c r="A65" s="20"/>
      <c r="B65" s="21" t="s">
        <v>27</v>
      </c>
      <c r="C65" s="7"/>
      <c r="D65" s="895" t="s">
        <v>103</v>
      </c>
      <c r="E65" s="893"/>
      <c r="F65" s="893"/>
      <c r="G65" s="1"/>
      <c r="H65" s="1"/>
      <c r="I65" s="10"/>
      <c r="J65" s="1"/>
      <c r="K65" s="1"/>
      <c r="L65" s="1"/>
      <c r="M65" s="1"/>
      <c r="N65" s="1"/>
      <c r="O65" s="1"/>
      <c r="P65" s="1"/>
      <c r="Q65" s="1"/>
      <c r="R65" s="1"/>
      <c r="S65" s="1"/>
      <c r="T65" s="1"/>
      <c r="U65" s="1"/>
      <c r="V65" s="1"/>
      <c r="W65" s="1"/>
      <c r="X65" s="1"/>
      <c r="Y65" s="1"/>
      <c r="Z65" s="1"/>
    </row>
    <row r="66" spans="1:26" ht="12.75" customHeight="1">
      <c r="A66" s="7"/>
      <c r="B66" s="7"/>
      <c r="C66" s="7"/>
      <c r="D66" s="893"/>
      <c r="E66" s="893"/>
      <c r="F66" s="893"/>
      <c r="G66" s="1"/>
      <c r="H66" s="1"/>
      <c r="I66" s="10"/>
      <c r="J66" s="1"/>
      <c r="K66" s="1"/>
      <c r="L66" s="1"/>
      <c r="M66" s="1"/>
      <c r="N66" s="1"/>
      <c r="O66" s="1"/>
      <c r="P66" s="1"/>
      <c r="Q66" s="1"/>
      <c r="R66" s="1"/>
      <c r="S66" s="1"/>
      <c r="T66" s="1"/>
      <c r="U66" s="1"/>
      <c r="V66" s="1"/>
      <c r="W66" s="1"/>
      <c r="X66" s="1"/>
      <c r="Y66" s="1"/>
      <c r="Z66" s="1"/>
    </row>
    <row r="67" spans="1:26" ht="12.75" customHeight="1">
      <c r="A67" s="7"/>
      <c r="B67" s="7"/>
      <c r="C67" s="7"/>
      <c r="D67" s="1"/>
      <c r="E67" s="1"/>
      <c r="F67" s="1"/>
      <c r="G67" s="1"/>
      <c r="H67" s="1"/>
      <c r="I67" s="10"/>
      <c r="J67" s="1"/>
      <c r="K67" s="1"/>
      <c r="L67" s="1"/>
      <c r="M67" s="1"/>
      <c r="N67" s="1"/>
      <c r="O67" s="1"/>
      <c r="P67" s="1"/>
      <c r="Q67" s="1"/>
      <c r="R67" s="1"/>
      <c r="S67" s="1"/>
      <c r="T67" s="1"/>
      <c r="U67" s="1"/>
      <c r="V67" s="1"/>
      <c r="W67" s="1"/>
      <c r="X67" s="1"/>
      <c r="Y67" s="1"/>
      <c r="Z67" s="1"/>
    </row>
    <row r="68" spans="1:26" ht="12.75" customHeight="1">
      <c r="A68" s="20"/>
      <c r="B68" s="21" t="s">
        <v>27</v>
      </c>
      <c r="C68" s="7"/>
      <c r="D68" s="895" t="s">
        <v>106</v>
      </c>
      <c r="E68" s="893"/>
      <c r="F68" s="893"/>
      <c r="G68" s="1"/>
      <c r="H68" s="1"/>
      <c r="I68" s="10"/>
      <c r="J68" s="1"/>
      <c r="K68" s="1"/>
      <c r="L68" s="1"/>
      <c r="M68" s="1"/>
      <c r="N68" s="1"/>
      <c r="O68" s="1"/>
      <c r="P68" s="1"/>
      <c r="Q68" s="1"/>
      <c r="R68" s="1"/>
      <c r="S68" s="1"/>
      <c r="T68" s="1"/>
      <c r="U68" s="1"/>
      <c r="V68" s="1"/>
      <c r="W68" s="1"/>
      <c r="X68" s="1"/>
      <c r="Y68" s="1"/>
      <c r="Z68" s="1"/>
    </row>
    <row r="69" spans="1:26" ht="12.75" customHeight="1">
      <c r="A69" s="7"/>
      <c r="B69" s="7"/>
      <c r="C69" s="7"/>
      <c r="D69" s="893"/>
      <c r="E69" s="893"/>
      <c r="F69" s="893"/>
      <c r="G69" s="1"/>
      <c r="H69" s="1"/>
      <c r="I69" s="10"/>
      <c r="J69" s="1"/>
      <c r="K69" s="1"/>
      <c r="L69" s="1"/>
      <c r="M69" s="1"/>
      <c r="N69" s="1"/>
      <c r="O69" s="1"/>
      <c r="P69" s="1"/>
      <c r="Q69" s="1"/>
      <c r="R69" s="1"/>
      <c r="S69" s="1"/>
      <c r="T69" s="1"/>
      <c r="U69" s="1"/>
      <c r="V69" s="1"/>
      <c r="W69" s="1"/>
      <c r="X69" s="1"/>
      <c r="Y69" s="1"/>
      <c r="Z69" s="1"/>
    </row>
    <row r="70" spans="1:26" ht="12.75" customHeight="1">
      <c r="A70" s="7"/>
      <c r="B70" s="7"/>
      <c r="C70" s="7"/>
      <c r="D70" s="893"/>
      <c r="E70" s="893"/>
      <c r="F70" s="893"/>
      <c r="G70" s="1"/>
      <c r="H70" s="1"/>
      <c r="I70" s="10"/>
      <c r="J70" s="1"/>
      <c r="K70" s="1"/>
      <c r="L70" s="1"/>
      <c r="M70" s="1"/>
      <c r="N70" s="1"/>
      <c r="O70" s="1"/>
      <c r="P70" s="1"/>
      <c r="Q70" s="1"/>
      <c r="R70" s="1"/>
      <c r="S70" s="1"/>
      <c r="T70" s="1"/>
      <c r="U70" s="1"/>
      <c r="V70" s="1"/>
      <c r="W70" s="1"/>
      <c r="X70" s="1"/>
      <c r="Y70" s="1"/>
      <c r="Z70" s="1"/>
    </row>
    <row r="71" spans="1:26" ht="12.75" customHeight="1">
      <c r="A71" s="7"/>
      <c r="B71" s="7"/>
      <c r="C71" s="7"/>
      <c r="D71" s="1"/>
      <c r="E71" s="1"/>
      <c r="F71" s="1"/>
      <c r="G71" s="1"/>
      <c r="H71" s="1"/>
      <c r="I71" s="10"/>
      <c r="J71" s="1"/>
      <c r="K71" s="1"/>
      <c r="L71" s="1"/>
      <c r="M71" s="1"/>
      <c r="N71" s="1"/>
      <c r="O71" s="1"/>
      <c r="P71" s="1"/>
      <c r="Q71" s="1"/>
      <c r="R71" s="1"/>
      <c r="S71" s="1"/>
      <c r="T71" s="1"/>
      <c r="U71" s="1"/>
      <c r="V71" s="1"/>
      <c r="W71" s="1"/>
      <c r="X71" s="1"/>
      <c r="Y71" s="1"/>
      <c r="Z71" s="1"/>
    </row>
    <row r="72" spans="1:26" ht="12.75" customHeight="1">
      <c r="A72" s="20"/>
      <c r="B72" s="21" t="s">
        <v>27</v>
      </c>
      <c r="C72" s="7"/>
      <c r="D72" s="895" t="s">
        <v>115</v>
      </c>
      <c r="E72" s="893"/>
      <c r="F72" s="893"/>
      <c r="G72" s="1"/>
      <c r="H72" s="1"/>
      <c r="I72" s="10"/>
      <c r="J72" s="1"/>
      <c r="K72" s="1"/>
      <c r="L72" s="1"/>
      <c r="M72" s="1"/>
      <c r="N72" s="1"/>
      <c r="O72" s="1"/>
      <c r="P72" s="1"/>
      <c r="Q72" s="1"/>
      <c r="R72" s="1"/>
      <c r="S72" s="1"/>
      <c r="T72" s="1"/>
      <c r="U72" s="1"/>
      <c r="V72" s="1"/>
      <c r="W72" s="1"/>
      <c r="X72" s="1"/>
      <c r="Y72" s="1"/>
      <c r="Z72" s="1"/>
    </row>
    <row r="73" spans="1:26" ht="12.75" customHeight="1">
      <c r="A73" s="7"/>
      <c r="B73" s="7"/>
      <c r="C73" s="7"/>
      <c r="D73" s="893"/>
      <c r="E73" s="893"/>
      <c r="F73" s="893"/>
      <c r="G73" s="1"/>
      <c r="H73" s="1"/>
      <c r="I73" s="10"/>
      <c r="J73" s="1"/>
      <c r="K73" s="1"/>
      <c r="L73" s="1"/>
      <c r="M73" s="1"/>
      <c r="N73" s="1"/>
      <c r="O73" s="1"/>
      <c r="P73" s="1"/>
      <c r="Q73" s="1"/>
      <c r="R73" s="1"/>
      <c r="S73" s="1"/>
      <c r="T73" s="1"/>
      <c r="U73" s="1"/>
      <c r="V73" s="1"/>
      <c r="W73" s="1"/>
      <c r="X73" s="1"/>
      <c r="Y73" s="1"/>
      <c r="Z73" s="1"/>
    </row>
    <row r="74" spans="1:26" ht="12.75" customHeight="1">
      <c r="A74" s="20"/>
      <c r="B74" s="20"/>
      <c r="C74" s="7"/>
      <c r="D74" s="17"/>
      <c r="E74" s="1"/>
      <c r="F74" s="1"/>
      <c r="G74" s="1"/>
      <c r="H74" s="1"/>
      <c r="I74" s="10"/>
      <c r="J74" s="1"/>
      <c r="K74" s="1"/>
      <c r="L74" s="1"/>
      <c r="M74" s="1"/>
      <c r="N74" s="1"/>
      <c r="O74" s="1"/>
      <c r="P74" s="1"/>
      <c r="Q74" s="1"/>
      <c r="R74" s="1"/>
      <c r="S74" s="1"/>
      <c r="T74" s="1"/>
      <c r="U74" s="1"/>
      <c r="V74" s="1"/>
      <c r="W74" s="1"/>
      <c r="X74" s="1"/>
      <c r="Y74" s="1"/>
      <c r="Z74" s="1"/>
    </row>
    <row r="75" spans="1:26" ht="12.75" customHeight="1">
      <c r="A75" s="920" t="s">
        <v>122</v>
      </c>
      <c r="B75" s="921"/>
      <c r="C75" s="921"/>
      <c r="D75" s="921"/>
      <c r="E75" s="921"/>
      <c r="F75" s="921"/>
      <c r="G75" s="921"/>
      <c r="H75" s="5"/>
      <c r="I75" s="39"/>
      <c r="J75" s="1"/>
      <c r="K75" s="1"/>
      <c r="L75" s="1"/>
      <c r="M75" s="1"/>
      <c r="N75" s="1"/>
      <c r="O75" s="1"/>
      <c r="P75" s="1"/>
      <c r="Q75" s="1"/>
      <c r="R75" s="1"/>
      <c r="S75" s="1"/>
      <c r="T75" s="1"/>
      <c r="U75" s="1"/>
      <c r="V75" s="1"/>
      <c r="W75" s="1"/>
      <c r="X75" s="1"/>
      <c r="Y75" s="1"/>
      <c r="Z75" s="1"/>
    </row>
    <row r="76" spans="1:26" ht="12.75" customHeight="1">
      <c r="A76" s="7"/>
      <c r="B76" s="7"/>
      <c r="C76" s="7"/>
      <c r="D76" s="1"/>
      <c r="E76" s="1"/>
      <c r="F76" s="1"/>
      <c r="G76" s="1"/>
      <c r="H76" s="1"/>
      <c r="I76" s="10"/>
      <c r="J76" s="1"/>
      <c r="K76" s="1"/>
      <c r="L76" s="1"/>
      <c r="M76" s="1"/>
      <c r="N76" s="1"/>
      <c r="O76" s="1"/>
      <c r="P76" s="1"/>
      <c r="Q76" s="1"/>
      <c r="R76" s="1"/>
      <c r="S76" s="1"/>
      <c r="T76" s="1"/>
      <c r="U76" s="1"/>
      <c r="V76" s="1"/>
      <c r="W76" s="1"/>
      <c r="X76" s="1"/>
      <c r="Y76" s="1"/>
      <c r="Z76" s="1"/>
    </row>
    <row r="77" spans="1:26" ht="12.75" customHeight="1">
      <c r="A77" s="7"/>
      <c r="B77" s="7"/>
      <c r="C77" s="40"/>
      <c r="D77" s="918" t="s">
        <v>131</v>
      </c>
      <c r="E77" s="893"/>
      <c r="F77" s="893"/>
      <c r="G77" s="1"/>
      <c r="H77" s="1"/>
      <c r="I77" s="10"/>
      <c r="J77" s="1"/>
      <c r="K77" s="1"/>
      <c r="L77" s="1"/>
      <c r="M77" s="1"/>
      <c r="N77" s="1"/>
      <c r="O77" s="1"/>
      <c r="P77" s="1"/>
      <c r="Q77" s="1"/>
      <c r="R77" s="1"/>
      <c r="S77" s="1"/>
      <c r="T77" s="1"/>
      <c r="U77" s="1"/>
      <c r="V77" s="1"/>
      <c r="W77" s="1"/>
      <c r="X77" s="1"/>
      <c r="Y77" s="1"/>
      <c r="Z77" s="1"/>
    </row>
    <row r="78" spans="1:26" ht="12.75" customHeight="1">
      <c r="A78" s="17"/>
      <c r="B78" s="17"/>
      <c r="C78" s="7"/>
      <c r="D78" s="895" t="s">
        <v>135</v>
      </c>
      <c r="E78" s="893"/>
      <c r="F78" s="893"/>
      <c r="G78" s="1"/>
      <c r="H78" s="1"/>
      <c r="I78" s="10"/>
      <c r="J78" s="1"/>
      <c r="K78" s="1"/>
      <c r="L78" s="1"/>
      <c r="M78" s="1"/>
      <c r="N78" s="1"/>
      <c r="O78" s="1"/>
      <c r="P78" s="1"/>
      <c r="Q78" s="1"/>
      <c r="R78" s="1"/>
      <c r="S78" s="1"/>
      <c r="T78" s="1"/>
      <c r="U78" s="1"/>
      <c r="V78" s="1"/>
      <c r="W78" s="1"/>
      <c r="X78" s="1"/>
      <c r="Y78" s="1"/>
      <c r="Z78" s="1"/>
    </row>
    <row r="79" spans="1:26" ht="12.75" customHeight="1">
      <c r="A79" s="17"/>
      <c r="B79" s="17"/>
      <c r="C79" s="7"/>
      <c r="D79" s="1"/>
      <c r="E79" s="1"/>
      <c r="F79" s="1"/>
      <c r="G79" s="1"/>
      <c r="H79" s="1"/>
      <c r="I79" s="10"/>
      <c r="J79" s="1"/>
      <c r="K79" s="1"/>
      <c r="L79" s="1"/>
      <c r="M79" s="1"/>
      <c r="N79" s="1"/>
      <c r="O79" s="1"/>
      <c r="P79" s="1"/>
      <c r="Q79" s="1"/>
      <c r="R79" s="1"/>
      <c r="S79" s="1"/>
      <c r="T79" s="1"/>
      <c r="U79" s="1"/>
      <c r="V79" s="1"/>
      <c r="W79" s="1"/>
      <c r="X79" s="1"/>
      <c r="Y79" s="1"/>
      <c r="Z79" s="1"/>
    </row>
    <row r="80" spans="1:26" ht="13.5" customHeight="1">
      <c r="A80" s="20"/>
      <c r="B80" s="21" t="s">
        <v>27</v>
      </c>
      <c r="C80" s="7"/>
      <c r="D80" s="895" t="s">
        <v>141</v>
      </c>
      <c r="E80" s="893"/>
      <c r="F80" s="893"/>
      <c r="G80" s="1"/>
      <c r="H80" s="1"/>
      <c r="I80" s="10"/>
      <c r="J80" s="1"/>
      <c r="K80" s="1"/>
      <c r="L80" s="1"/>
      <c r="M80" s="1"/>
      <c r="N80" s="1"/>
      <c r="O80" s="1"/>
      <c r="P80" s="1"/>
      <c r="Q80" s="1"/>
      <c r="R80" s="1"/>
      <c r="S80" s="1"/>
      <c r="T80" s="1"/>
      <c r="U80" s="1"/>
      <c r="V80" s="1"/>
      <c r="W80" s="1"/>
      <c r="X80" s="1"/>
      <c r="Y80" s="1"/>
      <c r="Z80" s="1"/>
    </row>
    <row r="81" spans="1:26" ht="12.75" customHeight="1">
      <c r="A81" s="20"/>
      <c r="B81" s="20"/>
      <c r="C81" s="7"/>
      <c r="D81" s="893"/>
      <c r="E81" s="893"/>
      <c r="F81" s="893"/>
      <c r="G81" s="1"/>
      <c r="H81" s="1"/>
      <c r="I81" s="10"/>
      <c r="J81" s="1"/>
      <c r="K81" s="1"/>
      <c r="L81" s="1"/>
      <c r="M81" s="1"/>
      <c r="N81" s="1"/>
      <c r="O81" s="1"/>
      <c r="P81" s="1"/>
      <c r="Q81" s="1"/>
      <c r="R81" s="1"/>
      <c r="S81" s="1"/>
      <c r="T81" s="1"/>
      <c r="U81" s="1"/>
      <c r="V81" s="1"/>
      <c r="W81" s="1"/>
      <c r="X81" s="1"/>
      <c r="Y81" s="1"/>
      <c r="Z81" s="1"/>
    </row>
    <row r="82" spans="1:26" ht="12.75" customHeight="1">
      <c r="A82" s="20"/>
      <c r="B82" s="20"/>
      <c r="C82" s="7"/>
      <c r="D82" s="893"/>
      <c r="E82" s="893"/>
      <c r="F82" s="893"/>
      <c r="G82" s="1"/>
      <c r="H82" s="1"/>
      <c r="I82" s="10"/>
      <c r="J82" s="1"/>
      <c r="K82" s="1"/>
      <c r="L82" s="1"/>
      <c r="M82" s="1"/>
      <c r="N82" s="1"/>
      <c r="O82" s="1"/>
      <c r="P82" s="1"/>
      <c r="Q82" s="1"/>
      <c r="R82" s="1"/>
      <c r="S82" s="1"/>
      <c r="T82" s="1"/>
      <c r="U82" s="1"/>
      <c r="V82" s="1"/>
      <c r="W82" s="1"/>
      <c r="X82" s="1"/>
      <c r="Y82" s="1"/>
      <c r="Z82" s="1"/>
    </row>
    <row r="83" spans="1:26" ht="12.75" customHeight="1">
      <c r="A83" s="20"/>
      <c r="B83" s="20"/>
      <c r="C83" s="7"/>
      <c r="D83" s="893"/>
      <c r="E83" s="893"/>
      <c r="F83" s="893"/>
      <c r="G83" s="1"/>
      <c r="H83" s="1"/>
      <c r="I83" s="10"/>
      <c r="J83" s="1"/>
      <c r="K83" s="1"/>
      <c r="L83" s="1"/>
      <c r="M83" s="1"/>
      <c r="N83" s="1"/>
      <c r="O83" s="1"/>
      <c r="P83" s="1"/>
      <c r="Q83" s="1"/>
      <c r="R83" s="1"/>
      <c r="S83" s="1"/>
      <c r="T83" s="1"/>
      <c r="U83" s="1"/>
      <c r="V83" s="1"/>
      <c r="W83" s="1"/>
      <c r="X83" s="1"/>
      <c r="Y83" s="1"/>
      <c r="Z83" s="1"/>
    </row>
    <row r="84" spans="1:26" ht="12.75" customHeight="1">
      <c r="A84" s="20"/>
      <c r="B84" s="20"/>
      <c r="C84" s="7"/>
      <c r="D84" s="893"/>
      <c r="E84" s="893"/>
      <c r="F84" s="893"/>
      <c r="G84" s="1"/>
      <c r="H84" s="1"/>
      <c r="I84" s="10"/>
      <c r="J84" s="1"/>
      <c r="K84" s="1"/>
      <c r="L84" s="1"/>
      <c r="M84" s="1"/>
      <c r="N84" s="1"/>
      <c r="O84" s="1"/>
      <c r="P84" s="1"/>
      <c r="Q84" s="1"/>
      <c r="R84" s="1"/>
      <c r="S84" s="1"/>
      <c r="T84" s="1"/>
      <c r="U84" s="1"/>
      <c r="V84" s="1"/>
      <c r="W84" s="1"/>
      <c r="X84" s="1"/>
      <c r="Y84" s="1"/>
      <c r="Z84" s="1"/>
    </row>
    <row r="85" spans="1:26" ht="12.75" customHeight="1">
      <c r="A85" s="20"/>
      <c r="B85" s="20"/>
      <c r="C85" s="7"/>
      <c r="D85" s="893"/>
      <c r="E85" s="893"/>
      <c r="F85" s="893"/>
      <c r="G85" s="1"/>
      <c r="H85" s="1"/>
      <c r="I85" s="10"/>
      <c r="J85" s="1"/>
      <c r="K85" s="1"/>
      <c r="L85" s="1"/>
      <c r="M85" s="1"/>
      <c r="N85" s="1"/>
      <c r="O85" s="1"/>
      <c r="P85" s="1"/>
      <c r="Q85" s="1"/>
      <c r="R85" s="1"/>
      <c r="S85" s="1"/>
      <c r="T85" s="1"/>
      <c r="U85" s="1"/>
      <c r="V85" s="1"/>
      <c r="W85" s="1"/>
      <c r="X85" s="1"/>
      <c r="Y85" s="1"/>
      <c r="Z85" s="1"/>
    </row>
    <row r="86" spans="1:26" ht="12.75" customHeight="1">
      <c r="A86" s="20"/>
      <c r="B86" s="20"/>
      <c r="C86" s="7"/>
      <c r="D86" s="893"/>
      <c r="E86" s="893"/>
      <c r="F86" s="893"/>
      <c r="G86" s="1"/>
      <c r="H86" s="1"/>
      <c r="I86" s="10"/>
      <c r="J86" s="1"/>
      <c r="K86" s="1"/>
      <c r="L86" s="1"/>
      <c r="M86" s="1"/>
      <c r="N86" s="1"/>
      <c r="O86" s="1"/>
      <c r="P86" s="1"/>
      <c r="Q86" s="1"/>
      <c r="R86" s="1"/>
      <c r="S86" s="1"/>
      <c r="T86" s="1"/>
      <c r="U86" s="1"/>
      <c r="V86" s="1"/>
      <c r="W86" s="1"/>
      <c r="X86" s="1"/>
      <c r="Y86" s="1"/>
      <c r="Z86" s="1"/>
    </row>
    <row r="87" spans="1:26" ht="12.75" customHeight="1">
      <c r="A87" s="20"/>
      <c r="B87" s="20"/>
      <c r="C87" s="7"/>
      <c r="D87" s="893"/>
      <c r="E87" s="893"/>
      <c r="F87" s="893"/>
      <c r="G87" s="1"/>
      <c r="H87" s="1"/>
      <c r="I87" s="10"/>
      <c r="J87" s="1"/>
      <c r="K87" s="1"/>
      <c r="L87" s="1"/>
      <c r="M87" s="1"/>
      <c r="N87" s="1"/>
      <c r="O87" s="1"/>
      <c r="P87" s="1"/>
      <c r="Q87" s="1"/>
      <c r="R87" s="1"/>
      <c r="S87" s="1"/>
      <c r="T87" s="1"/>
      <c r="U87" s="1"/>
      <c r="V87" s="1"/>
      <c r="W87" s="1"/>
      <c r="X87" s="1"/>
      <c r="Y87" s="1"/>
      <c r="Z87" s="1"/>
    </row>
    <row r="88" spans="1:26" ht="12.75" customHeight="1">
      <c r="A88" s="20"/>
      <c r="B88" s="20"/>
      <c r="C88" s="7"/>
      <c r="D88" s="4"/>
      <c r="E88" s="4"/>
      <c r="F88" s="4"/>
      <c r="G88" s="1"/>
      <c r="H88" s="1"/>
      <c r="I88" s="10"/>
      <c r="J88" s="1"/>
      <c r="K88" s="1"/>
      <c r="L88" s="1"/>
      <c r="M88" s="1"/>
      <c r="N88" s="1"/>
      <c r="O88" s="1"/>
      <c r="P88" s="1"/>
      <c r="Q88" s="1"/>
      <c r="R88" s="1"/>
      <c r="S88" s="1"/>
      <c r="T88" s="1"/>
      <c r="U88" s="1"/>
      <c r="V88" s="1"/>
      <c r="W88" s="1"/>
      <c r="X88" s="1"/>
      <c r="Y88" s="1"/>
      <c r="Z88" s="1"/>
    </row>
    <row r="89" spans="1:26" ht="15" customHeight="1">
      <c r="A89" s="20"/>
      <c r="B89" s="21" t="s">
        <v>27</v>
      </c>
      <c r="C89" s="7"/>
      <c r="D89" s="895" t="s">
        <v>175</v>
      </c>
      <c r="E89" s="893"/>
      <c r="F89" s="893"/>
      <c r="G89" s="1"/>
      <c r="H89" s="1"/>
      <c r="I89" s="10"/>
      <c r="J89" s="1"/>
      <c r="K89" s="1"/>
      <c r="L89" s="1"/>
      <c r="M89" s="1"/>
      <c r="N89" s="1"/>
      <c r="O89" s="1"/>
      <c r="P89" s="1"/>
      <c r="Q89" s="1"/>
      <c r="R89" s="1"/>
      <c r="S89" s="1"/>
      <c r="T89" s="1"/>
      <c r="U89" s="1"/>
      <c r="V89" s="1"/>
      <c r="W89" s="1"/>
      <c r="X89" s="1"/>
      <c r="Y89" s="1"/>
      <c r="Z89" s="1"/>
    </row>
    <row r="90" spans="1:26" ht="12.75" customHeight="1">
      <c r="A90" s="20"/>
      <c r="B90" s="20"/>
      <c r="C90" s="7"/>
      <c r="D90" s="893"/>
      <c r="E90" s="893"/>
      <c r="F90" s="893"/>
      <c r="G90" s="1"/>
      <c r="H90" s="1"/>
      <c r="I90" s="10"/>
      <c r="J90" s="1"/>
      <c r="K90" s="1"/>
      <c r="L90" s="1"/>
      <c r="M90" s="1"/>
      <c r="N90" s="1"/>
      <c r="O90" s="1"/>
      <c r="P90" s="1"/>
      <c r="Q90" s="1"/>
      <c r="R90" s="1"/>
      <c r="S90" s="1"/>
      <c r="T90" s="1"/>
      <c r="U90" s="1"/>
      <c r="V90" s="1"/>
      <c r="W90" s="1"/>
      <c r="X90" s="1"/>
      <c r="Y90" s="1"/>
      <c r="Z90" s="1"/>
    </row>
    <row r="91" spans="1:26" ht="12.75" customHeight="1">
      <c r="A91" s="20"/>
      <c r="B91" s="20"/>
      <c r="C91" s="7"/>
      <c r="D91" s="11"/>
      <c r="E91" s="11"/>
      <c r="F91" s="11"/>
      <c r="G91" s="1"/>
      <c r="H91" s="1"/>
      <c r="I91" s="10"/>
      <c r="J91" s="1"/>
      <c r="K91" s="1"/>
      <c r="L91" s="1"/>
      <c r="M91" s="1"/>
      <c r="N91" s="1"/>
      <c r="O91" s="1"/>
      <c r="P91" s="1"/>
      <c r="Q91" s="1"/>
      <c r="R91" s="1"/>
      <c r="S91" s="1"/>
      <c r="T91" s="1"/>
      <c r="U91" s="1"/>
      <c r="V91" s="1"/>
      <c r="W91" s="1"/>
      <c r="X91" s="1"/>
      <c r="Y91" s="1"/>
      <c r="Z91" s="1"/>
    </row>
    <row r="92" spans="1:26" ht="12.75" customHeight="1">
      <c r="A92" s="20"/>
      <c r="B92" s="21" t="s">
        <v>27</v>
      </c>
      <c r="C92" s="7"/>
      <c r="D92" s="895" t="s">
        <v>182</v>
      </c>
      <c r="E92" s="893"/>
      <c r="F92" s="893"/>
      <c r="G92" s="1"/>
      <c r="H92" s="1"/>
      <c r="I92" s="10"/>
      <c r="J92" s="1"/>
      <c r="K92" s="1"/>
      <c r="L92" s="1"/>
      <c r="M92" s="1"/>
      <c r="N92" s="1"/>
      <c r="O92" s="1"/>
      <c r="P92" s="1"/>
      <c r="Q92" s="1"/>
      <c r="R92" s="1"/>
      <c r="S92" s="1"/>
      <c r="T92" s="1"/>
      <c r="U92" s="1"/>
      <c r="V92" s="1"/>
      <c r="W92" s="1"/>
      <c r="X92" s="1"/>
      <c r="Y92" s="1"/>
      <c r="Z92" s="1"/>
    </row>
    <row r="93" spans="1:26" ht="12.75" customHeight="1">
      <c r="A93" s="20"/>
      <c r="B93" s="20"/>
      <c r="C93" s="7"/>
      <c r="D93" s="893"/>
      <c r="E93" s="893"/>
      <c r="F93" s="893"/>
      <c r="G93" s="1"/>
      <c r="H93" s="1"/>
      <c r="I93" s="10"/>
      <c r="J93" s="1"/>
      <c r="K93" s="1"/>
      <c r="L93" s="1"/>
      <c r="M93" s="1"/>
      <c r="N93" s="1"/>
      <c r="O93" s="1"/>
      <c r="P93" s="1"/>
      <c r="Q93" s="1"/>
      <c r="R93" s="1"/>
      <c r="S93" s="1"/>
      <c r="T93" s="1"/>
      <c r="U93" s="1"/>
      <c r="V93" s="1"/>
      <c r="W93" s="1"/>
      <c r="X93" s="1"/>
      <c r="Y93" s="1"/>
      <c r="Z93" s="1"/>
    </row>
    <row r="94" spans="1:26" ht="12.75" customHeight="1">
      <c r="A94" s="20"/>
      <c r="B94" s="20"/>
      <c r="C94" s="7"/>
      <c r="D94" s="893"/>
      <c r="E94" s="893"/>
      <c r="F94" s="893"/>
      <c r="G94" s="1"/>
      <c r="H94" s="1"/>
      <c r="I94" s="10"/>
      <c r="J94" s="1"/>
      <c r="K94" s="1"/>
      <c r="L94" s="1"/>
      <c r="M94" s="1"/>
      <c r="N94" s="1"/>
      <c r="O94" s="1"/>
      <c r="P94" s="1"/>
      <c r="Q94" s="1"/>
      <c r="R94" s="1"/>
      <c r="S94" s="1"/>
      <c r="T94" s="1"/>
      <c r="U94" s="1"/>
      <c r="V94" s="1"/>
      <c r="W94" s="1"/>
      <c r="X94" s="1"/>
      <c r="Y94" s="1"/>
      <c r="Z94" s="1"/>
    </row>
    <row r="95" spans="1:26" ht="12.75" customHeight="1">
      <c r="A95" s="20"/>
      <c r="B95" s="20"/>
      <c r="C95" s="7"/>
      <c r="D95" s="11"/>
      <c r="E95" s="11"/>
      <c r="F95" s="11"/>
      <c r="G95" s="1"/>
      <c r="H95" s="1"/>
      <c r="I95" s="10"/>
      <c r="J95" s="1"/>
      <c r="K95" s="1"/>
      <c r="L95" s="1"/>
      <c r="M95" s="1"/>
      <c r="N95" s="1"/>
      <c r="O95" s="1"/>
      <c r="P95" s="1"/>
      <c r="Q95" s="1"/>
      <c r="R95" s="1"/>
      <c r="S95" s="1"/>
      <c r="T95" s="1"/>
      <c r="U95" s="1"/>
      <c r="V95" s="1"/>
      <c r="W95" s="1"/>
      <c r="X95" s="1"/>
      <c r="Y95" s="1"/>
      <c r="Z95" s="1"/>
    </row>
    <row r="96" spans="1:26" ht="12.75" customHeight="1">
      <c r="A96" s="20"/>
      <c r="B96" s="21" t="s">
        <v>27</v>
      </c>
      <c r="C96" s="7"/>
      <c r="D96" s="895" t="s">
        <v>193</v>
      </c>
      <c r="E96" s="893"/>
      <c r="F96" s="893"/>
      <c r="G96" s="1"/>
      <c r="H96" s="1"/>
      <c r="I96" s="10"/>
      <c r="J96" s="1"/>
      <c r="K96" s="1"/>
      <c r="L96" s="1"/>
      <c r="M96" s="1"/>
      <c r="N96" s="1"/>
      <c r="O96" s="1"/>
      <c r="P96" s="1"/>
      <c r="Q96" s="1"/>
      <c r="R96" s="1"/>
      <c r="S96" s="1"/>
      <c r="T96" s="1"/>
      <c r="U96" s="1"/>
      <c r="V96" s="1"/>
      <c r="W96" s="1"/>
      <c r="X96" s="1"/>
      <c r="Y96" s="1"/>
      <c r="Z96" s="1"/>
    </row>
    <row r="97" spans="1:26" ht="12.75" customHeight="1">
      <c r="A97" s="42"/>
      <c r="B97" s="42"/>
      <c r="C97" s="43"/>
      <c r="D97" s="893"/>
      <c r="E97" s="893"/>
      <c r="F97" s="893"/>
      <c r="G97" s="44"/>
      <c r="H97" s="44"/>
      <c r="I97" s="45"/>
      <c r="J97" s="44"/>
      <c r="K97" s="44"/>
      <c r="L97" s="44"/>
      <c r="M97" s="44"/>
      <c r="N97" s="44"/>
      <c r="O97" s="44"/>
      <c r="P97" s="44"/>
      <c r="Q97" s="44"/>
      <c r="R97" s="44"/>
      <c r="S97" s="44"/>
      <c r="T97" s="44"/>
      <c r="U97" s="44"/>
      <c r="V97" s="44"/>
      <c r="W97" s="44"/>
      <c r="X97" s="44"/>
      <c r="Y97" s="44"/>
      <c r="Z97" s="44"/>
    </row>
    <row r="98" spans="1:26" ht="12.75" customHeight="1">
      <c r="A98" s="20"/>
      <c r="B98" s="20"/>
      <c r="C98" s="7"/>
      <c r="D98" s="14"/>
      <c r="E98" s="19" t="s">
        <v>199</v>
      </c>
      <c r="F98" s="11"/>
      <c r="G98" s="1"/>
      <c r="H98" s="1"/>
      <c r="I98" s="10"/>
      <c r="J98" s="1"/>
      <c r="K98" s="1"/>
      <c r="L98" s="1"/>
      <c r="M98" s="1"/>
      <c r="N98" s="1"/>
      <c r="O98" s="1"/>
      <c r="P98" s="1"/>
      <c r="Q98" s="1"/>
      <c r="R98" s="1"/>
      <c r="S98" s="1"/>
      <c r="T98" s="1"/>
      <c r="U98" s="1"/>
      <c r="V98" s="1"/>
      <c r="W98" s="1"/>
      <c r="X98" s="1"/>
      <c r="Y98" s="1"/>
      <c r="Z98" s="1"/>
    </row>
    <row r="99" spans="1:26" ht="12.75" customHeight="1">
      <c r="A99" s="20"/>
      <c r="B99" s="20"/>
      <c r="C99" s="7"/>
      <c r="D99" s="4"/>
      <c r="E99" s="4"/>
      <c r="F99" s="4"/>
      <c r="G99" s="1"/>
      <c r="H99" s="1"/>
      <c r="I99" s="10"/>
      <c r="J99" s="1"/>
      <c r="K99" s="1"/>
      <c r="L99" s="1"/>
      <c r="M99" s="1"/>
      <c r="N99" s="1"/>
      <c r="O99" s="1"/>
      <c r="P99" s="1"/>
      <c r="Q99" s="1"/>
      <c r="R99" s="1"/>
      <c r="S99" s="1"/>
      <c r="T99" s="1"/>
      <c r="U99" s="1"/>
      <c r="V99" s="1"/>
      <c r="W99" s="1"/>
      <c r="X99" s="1"/>
      <c r="Y99" s="1"/>
      <c r="Z99" s="1"/>
    </row>
    <row r="100" spans="1:26" ht="12.75" customHeight="1">
      <c r="A100" s="20"/>
      <c r="B100" s="21" t="s">
        <v>27</v>
      </c>
      <c r="C100" s="7"/>
      <c r="D100" s="895" t="s">
        <v>204</v>
      </c>
      <c r="E100" s="893"/>
      <c r="F100" s="893"/>
      <c r="G100" s="1"/>
      <c r="H100" s="1"/>
      <c r="I100" s="10"/>
      <c r="J100" s="1"/>
      <c r="K100" s="1"/>
      <c r="L100" s="1"/>
      <c r="M100" s="1"/>
      <c r="N100" s="1"/>
      <c r="O100" s="1"/>
      <c r="P100" s="1"/>
      <c r="Q100" s="1"/>
      <c r="R100" s="1"/>
      <c r="S100" s="1"/>
      <c r="T100" s="1"/>
      <c r="U100" s="1"/>
      <c r="V100" s="1"/>
      <c r="W100" s="1"/>
      <c r="X100" s="1"/>
      <c r="Y100" s="1"/>
      <c r="Z100" s="1"/>
    </row>
    <row r="101" spans="1:26" ht="12.75" customHeight="1">
      <c r="A101" s="20"/>
      <c r="B101" s="20"/>
      <c r="C101" s="7"/>
      <c r="D101" s="893"/>
      <c r="E101" s="893"/>
      <c r="F101" s="893"/>
      <c r="G101" s="1"/>
      <c r="H101" s="1"/>
      <c r="I101" s="10"/>
      <c r="J101" s="1"/>
      <c r="K101" s="1"/>
      <c r="L101" s="1"/>
      <c r="M101" s="1"/>
      <c r="N101" s="1"/>
      <c r="O101" s="1"/>
      <c r="P101" s="1"/>
      <c r="Q101" s="1"/>
      <c r="R101" s="1"/>
      <c r="S101" s="1"/>
      <c r="T101" s="1"/>
      <c r="U101" s="1"/>
      <c r="V101" s="1"/>
      <c r="W101" s="1"/>
      <c r="X101" s="1"/>
      <c r="Y101" s="1"/>
      <c r="Z101" s="1"/>
    </row>
    <row r="102" spans="1:26" ht="12.75" customHeight="1">
      <c r="A102" s="20"/>
      <c r="B102" s="20"/>
      <c r="C102" s="7"/>
      <c r="D102" s="11"/>
      <c r="E102" s="11"/>
      <c r="F102" s="11"/>
      <c r="G102" s="1"/>
      <c r="H102" s="1"/>
      <c r="I102" s="10"/>
      <c r="J102" s="1"/>
      <c r="K102" s="1"/>
      <c r="L102" s="1"/>
      <c r="M102" s="1"/>
      <c r="N102" s="1"/>
      <c r="O102" s="1"/>
      <c r="P102" s="1"/>
      <c r="Q102" s="1"/>
      <c r="R102" s="1"/>
      <c r="S102" s="1"/>
      <c r="T102" s="1"/>
      <c r="U102" s="1"/>
      <c r="V102" s="1"/>
      <c r="W102" s="1"/>
      <c r="X102" s="1"/>
      <c r="Y102" s="1"/>
      <c r="Z102" s="1"/>
    </row>
    <row r="103" spans="1:26" ht="14.25" customHeight="1">
      <c r="A103" s="20"/>
      <c r="B103" s="21" t="s">
        <v>27</v>
      </c>
      <c r="C103" s="7"/>
      <c r="D103" s="895" t="s">
        <v>209</v>
      </c>
      <c r="E103" s="893"/>
      <c r="F103" s="893"/>
      <c r="G103" s="1"/>
      <c r="H103" s="1"/>
      <c r="I103" s="10"/>
      <c r="J103" s="1"/>
      <c r="K103" s="1"/>
      <c r="L103" s="1"/>
      <c r="M103" s="1"/>
      <c r="N103" s="1"/>
      <c r="O103" s="1"/>
      <c r="P103" s="1"/>
      <c r="Q103" s="1"/>
      <c r="R103" s="1"/>
      <c r="S103" s="1"/>
      <c r="T103" s="1"/>
      <c r="U103" s="1"/>
      <c r="V103" s="1"/>
      <c r="W103" s="1"/>
      <c r="X103" s="1"/>
      <c r="Y103" s="1"/>
      <c r="Z103" s="1"/>
    </row>
    <row r="104" spans="1:26" ht="12.75" customHeight="1">
      <c r="A104" s="20"/>
      <c r="B104" s="20"/>
      <c r="C104" s="7"/>
      <c r="D104" s="893"/>
      <c r="E104" s="893"/>
      <c r="F104" s="893"/>
      <c r="G104" s="1"/>
      <c r="H104" s="1"/>
      <c r="I104" s="10"/>
      <c r="J104" s="1"/>
      <c r="K104" s="1"/>
      <c r="L104" s="1"/>
      <c r="M104" s="1"/>
      <c r="N104" s="1"/>
      <c r="O104" s="1"/>
      <c r="P104" s="1"/>
      <c r="Q104" s="1"/>
      <c r="R104" s="1"/>
      <c r="S104" s="1"/>
      <c r="T104" s="1"/>
      <c r="U104" s="1"/>
      <c r="V104" s="1"/>
      <c r="W104" s="1"/>
      <c r="X104" s="1"/>
      <c r="Y104" s="1"/>
      <c r="Z104" s="1"/>
    </row>
    <row r="105" spans="1:26" ht="12.75" customHeight="1">
      <c r="A105" s="20"/>
      <c r="B105" s="20"/>
      <c r="C105" s="7"/>
      <c r="D105" s="893"/>
      <c r="E105" s="893"/>
      <c r="F105" s="893"/>
      <c r="G105" s="1"/>
      <c r="H105" s="1"/>
      <c r="I105" s="10"/>
      <c r="J105" s="1"/>
      <c r="K105" s="1"/>
      <c r="L105" s="1"/>
      <c r="M105" s="1"/>
      <c r="N105" s="1"/>
      <c r="O105" s="1"/>
      <c r="P105" s="1"/>
      <c r="Q105" s="1"/>
      <c r="R105" s="1"/>
      <c r="S105" s="1"/>
      <c r="T105" s="1"/>
      <c r="U105" s="1"/>
      <c r="V105" s="1"/>
      <c r="W105" s="1"/>
      <c r="X105" s="1"/>
      <c r="Y105" s="1"/>
      <c r="Z105" s="1"/>
    </row>
    <row r="106" spans="1:26" ht="12.75" customHeight="1">
      <c r="A106" s="20"/>
      <c r="B106" s="20"/>
      <c r="C106" s="7"/>
      <c r="D106" s="893"/>
      <c r="E106" s="893"/>
      <c r="F106" s="893"/>
      <c r="G106" s="1"/>
      <c r="H106" s="1"/>
      <c r="I106" s="10"/>
      <c r="J106" s="1"/>
      <c r="K106" s="1"/>
      <c r="L106" s="1"/>
      <c r="M106" s="1"/>
      <c r="N106" s="1"/>
      <c r="O106" s="1"/>
      <c r="P106" s="1"/>
      <c r="Q106" s="1"/>
      <c r="R106" s="1"/>
      <c r="S106" s="1"/>
      <c r="T106" s="1"/>
      <c r="U106" s="1"/>
      <c r="V106" s="1"/>
      <c r="W106" s="1"/>
      <c r="X106" s="1"/>
      <c r="Y106" s="1"/>
      <c r="Z106" s="1"/>
    </row>
    <row r="107" spans="1:26" ht="12.75" customHeight="1">
      <c r="A107" s="20"/>
      <c r="B107" s="20"/>
      <c r="C107" s="7"/>
      <c r="D107" s="893"/>
      <c r="E107" s="893"/>
      <c r="F107" s="893"/>
      <c r="G107" s="1"/>
      <c r="H107" s="1"/>
      <c r="I107" s="10"/>
      <c r="J107" s="1"/>
      <c r="K107" s="1"/>
      <c r="L107" s="1"/>
      <c r="M107" s="1"/>
      <c r="N107" s="1"/>
      <c r="O107" s="1"/>
      <c r="P107" s="1"/>
      <c r="Q107" s="1"/>
      <c r="R107" s="1"/>
      <c r="S107" s="1"/>
      <c r="T107" s="1"/>
      <c r="U107" s="1"/>
      <c r="V107" s="1"/>
      <c r="W107" s="1"/>
      <c r="X107" s="1"/>
      <c r="Y107" s="1"/>
      <c r="Z107" s="1"/>
    </row>
    <row r="108" spans="1:26" ht="12.75" customHeight="1">
      <c r="A108" s="20"/>
      <c r="B108" s="20"/>
      <c r="C108" s="7"/>
      <c r="D108" s="893"/>
      <c r="E108" s="893"/>
      <c r="F108" s="893"/>
      <c r="G108" s="1"/>
      <c r="H108" s="1"/>
      <c r="I108" s="10"/>
      <c r="J108" s="1"/>
      <c r="K108" s="1"/>
      <c r="L108" s="1"/>
      <c r="M108" s="1"/>
      <c r="N108" s="1"/>
      <c r="O108" s="1"/>
      <c r="P108" s="1"/>
      <c r="Q108" s="1"/>
      <c r="R108" s="1"/>
      <c r="S108" s="1"/>
      <c r="T108" s="1"/>
      <c r="U108" s="1"/>
      <c r="V108" s="1"/>
      <c r="W108" s="1"/>
      <c r="X108" s="1"/>
      <c r="Y108" s="1"/>
      <c r="Z108" s="1"/>
    </row>
    <row r="109" spans="1:26" ht="12.75" customHeight="1">
      <c r="A109" s="20"/>
      <c r="B109" s="20"/>
      <c r="C109" s="7"/>
      <c r="D109" s="893"/>
      <c r="E109" s="893"/>
      <c r="F109" s="893"/>
      <c r="G109" s="1"/>
      <c r="H109" s="1"/>
      <c r="I109" s="10"/>
      <c r="J109" s="1"/>
      <c r="K109" s="1"/>
      <c r="L109" s="1"/>
      <c r="M109" s="1"/>
      <c r="N109" s="1"/>
      <c r="O109" s="1"/>
      <c r="P109" s="1"/>
      <c r="Q109" s="1"/>
      <c r="R109" s="1"/>
      <c r="S109" s="1"/>
      <c r="T109" s="1"/>
      <c r="U109" s="1"/>
      <c r="V109" s="1"/>
      <c r="W109" s="1"/>
      <c r="X109" s="1"/>
      <c r="Y109" s="1"/>
      <c r="Z109" s="1"/>
    </row>
    <row r="110" spans="1:26" ht="12.75" customHeight="1">
      <c r="A110" s="20"/>
      <c r="B110" s="20"/>
      <c r="C110" s="7"/>
      <c r="D110" s="893"/>
      <c r="E110" s="893"/>
      <c r="F110" s="893"/>
      <c r="G110" s="1"/>
      <c r="H110" s="1"/>
      <c r="I110" s="10"/>
      <c r="J110" s="1"/>
      <c r="K110" s="1"/>
      <c r="L110" s="1"/>
      <c r="M110" s="1"/>
      <c r="N110" s="1"/>
      <c r="O110" s="1"/>
      <c r="P110" s="1"/>
      <c r="Q110" s="1"/>
      <c r="R110" s="1"/>
      <c r="S110" s="1"/>
      <c r="T110" s="1"/>
      <c r="U110" s="1"/>
      <c r="V110" s="1"/>
      <c r="W110" s="1"/>
      <c r="X110" s="1"/>
      <c r="Y110" s="1"/>
      <c r="Z110" s="1"/>
    </row>
    <row r="111" spans="1:26" ht="12.75" customHeight="1">
      <c r="A111" s="20"/>
      <c r="B111" s="20"/>
      <c r="C111" s="7"/>
      <c r="D111" s="893"/>
      <c r="E111" s="893"/>
      <c r="F111" s="893"/>
      <c r="G111" s="1"/>
      <c r="H111" s="1"/>
      <c r="I111" s="10"/>
      <c r="J111" s="1"/>
      <c r="K111" s="1"/>
      <c r="L111" s="1"/>
      <c r="M111" s="1"/>
      <c r="N111" s="1"/>
      <c r="O111" s="1"/>
      <c r="P111" s="1"/>
      <c r="Q111" s="1"/>
      <c r="R111" s="1"/>
      <c r="S111" s="1"/>
      <c r="T111" s="1"/>
      <c r="U111" s="1"/>
      <c r="V111" s="1"/>
      <c r="W111" s="1"/>
      <c r="X111" s="1"/>
      <c r="Y111" s="1"/>
      <c r="Z111" s="1"/>
    </row>
    <row r="112" spans="1:26" ht="12.75" customHeight="1">
      <c r="A112" s="20"/>
      <c r="B112" s="20"/>
      <c r="C112" s="7"/>
      <c r="D112" s="893"/>
      <c r="E112" s="893"/>
      <c r="F112" s="893"/>
      <c r="G112" s="1"/>
      <c r="H112" s="1"/>
      <c r="I112" s="10"/>
      <c r="J112" s="1"/>
      <c r="K112" s="1"/>
      <c r="L112" s="1"/>
      <c r="M112" s="1"/>
      <c r="N112" s="1"/>
      <c r="O112" s="1"/>
      <c r="P112" s="1"/>
      <c r="Q112" s="1"/>
      <c r="R112" s="1"/>
      <c r="S112" s="1"/>
      <c r="T112" s="1"/>
      <c r="U112" s="1"/>
      <c r="V112" s="1"/>
      <c r="W112" s="1"/>
      <c r="X112" s="1"/>
      <c r="Y112" s="1"/>
      <c r="Z112" s="1"/>
    </row>
    <row r="113" spans="1:26" ht="12.75" customHeight="1">
      <c r="A113" s="20"/>
      <c r="B113" s="20"/>
      <c r="C113" s="7"/>
      <c r="D113" s="893"/>
      <c r="E113" s="893"/>
      <c r="F113" s="893"/>
      <c r="G113" s="1"/>
      <c r="H113" s="1"/>
      <c r="I113" s="10"/>
      <c r="J113" s="1"/>
      <c r="K113" s="1"/>
      <c r="L113" s="1"/>
      <c r="M113" s="1"/>
      <c r="N113" s="1"/>
      <c r="O113" s="1"/>
      <c r="P113" s="1"/>
      <c r="Q113" s="1"/>
      <c r="R113" s="1"/>
      <c r="S113" s="1"/>
      <c r="T113" s="1"/>
      <c r="U113" s="1"/>
      <c r="V113" s="1"/>
      <c r="W113" s="1"/>
      <c r="X113" s="1"/>
      <c r="Y113" s="1"/>
      <c r="Z113" s="1"/>
    </row>
    <row r="114" spans="1:26" ht="12.75" customHeight="1">
      <c r="A114" s="20"/>
      <c r="B114" s="20"/>
      <c r="C114" s="7"/>
      <c r="D114" s="893"/>
      <c r="E114" s="893"/>
      <c r="F114" s="893"/>
      <c r="G114" s="1"/>
      <c r="H114" s="1"/>
      <c r="I114" s="10"/>
      <c r="J114" s="1"/>
      <c r="K114" s="1"/>
      <c r="L114" s="1"/>
      <c r="M114" s="1"/>
      <c r="N114" s="1"/>
      <c r="O114" s="1"/>
      <c r="P114" s="1"/>
      <c r="Q114" s="1"/>
      <c r="R114" s="1"/>
      <c r="S114" s="1"/>
      <c r="T114" s="1"/>
      <c r="U114" s="1"/>
      <c r="V114" s="1"/>
      <c r="W114" s="1"/>
      <c r="X114" s="1"/>
      <c r="Y114" s="1"/>
      <c r="Z114" s="1"/>
    </row>
    <row r="115" spans="1:26" ht="12.75" customHeight="1">
      <c r="A115" s="20"/>
      <c r="B115" s="20"/>
      <c r="C115" s="7"/>
      <c r="D115" s="893"/>
      <c r="E115" s="893"/>
      <c r="F115" s="893"/>
      <c r="G115" s="1"/>
      <c r="H115" s="1"/>
      <c r="I115" s="10"/>
      <c r="J115" s="1"/>
      <c r="K115" s="1"/>
      <c r="L115" s="1"/>
      <c r="M115" s="1"/>
      <c r="N115" s="1"/>
      <c r="O115" s="1"/>
      <c r="P115" s="1"/>
      <c r="Q115" s="1"/>
      <c r="R115" s="1"/>
      <c r="S115" s="1"/>
      <c r="T115" s="1"/>
      <c r="U115" s="1"/>
      <c r="V115" s="1"/>
      <c r="W115" s="1"/>
      <c r="X115" s="1"/>
      <c r="Y115" s="1"/>
      <c r="Z115" s="1"/>
    </row>
    <row r="116" spans="1:26" ht="12.75" customHeight="1">
      <c r="A116" s="20"/>
      <c r="B116" s="20"/>
      <c r="C116" s="7"/>
      <c r="D116" s="893"/>
      <c r="E116" s="893"/>
      <c r="F116" s="893"/>
      <c r="G116" s="1"/>
      <c r="H116" s="1"/>
      <c r="I116" s="10"/>
      <c r="J116" s="1"/>
      <c r="K116" s="1"/>
      <c r="L116" s="1"/>
      <c r="M116" s="1"/>
      <c r="N116" s="1"/>
      <c r="O116" s="1"/>
      <c r="P116" s="1"/>
      <c r="Q116" s="1"/>
      <c r="R116" s="1"/>
      <c r="S116" s="1"/>
      <c r="T116" s="1"/>
      <c r="U116" s="1"/>
      <c r="V116" s="1"/>
      <c r="W116" s="1"/>
      <c r="X116" s="1"/>
      <c r="Y116" s="1"/>
      <c r="Z116" s="1"/>
    </row>
    <row r="117" spans="1:26" ht="12.75" customHeight="1">
      <c r="A117" s="20"/>
      <c r="B117" s="20"/>
      <c r="C117" s="7"/>
      <c r="D117" s="893"/>
      <c r="E117" s="893"/>
      <c r="F117" s="893"/>
      <c r="G117" s="1"/>
      <c r="H117" s="1"/>
      <c r="I117" s="10"/>
      <c r="J117" s="1"/>
      <c r="K117" s="1"/>
      <c r="L117" s="1"/>
      <c r="M117" s="1"/>
      <c r="N117" s="1"/>
      <c r="O117" s="1"/>
      <c r="P117" s="1"/>
      <c r="Q117" s="1"/>
      <c r="R117" s="1"/>
      <c r="S117" s="1"/>
      <c r="T117" s="1"/>
      <c r="U117" s="1"/>
      <c r="V117" s="1"/>
      <c r="W117" s="1"/>
      <c r="X117" s="1"/>
      <c r="Y117" s="1"/>
      <c r="Z117" s="1"/>
    </row>
    <row r="118" spans="1:26" ht="12.75" customHeight="1">
      <c r="A118" s="20"/>
      <c r="B118" s="20"/>
      <c r="C118" s="7"/>
      <c r="D118" s="4"/>
      <c r="E118" s="4"/>
      <c r="F118" s="4"/>
      <c r="G118" s="1"/>
      <c r="H118" s="1"/>
      <c r="I118" s="10"/>
      <c r="J118" s="1"/>
      <c r="K118" s="1"/>
      <c r="L118" s="1"/>
      <c r="M118" s="1"/>
      <c r="N118" s="1"/>
      <c r="O118" s="1"/>
      <c r="P118" s="1"/>
      <c r="Q118" s="1"/>
      <c r="R118" s="1"/>
      <c r="S118" s="1"/>
      <c r="T118" s="1"/>
      <c r="U118" s="1"/>
      <c r="V118" s="1"/>
      <c r="W118" s="1"/>
      <c r="X118" s="1"/>
      <c r="Y118" s="1"/>
      <c r="Z118" s="1"/>
    </row>
    <row r="119" spans="1:26" ht="14.25" customHeight="1">
      <c r="A119" s="20"/>
      <c r="B119" s="21" t="s">
        <v>27</v>
      </c>
      <c r="C119" s="7"/>
      <c r="D119" s="913" t="s">
        <v>240</v>
      </c>
      <c r="E119" s="893"/>
      <c r="F119" s="893"/>
      <c r="G119" s="1"/>
      <c r="H119" s="1"/>
      <c r="I119" s="10"/>
      <c r="J119" s="1"/>
      <c r="K119" s="1"/>
      <c r="L119" s="1"/>
      <c r="M119" s="1"/>
      <c r="N119" s="1"/>
      <c r="O119" s="1"/>
      <c r="P119" s="1"/>
      <c r="Q119" s="1"/>
      <c r="R119" s="1"/>
      <c r="S119" s="1"/>
      <c r="T119" s="1"/>
      <c r="U119" s="1"/>
      <c r="V119" s="1"/>
      <c r="W119" s="1"/>
      <c r="X119" s="1"/>
      <c r="Y119" s="1"/>
      <c r="Z119" s="1"/>
    </row>
    <row r="120" spans="1:26" ht="12.75" customHeight="1">
      <c r="A120" s="20"/>
      <c r="B120" s="20"/>
      <c r="C120" s="7"/>
      <c r="D120" s="893"/>
      <c r="E120" s="893"/>
      <c r="F120" s="893"/>
      <c r="G120" s="1"/>
      <c r="H120" s="1"/>
      <c r="I120" s="10"/>
      <c r="J120" s="1"/>
      <c r="K120" s="1"/>
      <c r="L120" s="1"/>
      <c r="M120" s="1"/>
      <c r="N120" s="1"/>
      <c r="O120" s="1"/>
      <c r="P120" s="1"/>
      <c r="Q120" s="1"/>
      <c r="R120" s="1"/>
      <c r="S120" s="1"/>
      <c r="T120" s="1"/>
      <c r="U120" s="1"/>
      <c r="V120" s="1"/>
      <c r="W120" s="1"/>
      <c r="X120" s="1"/>
      <c r="Y120" s="1"/>
      <c r="Z120" s="1"/>
    </row>
    <row r="121" spans="1:26" ht="12.75" customHeight="1">
      <c r="A121" s="20"/>
      <c r="B121" s="20"/>
      <c r="C121" s="7"/>
      <c r="D121" s="893"/>
      <c r="E121" s="893"/>
      <c r="F121" s="893"/>
      <c r="G121" s="1"/>
      <c r="H121" s="1"/>
      <c r="I121" s="10"/>
      <c r="J121" s="1"/>
      <c r="K121" s="1"/>
      <c r="L121" s="1"/>
      <c r="M121" s="1"/>
      <c r="N121" s="1"/>
      <c r="O121" s="1"/>
      <c r="P121" s="1"/>
      <c r="Q121" s="1"/>
      <c r="R121" s="1"/>
      <c r="S121" s="1"/>
      <c r="T121" s="1"/>
      <c r="U121" s="1"/>
      <c r="V121" s="1"/>
      <c r="W121" s="1"/>
      <c r="X121" s="1"/>
      <c r="Y121" s="1"/>
      <c r="Z121" s="1"/>
    </row>
    <row r="122" spans="1:26" ht="12.75" customHeight="1">
      <c r="A122" s="20"/>
      <c r="B122" s="20"/>
      <c r="C122" s="7"/>
      <c r="D122" s="893"/>
      <c r="E122" s="893"/>
      <c r="F122" s="893"/>
      <c r="G122" s="1"/>
      <c r="H122" s="1"/>
      <c r="I122" s="10"/>
      <c r="J122" s="1"/>
      <c r="K122" s="1"/>
      <c r="L122" s="1"/>
      <c r="M122" s="1"/>
      <c r="N122" s="1"/>
      <c r="O122" s="1"/>
      <c r="P122" s="1"/>
      <c r="Q122" s="1"/>
      <c r="R122" s="1"/>
      <c r="S122" s="1"/>
      <c r="T122" s="1"/>
      <c r="U122" s="1"/>
      <c r="V122" s="1"/>
      <c r="W122" s="1"/>
      <c r="X122" s="1"/>
      <c r="Y122" s="1"/>
      <c r="Z122" s="1"/>
    </row>
    <row r="123" spans="1:26" ht="12.75" customHeight="1">
      <c r="A123" s="20"/>
      <c r="B123" s="20"/>
      <c r="C123" s="7"/>
      <c r="D123" s="893"/>
      <c r="E123" s="893"/>
      <c r="F123" s="893"/>
      <c r="G123" s="1"/>
      <c r="H123" s="1"/>
      <c r="I123" s="10"/>
      <c r="J123" s="1"/>
      <c r="K123" s="1"/>
      <c r="L123" s="1"/>
      <c r="M123" s="1"/>
      <c r="N123" s="1"/>
      <c r="O123" s="1"/>
      <c r="P123" s="1"/>
      <c r="Q123" s="1"/>
      <c r="R123" s="1"/>
      <c r="S123" s="1"/>
      <c r="T123" s="1"/>
      <c r="U123" s="1"/>
      <c r="V123" s="1"/>
      <c r="W123" s="1"/>
      <c r="X123" s="1"/>
      <c r="Y123" s="1"/>
      <c r="Z123" s="1"/>
    </row>
    <row r="124" spans="1:26" ht="12.75" customHeight="1">
      <c r="A124" s="20"/>
      <c r="B124" s="20"/>
      <c r="C124" s="7"/>
      <c r="D124" s="893"/>
      <c r="E124" s="893"/>
      <c r="F124" s="893"/>
      <c r="G124" s="1"/>
      <c r="H124" s="1"/>
      <c r="I124" s="10"/>
      <c r="J124" s="1"/>
      <c r="K124" s="1"/>
      <c r="L124" s="1"/>
      <c r="M124" s="1"/>
      <c r="N124" s="1"/>
      <c r="O124" s="1"/>
      <c r="P124" s="1"/>
      <c r="Q124" s="1"/>
      <c r="R124" s="1"/>
      <c r="S124" s="1"/>
      <c r="T124" s="1"/>
      <c r="U124" s="1"/>
      <c r="V124" s="1"/>
      <c r="W124" s="1"/>
      <c r="X124" s="1"/>
      <c r="Y124" s="1"/>
      <c r="Z124" s="1"/>
    </row>
    <row r="125" spans="1:26" ht="12.75" customHeight="1">
      <c r="A125" s="20"/>
      <c r="B125" s="20"/>
      <c r="C125" s="7"/>
      <c r="D125" s="893"/>
      <c r="E125" s="893"/>
      <c r="F125" s="893"/>
      <c r="G125" s="1"/>
      <c r="H125" s="1"/>
      <c r="I125" s="10"/>
      <c r="J125" s="1"/>
      <c r="K125" s="1"/>
      <c r="L125" s="1"/>
      <c r="M125" s="1"/>
      <c r="N125" s="1"/>
      <c r="O125" s="1"/>
      <c r="P125" s="1"/>
      <c r="Q125" s="1"/>
      <c r="R125" s="1"/>
      <c r="S125" s="1"/>
      <c r="T125" s="1"/>
      <c r="U125" s="1"/>
      <c r="V125" s="1"/>
      <c r="W125" s="1"/>
      <c r="X125" s="1"/>
      <c r="Y125" s="1"/>
      <c r="Z125" s="1"/>
    </row>
    <row r="126" spans="1:26" ht="12.75" customHeight="1">
      <c r="A126" s="20"/>
      <c r="B126" s="20"/>
      <c r="C126" s="7"/>
      <c r="D126" s="893"/>
      <c r="E126" s="893"/>
      <c r="F126" s="893"/>
      <c r="G126" s="1"/>
      <c r="H126" s="1"/>
      <c r="I126" s="10"/>
      <c r="J126" s="1"/>
      <c r="K126" s="1"/>
      <c r="L126" s="1"/>
      <c r="M126" s="1"/>
      <c r="N126" s="1"/>
      <c r="O126" s="1"/>
      <c r="P126" s="1"/>
      <c r="Q126" s="1"/>
      <c r="R126" s="1"/>
      <c r="S126" s="1"/>
      <c r="T126" s="1"/>
      <c r="U126" s="1"/>
      <c r="V126" s="1"/>
      <c r="W126" s="1"/>
      <c r="X126" s="1"/>
      <c r="Y126" s="1"/>
      <c r="Z126" s="1"/>
    </row>
    <row r="127" spans="1:26" ht="12.75" customHeight="1">
      <c r="A127" s="7"/>
      <c r="B127" s="7"/>
      <c r="C127" s="1"/>
      <c r="D127" s="48"/>
      <c r="E127" s="48"/>
      <c r="F127" s="48"/>
      <c r="G127" s="1"/>
      <c r="H127" s="1"/>
      <c r="I127" s="10"/>
      <c r="J127" s="1"/>
      <c r="K127" s="1"/>
      <c r="L127" s="1"/>
      <c r="M127" s="1"/>
      <c r="N127" s="1"/>
      <c r="O127" s="1"/>
      <c r="P127" s="1"/>
      <c r="Q127" s="1"/>
      <c r="R127" s="1"/>
      <c r="S127" s="1"/>
      <c r="T127" s="1"/>
      <c r="U127" s="1"/>
      <c r="V127" s="1"/>
      <c r="W127" s="1"/>
      <c r="X127" s="1"/>
      <c r="Y127" s="1"/>
      <c r="Z127" s="1"/>
    </row>
    <row r="128" spans="1:26" ht="12.75" customHeight="1">
      <c r="A128" s="20"/>
      <c r="B128" s="21" t="s">
        <v>27</v>
      </c>
      <c r="C128" s="1"/>
      <c r="D128" s="913" t="s">
        <v>255</v>
      </c>
      <c r="E128" s="893"/>
      <c r="F128" s="893"/>
      <c r="G128" s="1"/>
      <c r="H128" s="1"/>
      <c r="I128" s="10"/>
      <c r="J128" s="1"/>
      <c r="K128" s="1"/>
      <c r="L128" s="1"/>
      <c r="M128" s="1"/>
      <c r="N128" s="1"/>
      <c r="O128" s="1"/>
      <c r="P128" s="1"/>
      <c r="Q128" s="1"/>
      <c r="R128" s="1"/>
      <c r="S128" s="1"/>
      <c r="T128" s="1"/>
      <c r="U128" s="1"/>
      <c r="V128" s="1"/>
      <c r="W128" s="1"/>
      <c r="X128" s="1"/>
      <c r="Y128" s="1"/>
      <c r="Z128" s="1"/>
    </row>
    <row r="129" spans="1:26" ht="12.75" customHeight="1">
      <c r="A129" s="20"/>
      <c r="B129" s="20"/>
      <c r="C129" s="1"/>
      <c r="D129" s="893"/>
      <c r="E129" s="893"/>
      <c r="F129" s="893"/>
      <c r="G129" s="1"/>
      <c r="H129" s="1"/>
      <c r="I129" s="10"/>
      <c r="J129" s="1"/>
      <c r="K129" s="1"/>
      <c r="L129" s="1"/>
      <c r="M129" s="1"/>
      <c r="N129" s="1"/>
      <c r="O129" s="1"/>
      <c r="P129" s="1"/>
      <c r="Q129" s="1"/>
      <c r="R129" s="1"/>
      <c r="S129" s="1"/>
      <c r="T129" s="1"/>
      <c r="U129" s="1"/>
      <c r="V129" s="1"/>
      <c r="W129" s="1"/>
      <c r="X129" s="1"/>
      <c r="Y129" s="1"/>
      <c r="Z129" s="1"/>
    </row>
    <row r="130" spans="1:26" ht="12.75" customHeight="1">
      <c r="A130" s="7"/>
      <c r="B130" s="7"/>
      <c r="C130" s="7"/>
      <c r="D130" s="1"/>
      <c r="E130" s="1"/>
      <c r="F130" s="1"/>
      <c r="G130" s="1"/>
      <c r="H130" s="1"/>
      <c r="I130" s="10"/>
      <c r="J130" s="1"/>
      <c r="K130" s="1"/>
      <c r="L130" s="1"/>
      <c r="M130" s="1"/>
      <c r="N130" s="1"/>
      <c r="O130" s="1"/>
      <c r="P130" s="1"/>
      <c r="Q130" s="1"/>
      <c r="R130" s="1"/>
      <c r="S130" s="1"/>
      <c r="T130" s="1"/>
      <c r="U130" s="1"/>
      <c r="V130" s="1"/>
      <c r="W130" s="1"/>
      <c r="X130" s="1"/>
      <c r="Y130" s="1"/>
      <c r="Z130" s="1"/>
    </row>
    <row r="131" spans="1:26" ht="12.75" customHeight="1">
      <c r="A131" s="20"/>
      <c r="B131" s="21" t="s">
        <v>27</v>
      </c>
      <c r="C131" s="7"/>
      <c r="D131" s="895" t="s">
        <v>261</v>
      </c>
      <c r="E131" s="893"/>
      <c r="F131" s="893"/>
      <c r="G131" s="1"/>
      <c r="H131" s="1"/>
      <c r="I131" s="10"/>
      <c r="J131" s="1"/>
      <c r="K131" s="1"/>
      <c r="L131" s="1"/>
      <c r="M131" s="1"/>
      <c r="N131" s="1"/>
      <c r="O131" s="1"/>
      <c r="P131" s="1"/>
      <c r="Q131" s="1"/>
      <c r="R131" s="1"/>
      <c r="S131" s="1"/>
      <c r="T131" s="1"/>
      <c r="U131" s="1"/>
      <c r="V131" s="1"/>
      <c r="W131" s="1"/>
      <c r="X131" s="1"/>
      <c r="Y131" s="1"/>
      <c r="Z131" s="1"/>
    </row>
    <row r="132" spans="1:26" ht="12.75" customHeight="1">
      <c r="A132" s="7"/>
      <c r="B132" s="7"/>
      <c r="C132" s="7"/>
      <c r="D132" s="893"/>
      <c r="E132" s="893"/>
      <c r="F132" s="893"/>
      <c r="G132" s="1"/>
      <c r="H132" s="1"/>
      <c r="I132" s="10"/>
      <c r="J132" s="1"/>
      <c r="K132" s="1"/>
      <c r="L132" s="1"/>
      <c r="M132" s="1"/>
      <c r="N132" s="1"/>
      <c r="O132" s="1"/>
      <c r="P132" s="1"/>
      <c r="Q132" s="1"/>
      <c r="R132" s="1"/>
      <c r="S132" s="1"/>
      <c r="T132" s="1"/>
      <c r="U132" s="1"/>
      <c r="V132" s="1"/>
      <c r="W132" s="1"/>
      <c r="X132" s="1"/>
      <c r="Y132" s="1"/>
      <c r="Z132" s="1"/>
    </row>
    <row r="133" spans="1:26" ht="12.75" customHeight="1">
      <c r="A133" s="7"/>
      <c r="B133" s="7"/>
      <c r="C133" s="7"/>
      <c r="D133" s="893"/>
      <c r="E133" s="893"/>
      <c r="F133" s="893"/>
      <c r="G133" s="1"/>
      <c r="H133" s="1"/>
      <c r="I133" s="10"/>
      <c r="J133" s="1"/>
      <c r="K133" s="1"/>
      <c r="L133" s="1"/>
      <c r="M133" s="1"/>
      <c r="N133" s="1"/>
      <c r="O133" s="1"/>
      <c r="P133" s="1"/>
      <c r="Q133" s="1"/>
      <c r="R133" s="1"/>
      <c r="S133" s="1"/>
      <c r="T133" s="1"/>
      <c r="U133" s="1"/>
      <c r="V133" s="1"/>
      <c r="W133" s="1"/>
      <c r="X133" s="1"/>
      <c r="Y133" s="1"/>
      <c r="Z133" s="1"/>
    </row>
    <row r="134" spans="1:26" ht="12.75" customHeight="1">
      <c r="A134" s="7"/>
      <c r="B134" s="7"/>
      <c r="C134" s="7"/>
      <c r="D134" s="893"/>
      <c r="E134" s="893"/>
      <c r="F134" s="893"/>
      <c r="G134" s="1"/>
      <c r="H134" s="1"/>
      <c r="I134" s="10"/>
      <c r="J134" s="1"/>
      <c r="K134" s="1"/>
      <c r="L134" s="1"/>
      <c r="M134" s="1"/>
      <c r="N134" s="1"/>
      <c r="O134" s="1"/>
      <c r="P134" s="1"/>
      <c r="Q134" s="1"/>
      <c r="R134" s="1"/>
      <c r="S134" s="1"/>
      <c r="T134" s="1"/>
      <c r="U134" s="1"/>
      <c r="V134" s="1"/>
      <c r="W134" s="1"/>
      <c r="X134" s="1"/>
      <c r="Y134" s="1"/>
      <c r="Z134" s="1"/>
    </row>
    <row r="135" spans="1:26" ht="12.75" customHeight="1">
      <c r="A135" s="7"/>
      <c r="B135" s="7"/>
      <c r="C135" s="7"/>
      <c r="D135" s="893"/>
      <c r="E135" s="893"/>
      <c r="F135" s="893"/>
      <c r="G135" s="1"/>
      <c r="H135" s="1"/>
      <c r="I135" s="10"/>
      <c r="J135" s="1"/>
      <c r="K135" s="1"/>
      <c r="L135" s="1"/>
      <c r="M135" s="1"/>
      <c r="N135" s="1"/>
      <c r="O135" s="1"/>
      <c r="P135" s="1"/>
      <c r="Q135" s="1"/>
      <c r="R135" s="1"/>
      <c r="S135" s="1"/>
      <c r="T135" s="1"/>
      <c r="U135" s="1"/>
      <c r="V135" s="1"/>
      <c r="W135" s="1"/>
      <c r="X135" s="1"/>
      <c r="Y135" s="1"/>
      <c r="Z135" s="1"/>
    </row>
    <row r="136" spans="1:26" ht="12.75" customHeight="1">
      <c r="A136" s="7"/>
      <c r="B136" s="7"/>
      <c r="C136" s="7"/>
      <c r="D136" s="1"/>
      <c r="E136" s="1"/>
      <c r="F136" s="1"/>
      <c r="G136" s="1"/>
      <c r="H136" s="1"/>
      <c r="I136" s="10"/>
      <c r="J136" s="1"/>
      <c r="K136" s="1"/>
      <c r="L136" s="1"/>
      <c r="M136" s="1"/>
      <c r="N136" s="1"/>
      <c r="O136" s="1"/>
      <c r="P136" s="1"/>
      <c r="Q136" s="1"/>
      <c r="R136" s="1"/>
      <c r="S136" s="1"/>
      <c r="T136" s="1"/>
      <c r="U136" s="1"/>
      <c r="V136" s="1"/>
      <c r="W136" s="1"/>
      <c r="X136" s="1"/>
      <c r="Y136" s="1"/>
      <c r="Z136" s="1"/>
    </row>
    <row r="137" spans="1:26" ht="12.75" customHeight="1">
      <c r="A137" s="20"/>
      <c r="B137" s="21" t="s">
        <v>27</v>
      </c>
      <c r="C137" s="7"/>
      <c r="D137" s="895" t="s">
        <v>267</v>
      </c>
      <c r="E137" s="893"/>
      <c r="F137" s="893"/>
      <c r="G137" s="1"/>
      <c r="H137" s="1"/>
      <c r="I137" s="10"/>
      <c r="J137" s="1"/>
      <c r="K137" s="1"/>
      <c r="L137" s="1"/>
      <c r="M137" s="1"/>
      <c r="N137" s="1"/>
      <c r="O137" s="1"/>
      <c r="P137" s="1"/>
      <c r="Q137" s="1"/>
      <c r="R137" s="1"/>
      <c r="S137" s="1"/>
      <c r="T137" s="1"/>
      <c r="U137" s="1"/>
      <c r="V137" s="1"/>
      <c r="W137" s="1"/>
      <c r="X137" s="1"/>
      <c r="Y137" s="1"/>
      <c r="Z137" s="1"/>
    </row>
    <row r="138" spans="1:26" ht="13.5" customHeight="1">
      <c r="A138" s="50"/>
      <c r="B138" s="50"/>
      <c r="C138" s="50"/>
      <c r="D138" s="893"/>
      <c r="E138" s="893"/>
      <c r="F138" s="893"/>
      <c r="G138" s="52"/>
      <c r="H138" s="52"/>
      <c r="I138" s="53"/>
      <c r="J138" s="52"/>
      <c r="K138" s="52"/>
      <c r="L138" s="52"/>
      <c r="M138" s="52"/>
      <c r="N138" s="52"/>
      <c r="O138" s="52"/>
      <c r="P138" s="52"/>
      <c r="Q138" s="52"/>
      <c r="R138" s="52"/>
      <c r="S138" s="52"/>
      <c r="T138" s="52"/>
      <c r="U138" s="52"/>
      <c r="V138" s="52"/>
      <c r="W138" s="52"/>
      <c r="X138" s="52"/>
      <c r="Y138" s="52"/>
      <c r="Z138" s="52"/>
    </row>
    <row r="139" spans="1:26" ht="13.5" customHeight="1">
      <c r="A139" s="7"/>
      <c r="B139" s="7"/>
      <c r="C139" s="7"/>
      <c r="D139" s="893"/>
      <c r="E139" s="893"/>
      <c r="F139" s="893"/>
      <c r="G139" s="1"/>
      <c r="H139" s="1"/>
      <c r="I139" s="10"/>
      <c r="J139" s="1"/>
      <c r="K139" s="1"/>
      <c r="L139" s="1"/>
      <c r="M139" s="1"/>
      <c r="N139" s="1"/>
      <c r="O139" s="1"/>
      <c r="P139" s="1"/>
      <c r="Q139" s="1"/>
      <c r="R139" s="1"/>
      <c r="S139" s="1"/>
      <c r="T139" s="1"/>
      <c r="U139" s="1"/>
      <c r="V139" s="1"/>
      <c r="W139" s="1"/>
      <c r="X139" s="1"/>
      <c r="Y139" s="1"/>
      <c r="Z139" s="1"/>
    </row>
    <row r="140" spans="1:26" ht="13.5" customHeight="1">
      <c r="A140" s="7"/>
      <c r="B140" s="7"/>
      <c r="C140" s="7"/>
      <c r="D140" s="893"/>
      <c r="E140" s="893"/>
      <c r="F140" s="893"/>
      <c r="G140" s="1"/>
      <c r="H140" s="1"/>
      <c r="I140" s="10"/>
      <c r="J140" s="1"/>
      <c r="K140" s="1"/>
      <c r="L140" s="1"/>
      <c r="M140" s="1"/>
      <c r="N140" s="1"/>
      <c r="O140" s="1"/>
      <c r="P140" s="1"/>
      <c r="Q140" s="1"/>
      <c r="R140" s="1"/>
      <c r="S140" s="1"/>
      <c r="T140" s="1"/>
      <c r="U140" s="1"/>
      <c r="V140" s="1"/>
      <c r="W140" s="1"/>
      <c r="X140" s="1"/>
      <c r="Y140" s="1"/>
      <c r="Z140" s="1"/>
    </row>
    <row r="141" spans="1:26" ht="13.5" customHeight="1">
      <c r="A141" s="7"/>
      <c r="B141" s="7"/>
      <c r="C141" s="7"/>
      <c r="D141" s="893"/>
      <c r="E141" s="893"/>
      <c r="F141" s="893"/>
      <c r="G141" s="1"/>
      <c r="H141" s="1"/>
      <c r="I141" s="10"/>
      <c r="J141" s="1"/>
      <c r="K141" s="1"/>
      <c r="L141" s="1"/>
      <c r="M141" s="1"/>
      <c r="N141" s="1"/>
      <c r="O141" s="1"/>
      <c r="P141" s="1"/>
      <c r="Q141" s="1"/>
      <c r="R141" s="1"/>
      <c r="S141" s="1"/>
      <c r="T141" s="1"/>
      <c r="U141" s="1"/>
      <c r="V141" s="1"/>
      <c r="W141" s="1"/>
      <c r="X141" s="1"/>
      <c r="Y141" s="1"/>
      <c r="Z141" s="1"/>
    </row>
    <row r="142" spans="1:26" ht="13.5" customHeight="1">
      <c r="A142" s="7"/>
      <c r="B142" s="7"/>
      <c r="C142" s="7"/>
      <c r="D142" s="893"/>
      <c r="E142" s="893"/>
      <c r="F142" s="893"/>
      <c r="G142" s="1"/>
      <c r="H142" s="1"/>
      <c r="I142" s="10"/>
      <c r="J142" s="1"/>
      <c r="K142" s="1"/>
      <c r="L142" s="1"/>
      <c r="M142" s="1"/>
      <c r="N142" s="1"/>
      <c r="O142" s="1"/>
      <c r="P142" s="1"/>
      <c r="Q142" s="1"/>
      <c r="R142" s="1"/>
      <c r="S142" s="1"/>
      <c r="T142" s="1"/>
      <c r="U142" s="1"/>
      <c r="V142" s="1"/>
      <c r="W142" s="1"/>
      <c r="X142" s="1"/>
      <c r="Y142" s="1"/>
      <c r="Z142" s="1"/>
    </row>
    <row r="143" spans="1:26" ht="13.5" customHeight="1">
      <c r="A143" s="7"/>
      <c r="B143" s="7"/>
      <c r="C143" s="7"/>
      <c r="D143" s="893"/>
      <c r="E143" s="893"/>
      <c r="F143" s="893"/>
      <c r="G143" s="1"/>
      <c r="H143" s="1"/>
      <c r="I143" s="10"/>
      <c r="J143" s="1"/>
      <c r="K143" s="1"/>
      <c r="L143" s="1"/>
      <c r="M143" s="1"/>
      <c r="N143" s="1"/>
      <c r="O143" s="1"/>
      <c r="P143" s="1"/>
      <c r="Q143" s="1"/>
      <c r="R143" s="1"/>
      <c r="S143" s="1"/>
      <c r="T143" s="1"/>
      <c r="U143" s="1"/>
      <c r="V143" s="1"/>
      <c r="W143" s="1"/>
      <c r="X143" s="1"/>
      <c r="Y143" s="1"/>
      <c r="Z143" s="1"/>
    </row>
    <row r="144" spans="1:26" ht="13.5" customHeight="1">
      <c r="A144" s="7"/>
      <c r="B144" s="7"/>
      <c r="C144" s="7"/>
      <c r="D144" s="893"/>
      <c r="E144" s="893"/>
      <c r="F144" s="893"/>
      <c r="G144" s="1"/>
      <c r="H144" s="1"/>
      <c r="I144" s="10"/>
      <c r="J144" s="1"/>
      <c r="K144" s="1"/>
      <c r="L144" s="1"/>
      <c r="M144" s="1"/>
      <c r="N144" s="1"/>
      <c r="O144" s="1"/>
      <c r="P144" s="1"/>
      <c r="Q144" s="1"/>
      <c r="R144" s="1"/>
      <c r="S144" s="1"/>
      <c r="T144" s="1"/>
      <c r="U144" s="1"/>
      <c r="V144" s="1"/>
      <c r="W144" s="1"/>
      <c r="X144" s="1"/>
      <c r="Y144" s="1"/>
      <c r="Z144" s="1"/>
    </row>
    <row r="145" spans="1:26" ht="13.5" customHeight="1">
      <c r="A145" s="7"/>
      <c r="B145" s="7"/>
      <c r="C145" s="7"/>
      <c r="D145" s="893"/>
      <c r="E145" s="893"/>
      <c r="F145" s="893"/>
      <c r="G145" s="1"/>
      <c r="H145" s="1"/>
      <c r="I145" s="10"/>
      <c r="J145" s="1"/>
      <c r="K145" s="1"/>
      <c r="L145" s="1"/>
      <c r="M145" s="1"/>
      <c r="N145" s="1"/>
      <c r="O145" s="1"/>
      <c r="P145" s="1"/>
      <c r="Q145" s="1"/>
      <c r="R145" s="1"/>
      <c r="S145" s="1"/>
      <c r="T145" s="1"/>
      <c r="U145" s="1"/>
      <c r="V145" s="1"/>
      <c r="W145" s="1"/>
      <c r="X145" s="1"/>
      <c r="Y145" s="1"/>
      <c r="Z145" s="1"/>
    </row>
    <row r="146" spans="1:26" ht="13.5" customHeight="1">
      <c r="A146" s="7"/>
      <c r="B146" s="7"/>
      <c r="C146" s="7"/>
      <c r="D146" s="893"/>
      <c r="E146" s="893"/>
      <c r="F146" s="893"/>
      <c r="G146" s="1"/>
      <c r="H146" s="1"/>
      <c r="I146" s="10"/>
      <c r="J146" s="1"/>
      <c r="K146" s="1"/>
      <c r="L146" s="1"/>
      <c r="M146" s="1"/>
      <c r="N146" s="1"/>
      <c r="O146" s="1"/>
      <c r="P146" s="1"/>
      <c r="Q146" s="1"/>
      <c r="R146" s="1"/>
      <c r="S146" s="1"/>
      <c r="T146" s="1"/>
      <c r="U146" s="1"/>
      <c r="V146" s="1"/>
      <c r="W146" s="1"/>
      <c r="X146" s="1"/>
      <c r="Y146" s="1"/>
      <c r="Z146" s="1"/>
    </row>
    <row r="147" spans="1:26" ht="13.5" customHeight="1">
      <c r="A147" s="7"/>
      <c r="B147" s="7"/>
      <c r="C147" s="7"/>
      <c r="D147" s="893"/>
      <c r="E147" s="893"/>
      <c r="F147" s="893"/>
      <c r="G147" s="1"/>
      <c r="H147" s="1"/>
      <c r="I147" s="10"/>
      <c r="J147" s="1"/>
      <c r="K147" s="1"/>
      <c r="L147" s="1"/>
      <c r="M147" s="1"/>
      <c r="N147" s="1"/>
      <c r="O147" s="1"/>
      <c r="P147" s="1"/>
      <c r="Q147" s="1"/>
      <c r="R147" s="1"/>
      <c r="S147" s="1"/>
      <c r="T147" s="1"/>
      <c r="U147" s="1"/>
      <c r="V147" s="1"/>
      <c r="W147" s="1"/>
      <c r="X147" s="1"/>
      <c r="Y147" s="1"/>
      <c r="Z147" s="1"/>
    </row>
    <row r="148" spans="1:26" ht="13.5" customHeight="1">
      <c r="A148" s="7"/>
      <c r="B148" s="7"/>
      <c r="C148" s="7"/>
      <c r="D148" s="893"/>
      <c r="E148" s="893"/>
      <c r="F148" s="893"/>
      <c r="G148" s="1"/>
      <c r="H148" s="1"/>
      <c r="I148" s="10"/>
      <c r="J148" s="1"/>
      <c r="K148" s="1"/>
      <c r="L148" s="1"/>
      <c r="M148" s="1"/>
      <c r="N148" s="1"/>
      <c r="O148" s="1"/>
      <c r="P148" s="1"/>
      <c r="Q148" s="1"/>
      <c r="R148" s="1"/>
      <c r="S148" s="1"/>
      <c r="T148" s="1"/>
      <c r="U148" s="1"/>
      <c r="V148" s="1"/>
      <c r="W148" s="1"/>
      <c r="X148" s="1"/>
      <c r="Y148" s="1"/>
      <c r="Z148" s="1"/>
    </row>
    <row r="149" spans="1:26" ht="13.5" customHeight="1">
      <c r="A149" s="7"/>
      <c r="B149" s="7"/>
      <c r="C149" s="7"/>
      <c r="D149" s="893"/>
      <c r="E149" s="893"/>
      <c r="F149" s="893"/>
      <c r="G149" s="1"/>
      <c r="H149" s="1"/>
      <c r="I149" s="10"/>
      <c r="J149" s="1"/>
      <c r="K149" s="1"/>
      <c r="L149" s="1"/>
      <c r="M149" s="1"/>
      <c r="N149" s="1"/>
      <c r="O149" s="1"/>
      <c r="P149" s="1"/>
      <c r="Q149" s="1"/>
      <c r="R149" s="1"/>
      <c r="S149" s="1"/>
      <c r="T149" s="1"/>
      <c r="U149" s="1"/>
      <c r="V149" s="1"/>
      <c r="W149" s="1"/>
      <c r="X149" s="1"/>
      <c r="Y149" s="1"/>
      <c r="Z149" s="1"/>
    </row>
    <row r="150" spans="1:26" ht="13.5" customHeight="1">
      <c r="A150" s="7"/>
      <c r="B150" s="7"/>
      <c r="C150" s="7"/>
      <c r="D150" s="1"/>
      <c r="E150" s="17"/>
      <c r="F150" s="17"/>
      <c r="G150" s="1"/>
      <c r="H150" s="1"/>
      <c r="I150" s="10"/>
      <c r="J150" s="1"/>
      <c r="K150" s="1"/>
      <c r="L150" s="1"/>
      <c r="M150" s="1"/>
      <c r="N150" s="1"/>
      <c r="O150" s="1"/>
      <c r="P150" s="1"/>
      <c r="Q150" s="1"/>
      <c r="R150" s="1"/>
      <c r="S150" s="1"/>
      <c r="T150" s="1"/>
      <c r="U150" s="1"/>
      <c r="V150" s="1"/>
      <c r="W150" s="1"/>
      <c r="X150" s="1"/>
      <c r="Y150" s="1"/>
      <c r="Z150" s="1"/>
    </row>
    <row r="151" spans="1:26" ht="13.5" customHeight="1">
      <c r="A151" s="7"/>
      <c r="B151" s="21" t="s">
        <v>27</v>
      </c>
      <c r="C151" s="7"/>
      <c r="D151" s="895" t="s">
        <v>297</v>
      </c>
      <c r="E151" s="893"/>
      <c r="F151" s="893"/>
      <c r="G151" s="1"/>
      <c r="H151" s="1"/>
      <c r="I151" s="10"/>
      <c r="J151" s="1"/>
      <c r="K151" s="1"/>
      <c r="L151" s="1"/>
      <c r="M151" s="1"/>
      <c r="N151" s="1"/>
      <c r="O151" s="1"/>
      <c r="P151" s="1"/>
      <c r="Q151" s="1"/>
      <c r="R151" s="1"/>
      <c r="S151" s="1"/>
      <c r="T151" s="1"/>
      <c r="U151" s="1"/>
      <c r="V151" s="1"/>
      <c r="W151" s="1"/>
      <c r="X151" s="1"/>
      <c r="Y151" s="1"/>
      <c r="Z151" s="1"/>
    </row>
    <row r="152" spans="1:26" ht="13.5" customHeight="1">
      <c r="A152" s="7"/>
      <c r="B152" s="7"/>
      <c r="C152" s="7"/>
      <c r="D152" s="893"/>
      <c r="E152" s="893"/>
      <c r="F152" s="893"/>
      <c r="G152" s="1"/>
      <c r="H152" s="1"/>
      <c r="I152" s="10"/>
      <c r="J152" s="1"/>
      <c r="K152" s="1"/>
      <c r="L152" s="1"/>
      <c r="M152" s="1"/>
      <c r="N152" s="1"/>
      <c r="O152" s="1"/>
      <c r="P152" s="1"/>
      <c r="Q152" s="1"/>
      <c r="R152" s="1"/>
      <c r="S152" s="1"/>
      <c r="T152" s="1"/>
      <c r="U152" s="1"/>
      <c r="V152" s="1"/>
      <c r="W152" s="1"/>
      <c r="X152" s="1"/>
      <c r="Y152" s="1"/>
      <c r="Z152" s="1"/>
    </row>
    <row r="153" spans="1:26" ht="13.5" customHeight="1">
      <c r="A153" s="7"/>
      <c r="B153" s="7"/>
      <c r="C153" s="7"/>
      <c r="D153" s="893"/>
      <c r="E153" s="893"/>
      <c r="F153" s="893"/>
      <c r="G153" s="1"/>
      <c r="H153" s="1"/>
      <c r="I153" s="10"/>
      <c r="J153" s="1"/>
      <c r="K153" s="1"/>
      <c r="L153" s="1"/>
      <c r="M153" s="1"/>
      <c r="N153" s="1"/>
      <c r="O153" s="1"/>
      <c r="P153" s="1"/>
      <c r="Q153" s="1"/>
      <c r="R153" s="1"/>
      <c r="S153" s="1"/>
      <c r="T153" s="1"/>
      <c r="U153" s="1"/>
      <c r="V153" s="1"/>
      <c r="W153" s="1"/>
      <c r="X153" s="1"/>
      <c r="Y153" s="1"/>
      <c r="Z153" s="1"/>
    </row>
    <row r="154" spans="1:26" ht="13.5" customHeight="1">
      <c r="A154" s="7"/>
      <c r="B154" s="7"/>
      <c r="C154" s="7"/>
      <c r="D154" s="893"/>
      <c r="E154" s="893"/>
      <c r="F154" s="893"/>
      <c r="G154" s="1"/>
      <c r="H154" s="1"/>
      <c r="I154" s="10"/>
      <c r="J154" s="1"/>
      <c r="K154" s="1"/>
      <c r="L154" s="1"/>
      <c r="M154" s="1"/>
      <c r="N154" s="1"/>
      <c r="O154" s="1"/>
      <c r="P154" s="1"/>
      <c r="Q154" s="1"/>
      <c r="R154" s="1"/>
      <c r="S154" s="1"/>
      <c r="T154" s="1"/>
      <c r="U154" s="1"/>
      <c r="V154" s="1"/>
      <c r="W154" s="1"/>
      <c r="X154" s="1"/>
      <c r="Y154" s="1"/>
      <c r="Z154" s="1"/>
    </row>
    <row r="155" spans="1:26" ht="13.5" customHeight="1">
      <c r="A155" s="7"/>
      <c r="B155" s="7"/>
      <c r="C155" s="7"/>
      <c r="D155" s="893"/>
      <c r="E155" s="893"/>
      <c r="F155" s="893"/>
      <c r="G155" s="1"/>
      <c r="H155" s="1"/>
      <c r="I155" s="10"/>
      <c r="J155" s="1"/>
      <c r="K155" s="1"/>
      <c r="L155" s="1"/>
      <c r="M155" s="1"/>
      <c r="N155" s="1"/>
      <c r="O155" s="1"/>
      <c r="P155" s="1"/>
      <c r="Q155" s="1"/>
      <c r="R155" s="1"/>
      <c r="S155" s="1"/>
      <c r="T155" s="1"/>
      <c r="U155" s="1"/>
      <c r="V155" s="1"/>
      <c r="W155" s="1"/>
      <c r="X155" s="1"/>
      <c r="Y155" s="1"/>
      <c r="Z155" s="1"/>
    </row>
    <row r="156" spans="1:26" ht="13.5" customHeight="1">
      <c r="A156" s="7"/>
      <c r="B156" s="7"/>
      <c r="C156" s="7"/>
      <c r="D156" s="893"/>
      <c r="E156" s="893"/>
      <c r="F156" s="893"/>
      <c r="G156" s="1"/>
      <c r="H156" s="1"/>
      <c r="I156" s="10"/>
      <c r="J156" s="1"/>
      <c r="K156" s="1"/>
      <c r="L156" s="1"/>
      <c r="M156" s="1"/>
      <c r="N156" s="1"/>
      <c r="O156" s="1"/>
      <c r="P156" s="1"/>
      <c r="Q156" s="1"/>
      <c r="R156" s="1"/>
      <c r="S156" s="1"/>
      <c r="T156" s="1"/>
      <c r="U156" s="1"/>
      <c r="V156" s="1"/>
      <c r="W156" s="1"/>
      <c r="X156" s="1"/>
      <c r="Y156" s="1"/>
      <c r="Z156" s="1"/>
    </row>
    <row r="157" spans="1:26" ht="13.5" customHeight="1">
      <c r="A157" s="7"/>
      <c r="B157" s="7"/>
      <c r="C157" s="7"/>
      <c r="D157" s="893"/>
      <c r="E157" s="893"/>
      <c r="F157" s="893"/>
      <c r="G157" s="1"/>
      <c r="H157" s="1"/>
      <c r="I157" s="10"/>
      <c r="J157" s="1"/>
      <c r="K157" s="1"/>
      <c r="L157" s="1"/>
      <c r="M157" s="1"/>
      <c r="N157" s="1"/>
      <c r="O157" s="1"/>
      <c r="P157" s="1"/>
      <c r="Q157" s="1"/>
      <c r="R157" s="1"/>
      <c r="S157" s="1"/>
      <c r="T157" s="1"/>
      <c r="U157" s="1"/>
      <c r="V157" s="1"/>
      <c r="W157" s="1"/>
      <c r="X157" s="1"/>
      <c r="Y157" s="1"/>
      <c r="Z157" s="1"/>
    </row>
    <row r="158" spans="1:26" ht="13.5" customHeight="1">
      <c r="A158" s="7"/>
      <c r="B158" s="7"/>
      <c r="C158" s="7"/>
      <c r="D158" s="893"/>
      <c r="E158" s="893"/>
      <c r="F158" s="893"/>
      <c r="G158" s="1"/>
      <c r="H158" s="1"/>
      <c r="I158" s="10"/>
      <c r="J158" s="1"/>
      <c r="K158" s="1"/>
      <c r="L158" s="1"/>
      <c r="M158" s="1"/>
      <c r="N158" s="1"/>
      <c r="O158" s="1"/>
      <c r="P158" s="1"/>
      <c r="Q158" s="1"/>
      <c r="R158" s="1"/>
      <c r="S158" s="1"/>
      <c r="T158" s="1"/>
      <c r="U158" s="1"/>
      <c r="V158" s="1"/>
      <c r="W158" s="1"/>
      <c r="X158" s="1"/>
      <c r="Y158" s="1"/>
      <c r="Z158" s="1"/>
    </row>
    <row r="159" spans="1:26" ht="13.5" customHeight="1">
      <c r="A159" s="7"/>
      <c r="B159" s="7"/>
      <c r="C159" s="7"/>
      <c r="D159" s="893"/>
      <c r="E159" s="893"/>
      <c r="F159" s="893"/>
      <c r="G159" s="1"/>
      <c r="H159" s="1"/>
      <c r="I159" s="10"/>
      <c r="J159" s="1"/>
      <c r="K159" s="1"/>
      <c r="L159" s="1"/>
      <c r="M159" s="1"/>
      <c r="N159" s="1"/>
      <c r="O159" s="1"/>
      <c r="P159" s="1"/>
      <c r="Q159" s="1"/>
      <c r="R159" s="1"/>
      <c r="S159" s="1"/>
      <c r="T159" s="1"/>
      <c r="U159" s="1"/>
      <c r="V159" s="1"/>
      <c r="W159" s="1"/>
      <c r="X159" s="1"/>
      <c r="Y159" s="1"/>
      <c r="Z159" s="1"/>
    </row>
    <row r="160" spans="1:26" ht="13.5" customHeight="1">
      <c r="A160" s="7"/>
      <c r="B160" s="7"/>
      <c r="C160" s="7"/>
      <c r="D160" s="893"/>
      <c r="E160" s="893"/>
      <c r="F160" s="893"/>
      <c r="G160" s="1"/>
      <c r="H160" s="1"/>
      <c r="I160" s="10"/>
      <c r="J160" s="1"/>
      <c r="K160" s="1"/>
      <c r="L160" s="1"/>
      <c r="M160" s="1"/>
      <c r="N160" s="1"/>
      <c r="O160" s="1"/>
      <c r="P160" s="1"/>
      <c r="Q160" s="1"/>
      <c r="R160" s="1"/>
      <c r="S160" s="1"/>
      <c r="T160" s="1"/>
      <c r="U160" s="1"/>
      <c r="V160" s="1"/>
      <c r="W160" s="1"/>
      <c r="X160" s="1"/>
      <c r="Y160" s="1"/>
      <c r="Z160" s="1"/>
    </row>
    <row r="161" spans="1:26" ht="13.5" customHeight="1">
      <c r="A161" s="7"/>
      <c r="B161" s="7"/>
      <c r="C161" s="7"/>
      <c r="D161" s="893"/>
      <c r="E161" s="893"/>
      <c r="F161" s="893"/>
      <c r="G161" s="1"/>
      <c r="H161" s="1"/>
      <c r="I161" s="10"/>
      <c r="J161" s="1"/>
      <c r="K161" s="1"/>
      <c r="L161" s="1"/>
      <c r="M161" s="1"/>
      <c r="N161" s="1"/>
      <c r="O161" s="1"/>
      <c r="P161" s="1"/>
      <c r="Q161" s="1"/>
      <c r="R161" s="1"/>
      <c r="S161" s="1"/>
      <c r="T161" s="1"/>
      <c r="U161" s="1"/>
      <c r="V161" s="1"/>
      <c r="W161" s="1"/>
      <c r="X161" s="1"/>
      <c r="Y161" s="1"/>
      <c r="Z161" s="1"/>
    </row>
    <row r="162" spans="1:26" ht="13.5" customHeight="1">
      <c r="A162" s="7"/>
      <c r="B162" s="7"/>
      <c r="C162" s="7"/>
      <c r="D162" s="893"/>
      <c r="E162" s="893"/>
      <c r="F162" s="893"/>
      <c r="G162" s="1"/>
      <c r="H162" s="1"/>
      <c r="I162" s="10"/>
      <c r="J162" s="1"/>
      <c r="K162" s="1"/>
      <c r="L162" s="1"/>
      <c r="M162" s="1"/>
      <c r="N162" s="1"/>
      <c r="O162" s="1"/>
      <c r="P162" s="1"/>
      <c r="Q162" s="1"/>
      <c r="R162" s="1"/>
      <c r="S162" s="1"/>
      <c r="T162" s="1"/>
      <c r="U162" s="1"/>
      <c r="V162" s="1"/>
      <c r="W162" s="1"/>
      <c r="X162" s="1"/>
      <c r="Y162" s="1"/>
      <c r="Z162" s="1"/>
    </row>
    <row r="163" spans="1:26" ht="13.5" customHeight="1">
      <c r="A163" s="7"/>
      <c r="B163" s="7"/>
      <c r="C163" s="7"/>
      <c r="D163" s="893"/>
      <c r="E163" s="893"/>
      <c r="F163" s="893"/>
      <c r="G163" s="1"/>
      <c r="H163" s="1"/>
      <c r="I163" s="10"/>
      <c r="J163" s="1"/>
      <c r="K163" s="1"/>
      <c r="L163" s="1"/>
      <c r="M163" s="1"/>
      <c r="N163" s="1"/>
      <c r="O163" s="1"/>
      <c r="P163" s="1"/>
      <c r="Q163" s="1"/>
      <c r="R163" s="1"/>
      <c r="S163" s="1"/>
      <c r="T163" s="1"/>
      <c r="U163" s="1"/>
      <c r="V163" s="1"/>
      <c r="W163" s="1"/>
      <c r="X163" s="1"/>
      <c r="Y163" s="1"/>
      <c r="Z163" s="1"/>
    </row>
    <row r="164" spans="1:26" ht="13.5" customHeight="1">
      <c r="A164" s="7"/>
      <c r="B164" s="7"/>
      <c r="C164" s="7"/>
      <c r="D164" s="893"/>
      <c r="E164" s="893"/>
      <c r="F164" s="893"/>
      <c r="G164" s="1"/>
      <c r="H164" s="1"/>
      <c r="I164" s="10"/>
      <c r="J164" s="1"/>
      <c r="K164" s="1"/>
      <c r="L164" s="1"/>
      <c r="M164" s="1"/>
      <c r="N164" s="1"/>
      <c r="O164" s="1"/>
      <c r="P164" s="1"/>
      <c r="Q164" s="1"/>
      <c r="R164" s="1"/>
      <c r="S164" s="1"/>
      <c r="T164" s="1"/>
      <c r="U164" s="1"/>
      <c r="V164" s="1"/>
      <c r="W164" s="1"/>
      <c r="X164" s="1"/>
      <c r="Y164" s="1"/>
      <c r="Z164" s="1"/>
    </row>
    <row r="165" spans="1:26" ht="13.5" customHeight="1">
      <c r="A165" s="7"/>
      <c r="B165" s="7"/>
      <c r="C165" s="7"/>
      <c r="D165" s="893"/>
      <c r="E165" s="893"/>
      <c r="F165" s="893"/>
      <c r="G165" s="1"/>
      <c r="H165" s="1"/>
      <c r="I165" s="10"/>
      <c r="J165" s="1"/>
      <c r="K165" s="1"/>
      <c r="L165" s="1"/>
      <c r="M165" s="1"/>
      <c r="N165" s="1"/>
      <c r="O165" s="1"/>
      <c r="P165" s="1"/>
      <c r="Q165" s="1"/>
      <c r="R165" s="1"/>
      <c r="S165" s="1"/>
      <c r="T165" s="1"/>
      <c r="U165" s="1"/>
      <c r="V165" s="1"/>
      <c r="W165" s="1"/>
      <c r="X165" s="1"/>
      <c r="Y165" s="1"/>
      <c r="Z165" s="1"/>
    </row>
    <row r="166" spans="1:26" ht="13.5" customHeight="1">
      <c r="A166" s="7"/>
      <c r="B166" s="7"/>
      <c r="C166" s="7"/>
      <c r="D166" s="893"/>
      <c r="E166" s="893"/>
      <c r="F166" s="893"/>
      <c r="G166" s="1"/>
      <c r="H166" s="1"/>
      <c r="I166" s="10"/>
      <c r="J166" s="1"/>
      <c r="K166" s="1"/>
      <c r="L166" s="1"/>
      <c r="M166" s="1"/>
      <c r="N166" s="1"/>
      <c r="O166" s="1"/>
      <c r="P166" s="1"/>
      <c r="Q166" s="1"/>
      <c r="R166" s="1"/>
      <c r="S166" s="1"/>
      <c r="T166" s="1"/>
      <c r="U166" s="1"/>
      <c r="V166" s="1"/>
      <c r="W166" s="1"/>
      <c r="X166" s="1"/>
      <c r="Y166" s="1"/>
      <c r="Z166" s="1"/>
    </row>
    <row r="167" spans="1:26" ht="13.5" customHeight="1">
      <c r="A167" s="7"/>
      <c r="B167" s="7"/>
      <c r="C167" s="7"/>
      <c r="D167" s="893"/>
      <c r="E167" s="893"/>
      <c r="F167" s="893"/>
      <c r="G167" s="1"/>
      <c r="H167" s="1"/>
      <c r="I167" s="10"/>
      <c r="J167" s="1"/>
      <c r="K167" s="1"/>
      <c r="L167" s="1"/>
      <c r="M167" s="1"/>
      <c r="N167" s="1"/>
      <c r="O167" s="1"/>
      <c r="P167" s="1"/>
      <c r="Q167" s="1"/>
      <c r="R167" s="1"/>
      <c r="S167" s="1"/>
      <c r="T167" s="1"/>
      <c r="U167" s="1"/>
      <c r="V167" s="1"/>
      <c r="W167" s="1"/>
      <c r="X167" s="1"/>
      <c r="Y167" s="1"/>
      <c r="Z167" s="1"/>
    </row>
    <row r="168" spans="1:26" ht="13.5" customHeight="1">
      <c r="A168" s="7"/>
      <c r="B168" s="7"/>
      <c r="C168" s="7"/>
      <c r="D168" s="893"/>
      <c r="E168" s="893"/>
      <c r="F168" s="893"/>
      <c r="G168" s="1"/>
      <c r="H168" s="1"/>
      <c r="I168" s="10"/>
      <c r="J168" s="1"/>
      <c r="K168" s="1"/>
      <c r="L168" s="1"/>
      <c r="M168" s="1"/>
      <c r="N168" s="1"/>
      <c r="O168" s="1"/>
      <c r="P168" s="1"/>
      <c r="Q168" s="1"/>
      <c r="R168" s="1"/>
      <c r="S168" s="1"/>
      <c r="T168" s="1"/>
      <c r="U168" s="1"/>
      <c r="V168" s="1"/>
      <c r="W168" s="1"/>
      <c r="X168" s="1"/>
      <c r="Y168" s="1"/>
      <c r="Z168" s="1"/>
    </row>
    <row r="169" spans="1:26" ht="13.5" customHeight="1">
      <c r="A169" s="7"/>
      <c r="B169" s="7"/>
      <c r="C169" s="7"/>
      <c r="D169" s="898" t="s">
        <v>326</v>
      </c>
      <c r="E169" s="893"/>
      <c r="F169" s="893"/>
      <c r="G169" s="25"/>
      <c r="H169" s="1"/>
      <c r="I169" s="10"/>
      <c r="J169" s="1"/>
      <c r="K169" s="1"/>
      <c r="L169" s="1"/>
      <c r="M169" s="1"/>
      <c r="N169" s="1"/>
      <c r="O169" s="1"/>
      <c r="P169" s="1"/>
      <c r="Q169" s="1"/>
      <c r="R169" s="1"/>
      <c r="S169" s="1"/>
      <c r="T169" s="1"/>
      <c r="U169" s="1"/>
      <c r="V169" s="1"/>
      <c r="W169" s="1"/>
      <c r="X169" s="1"/>
      <c r="Y169" s="1"/>
      <c r="Z169" s="1"/>
    </row>
    <row r="170" spans="1:26" ht="13.5" customHeight="1">
      <c r="A170" s="7"/>
      <c r="B170" s="7"/>
      <c r="C170" s="7"/>
      <c r="D170" s="915"/>
      <c r="E170" s="893"/>
      <c r="F170" s="893"/>
      <c r="G170" s="893"/>
      <c r="H170" s="1"/>
      <c r="I170" s="10"/>
      <c r="J170" s="1"/>
      <c r="K170" s="1"/>
      <c r="L170" s="1"/>
      <c r="M170" s="1"/>
      <c r="N170" s="1"/>
      <c r="O170" s="1"/>
      <c r="P170" s="1"/>
      <c r="Q170" s="1"/>
      <c r="R170" s="1"/>
      <c r="S170" s="1"/>
      <c r="T170" s="1"/>
      <c r="U170" s="1"/>
      <c r="V170" s="1"/>
      <c r="W170" s="1"/>
      <c r="X170" s="1"/>
      <c r="Y170" s="1"/>
      <c r="Z170" s="1"/>
    </row>
    <row r="171" spans="1:26" ht="14.25" customHeight="1">
      <c r="A171" s="7"/>
      <c r="B171" s="21" t="s">
        <v>27</v>
      </c>
      <c r="C171" s="1"/>
      <c r="D171" s="895" t="s">
        <v>333</v>
      </c>
      <c r="E171" s="893"/>
      <c r="F171" s="893"/>
      <c r="G171" s="1"/>
      <c r="H171" s="1"/>
      <c r="I171" s="10"/>
      <c r="J171" s="1"/>
      <c r="K171" s="1"/>
      <c r="L171" s="1"/>
      <c r="M171" s="1"/>
      <c r="N171" s="1"/>
      <c r="O171" s="1"/>
      <c r="P171" s="1"/>
      <c r="Q171" s="1"/>
      <c r="R171" s="1"/>
      <c r="S171" s="1"/>
      <c r="T171" s="1"/>
      <c r="U171" s="1"/>
      <c r="V171" s="1"/>
      <c r="W171" s="1"/>
      <c r="X171" s="1"/>
      <c r="Y171" s="1"/>
      <c r="Z171" s="1"/>
    </row>
    <row r="172" spans="1:26" ht="14.25" customHeight="1">
      <c r="A172" s="7"/>
      <c r="B172" s="7"/>
      <c r="C172" s="1"/>
      <c r="D172" s="893"/>
      <c r="E172" s="893"/>
      <c r="F172" s="893"/>
      <c r="G172" s="1"/>
      <c r="H172" s="1"/>
      <c r="I172" s="10"/>
      <c r="J172" s="1"/>
      <c r="K172" s="1"/>
      <c r="L172" s="1"/>
      <c r="M172" s="1"/>
      <c r="N172" s="1"/>
      <c r="O172" s="1"/>
      <c r="P172" s="1"/>
      <c r="Q172" s="1"/>
      <c r="R172" s="1"/>
      <c r="S172" s="1"/>
      <c r="T172" s="1"/>
      <c r="U172" s="1"/>
      <c r="V172" s="1"/>
      <c r="W172" s="1"/>
      <c r="X172" s="1"/>
      <c r="Y172" s="1"/>
      <c r="Z172" s="1"/>
    </row>
    <row r="173" spans="1:26" ht="14.25" customHeight="1">
      <c r="A173" s="7"/>
      <c r="B173" s="7"/>
      <c r="C173" s="1"/>
      <c r="D173" s="893"/>
      <c r="E173" s="893"/>
      <c r="F173" s="893"/>
      <c r="G173" s="1"/>
      <c r="H173" s="1"/>
      <c r="I173" s="10"/>
      <c r="J173" s="1"/>
      <c r="K173" s="1"/>
      <c r="L173" s="1"/>
      <c r="M173" s="1"/>
      <c r="N173" s="1"/>
      <c r="O173" s="1"/>
      <c r="P173" s="1"/>
      <c r="Q173" s="1"/>
      <c r="R173" s="1"/>
      <c r="S173" s="1"/>
      <c r="T173" s="1"/>
      <c r="U173" s="1"/>
      <c r="V173" s="1"/>
      <c r="W173" s="1"/>
      <c r="X173" s="1"/>
      <c r="Y173" s="1"/>
      <c r="Z173" s="1"/>
    </row>
    <row r="174" spans="1:26" ht="14.25" customHeight="1">
      <c r="A174" s="7"/>
      <c r="B174" s="7"/>
      <c r="C174" s="1"/>
      <c r="D174" s="893"/>
      <c r="E174" s="893"/>
      <c r="F174" s="893"/>
      <c r="G174" s="1"/>
      <c r="H174" s="1"/>
      <c r="I174" s="10"/>
      <c r="J174" s="1"/>
      <c r="K174" s="1"/>
      <c r="L174" s="1"/>
      <c r="M174" s="1"/>
      <c r="N174" s="1"/>
      <c r="O174" s="1"/>
      <c r="P174" s="1"/>
      <c r="Q174" s="1"/>
      <c r="R174" s="1"/>
      <c r="S174" s="1"/>
      <c r="T174" s="1"/>
      <c r="U174" s="1"/>
      <c r="V174" s="1"/>
      <c r="W174" s="1"/>
      <c r="X174" s="1"/>
      <c r="Y174" s="1"/>
      <c r="Z174" s="1"/>
    </row>
    <row r="175" spans="1:26" ht="13.5" customHeight="1">
      <c r="A175" s="7"/>
      <c r="B175" s="7"/>
      <c r="C175" s="1"/>
      <c r="D175" s="893"/>
      <c r="E175" s="893"/>
      <c r="F175" s="893"/>
      <c r="G175" s="1"/>
      <c r="H175" s="1"/>
      <c r="I175" s="10"/>
      <c r="J175" s="1"/>
      <c r="K175" s="1"/>
      <c r="L175" s="1"/>
      <c r="M175" s="1"/>
      <c r="N175" s="1"/>
      <c r="O175" s="1"/>
      <c r="P175" s="1"/>
      <c r="Q175" s="1"/>
      <c r="R175" s="1"/>
      <c r="S175" s="1"/>
      <c r="T175" s="1"/>
      <c r="U175" s="1"/>
      <c r="V175" s="1"/>
      <c r="W175" s="1"/>
      <c r="X175" s="1"/>
      <c r="Y175" s="1"/>
      <c r="Z175" s="1"/>
    </row>
    <row r="176" spans="1:26" ht="13.5" customHeight="1">
      <c r="A176" s="7"/>
      <c r="B176" s="7"/>
      <c r="C176" s="1"/>
      <c r="D176" s="1"/>
      <c r="E176" s="1"/>
      <c r="F176" s="1"/>
      <c r="G176" s="1"/>
      <c r="H176" s="1"/>
      <c r="I176" s="10"/>
      <c r="J176" s="1"/>
      <c r="K176" s="1"/>
      <c r="L176" s="1"/>
      <c r="M176" s="1"/>
      <c r="N176" s="1"/>
      <c r="O176" s="1"/>
      <c r="P176" s="1"/>
      <c r="Q176" s="1"/>
      <c r="R176" s="1"/>
      <c r="S176" s="1"/>
      <c r="T176" s="1"/>
      <c r="U176" s="1"/>
      <c r="V176" s="1"/>
      <c r="W176" s="1"/>
      <c r="X176" s="1"/>
      <c r="Y176" s="1"/>
      <c r="Z176" s="1"/>
    </row>
    <row r="177" spans="1:26" ht="13.5" customHeight="1">
      <c r="A177" s="7"/>
      <c r="B177" s="21" t="s">
        <v>27</v>
      </c>
      <c r="C177" s="1"/>
      <c r="D177" s="895" t="s">
        <v>343</v>
      </c>
      <c r="E177" s="893"/>
      <c r="F177" s="893"/>
      <c r="G177" s="1"/>
      <c r="H177" s="1"/>
      <c r="I177" s="10"/>
      <c r="J177" s="1"/>
      <c r="K177" s="1"/>
      <c r="L177" s="1"/>
      <c r="M177" s="1"/>
      <c r="N177" s="1"/>
      <c r="O177" s="1"/>
      <c r="P177" s="1"/>
      <c r="Q177" s="1"/>
      <c r="R177" s="1"/>
      <c r="S177" s="1"/>
      <c r="T177" s="1"/>
      <c r="U177" s="1"/>
      <c r="V177" s="1"/>
      <c r="W177" s="1"/>
      <c r="X177" s="1"/>
      <c r="Y177" s="1"/>
      <c r="Z177" s="1"/>
    </row>
    <row r="178" spans="1:26" ht="13.5" customHeight="1">
      <c r="A178" s="7"/>
      <c r="B178" s="7"/>
      <c r="C178" s="1"/>
      <c r="D178" s="893"/>
      <c r="E178" s="893"/>
      <c r="F178" s="893"/>
      <c r="G178" s="1"/>
      <c r="H178" s="1"/>
      <c r="I178" s="10"/>
      <c r="J178" s="1"/>
      <c r="K178" s="1"/>
      <c r="L178" s="1"/>
      <c r="M178" s="1"/>
      <c r="N178" s="1"/>
      <c r="O178" s="1"/>
      <c r="P178" s="1"/>
      <c r="Q178" s="1"/>
      <c r="R178" s="1"/>
      <c r="S178" s="1"/>
      <c r="T178" s="1"/>
      <c r="U178" s="1"/>
      <c r="V178" s="1"/>
      <c r="W178" s="1"/>
      <c r="X178" s="1"/>
      <c r="Y178" s="1"/>
      <c r="Z178" s="1"/>
    </row>
    <row r="179" spans="1:26" ht="13.5" customHeight="1">
      <c r="A179" s="7"/>
      <c r="B179" s="7"/>
      <c r="C179" s="1"/>
      <c r="D179" s="893"/>
      <c r="E179" s="893"/>
      <c r="F179" s="893"/>
      <c r="G179" s="1"/>
      <c r="H179" s="1"/>
      <c r="I179" s="10"/>
      <c r="J179" s="1"/>
      <c r="K179" s="1"/>
      <c r="L179" s="1"/>
      <c r="M179" s="1"/>
      <c r="N179" s="1"/>
      <c r="O179" s="1"/>
      <c r="P179" s="1"/>
      <c r="Q179" s="1"/>
      <c r="R179" s="1"/>
      <c r="S179" s="1"/>
      <c r="T179" s="1"/>
      <c r="U179" s="1"/>
      <c r="V179" s="1"/>
      <c r="W179" s="1"/>
      <c r="X179" s="1"/>
      <c r="Y179" s="1"/>
      <c r="Z179" s="1"/>
    </row>
    <row r="180" spans="1:26" ht="13.5" customHeight="1">
      <c r="A180" s="7"/>
      <c r="B180" s="7"/>
      <c r="C180" s="1"/>
      <c r="D180" s="893"/>
      <c r="E180" s="893"/>
      <c r="F180" s="893"/>
      <c r="G180" s="1"/>
      <c r="H180" s="1"/>
      <c r="I180" s="10"/>
      <c r="J180" s="1"/>
      <c r="K180" s="1"/>
      <c r="L180" s="1"/>
      <c r="M180" s="1"/>
      <c r="N180" s="1"/>
      <c r="O180" s="1"/>
      <c r="P180" s="1"/>
      <c r="Q180" s="1"/>
      <c r="R180" s="1"/>
      <c r="S180" s="1"/>
      <c r="T180" s="1"/>
      <c r="U180" s="1"/>
      <c r="V180" s="1"/>
      <c r="W180" s="1"/>
      <c r="X180" s="1"/>
      <c r="Y180" s="1"/>
      <c r="Z180" s="1"/>
    </row>
    <row r="181" spans="1:26" ht="13.5" customHeight="1">
      <c r="A181" s="7"/>
      <c r="B181" s="7"/>
      <c r="C181" s="7"/>
      <c r="D181" s="17"/>
      <c r="E181" s="17"/>
      <c r="F181" s="17"/>
      <c r="G181" s="1"/>
      <c r="H181" s="1"/>
      <c r="I181" s="10"/>
      <c r="J181" s="1"/>
      <c r="K181" s="1"/>
      <c r="L181" s="1"/>
      <c r="M181" s="1"/>
      <c r="N181" s="1"/>
      <c r="O181" s="1"/>
      <c r="P181" s="1"/>
      <c r="Q181" s="1"/>
      <c r="R181" s="1"/>
      <c r="S181" s="1"/>
      <c r="T181" s="1"/>
      <c r="U181" s="1"/>
      <c r="V181" s="1"/>
      <c r="W181" s="1"/>
      <c r="X181" s="1"/>
      <c r="Y181" s="1"/>
      <c r="Z181" s="1"/>
    </row>
    <row r="182" spans="1:26" ht="13.5" hidden="1" customHeight="1">
      <c r="A182" s="7"/>
      <c r="B182" s="21" t="s">
        <v>27</v>
      </c>
      <c r="C182" s="7"/>
      <c r="D182" s="927" t="s">
        <v>354</v>
      </c>
      <c r="E182" s="893"/>
      <c r="F182" s="893"/>
      <c r="G182" s="1"/>
      <c r="H182" s="1"/>
      <c r="I182" s="10"/>
      <c r="J182" s="1"/>
      <c r="K182" s="1"/>
      <c r="L182" s="1"/>
      <c r="M182" s="1"/>
      <c r="N182" s="1"/>
      <c r="O182" s="1"/>
      <c r="P182" s="1"/>
      <c r="Q182" s="1"/>
      <c r="R182" s="1"/>
      <c r="S182" s="1"/>
      <c r="T182" s="1"/>
      <c r="U182" s="1"/>
      <c r="V182" s="1"/>
      <c r="W182" s="1"/>
      <c r="X182" s="1"/>
      <c r="Y182" s="1"/>
      <c r="Z182" s="1"/>
    </row>
    <row r="183" spans="1:26" ht="13.5" hidden="1" customHeight="1">
      <c r="A183" s="7"/>
      <c r="B183" s="7"/>
      <c r="C183" s="7"/>
      <c r="D183" s="893"/>
      <c r="E183" s="893"/>
      <c r="F183" s="893"/>
      <c r="G183" s="1"/>
      <c r="H183" s="1"/>
      <c r="I183" s="10"/>
      <c r="J183" s="1"/>
      <c r="K183" s="1"/>
      <c r="L183" s="1"/>
      <c r="M183" s="1"/>
      <c r="N183" s="1"/>
      <c r="O183" s="1"/>
      <c r="P183" s="1"/>
      <c r="Q183" s="1"/>
      <c r="R183" s="1"/>
      <c r="S183" s="1"/>
      <c r="T183" s="1"/>
      <c r="U183" s="1"/>
      <c r="V183" s="1"/>
      <c r="W183" s="1"/>
      <c r="X183" s="1"/>
      <c r="Y183" s="1"/>
      <c r="Z183" s="1"/>
    </row>
    <row r="184" spans="1:26" ht="13.5" hidden="1" customHeight="1">
      <c r="A184" s="7"/>
      <c r="B184" s="7"/>
      <c r="C184" s="7"/>
      <c r="D184" s="893"/>
      <c r="E184" s="893"/>
      <c r="F184" s="893"/>
      <c r="G184" s="1"/>
      <c r="H184" s="1"/>
      <c r="I184" s="10"/>
      <c r="J184" s="1"/>
      <c r="K184" s="1"/>
      <c r="L184" s="1"/>
      <c r="M184" s="1"/>
      <c r="N184" s="1"/>
      <c r="O184" s="1"/>
      <c r="P184" s="1"/>
      <c r="Q184" s="1"/>
      <c r="R184" s="1"/>
      <c r="S184" s="1"/>
      <c r="T184" s="1"/>
      <c r="U184" s="1"/>
      <c r="V184" s="1"/>
      <c r="W184" s="1"/>
      <c r="X184" s="1"/>
      <c r="Y184" s="1"/>
      <c r="Z184" s="1"/>
    </row>
    <row r="185" spans="1:26" ht="13.5" customHeight="1">
      <c r="A185" s="10"/>
      <c r="B185" s="10"/>
      <c r="C185" s="7"/>
      <c r="D185" s="1"/>
      <c r="E185" s="17"/>
      <c r="F185" s="17"/>
      <c r="G185" s="1"/>
      <c r="H185" s="1"/>
      <c r="I185" s="10"/>
      <c r="J185" s="1"/>
      <c r="K185" s="1"/>
      <c r="L185" s="1"/>
      <c r="M185" s="1"/>
      <c r="N185" s="1"/>
      <c r="O185" s="1"/>
      <c r="P185" s="1"/>
      <c r="Q185" s="1"/>
      <c r="R185" s="1"/>
      <c r="S185" s="1"/>
      <c r="T185" s="1"/>
      <c r="U185" s="1"/>
      <c r="V185" s="1"/>
      <c r="W185" s="1"/>
      <c r="X185" s="1"/>
      <c r="Y185" s="1"/>
      <c r="Z185" s="1"/>
    </row>
    <row r="186" spans="1:26" ht="12.75" customHeight="1">
      <c r="A186" s="920" t="s">
        <v>359</v>
      </c>
      <c r="B186" s="921"/>
      <c r="C186" s="921"/>
      <c r="D186" s="921"/>
      <c r="E186" s="921"/>
      <c r="F186" s="921"/>
      <c r="G186" s="921"/>
      <c r="H186" s="5"/>
      <c r="I186" s="39"/>
      <c r="J186" s="1"/>
      <c r="K186" s="1"/>
      <c r="L186" s="1"/>
      <c r="M186" s="1"/>
      <c r="N186" s="1"/>
      <c r="O186" s="1"/>
      <c r="P186" s="1"/>
      <c r="Q186" s="1"/>
      <c r="R186" s="1"/>
      <c r="S186" s="1"/>
      <c r="T186" s="1"/>
      <c r="U186" s="1"/>
      <c r="V186" s="1"/>
      <c r="W186" s="1"/>
      <c r="X186" s="1"/>
      <c r="Y186" s="1"/>
      <c r="Z186" s="1"/>
    </row>
    <row r="187" spans="1:26" ht="12" customHeight="1">
      <c r="A187" s="7"/>
      <c r="B187" s="7"/>
      <c r="C187" s="7"/>
      <c r="D187" s="17"/>
      <c r="E187" s="17"/>
      <c r="F187" s="17"/>
      <c r="G187" s="1"/>
      <c r="H187" s="1"/>
      <c r="I187" s="10"/>
      <c r="J187" s="1"/>
      <c r="K187" s="1"/>
      <c r="L187" s="1"/>
      <c r="M187" s="1"/>
      <c r="N187" s="1"/>
      <c r="O187" s="1"/>
      <c r="P187" s="1"/>
      <c r="Q187" s="1"/>
      <c r="R187" s="1"/>
      <c r="S187" s="1"/>
      <c r="T187" s="1"/>
      <c r="U187" s="1"/>
      <c r="V187" s="1"/>
      <c r="W187" s="1"/>
      <c r="X187" s="1"/>
      <c r="Y187" s="1"/>
      <c r="Z187" s="1"/>
    </row>
    <row r="188" spans="1:26" ht="12.75" customHeight="1">
      <c r="A188" s="7"/>
      <c r="B188" s="919" t="s">
        <v>364</v>
      </c>
      <c r="C188" s="893"/>
      <c r="D188" s="893"/>
      <c r="E188" s="893"/>
      <c r="F188" s="893"/>
      <c r="G188" s="1"/>
      <c r="H188" s="1"/>
      <c r="I188" s="10"/>
      <c r="J188" s="1"/>
      <c r="K188" s="1"/>
      <c r="L188" s="1"/>
      <c r="M188" s="1"/>
      <c r="N188" s="1"/>
      <c r="O188" s="1"/>
      <c r="P188" s="1"/>
      <c r="Q188" s="1"/>
      <c r="R188" s="1"/>
      <c r="S188" s="1"/>
      <c r="T188" s="1"/>
      <c r="U188" s="1"/>
      <c r="V188" s="1"/>
      <c r="W188" s="1"/>
      <c r="X188" s="1"/>
      <c r="Y188" s="1"/>
      <c r="Z188" s="1"/>
    </row>
    <row r="189" spans="1:26" ht="12.75" customHeight="1">
      <c r="A189" s="7"/>
      <c r="B189" s="14" t="s">
        <v>367</v>
      </c>
      <c r="C189" s="14"/>
      <c r="D189" s="14"/>
      <c r="E189" s="14"/>
      <c r="F189" s="14"/>
      <c r="G189" s="1"/>
      <c r="H189" s="1"/>
      <c r="I189" s="10"/>
      <c r="J189" s="1"/>
      <c r="K189" s="1"/>
      <c r="L189" s="1"/>
      <c r="M189" s="1"/>
      <c r="N189" s="1"/>
      <c r="O189" s="1"/>
      <c r="P189" s="1"/>
      <c r="Q189" s="1"/>
      <c r="R189" s="1"/>
      <c r="S189" s="1"/>
      <c r="T189" s="1"/>
      <c r="U189" s="1"/>
      <c r="V189" s="1"/>
      <c r="W189" s="1"/>
      <c r="X189" s="1"/>
      <c r="Y189" s="1"/>
      <c r="Z189" s="1"/>
    </row>
    <row r="190" spans="1:26" ht="12" customHeight="1">
      <c r="A190" s="9"/>
      <c r="B190" s="9"/>
      <c r="C190" s="9"/>
      <c r="D190" s="1"/>
      <c r="E190" s="1"/>
      <c r="F190" s="1"/>
      <c r="G190" s="1"/>
      <c r="H190" s="1"/>
      <c r="I190" s="10"/>
      <c r="J190" s="1"/>
      <c r="K190" s="1"/>
      <c r="L190" s="1"/>
      <c r="M190" s="1"/>
      <c r="N190" s="1"/>
      <c r="O190" s="1"/>
      <c r="P190" s="1"/>
      <c r="Q190" s="1"/>
      <c r="R190" s="1"/>
      <c r="S190" s="1"/>
      <c r="T190" s="1"/>
      <c r="U190" s="1"/>
      <c r="V190" s="1"/>
      <c r="W190" s="1"/>
      <c r="X190" s="1"/>
      <c r="Y190" s="1"/>
      <c r="Z190" s="1"/>
    </row>
    <row r="191" spans="1:26" ht="12.75" customHeight="1">
      <c r="A191" s="920" t="s">
        <v>370</v>
      </c>
      <c r="B191" s="921"/>
      <c r="C191" s="921"/>
      <c r="D191" s="921"/>
      <c r="E191" s="921"/>
      <c r="F191" s="921"/>
      <c r="G191" s="921"/>
      <c r="H191" s="5"/>
      <c r="I191" s="39"/>
      <c r="J191" s="1"/>
      <c r="K191" s="1"/>
      <c r="L191" s="1"/>
      <c r="M191" s="1"/>
      <c r="N191" s="1"/>
      <c r="O191" s="1"/>
      <c r="P191" s="1"/>
      <c r="Q191" s="1"/>
      <c r="R191" s="1"/>
      <c r="S191" s="1"/>
      <c r="T191" s="1"/>
      <c r="U191" s="1"/>
      <c r="V191" s="1"/>
      <c r="W191" s="1"/>
      <c r="X191" s="1"/>
      <c r="Y191" s="1"/>
      <c r="Z191" s="1"/>
    </row>
    <row r="192" spans="1:26" ht="12" customHeight="1">
      <c r="A192" s="8"/>
      <c r="B192" s="8"/>
      <c r="C192" s="7"/>
      <c r="D192" s="1"/>
      <c r="E192" s="8"/>
      <c r="F192" s="1"/>
      <c r="G192" s="1"/>
      <c r="H192" s="1"/>
      <c r="I192" s="10"/>
      <c r="J192" s="1"/>
      <c r="K192" s="1"/>
      <c r="L192" s="1"/>
      <c r="M192" s="1"/>
      <c r="N192" s="1"/>
      <c r="O192" s="1"/>
      <c r="P192" s="1"/>
      <c r="Q192" s="1"/>
      <c r="R192" s="1"/>
      <c r="S192" s="1"/>
      <c r="T192" s="1"/>
      <c r="U192" s="1"/>
      <c r="V192" s="1"/>
      <c r="W192" s="1"/>
      <c r="X192" s="1"/>
      <c r="Y192" s="1"/>
      <c r="Z192" s="1"/>
    </row>
    <row r="193" spans="1:26" ht="13.5" customHeight="1">
      <c r="A193" s="8"/>
      <c r="B193" s="8"/>
      <c r="C193" s="7"/>
      <c r="D193" s="918" t="s">
        <v>373</v>
      </c>
      <c r="E193" s="893"/>
      <c r="F193" s="893"/>
      <c r="G193" s="1"/>
      <c r="H193" s="1"/>
      <c r="I193" s="10"/>
      <c r="J193" s="1"/>
      <c r="K193" s="1"/>
      <c r="L193" s="1"/>
      <c r="M193" s="1"/>
      <c r="N193" s="1"/>
      <c r="O193" s="1"/>
      <c r="P193" s="1"/>
      <c r="Q193" s="1"/>
      <c r="R193" s="1"/>
      <c r="S193" s="1"/>
      <c r="T193" s="1"/>
      <c r="U193" s="1"/>
      <c r="V193" s="1"/>
      <c r="W193" s="1"/>
      <c r="X193" s="1"/>
      <c r="Y193" s="1"/>
      <c r="Z193" s="1"/>
    </row>
    <row r="194" spans="1:26" ht="12.75" customHeight="1">
      <c r="A194" s="8"/>
      <c r="B194" s="8"/>
      <c r="C194" s="7"/>
      <c r="D194" s="893"/>
      <c r="E194" s="893"/>
      <c r="F194" s="893"/>
      <c r="G194" s="1"/>
      <c r="H194" s="1"/>
      <c r="I194" s="10"/>
      <c r="J194" s="1"/>
      <c r="K194" s="1"/>
      <c r="L194" s="1"/>
      <c r="M194" s="1"/>
      <c r="N194" s="1"/>
      <c r="O194" s="1"/>
      <c r="P194" s="1"/>
      <c r="Q194" s="1"/>
      <c r="R194" s="1"/>
      <c r="S194" s="1"/>
      <c r="T194" s="1"/>
      <c r="U194" s="1"/>
      <c r="V194" s="1"/>
      <c r="W194" s="1"/>
      <c r="X194" s="1"/>
      <c r="Y194" s="1"/>
      <c r="Z194" s="1"/>
    </row>
    <row r="195" spans="1:26" ht="12.75" customHeight="1">
      <c r="A195" s="8"/>
      <c r="B195" s="8"/>
      <c r="C195" s="7"/>
      <c r="D195" s="919" t="s">
        <v>375</v>
      </c>
      <c r="E195" s="893"/>
      <c r="F195" s="893"/>
      <c r="G195" s="1"/>
      <c r="H195" s="1"/>
      <c r="I195" s="10"/>
      <c r="J195" s="1"/>
      <c r="K195" s="1"/>
      <c r="L195" s="1"/>
      <c r="M195" s="1"/>
      <c r="N195" s="1"/>
      <c r="O195" s="1"/>
      <c r="P195" s="1"/>
      <c r="Q195" s="1"/>
      <c r="R195" s="1"/>
      <c r="S195" s="1"/>
      <c r="T195" s="1"/>
      <c r="U195" s="1"/>
      <c r="V195" s="1"/>
      <c r="W195" s="1"/>
      <c r="X195" s="1"/>
      <c r="Y195" s="1"/>
      <c r="Z195" s="1"/>
    </row>
    <row r="196" spans="1:26" ht="12.75" customHeight="1">
      <c r="A196" s="8"/>
      <c r="B196" s="8"/>
      <c r="C196" s="7"/>
      <c r="D196" s="14"/>
      <c r="E196" s="14"/>
      <c r="F196" s="14"/>
      <c r="G196" s="1"/>
      <c r="H196" s="1"/>
      <c r="I196" s="10"/>
      <c r="J196" s="1"/>
      <c r="K196" s="1"/>
      <c r="L196" s="1"/>
      <c r="M196" s="1"/>
      <c r="N196" s="1"/>
      <c r="O196" s="1"/>
      <c r="P196" s="1"/>
      <c r="Q196" s="1"/>
      <c r="R196" s="1"/>
      <c r="S196" s="1"/>
      <c r="T196" s="1"/>
      <c r="U196" s="1"/>
      <c r="V196" s="1"/>
      <c r="W196" s="1"/>
      <c r="X196" s="1"/>
      <c r="Y196" s="1"/>
      <c r="Z196" s="1"/>
    </row>
    <row r="197" spans="1:26" ht="12.75" customHeight="1">
      <c r="A197" s="8"/>
      <c r="B197" s="8"/>
      <c r="C197" s="7"/>
      <c r="D197" s="895" t="s">
        <v>376</v>
      </c>
      <c r="E197" s="893"/>
      <c r="F197" s="893"/>
      <c r="G197" s="1"/>
      <c r="H197" s="1"/>
      <c r="I197" s="10"/>
      <c r="J197" s="1"/>
      <c r="K197" s="1"/>
      <c r="L197" s="1"/>
      <c r="M197" s="1"/>
      <c r="N197" s="1"/>
      <c r="O197" s="1"/>
      <c r="P197" s="1"/>
      <c r="Q197" s="1"/>
      <c r="R197" s="1"/>
      <c r="S197" s="1"/>
      <c r="T197" s="1"/>
      <c r="U197" s="1"/>
      <c r="V197" s="1"/>
      <c r="W197" s="1"/>
      <c r="X197" s="1"/>
      <c r="Y197" s="1"/>
      <c r="Z197" s="1"/>
    </row>
    <row r="198" spans="1:26" ht="12.75" customHeight="1">
      <c r="A198" s="8"/>
      <c r="B198" s="8"/>
      <c r="C198" s="7"/>
      <c r="D198" s="893"/>
      <c r="E198" s="893"/>
      <c r="F198" s="893"/>
      <c r="G198" s="1"/>
      <c r="H198" s="1"/>
      <c r="I198" s="10"/>
      <c r="J198" s="1"/>
      <c r="K198" s="1"/>
      <c r="L198" s="1"/>
      <c r="M198" s="1"/>
      <c r="N198" s="1"/>
      <c r="O198" s="1"/>
      <c r="P198" s="1"/>
      <c r="Q198" s="1"/>
      <c r="R198" s="1"/>
      <c r="S198" s="1"/>
      <c r="T198" s="1"/>
      <c r="U198" s="1"/>
      <c r="V198" s="1"/>
      <c r="W198" s="1"/>
      <c r="X198" s="1"/>
      <c r="Y198" s="1"/>
      <c r="Z198" s="1"/>
    </row>
    <row r="199" spans="1:26" ht="12.75" customHeight="1">
      <c r="A199" s="8"/>
      <c r="B199" s="8"/>
      <c r="C199" s="7"/>
      <c r="D199" s="893"/>
      <c r="E199" s="893"/>
      <c r="F199" s="893"/>
      <c r="G199" s="1"/>
      <c r="H199" s="1"/>
      <c r="I199" s="10"/>
      <c r="J199" s="1"/>
      <c r="K199" s="1"/>
      <c r="L199" s="1"/>
      <c r="M199" s="1"/>
      <c r="N199" s="1"/>
      <c r="O199" s="1"/>
      <c r="P199" s="1"/>
      <c r="Q199" s="1"/>
      <c r="R199" s="1"/>
      <c r="S199" s="1"/>
      <c r="T199" s="1"/>
      <c r="U199" s="1"/>
      <c r="V199" s="1"/>
      <c r="W199" s="1"/>
      <c r="X199" s="1"/>
      <c r="Y199" s="1"/>
      <c r="Z199" s="1"/>
    </row>
    <row r="200" spans="1:26" ht="12.75" customHeight="1">
      <c r="A200" s="8"/>
      <c r="B200" s="8"/>
      <c r="C200" s="7"/>
      <c r="D200" s="893"/>
      <c r="E200" s="893"/>
      <c r="F200" s="893"/>
      <c r="G200" s="1"/>
      <c r="H200" s="1"/>
      <c r="I200" s="10"/>
      <c r="J200" s="1"/>
      <c r="K200" s="1"/>
      <c r="L200" s="1"/>
      <c r="M200" s="1"/>
      <c r="N200" s="1"/>
      <c r="O200" s="1"/>
      <c r="P200" s="1"/>
      <c r="Q200" s="1"/>
      <c r="R200" s="1"/>
      <c r="S200" s="1"/>
      <c r="T200" s="1"/>
      <c r="U200" s="1"/>
      <c r="V200" s="1"/>
      <c r="W200" s="1"/>
      <c r="X200" s="1"/>
      <c r="Y200" s="1"/>
      <c r="Z200" s="1"/>
    </row>
    <row r="201" spans="1:26" ht="12.75" customHeight="1">
      <c r="A201" s="8"/>
      <c r="B201" s="8"/>
      <c r="C201" s="7"/>
      <c r="D201" s="893"/>
      <c r="E201" s="893"/>
      <c r="F201" s="893"/>
      <c r="G201" s="1"/>
      <c r="H201" s="1"/>
      <c r="I201" s="10"/>
      <c r="J201" s="1"/>
      <c r="K201" s="1"/>
      <c r="L201" s="1"/>
      <c r="M201" s="1"/>
      <c r="N201" s="1"/>
      <c r="O201" s="1"/>
      <c r="P201" s="1"/>
      <c r="Q201" s="1"/>
      <c r="R201" s="1"/>
      <c r="S201" s="1"/>
      <c r="T201" s="1"/>
      <c r="U201" s="1"/>
      <c r="V201" s="1"/>
      <c r="W201" s="1"/>
      <c r="X201" s="1"/>
      <c r="Y201" s="1"/>
      <c r="Z201" s="1"/>
    </row>
    <row r="202" spans="1:26" ht="12.75" customHeight="1">
      <c r="A202" s="8"/>
      <c r="B202" s="8"/>
      <c r="C202" s="7"/>
      <c r="D202" s="14"/>
      <c r="E202" s="14"/>
      <c r="F202" s="14"/>
      <c r="G202" s="1"/>
      <c r="H202" s="1"/>
      <c r="I202" s="10"/>
      <c r="J202" s="1"/>
      <c r="K202" s="1"/>
      <c r="L202" s="1"/>
      <c r="M202" s="1"/>
      <c r="N202" s="1"/>
      <c r="O202" s="1"/>
      <c r="P202" s="1"/>
      <c r="Q202" s="1"/>
      <c r="R202" s="1"/>
      <c r="S202" s="1"/>
      <c r="T202" s="1"/>
      <c r="U202" s="1"/>
      <c r="V202" s="1"/>
      <c r="W202" s="1"/>
      <c r="X202" s="1"/>
      <c r="Y202" s="1"/>
      <c r="Z202" s="1"/>
    </row>
    <row r="203" spans="1:26" ht="12.75" customHeight="1">
      <c r="A203" s="8"/>
      <c r="B203" s="21" t="s">
        <v>27</v>
      </c>
      <c r="C203" s="7"/>
      <c r="D203" s="915" t="s">
        <v>378</v>
      </c>
      <c r="E203" s="893"/>
      <c r="F203" s="893"/>
      <c r="G203" s="1"/>
      <c r="H203" s="1"/>
      <c r="I203" s="10"/>
      <c r="J203" s="1"/>
      <c r="K203" s="1"/>
      <c r="L203" s="1"/>
      <c r="M203" s="1"/>
      <c r="N203" s="1"/>
      <c r="O203" s="1"/>
      <c r="P203" s="1"/>
      <c r="Q203" s="1"/>
      <c r="R203" s="1"/>
      <c r="S203" s="1"/>
      <c r="T203" s="1"/>
      <c r="U203" s="1"/>
      <c r="V203" s="1"/>
      <c r="W203" s="1"/>
      <c r="X203" s="1"/>
      <c r="Y203" s="1"/>
      <c r="Z203" s="1"/>
    </row>
    <row r="204" spans="1:26" ht="12.75" customHeight="1">
      <c r="A204" s="8"/>
      <c r="B204" s="8"/>
      <c r="C204" s="7"/>
      <c r="D204" s="919" t="s">
        <v>379</v>
      </c>
      <c r="E204" s="893"/>
      <c r="F204" s="893"/>
      <c r="G204" s="1"/>
      <c r="H204" s="1"/>
      <c r="I204" s="10"/>
      <c r="J204" s="1"/>
      <c r="K204" s="1"/>
      <c r="L204" s="1"/>
      <c r="M204" s="1"/>
      <c r="N204" s="1"/>
      <c r="O204" s="1"/>
      <c r="P204" s="1"/>
      <c r="Q204" s="1"/>
      <c r="R204" s="1"/>
      <c r="S204" s="1"/>
      <c r="T204" s="1"/>
      <c r="U204" s="1"/>
      <c r="V204" s="1"/>
      <c r="W204" s="1"/>
      <c r="X204" s="1"/>
      <c r="Y204" s="1"/>
      <c r="Z204" s="1"/>
    </row>
    <row r="205" spans="1:26" ht="12.75" customHeight="1">
      <c r="A205" s="8"/>
      <c r="B205" s="8"/>
      <c r="C205" s="7"/>
      <c r="D205" s="18" t="s">
        <v>380</v>
      </c>
      <c r="E205" s="937" t="s">
        <v>381</v>
      </c>
      <c r="F205" s="893"/>
      <c r="G205" s="1"/>
      <c r="H205" s="1"/>
      <c r="I205" s="10"/>
      <c r="J205" s="1"/>
      <c r="K205" s="1"/>
      <c r="L205" s="1"/>
      <c r="M205" s="1"/>
      <c r="N205" s="1"/>
      <c r="O205" s="1"/>
      <c r="P205" s="1"/>
      <c r="Q205" s="1"/>
      <c r="R205" s="1"/>
      <c r="S205" s="1"/>
      <c r="T205" s="1"/>
      <c r="U205" s="1"/>
      <c r="V205" s="1"/>
      <c r="W205" s="1"/>
      <c r="X205" s="1"/>
      <c r="Y205" s="1"/>
      <c r="Z205" s="1"/>
    </row>
    <row r="206" spans="1:26" ht="12.75" customHeight="1">
      <c r="A206" s="8"/>
      <c r="B206" s="8"/>
      <c r="C206" s="7"/>
      <c r="D206" s="1"/>
      <c r="E206" s="1"/>
      <c r="F206" s="1"/>
      <c r="G206" s="1"/>
      <c r="H206" s="1"/>
      <c r="I206" s="10"/>
      <c r="J206" s="1"/>
      <c r="K206" s="1"/>
      <c r="L206" s="1"/>
      <c r="M206" s="1"/>
      <c r="N206" s="1"/>
      <c r="O206" s="1"/>
      <c r="P206" s="1"/>
      <c r="Q206" s="1"/>
      <c r="R206" s="1"/>
      <c r="S206" s="1"/>
      <c r="T206" s="1"/>
      <c r="U206" s="1"/>
      <c r="V206" s="1"/>
      <c r="W206" s="1"/>
      <c r="X206" s="1"/>
      <c r="Y206" s="1"/>
      <c r="Z206" s="1"/>
    </row>
    <row r="207" spans="1:26" ht="12.75" customHeight="1">
      <c r="A207" s="7"/>
      <c r="B207" s="21" t="s">
        <v>27</v>
      </c>
      <c r="C207" s="7"/>
      <c r="D207" s="894" t="s">
        <v>383</v>
      </c>
      <c r="E207" s="893"/>
      <c r="F207" s="893"/>
      <c r="G207" s="1"/>
      <c r="H207" s="1"/>
      <c r="I207" s="8"/>
      <c r="J207" s="1"/>
      <c r="K207" s="1"/>
      <c r="L207" s="1"/>
      <c r="M207" s="1"/>
      <c r="N207" s="1"/>
      <c r="O207" s="1"/>
      <c r="P207" s="1"/>
      <c r="Q207" s="1"/>
      <c r="R207" s="1"/>
      <c r="S207" s="1"/>
      <c r="T207" s="1"/>
      <c r="U207" s="1"/>
      <c r="V207" s="1"/>
      <c r="W207" s="1"/>
      <c r="X207" s="1"/>
      <c r="Y207" s="1"/>
      <c r="Z207" s="1"/>
    </row>
    <row r="208" spans="1:26" ht="12.75" customHeight="1">
      <c r="A208" s="7"/>
      <c r="B208" s="7"/>
      <c r="C208" s="7"/>
      <c r="D208" s="893"/>
      <c r="E208" s="893"/>
      <c r="F208" s="893"/>
      <c r="G208" s="1"/>
      <c r="H208" s="1"/>
      <c r="I208" s="8"/>
      <c r="J208" s="1"/>
      <c r="K208" s="1"/>
      <c r="L208" s="1"/>
      <c r="M208" s="1"/>
      <c r="N208" s="1"/>
      <c r="O208" s="1"/>
      <c r="P208" s="1"/>
      <c r="Q208" s="1"/>
      <c r="R208" s="1"/>
      <c r="S208" s="1"/>
      <c r="T208" s="1"/>
      <c r="U208" s="1"/>
      <c r="V208" s="1"/>
      <c r="W208" s="1"/>
      <c r="X208" s="1"/>
      <c r="Y208" s="1"/>
      <c r="Z208" s="1"/>
    </row>
    <row r="209" spans="1:26" ht="12.75" customHeight="1">
      <c r="A209" s="7"/>
      <c r="B209" s="7"/>
      <c r="C209" s="7"/>
      <c r="D209" s="893"/>
      <c r="E209" s="893"/>
      <c r="F209" s="893"/>
      <c r="G209" s="1"/>
      <c r="H209" s="1"/>
      <c r="I209" s="8"/>
      <c r="J209" s="1"/>
      <c r="K209" s="1"/>
      <c r="L209" s="1"/>
      <c r="M209" s="1"/>
      <c r="N209" s="1"/>
      <c r="O209" s="1"/>
      <c r="P209" s="1"/>
      <c r="Q209" s="1"/>
      <c r="R209" s="1"/>
      <c r="S209" s="1"/>
      <c r="T209" s="1"/>
      <c r="U209" s="1"/>
      <c r="V209" s="1"/>
      <c r="W209" s="1"/>
      <c r="X209" s="1"/>
      <c r="Y209" s="1"/>
      <c r="Z209" s="1"/>
    </row>
    <row r="210" spans="1:26" ht="12.75" customHeight="1">
      <c r="A210" s="7"/>
      <c r="B210" s="7"/>
      <c r="C210" s="7"/>
      <c r="D210" s="893"/>
      <c r="E210" s="893"/>
      <c r="F210" s="893"/>
      <c r="G210" s="1"/>
      <c r="H210" s="1"/>
      <c r="I210" s="8"/>
      <c r="J210" s="1"/>
      <c r="K210" s="1"/>
      <c r="L210" s="1"/>
      <c r="M210" s="1"/>
      <c r="N210" s="1"/>
      <c r="O210" s="1"/>
      <c r="P210" s="1"/>
      <c r="Q210" s="1"/>
      <c r="R210" s="1"/>
      <c r="S210" s="1"/>
      <c r="T210" s="1"/>
      <c r="U210" s="1"/>
      <c r="V210" s="1"/>
      <c r="W210" s="1"/>
      <c r="X210" s="1"/>
      <c r="Y210" s="1"/>
      <c r="Z210" s="1"/>
    </row>
    <row r="211" spans="1:26" ht="12.75" customHeight="1">
      <c r="A211" s="7"/>
      <c r="B211" s="7"/>
      <c r="C211" s="7"/>
      <c r="D211" s="1"/>
      <c r="E211" s="1"/>
      <c r="F211" s="1"/>
      <c r="G211" s="1"/>
      <c r="H211" s="1"/>
      <c r="I211" s="8"/>
      <c r="J211" s="1"/>
      <c r="K211" s="1"/>
      <c r="L211" s="1"/>
      <c r="M211" s="1"/>
      <c r="N211" s="1"/>
      <c r="O211" s="1"/>
      <c r="P211" s="1"/>
      <c r="Q211" s="1"/>
      <c r="R211" s="1"/>
      <c r="S211" s="1"/>
      <c r="T211" s="1"/>
      <c r="U211" s="1"/>
      <c r="V211" s="1"/>
      <c r="W211" s="1"/>
      <c r="X211" s="1"/>
      <c r="Y211" s="1"/>
      <c r="Z211" s="1"/>
    </row>
    <row r="212" spans="1:26" ht="12.75" customHeight="1">
      <c r="A212" s="8"/>
      <c r="B212" s="21" t="s">
        <v>27</v>
      </c>
      <c r="C212" s="7"/>
      <c r="D212" s="919" t="s">
        <v>385</v>
      </c>
      <c r="E212" s="893"/>
      <c r="F212" s="893"/>
      <c r="G212" s="1"/>
      <c r="H212" s="1"/>
      <c r="I212" s="10"/>
      <c r="J212" s="1"/>
      <c r="K212" s="1"/>
      <c r="L212" s="1"/>
      <c r="M212" s="1"/>
      <c r="N212" s="1"/>
      <c r="O212" s="1"/>
      <c r="P212" s="1"/>
      <c r="Q212" s="1"/>
      <c r="R212" s="1"/>
      <c r="S212" s="1"/>
      <c r="T212" s="1"/>
      <c r="U212" s="1"/>
      <c r="V212" s="1"/>
      <c r="W212" s="1"/>
      <c r="X212" s="1"/>
      <c r="Y212" s="1"/>
      <c r="Z212" s="1"/>
    </row>
    <row r="213" spans="1:26" ht="12.75" customHeight="1">
      <c r="A213" s="8"/>
      <c r="B213" s="8"/>
      <c r="C213" s="7"/>
      <c r="D213" s="915" t="s">
        <v>379</v>
      </c>
      <c r="E213" s="893"/>
      <c r="F213" s="893"/>
      <c r="G213" s="1"/>
      <c r="H213" s="1"/>
      <c r="I213" s="10"/>
      <c r="J213" s="1"/>
      <c r="K213" s="1"/>
      <c r="L213" s="1"/>
      <c r="M213" s="1"/>
      <c r="N213" s="1"/>
      <c r="O213" s="1"/>
      <c r="P213" s="1"/>
      <c r="Q213" s="1"/>
      <c r="R213" s="1"/>
      <c r="S213" s="1"/>
      <c r="T213" s="1"/>
      <c r="U213" s="1"/>
      <c r="V213" s="1"/>
      <c r="W213" s="1"/>
      <c r="X213" s="1"/>
      <c r="Y213" s="1"/>
      <c r="Z213" s="1"/>
    </row>
    <row r="214" spans="1:26" ht="12.75" customHeight="1">
      <c r="A214" s="8"/>
      <c r="B214" s="8"/>
      <c r="C214" s="7"/>
      <c r="D214" s="62" t="s">
        <v>387</v>
      </c>
      <c r="E214" s="937" t="s">
        <v>388</v>
      </c>
      <c r="F214" s="893"/>
      <c r="G214" s="1"/>
      <c r="H214" s="1"/>
      <c r="I214" s="10"/>
      <c r="J214" s="1"/>
      <c r="K214" s="1"/>
      <c r="L214" s="1"/>
      <c r="M214" s="1"/>
      <c r="N214" s="1"/>
      <c r="O214" s="1"/>
      <c r="P214" s="1"/>
      <c r="Q214" s="1"/>
      <c r="R214" s="1"/>
      <c r="S214" s="1"/>
      <c r="T214" s="1"/>
      <c r="U214" s="1"/>
      <c r="V214" s="1"/>
      <c r="W214" s="1"/>
      <c r="X214" s="1"/>
      <c r="Y214" s="1"/>
      <c r="Z214" s="1"/>
    </row>
    <row r="215" spans="1:26" ht="12.75" customHeight="1">
      <c r="A215" s="8"/>
      <c r="B215" s="8"/>
      <c r="C215" s="7"/>
      <c r="D215" s="1"/>
      <c r="E215" s="1"/>
      <c r="F215" s="1"/>
      <c r="G215" s="1"/>
      <c r="H215" s="1"/>
      <c r="I215" s="10"/>
      <c r="J215" s="1"/>
      <c r="K215" s="1"/>
      <c r="L215" s="1"/>
      <c r="M215" s="1"/>
      <c r="N215" s="1"/>
      <c r="O215" s="1"/>
      <c r="P215" s="1"/>
      <c r="Q215" s="1"/>
      <c r="R215" s="1"/>
      <c r="S215" s="1"/>
      <c r="T215" s="1"/>
      <c r="U215" s="1"/>
      <c r="V215" s="1"/>
      <c r="W215" s="1"/>
      <c r="X215" s="1"/>
      <c r="Y215" s="1"/>
      <c r="Z215" s="1"/>
    </row>
    <row r="216" spans="1:26" ht="12.75" customHeight="1">
      <c r="A216" s="8"/>
      <c r="B216" s="21" t="s">
        <v>27</v>
      </c>
      <c r="C216" s="7"/>
      <c r="D216" s="919" t="s">
        <v>389</v>
      </c>
      <c r="E216" s="893"/>
      <c r="F216" s="893"/>
      <c r="G216" s="1"/>
      <c r="H216" s="1"/>
      <c r="I216" s="10"/>
      <c r="J216" s="1"/>
      <c r="K216" s="1"/>
      <c r="L216" s="1"/>
      <c r="M216" s="1"/>
      <c r="N216" s="1"/>
      <c r="O216" s="1"/>
      <c r="P216" s="1"/>
      <c r="Q216" s="1"/>
      <c r="R216" s="1"/>
      <c r="S216" s="1"/>
      <c r="T216" s="1"/>
      <c r="U216" s="1"/>
      <c r="V216" s="1"/>
      <c r="W216" s="1"/>
      <c r="X216" s="1"/>
      <c r="Y216" s="1"/>
      <c r="Z216" s="1"/>
    </row>
    <row r="217" spans="1:26" ht="12.75" customHeight="1">
      <c r="A217" s="8"/>
      <c r="B217" s="8"/>
      <c r="C217" s="7"/>
      <c r="D217" s="915" t="s">
        <v>379</v>
      </c>
      <c r="E217" s="893"/>
      <c r="F217" s="893"/>
      <c r="G217" s="1"/>
      <c r="H217" s="1"/>
      <c r="I217" s="10"/>
      <c r="J217" s="1"/>
      <c r="K217" s="1"/>
      <c r="L217" s="1"/>
      <c r="M217" s="1"/>
      <c r="N217" s="1"/>
      <c r="O217" s="1"/>
      <c r="P217" s="1"/>
      <c r="Q217" s="1"/>
      <c r="R217" s="1"/>
      <c r="S217" s="1"/>
      <c r="T217" s="1"/>
      <c r="U217" s="1"/>
      <c r="V217" s="1"/>
      <c r="W217" s="1"/>
      <c r="X217" s="1"/>
      <c r="Y217" s="1"/>
      <c r="Z217" s="1"/>
    </row>
    <row r="218" spans="1:26" ht="12.75" customHeight="1">
      <c r="A218" s="8"/>
      <c r="B218" s="8"/>
      <c r="C218" s="7"/>
      <c r="D218" s="62" t="s">
        <v>380</v>
      </c>
      <c r="E218" s="937" t="s">
        <v>390</v>
      </c>
      <c r="F218" s="893"/>
      <c r="G218" s="1"/>
      <c r="H218" s="1"/>
      <c r="I218" s="10"/>
      <c r="J218" s="1"/>
      <c r="K218" s="1"/>
      <c r="L218" s="1"/>
      <c r="M218" s="1"/>
      <c r="N218" s="1"/>
      <c r="O218" s="1"/>
      <c r="P218" s="1"/>
      <c r="Q218" s="1"/>
      <c r="R218" s="1"/>
      <c r="S218" s="1"/>
      <c r="T218" s="1"/>
      <c r="U218" s="1"/>
      <c r="V218" s="1"/>
      <c r="W218" s="1"/>
      <c r="X218" s="1"/>
      <c r="Y218" s="1"/>
      <c r="Z218" s="1"/>
    </row>
    <row r="219" spans="1:26" ht="12.75" customHeight="1">
      <c r="A219" s="20"/>
      <c r="B219" s="20"/>
      <c r="C219" s="7"/>
      <c r="D219" s="895" t="s">
        <v>391</v>
      </c>
      <c r="E219" s="893"/>
      <c r="F219" s="893"/>
      <c r="G219" s="1"/>
      <c r="H219" s="1"/>
      <c r="I219" s="8"/>
      <c r="J219" s="1"/>
      <c r="K219" s="1"/>
      <c r="L219" s="1"/>
      <c r="M219" s="1"/>
      <c r="N219" s="1"/>
      <c r="O219" s="1"/>
      <c r="P219" s="1"/>
      <c r="Q219" s="1"/>
      <c r="R219" s="1"/>
      <c r="S219" s="1"/>
      <c r="T219" s="1"/>
      <c r="U219" s="1"/>
      <c r="V219" s="1"/>
      <c r="W219" s="1"/>
      <c r="X219" s="1"/>
      <c r="Y219" s="1"/>
      <c r="Z219" s="1"/>
    </row>
    <row r="220" spans="1:26" ht="12.75" customHeight="1">
      <c r="A220" s="7"/>
      <c r="B220" s="7"/>
      <c r="C220" s="7"/>
      <c r="D220" s="893"/>
      <c r="E220" s="893"/>
      <c r="F220" s="893"/>
      <c r="G220" s="1"/>
      <c r="H220" s="1"/>
      <c r="I220" s="8"/>
      <c r="J220" s="1"/>
      <c r="K220" s="1"/>
      <c r="L220" s="1"/>
      <c r="M220" s="1"/>
      <c r="N220" s="1"/>
      <c r="O220" s="1"/>
      <c r="P220" s="1"/>
      <c r="Q220" s="1"/>
      <c r="R220" s="1"/>
      <c r="S220" s="1"/>
      <c r="T220" s="1"/>
      <c r="U220" s="1"/>
      <c r="V220" s="1"/>
      <c r="W220" s="1"/>
      <c r="X220" s="1"/>
      <c r="Y220" s="1"/>
      <c r="Z220" s="1"/>
    </row>
    <row r="221" spans="1:26" ht="12.75" customHeight="1">
      <c r="A221" s="7"/>
      <c r="B221" s="7"/>
      <c r="C221" s="7"/>
      <c r="D221" s="893"/>
      <c r="E221" s="893"/>
      <c r="F221" s="893"/>
      <c r="G221" s="1"/>
      <c r="H221" s="1"/>
      <c r="I221" s="8"/>
      <c r="J221" s="1"/>
      <c r="K221" s="1"/>
      <c r="L221" s="1"/>
      <c r="M221" s="1"/>
      <c r="N221" s="1"/>
      <c r="O221" s="1"/>
      <c r="P221" s="1"/>
      <c r="Q221" s="1"/>
      <c r="R221" s="1"/>
      <c r="S221" s="1"/>
      <c r="T221" s="1"/>
      <c r="U221" s="1"/>
      <c r="V221" s="1"/>
      <c r="W221" s="1"/>
      <c r="X221" s="1"/>
      <c r="Y221" s="1"/>
      <c r="Z221" s="1"/>
    </row>
    <row r="222" spans="1:26" ht="12.75" customHeight="1">
      <c r="A222" s="7"/>
      <c r="B222" s="7"/>
      <c r="C222" s="7"/>
      <c r="D222" s="893"/>
      <c r="E222" s="893"/>
      <c r="F222" s="893"/>
      <c r="G222" s="1"/>
      <c r="H222" s="1"/>
      <c r="I222" s="8"/>
      <c r="J222" s="1"/>
      <c r="K222" s="1"/>
      <c r="L222" s="1"/>
      <c r="M222" s="1"/>
      <c r="N222" s="1"/>
      <c r="O222" s="1"/>
      <c r="P222" s="1"/>
      <c r="Q222" s="1"/>
      <c r="R222" s="1"/>
      <c r="S222" s="1"/>
      <c r="T222" s="1"/>
      <c r="U222" s="1"/>
      <c r="V222" s="1"/>
      <c r="W222" s="1"/>
      <c r="X222" s="1"/>
      <c r="Y222" s="1"/>
      <c r="Z222" s="1"/>
    </row>
    <row r="223" spans="1:26" ht="12.75" customHeight="1">
      <c r="A223" s="7"/>
      <c r="B223" s="7"/>
      <c r="C223" s="7"/>
      <c r="D223" s="893"/>
      <c r="E223" s="893"/>
      <c r="F223" s="893"/>
      <c r="G223" s="1"/>
      <c r="H223" s="1"/>
      <c r="I223" s="8"/>
      <c r="J223" s="1"/>
      <c r="K223" s="1"/>
      <c r="L223" s="1"/>
      <c r="M223" s="1"/>
      <c r="N223" s="1"/>
      <c r="O223" s="1"/>
      <c r="P223" s="1"/>
      <c r="Q223" s="1"/>
      <c r="R223" s="1"/>
      <c r="S223" s="1"/>
      <c r="T223" s="1"/>
      <c r="U223" s="1"/>
      <c r="V223" s="1"/>
      <c r="W223" s="1"/>
      <c r="X223" s="1"/>
      <c r="Y223" s="1"/>
      <c r="Z223" s="1"/>
    </row>
    <row r="224" spans="1:26" ht="12.75" customHeight="1">
      <c r="A224" s="8"/>
      <c r="B224" s="8"/>
      <c r="C224" s="7"/>
      <c r="D224" s="14"/>
      <c r="E224" s="14"/>
      <c r="F224" s="14"/>
      <c r="G224" s="1"/>
      <c r="H224" s="1"/>
      <c r="I224" s="10"/>
      <c r="J224" s="1"/>
      <c r="K224" s="1"/>
      <c r="L224" s="1"/>
      <c r="M224" s="1"/>
      <c r="N224" s="1"/>
      <c r="O224" s="1"/>
      <c r="P224" s="1"/>
      <c r="Q224" s="1"/>
      <c r="R224" s="1"/>
      <c r="S224" s="1"/>
      <c r="T224" s="1"/>
      <c r="U224" s="1"/>
      <c r="V224" s="1"/>
      <c r="W224" s="1"/>
      <c r="X224" s="1"/>
      <c r="Y224" s="1"/>
      <c r="Z224" s="1"/>
    </row>
    <row r="225" spans="1:26" ht="14.25" customHeight="1">
      <c r="A225" s="20"/>
      <c r="B225" s="21" t="s">
        <v>27</v>
      </c>
      <c r="C225" s="7"/>
      <c r="D225" s="41" t="s">
        <v>394</v>
      </c>
      <c r="E225" s="4"/>
      <c r="F225" s="4"/>
      <c r="G225" s="1"/>
      <c r="H225" s="1"/>
      <c r="I225" s="10"/>
      <c r="J225" s="1"/>
      <c r="K225" s="1"/>
      <c r="L225" s="1"/>
      <c r="M225" s="1"/>
      <c r="N225" s="1"/>
      <c r="O225" s="1"/>
      <c r="P225" s="1"/>
      <c r="Q225" s="1"/>
      <c r="R225" s="1"/>
      <c r="S225" s="1"/>
      <c r="T225" s="1"/>
      <c r="U225" s="1"/>
      <c r="V225" s="1"/>
      <c r="W225" s="1"/>
      <c r="X225" s="1"/>
      <c r="Y225" s="1"/>
      <c r="Z225" s="1"/>
    </row>
    <row r="226" spans="1:26" ht="12.75" customHeight="1">
      <c r="A226" s="20"/>
      <c r="B226" s="20"/>
      <c r="C226" s="7"/>
      <c r="D226" s="915" t="s">
        <v>379</v>
      </c>
      <c r="E226" s="893"/>
      <c r="F226" s="893"/>
      <c r="G226" s="1"/>
      <c r="H226" s="1"/>
      <c r="I226" s="10"/>
      <c r="J226" s="1"/>
      <c r="K226" s="1"/>
      <c r="L226" s="1"/>
      <c r="M226" s="1"/>
      <c r="N226" s="1"/>
      <c r="O226" s="1"/>
      <c r="P226" s="1"/>
      <c r="Q226" s="1"/>
      <c r="R226" s="1"/>
      <c r="S226" s="1"/>
      <c r="T226" s="1"/>
      <c r="U226" s="1"/>
      <c r="V226" s="1"/>
      <c r="W226" s="1"/>
      <c r="X226" s="1"/>
      <c r="Y226" s="1"/>
      <c r="Z226" s="1"/>
    </row>
    <row r="227" spans="1:26" ht="12.75" customHeight="1">
      <c r="A227" s="7"/>
      <c r="B227" s="7"/>
      <c r="C227" s="7"/>
      <c r="D227" s="4"/>
      <c r="E227" s="937" t="s">
        <v>396</v>
      </c>
      <c r="F227" s="893"/>
      <c r="G227" s="1"/>
      <c r="H227" s="1"/>
      <c r="I227" s="10"/>
      <c r="J227" s="1"/>
      <c r="K227" s="1"/>
      <c r="L227" s="1"/>
      <c r="M227" s="1"/>
      <c r="N227" s="1"/>
      <c r="O227" s="1"/>
      <c r="P227" s="1"/>
      <c r="Q227" s="1"/>
      <c r="R227" s="1"/>
      <c r="S227" s="1"/>
      <c r="T227" s="1"/>
      <c r="U227" s="1"/>
      <c r="V227" s="1"/>
      <c r="W227" s="1"/>
      <c r="X227" s="1"/>
      <c r="Y227" s="1"/>
      <c r="Z227" s="1"/>
    </row>
    <row r="228" spans="1:26" ht="12.75" customHeight="1">
      <c r="A228" s="7"/>
      <c r="B228" s="7"/>
      <c r="C228" s="7"/>
      <c r="D228" s="17"/>
      <c r="E228" s="1"/>
      <c r="F228" s="1"/>
      <c r="G228" s="1"/>
      <c r="H228" s="1"/>
      <c r="I228" s="10"/>
      <c r="J228" s="1"/>
      <c r="K228" s="1"/>
      <c r="L228" s="1"/>
      <c r="M228" s="1"/>
      <c r="N228" s="1"/>
      <c r="O228" s="1"/>
      <c r="P228" s="1"/>
      <c r="Q228" s="1"/>
      <c r="R228" s="1"/>
      <c r="S228" s="1"/>
      <c r="T228" s="1"/>
      <c r="U228" s="1"/>
      <c r="V228" s="1"/>
      <c r="W228" s="1"/>
      <c r="X228" s="1"/>
      <c r="Y228" s="1"/>
      <c r="Z228" s="1"/>
    </row>
    <row r="229" spans="1:26" ht="12.75" customHeight="1">
      <c r="A229" s="7"/>
      <c r="B229" s="21" t="s">
        <v>27</v>
      </c>
      <c r="C229" s="7"/>
      <c r="D229" s="919" t="s">
        <v>397</v>
      </c>
      <c r="E229" s="893"/>
      <c r="F229" s="893"/>
      <c r="G229" s="1"/>
      <c r="H229" s="1"/>
      <c r="I229" s="10"/>
      <c r="J229" s="1"/>
      <c r="K229" s="1"/>
      <c r="L229" s="1"/>
      <c r="M229" s="1"/>
      <c r="N229" s="1"/>
      <c r="O229" s="1"/>
      <c r="P229" s="1"/>
      <c r="Q229" s="1"/>
      <c r="R229" s="1"/>
      <c r="S229" s="1"/>
      <c r="T229" s="1"/>
      <c r="U229" s="1"/>
      <c r="V229" s="1"/>
      <c r="W229" s="1"/>
      <c r="X229" s="1"/>
      <c r="Y229" s="1"/>
      <c r="Z229" s="1"/>
    </row>
    <row r="230" spans="1:26" ht="12.75" customHeight="1">
      <c r="A230" s="7"/>
      <c r="B230" s="7"/>
      <c r="C230" s="7"/>
      <c r="D230" s="915" t="s">
        <v>379</v>
      </c>
      <c r="E230" s="893"/>
      <c r="F230" s="893"/>
      <c r="G230" s="1"/>
      <c r="H230" s="1"/>
      <c r="I230" s="10"/>
      <c r="J230" s="1"/>
      <c r="K230" s="1"/>
      <c r="L230" s="1"/>
      <c r="M230" s="1"/>
      <c r="N230" s="1"/>
      <c r="O230" s="1"/>
      <c r="P230" s="1"/>
      <c r="Q230" s="1"/>
      <c r="R230" s="1"/>
      <c r="S230" s="1"/>
      <c r="T230" s="1"/>
      <c r="U230" s="1"/>
      <c r="V230" s="1"/>
      <c r="W230" s="1"/>
      <c r="X230" s="1"/>
      <c r="Y230" s="1"/>
      <c r="Z230" s="1"/>
    </row>
    <row r="231" spans="1:26" ht="12.75" customHeight="1">
      <c r="A231" s="7"/>
      <c r="B231" s="7"/>
      <c r="C231" s="7"/>
      <c r="D231" s="62" t="s">
        <v>380</v>
      </c>
      <c r="E231" s="937" t="s">
        <v>399</v>
      </c>
      <c r="F231" s="893"/>
      <c r="G231" s="1"/>
      <c r="H231" s="1"/>
      <c r="I231" s="10"/>
      <c r="J231" s="1"/>
      <c r="K231" s="1"/>
      <c r="L231" s="1"/>
      <c r="M231" s="1"/>
      <c r="N231" s="1"/>
      <c r="O231" s="1"/>
      <c r="P231" s="1"/>
      <c r="Q231" s="1"/>
      <c r="R231" s="1"/>
      <c r="S231" s="1"/>
      <c r="T231" s="1"/>
      <c r="U231" s="1"/>
      <c r="V231" s="1"/>
      <c r="W231" s="1"/>
      <c r="X231" s="1"/>
      <c r="Y231" s="1"/>
      <c r="Z231" s="1"/>
    </row>
    <row r="232" spans="1:26" ht="12.75" customHeight="1">
      <c r="A232" s="7"/>
      <c r="B232" s="7"/>
      <c r="C232" s="7"/>
      <c r="D232" s="11"/>
      <c r="E232" s="11"/>
      <c r="F232" s="11"/>
      <c r="G232" s="1"/>
      <c r="H232" s="1"/>
      <c r="I232" s="10"/>
      <c r="J232" s="1"/>
      <c r="K232" s="1"/>
      <c r="L232" s="1"/>
      <c r="M232" s="1"/>
      <c r="N232" s="1"/>
      <c r="O232" s="1"/>
      <c r="P232" s="1"/>
      <c r="Q232" s="1"/>
      <c r="R232" s="1"/>
      <c r="S232" s="1"/>
      <c r="T232" s="1"/>
      <c r="U232" s="1"/>
      <c r="V232" s="1"/>
      <c r="W232" s="1"/>
      <c r="X232" s="1"/>
      <c r="Y232" s="1"/>
      <c r="Z232" s="1"/>
    </row>
    <row r="233" spans="1:26" ht="12.75" customHeight="1">
      <c r="A233" s="20"/>
      <c r="B233" s="21" t="s">
        <v>27</v>
      </c>
      <c r="C233" s="7"/>
      <c r="D233" s="895" t="s">
        <v>400</v>
      </c>
      <c r="E233" s="893"/>
      <c r="F233" s="893"/>
      <c r="G233" s="1"/>
      <c r="H233" s="1"/>
      <c r="I233" s="10"/>
      <c r="J233" s="1"/>
      <c r="K233" s="1"/>
      <c r="L233" s="1"/>
      <c r="M233" s="1"/>
      <c r="N233" s="1"/>
      <c r="O233" s="1"/>
      <c r="P233" s="1"/>
      <c r="Q233" s="1"/>
      <c r="R233" s="1"/>
      <c r="S233" s="1"/>
      <c r="T233" s="1"/>
      <c r="U233" s="1"/>
      <c r="V233" s="1"/>
      <c r="W233" s="1"/>
      <c r="X233" s="1"/>
      <c r="Y233" s="1"/>
      <c r="Z233" s="1"/>
    </row>
    <row r="234" spans="1:26" ht="14.25" customHeight="1">
      <c r="A234" s="20"/>
      <c r="B234" s="1"/>
      <c r="C234" s="7"/>
      <c r="D234" s="893"/>
      <c r="E234" s="893"/>
      <c r="F234" s="893"/>
      <c r="G234" s="1"/>
      <c r="H234" s="1"/>
      <c r="I234" s="10"/>
      <c r="J234" s="1"/>
      <c r="K234" s="1"/>
      <c r="L234" s="1"/>
      <c r="M234" s="1"/>
      <c r="N234" s="1"/>
      <c r="O234" s="1"/>
      <c r="P234" s="1"/>
      <c r="Q234" s="1"/>
      <c r="R234" s="1"/>
      <c r="S234" s="1"/>
      <c r="T234" s="1"/>
      <c r="U234" s="1"/>
      <c r="V234" s="1"/>
      <c r="W234" s="1"/>
      <c r="X234" s="1"/>
      <c r="Y234" s="1"/>
      <c r="Z234" s="1"/>
    </row>
    <row r="235" spans="1:26" ht="12.75" customHeight="1">
      <c r="A235" s="20"/>
      <c r="B235" s="7"/>
      <c r="C235" s="7"/>
      <c r="D235" s="893"/>
      <c r="E235" s="893"/>
      <c r="F235" s="893"/>
      <c r="G235" s="1"/>
      <c r="H235" s="1"/>
      <c r="I235" s="10"/>
      <c r="J235" s="1"/>
      <c r="K235" s="1"/>
      <c r="L235" s="1"/>
      <c r="M235" s="1"/>
      <c r="N235" s="1"/>
      <c r="O235" s="1"/>
      <c r="P235" s="1"/>
      <c r="Q235" s="1"/>
      <c r="R235" s="1"/>
      <c r="S235" s="1"/>
      <c r="T235" s="1"/>
      <c r="U235" s="1"/>
      <c r="V235" s="1"/>
      <c r="W235" s="1"/>
      <c r="X235" s="1"/>
      <c r="Y235" s="1"/>
      <c r="Z235" s="1"/>
    </row>
    <row r="236" spans="1:26" ht="12.75" customHeight="1">
      <c r="A236" s="20"/>
      <c r="B236" s="7"/>
      <c r="C236" s="7"/>
      <c r="D236" s="893"/>
      <c r="E236" s="893"/>
      <c r="F236" s="893"/>
      <c r="G236" s="1"/>
      <c r="H236" s="1"/>
      <c r="I236" s="10"/>
      <c r="J236" s="1"/>
      <c r="K236" s="1"/>
      <c r="L236" s="1"/>
      <c r="M236" s="1"/>
      <c r="N236" s="1"/>
      <c r="O236" s="1"/>
      <c r="P236" s="1"/>
      <c r="Q236" s="1"/>
      <c r="R236" s="1"/>
      <c r="S236" s="1"/>
      <c r="T236" s="1"/>
      <c r="U236" s="1"/>
      <c r="V236" s="1"/>
      <c r="W236" s="1"/>
      <c r="X236" s="1"/>
      <c r="Y236" s="1"/>
      <c r="Z236" s="1"/>
    </row>
    <row r="237" spans="1:26" ht="12.75" customHeight="1">
      <c r="A237" s="7"/>
      <c r="B237" s="7"/>
      <c r="C237" s="7"/>
      <c r="D237" s="11"/>
      <c r="E237" s="11"/>
      <c r="F237" s="11"/>
      <c r="G237" s="1"/>
      <c r="H237" s="1"/>
      <c r="I237" s="10"/>
      <c r="J237" s="1"/>
      <c r="K237" s="1"/>
      <c r="L237" s="1"/>
      <c r="M237" s="1"/>
      <c r="N237" s="1"/>
      <c r="O237" s="1"/>
      <c r="P237" s="1"/>
      <c r="Q237" s="1"/>
      <c r="R237" s="1"/>
      <c r="S237" s="1"/>
      <c r="T237" s="1"/>
      <c r="U237" s="1"/>
      <c r="V237" s="1"/>
      <c r="W237" s="1"/>
      <c r="X237" s="1"/>
      <c r="Y237" s="1"/>
      <c r="Z237" s="1"/>
    </row>
    <row r="238" spans="1:26" ht="12.75" customHeight="1">
      <c r="A238" s="20"/>
      <c r="B238" s="21" t="s">
        <v>27</v>
      </c>
      <c r="C238" s="7"/>
      <c r="D238" s="919" t="s">
        <v>404</v>
      </c>
      <c r="E238" s="893"/>
      <c r="F238" s="893"/>
      <c r="G238" s="1"/>
      <c r="H238" s="1"/>
      <c r="I238" s="8"/>
      <c r="J238" s="1"/>
      <c r="K238" s="1"/>
      <c r="L238" s="1"/>
      <c r="M238" s="1"/>
      <c r="N238" s="1"/>
      <c r="O238" s="1"/>
      <c r="P238" s="1"/>
      <c r="Q238" s="1"/>
      <c r="R238" s="1"/>
      <c r="S238" s="1"/>
      <c r="T238" s="1"/>
      <c r="U238" s="1"/>
      <c r="V238" s="1"/>
      <c r="W238" s="1"/>
      <c r="X238" s="1"/>
      <c r="Y238" s="1"/>
      <c r="Z238" s="1"/>
    </row>
    <row r="239" spans="1:26" ht="12.75" customHeight="1">
      <c r="A239" s="20"/>
      <c r="B239" s="7"/>
      <c r="C239" s="7"/>
      <c r="D239" s="14"/>
      <c r="E239" s="14"/>
      <c r="F239" s="14"/>
      <c r="G239" s="1"/>
      <c r="H239" s="1"/>
      <c r="I239" s="8"/>
      <c r="J239" s="1"/>
      <c r="K239" s="1"/>
      <c r="L239" s="1"/>
      <c r="M239" s="1"/>
      <c r="N239" s="1"/>
      <c r="O239" s="1"/>
      <c r="P239" s="1"/>
      <c r="Q239" s="1"/>
      <c r="R239" s="1"/>
      <c r="S239" s="1"/>
      <c r="T239" s="1"/>
      <c r="U239" s="1"/>
      <c r="V239" s="1"/>
      <c r="W239" s="1"/>
      <c r="X239" s="1"/>
      <c r="Y239" s="1"/>
      <c r="Z239" s="1"/>
    </row>
    <row r="240" spans="1:26" ht="12.75" customHeight="1">
      <c r="A240" s="920" t="s">
        <v>405</v>
      </c>
      <c r="B240" s="921"/>
      <c r="C240" s="921"/>
      <c r="D240" s="921"/>
      <c r="E240" s="921"/>
      <c r="F240" s="921"/>
      <c r="G240" s="921"/>
      <c r="H240" s="5"/>
      <c r="I240" s="39"/>
      <c r="J240" s="1"/>
      <c r="K240" s="1"/>
      <c r="L240" s="1"/>
      <c r="M240" s="1"/>
      <c r="N240" s="1"/>
      <c r="O240" s="1"/>
      <c r="P240" s="1"/>
      <c r="Q240" s="1"/>
      <c r="R240" s="1"/>
      <c r="S240" s="1"/>
      <c r="T240" s="1"/>
      <c r="U240" s="1"/>
      <c r="V240" s="1"/>
      <c r="W240" s="1"/>
      <c r="X240" s="1"/>
      <c r="Y240" s="1"/>
      <c r="Z240" s="1"/>
    </row>
    <row r="241" spans="1:26" ht="12" customHeight="1">
      <c r="A241" s="7"/>
      <c r="B241" s="7"/>
      <c r="C241" s="7"/>
      <c r="D241" s="17"/>
      <c r="E241" s="17"/>
      <c r="F241" s="17"/>
      <c r="G241" s="1"/>
      <c r="H241" s="1"/>
      <c r="I241" s="10"/>
      <c r="J241" s="1"/>
      <c r="K241" s="1"/>
      <c r="L241" s="1"/>
      <c r="M241" s="1"/>
      <c r="N241" s="1"/>
      <c r="O241" s="1"/>
      <c r="P241" s="1"/>
      <c r="Q241" s="1"/>
      <c r="R241" s="1"/>
      <c r="S241" s="1"/>
      <c r="T241" s="1"/>
      <c r="U241" s="1"/>
      <c r="V241" s="1"/>
      <c r="W241" s="1"/>
      <c r="X241" s="1"/>
      <c r="Y241" s="1"/>
      <c r="Z241" s="1"/>
    </row>
    <row r="242" spans="1:26" ht="12.75" customHeight="1">
      <c r="A242" s="7"/>
      <c r="B242" s="7"/>
      <c r="C242" s="40"/>
      <c r="D242" s="914" t="s">
        <v>407</v>
      </c>
      <c r="E242" s="893"/>
      <c r="F242" s="893"/>
      <c r="G242" s="1"/>
      <c r="H242" s="1"/>
      <c r="I242" s="10"/>
      <c r="J242" s="1"/>
      <c r="K242" s="1"/>
      <c r="L242" s="1"/>
      <c r="M242" s="1"/>
      <c r="N242" s="1"/>
      <c r="O242" s="1"/>
      <c r="P242" s="1"/>
      <c r="Q242" s="1"/>
      <c r="R242" s="1"/>
      <c r="S242" s="1"/>
      <c r="T242" s="1"/>
      <c r="U242" s="1"/>
      <c r="V242" s="1"/>
      <c r="W242" s="1"/>
      <c r="X242" s="1"/>
      <c r="Y242" s="1"/>
      <c r="Z242" s="1"/>
    </row>
    <row r="243" spans="1:26" ht="12.75" customHeight="1">
      <c r="A243" s="9"/>
      <c r="B243" s="9"/>
      <c r="C243" s="9"/>
      <c r="D243" s="915" t="s">
        <v>408</v>
      </c>
      <c r="E243" s="893"/>
      <c r="F243" s="893"/>
      <c r="G243" s="1"/>
      <c r="H243" s="1"/>
      <c r="I243" s="10"/>
      <c r="J243" s="1"/>
      <c r="K243" s="1"/>
      <c r="L243" s="1"/>
      <c r="M243" s="1"/>
      <c r="N243" s="1"/>
      <c r="O243" s="1"/>
      <c r="P243" s="1"/>
      <c r="Q243" s="1"/>
      <c r="R243" s="1"/>
      <c r="S243" s="1"/>
      <c r="T243" s="1"/>
      <c r="U243" s="1"/>
      <c r="V243" s="1"/>
      <c r="W243" s="1"/>
      <c r="X243" s="1"/>
      <c r="Y243" s="1"/>
      <c r="Z243" s="1"/>
    </row>
    <row r="244" spans="1:26" ht="12" customHeight="1">
      <c r="A244" s="10"/>
      <c r="B244" s="10"/>
      <c r="C244" s="10"/>
      <c r="D244" s="1"/>
      <c r="E244" s="1"/>
      <c r="F244" s="1"/>
      <c r="G244" s="1"/>
      <c r="H244" s="1"/>
      <c r="I244" s="10"/>
      <c r="J244" s="1"/>
      <c r="K244" s="1"/>
      <c r="L244" s="1"/>
      <c r="M244" s="1"/>
      <c r="N244" s="1"/>
      <c r="O244" s="1"/>
      <c r="P244" s="1"/>
      <c r="Q244" s="1"/>
      <c r="R244" s="1"/>
      <c r="S244" s="1"/>
      <c r="T244" s="1"/>
      <c r="U244" s="1"/>
      <c r="V244" s="1"/>
      <c r="W244" s="1"/>
      <c r="X244" s="1"/>
      <c r="Y244" s="1"/>
      <c r="Z244" s="1"/>
    </row>
    <row r="245" spans="1:26" ht="13.5" customHeight="1">
      <c r="A245" s="10"/>
      <c r="B245" s="7"/>
      <c r="C245" s="10"/>
      <c r="D245" s="914" t="s">
        <v>409</v>
      </c>
      <c r="E245" s="893"/>
      <c r="F245" s="893"/>
      <c r="G245" s="1"/>
      <c r="H245" s="1"/>
      <c r="I245" s="10"/>
      <c r="J245" s="1"/>
      <c r="K245" s="1"/>
      <c r="L245" s="1"/>
      <c r="M245" s="1"/>
      <c r="N245" s="1"/>
      <c r="O245" s="1"/>
      <c r="P245" s="1"/>
      <c r="Q245" s="1"/>
      <c r="R245" s="1"/>
      <c r="S245" s="1"/>
      <c r="T245" s="1"/>
      <c r="U245" s="1"/>
      <c r="V245" s="1"/>
      <c r="W245" s="1"/>
      <c r="X245" s="1"/>
      <c r="Y245" s="1"/>
      <c r="Z245" s="1"/>
    </row>
    <row r="246" spans="1:26" ht="12.75" customHeight="1">
      <c r="A246" s="20"/>
      <c r="B246" s="21" t="s">
        <v>27</v>
      </c>
      <c r="C246" s="7"/>
      <c r="D246" s="895" t="s">
        <v>410</v>
      </c>
      <c r="E246" s="893"/>
      <c r="F246" s="893"/>
      <c r="G246" s="1"/>
      <c r="H246" s="1"/>
      <c r="I246" s="10"/>
      <c r="J246" s="1"/>
      <c r="K246" s="1"/>
      <c r="L246" s="1"/>
      <c r="M246" s="1"/>
      <c r="N246" s="1"/>
      <c r="O246" s="1"/>
      <c r="P246" s="1"/>
      <c r="Q246" s="1"/>
      <c r="R246" s="1"/>
      <c r="S246" s="1"/>
      <c r="T246" s="1"/>
      <c r="U246" s="1"/>
      <c r="V246" s="1"/>
      <c r="W246" s="1"/>
      <c r="X246" s="1"/>
      <c r="Y246" s="1"/>
      <c r="Z246" s="1"/>
    </row>
    <row r="247" spans="1:26" ht="14.25" customHeight="1">
      <c r="A247" s="20"/>
      <c r="B247" s="20"/>
      <c r="C247" s="7"/>
      <c r="D247" s="893"/>
      <c r="E247" s="893"/>
      <c r="F247" s="893"/>
      <c r="G247" s="1"/>
      <c r="H247" s="1"/>
      <c r="I247" s="10"/>
      <c r="J247" s="1"/>
      <c r="K247" s="1"/>
      <c r="L247" s="1"/>
      <c r="M247" s="1"/>
      <c r="N247" s="1"/>
      <c r="O247" s="1"/>
      <c r="P247" s="1"/>
      <c r="Q247" s="1"/>
      <c r="R247" s="1"/>
      <c r="S247" s="1"/>
      <c r="T247" s="1"/>
      <c r="U247" s="1"/>
      <c r="V247" s="1"/>
      <c r="W247" s="1"/>
      <c r="X247" s="1"/>
      <c r="Y247" s="1"/>
      <c r="Z247" s="1"/>
    </row>
    <row r="248" spans="1:26" ht="14.25" customHeight="1">
      <c r="A248" s="20"/>
      <c r="B248" s="20"/>
      <c r="C248" s="7"/>
      <c r="D248" s="893"/>
      <c r="E248" s="893"/>
      <c r="F248" s="893"/>
      <c r="G248" s="1"/>
      <c r="H248" s="1"/>
      <c r="I248" s="10"/>
      <c r="J248" s="1"/>
      <c r="K248" s="1"/>
      <c r="L248" s="1"/>
      <c r="M248" s="1"/>
      <c r="N248" s="1"/>
      <c r="O248" s="1"/>
      <c r="P248" s="1"/>
      <c r="Q248" s="1"/>
      <c r="R248" s="1"/>
      <c r="S248" s="1"/>
      <c r="T248" s="1"/>
      <c r="U248" s="1"/>
      <c r="V248" s="1"/>
      <c r="W248" s="1"/>
      <c r="X248" s="1"/>
      <c r="Y248" s="1"/>
      <c r="Z248" s="1"/>
    </row>
    <row r="249" spans="1:26" ht="12.75" customHeight="1">
      <c r="A249" s="20"/>
      <c r="B249" s="20"/>
      <c r="C249" s="7"/>
      <c r="D249" s="893"/>
      <c r="E249" s="893"/>
      <c r="F249" s="893"/>
      <c r="G249" s="1"/>
      <c r="H249" s="1"/>
      <c r="I249" s="10"/>
      <c r="J249" s="1"/>
      <c r="K249" s="1"/>
      <c r="L249" s="1"/>
      <c r="M249" s="1"/>
      <c r="N249" s="1"/>
      <c r="O249" s="1"/>
      <c r="P249" s="1"/>
      <c r="Q249" s="1"/>
      <c r="R249" s="1"/>
      <c r="S249" s="1"/>
      <c r="T249" s="1"/>
      <c r="U249" s="1"/>
      <c r="V249" s="1"/>
      <c r="W249" s="1"/>
      <c r="X249" s="1"/>
      <c r="Y249" s="1"/>
      <c r="Z249" s="1"/>
    </row>
    <row r="250" spans="1:26" ht="12.75" customHeight="1">
      <c r="A250" s="20"/>
      <c r="B250" s="20"/>
      <c r="C250" s="7"/>
      <c r="D250" s="11"/>
      <c r="E250" s="11"/>
      <c r="F250" s="11"/>
      <c r="G250" s="1"/>
      <c r="H250" s="1"/>
      <c r="I250" s="10"/>
      <c r="J250" s="1"/>
      <c r="K250" s="1"/>
      <c r="L250" s="1"/>
      <c r="M250" s="1"/>
      <c r="N250" s="1"/>
      <c r="O250" s="1"/>
      <c r="P250" s="1"/>
      <c r="Q250" s="1"/>
      <c r="R250" s="1"/>
      <c r="S250" s="1"/>
      <c r="T250" s="1"/>
      <c r="U250" s="1"/>
      <c r="V250" s="1"/>
      <c r="W250" s="1"/>
      <c r="X250" s="1"/>
      <c r="Y250" s="1"/>
      <c r="Z250" s="1"/>
    </row>
    <row r="251" spans="1:26" ht="12.75" customHeight="1">
      <c r="A251" s="20"/>
      <c r="B251" s="21" t="s">
        <v>27</v>
      </c>
      <c r="C251" s="7"/>
      <c r="D251" s="895" t="s">
        <v>413</v>
      </c>
      <c r="E251" s="893"/>
      <c r="F251" s="893"/>
      <c r="G251" s="1"/>
      <c r="H251" s="1"/>
      <c r="I251" s="10"/>
      <c r="J251" s="1"/>
      <c r="K251" s="1"/>
      <c r="L251" s="1"/>
      <c r="M251" s="1"/>
      <c r="N251" s="1"/>
      <c r="O251" s="1"/>
      <c r="P251" s="1"/>
      <c r="Q251" s="1"/>
      <c r="R251" s="1"/>
      <c r="S251" s="1"/>
      <c r="T251" s="1"/>
      <c r="U251" s="1"/>
      <c r="V251" s="1"/>
      <c r="W251" s="1"/>
      <c r="X251" s="1"/>
      <c r="Y251" s="1"/>
      <c r="Z251" s="1"/>
    </row>
    <row r="252" spans="1:26" ht="12.75" customHeight="1">
      <c r="A252" s="20"/>
      <c r="B252" s="20"/>
      <c r="C252" s="7"/>
      <c r="D252" s="893"/>
      <c r="E252" s="893"/>
      <c r="F252" s="893"/>
      <c r="G252" s="1"/>
      <c r="H252" s="1"/>
      <c r="I252" s="10"/>
      <c r="J252" s="1"/>
      <c r="K252" s="1"/>
      <c r="L252" s="1"/>
      <c r="M252" s="1"/>
      <c r="N252" s="1"/>
      <c r="O252" s="1"/>
      <c r="P252" s="1"/>
      <c r="Q252" s="1"/>
      <c r="R252" s="1"/>
      <c r="S252" s="1"/>
      <c r="T252" s="1"/>
      <c r="U252" s="1"/>
      <c r="V252" s="1"/>
      <c r="W252" s="1"/>
      <c r="X252" s="1"/>
      <c r="Y252" s="1"/>
      <c r="Z252" s="1"/>
    </row>
    <row r="253" spans="1:26" ht="12.75" customHeight="1">
      <c r="A253" s="20"/>
      <c r="B253" s="20"/>
      <c r="C253" s="7"/>
      <c r="D253" s="893"/>
      <c r="E253" s="893"/>
      <c r="F253" s="893"/>
      <c r="G253" s="1"/>
      <c r="H253" s="1"/>
      <c r="I253" s="10"/>
      <c r="J253" s="1"/>
      <c r="K253" s="1"/>
      <c r="L253" s="1"/>
      <c r="M253" s="1"/>
      <c r="N253" s="1"/>
      <c r="O253" s="1"/>
      <c r="P253" s="1"/>
      <c r="Q253" s="1"/>
      <c r="R253" s="1"/>
      <c r="S253" s="1"/>
      <c r="T253" s="1"/>
      <c r="U253" s="1"/>
      <c r="V253" s="1"/>
      <c r="W253" s="1"/>
      <c r="X253" s="1"/>
      <c r="Y253" s="1"/>
      <c r="Z253" s="1"/>
    </row>
    <row r="254" spans="1:26" ht="12.75" customHeight="1">
      <c r="A254" s="20"/>
      <c r="B254" s="20"/>
      <c r="C254" s="7"/>
      <c r="D254" s="893"/>
      <c r="E254" s="893"/>
      <c r="F254" s="893"/>
      <c r="G254" s="1"/>
      <c r="H254" s="1"/>
      <c r="I254" s="10"/>
      <c r="J254" s="1"/>
      <c r="K254" s="1"/>
      <c r="L254" s="1"/>
      <c r="M254" s="1"/>
      <c r="N254" s="1"/>
      <c r="O254" s="1"/>
      <c r="P254" s="1"/>
      <c r="Q254" s="1"/>
      <c r="R254" s="1"/>
      <c r="S254" s="1"/>
      <c r="T254" s="1"/>
      <c r="U254" s="1"/>
      <c r="V254" s="1"/>
      <c r="W254" s="1"/>
      <c r="X254" s="1"/>
      <c r="Y254" s="1"/>
      <c r="Z254" s="1"/>
    </row>
    <row r="255" spans="1:26" ht="14.25" customHeight="1">
      <c r="A255" s="20"/>
      <c r="B255" s="20"/>
      <c r="C255" s="7"/>
      <c r="D255" s="893"/>
      <c r="E255" s="893"/>
      <c r="F255" s="893"/>
      <c r="G255" s="1"/>
      <c r="H255" s="1"/>
      <c r="I255" s="10"/>
      <c r="J255" s="1"/>
      <c r="K255" s="1"/>
      <c r="L255" s="1"/>
      <c r="M255" s="1"/>
      <c r="N255" s="1"/>
      <c r="O255" s="1"/>
      <c r="P255" s="1"/>
      <c r="Q255" s="1"/>
      <c r="R255" s="1"/>
      <c r="S255" s="1"/>
      <c r="T255" s="1"/>
      <c r="U255" s="1"/>
      <c r="V255" s="1"/>
      <c r="W255" s="1"/>
      <c r="X255" s="1"/>
      <c r="Y255" s="1"/>
      <c r="Z255" s="1"/>
    </row>
    <row r="256" spans="1:26" ht="14.25" customHeight="1">
      <c r="A256" s="20"/>
      <c r="B256" s="20"/>
      <c r="C256" s="7"/>
      <c r="D256" s="11"/>
      <c r="E256" s="11"/>
      <c r="F256" s="11"/>
      <c r="G256" s="1"/>
      <c r="H256" s="1"/>
      <c r="I256" s="10"/>
      <c r="J256" s="1"/>
      <c r="K256" s="1"/>
      <c r="L256" s="1"/>
      <c r="M256" s="1"/>
      <c r="N256" s="1"/>
      <c r="O256" s="1"/>
      <c r="P256" s="1"/>
      <c r="Q256" s="1"/>
      <c r="R256" s="1"/>
      <c r="S256" s="1"/>
      <c r="T256" s="1"/>
      <c r="U256" s="1"/>
      <c r="V256" s="1"/>
      <c r="W256" s="1"/>
      <c r="X256" s="1"/>
      <c r="Y256" s="1"/>
      <c r="Z256" s="1"/>
    </row>
    <row r="257" spans="1:26" ht="12.75" customHeight="1">
      <c r="A257" s="20"/>
      <c r="B257" s="20"/>
      <c r="C257" s="7"/>
      <c r="D257" s="895" t="s">
        <v>416</v>
      </c>
      <c r="E257" s="893"/>
      <c r="F257" s="893"/>
      <c r="G257" s="1"/>
      <c r="H257" s="1"/>
      <c r="I257" s="10"/>
      <c r="J257" s="1"/>
      <c r="K257" s="1"/>
      <c r="L257" s="1"/>
      <c r="M257" s="1"/>
      <c r="N257" s="1"/>
      <c r="O257" s="1"/>
      <c r="P257" s="1"/>
      <c r="Q257" s="1"/>
      <c r="R257" s="1"/>
      <c r="S257" s="1"/>
      <c r="T257" s="1"/>
      <c r="U257" s="1"/>
      <c r="V257" s="1"/>
      <c r="W257" s="1"/>
      <c r="X257" s="1"/>
      <c r="Y257" s="1"/>
      <c r="Z257" s="1"/>
    </row>
    <row r="258" spans="1:26" ht="12.75" customHeight="1">
      <c r="A258" s="20"/>
      <c r="B258" s="20"/>
      <c r="C258" s="7"/>
      <c r="D258" s="893"/>
      <c r="E258" s="893"/>
      <c r="F258" s="893"/>
      <c r="G258" s="1"/>
      <c r="H258" s="1"/>
      <c r="I258" s="10"/>
      <c r="J258" s="1"/>
      <c r="K258" s="1"/>
      <c r="L258" s="1"/>
      <c r="M258" s="1"/>
      <c r="N258" s="1"/>
      <c r="O258" s="1"/>
      <c r="P258" s="1"/>
      <c r="Q258" s="1"/>
      <c r="R258" s="1"/>
      <c r="S258" s="1"/>
      <c r="T258" s="1"/>
      <c r="U258" s="1"/>
      <c r="V258" s="1"/>
      <c r="W258" s="1"/>
      <c r="X258" s="1"/>
      <c r="Y258" s="1"/>
      <c r="Z258" s="1"/>
    </row>
    <row r="259" spans="1:26" ht="12.75" customHeight="1">
      <c r="A259" s="20"/>
      <c r="B259" s="20"/>
      <c r="C259" s="7"/>
      <c r="D259" s="893"/>
      <c r="E259" s="893"/>
      <c r="F259" s="893"/>
      <c r="G259" s="1"/>
      <c r="H259" s="1"/>
      <c r="I259" s="10"/>
      <c r="J259" s="1"/>
      <c r="K259" s="1"/>
      <c r="L259" s="1"/>
      <c r="M259" s="1"/>
      <c r="N259" s="1"/>
      <c r="O259" s="1"/>
      <c r="P259" s="1"/>
      <c r="Q259" s="1"/>
      <c r="R259" s="1"/>
      <c r="S259" s="1"/>
      <c r="T259" s="1"/>
      <c r="U259" s="1"/>
      <c r="V259" s="1"/>
      <c r="W259" s="1"/>
      <c r="X259" s="1"/>
      <c r="Y259" s="1"/>
      <c r="Z259" s="1"/>
    </row>
    <row r="260" spans="1:26" ht="12.75" customHeight="1">
      <c r="A260" s="20"/>
      <c r="B260" s="20"/>
      <c r="C260" s="7"/>
      <c r="D260" s="893"/>
      <c r="E260" s="893"/>
      <c r="F260" s="893"/>
      <c r="G260" s="1"/>
      <c r="H260" s="1"/>
      <c r="I260" s="10"/>
      <c r="J260" s="1"/>
      <c r="K260" s="1"/>
      <c r="L260" s="1"/>
      <c r="M260" s="1"/>
      <c r="N260" s="1"/>
      <c r="O260" s="1"/>
      <c r="P260" s="1"/>
      <c r="Q260" s="1"/>
      <c r="R260" s="1"/>
      <c r="S260" s="1"/>
      <c r="T260" s="1"/>
      <c r="U260" s="1"/>
      <c r="V260" s="1"/>
      <c r="W260" s="1"/>
      <c r="X260" s="1"/>
      <c r="Y260" s="1"/>
      <c r="Z260" s="1"/>
    </row>
    <row r="261" spans="1:26" ht="12.75" customHeight="1">
      <c r="A261" s="20"/>
      <c r="B261" s="20"/>
      <c r="C261" s="7"/>
      <c r="D261" s="893"/>
      <c r="E261" s="893"/>
      <c r="F261" s="893"/>
      <c r="G261" s="1"/>
      <c r="H261" s="1"/>
      <c r="I261" s="10"/>
      <c r="J261" s="1"/>
      <c r="K261" s="1"/>
      <c r="L261" s="1"/>
      <c r="M261" s="1"/>
      <c r="N261" s="1"/>
      <c r="O261" s="1"/>
      <c r="P261" s="1"/>
      <c r="Q261" s="1"/>
      <c r="R261" s="1"/>
      <c r="S261" s="1"/>
      <c r="T261" s="1"/>
      <c r="U261" s="1"/>
      <c r="V261" s="1"/>
      <c r="W261" s="1"/>
      <c r="X261" s="1"/>
      <c r="Y261" s="1"/>
      <c r="Z261" s="1"/>
    </row>
    <row r="262" spans="1:26" ht="12.75" customHeight="1">
      <c r="A262" s="20"/>
      <c r="B262" s="20"/>
      <c r="C262" s="7"/>
      <c r="D262" s="17"/>
      <c r="E262" s="17"/>
      <c r="F262" s="17"/>
      <c r="G262" s="1"/>
      <c r="H262" s="1"/>
      <c r="I262" s="10"/>
      <c r="J262" s="1"/>
      <c r="K262" s="1"/>
      <c r="L262" s="1"/>
      <c r="M262" s="1"/>
      <c r="N262" s="1"/>
      <c r="O262" s="1"/>
      <c r="P262" s="1"/>
      <c r="Q262" s="1"/>
      <c r="R262" s="1"/>
      <c r="S262" s="1"/>
      <c r="T262" s="1"/>
      <c r="U262" s="1"/>
      <c r="V262" s="1"/>
      <c r="W262" s="1"/>
      <c r="X262" s="1"/>
      <c r="Y262" s="1"/>
      <c r="Z262" s="1"/>
    </row>
    <row r="263" spans="1:26" ht="12.75" customHeight="1">
      <c r="A263" s="20"/>
      <c r="B263" s="21" t="s">
        <v>27</v>
      </c>
      <c r="C263" s="7"/>
      <c r="D263" s="895" t="s">
        <v>418</v>
      </c>
      <c r="E263" s="893"/>
      <c r="F263" s="893"/>
      <c r="G263" s="1"/>
      <c r="H263" s="1"/>
      <c r="I263" s="10"/>
      <c r="J263" s="1"/>
      <c r="K263" s="1"/>
      <c r="L263" s="1"/>
      <c r="M263" s="1"/>
      <c r="N263" s="1"/>
      <c r="O263" s="1"/>
      <c r="P263" s="1"/>
      <c r="Q263" s="1"/>
      <c r="R263" s="1"/>
      <c r="S263" s="1"/>
      <c r="T263" s="1"/>
      <c r="U263" s="1"/>
      <c r="V263" s="1"/>
      <c r="W263" s="1"/>
      <c r="X263" s="1"/>
      <c r="Y263" s="1"/>
      <c r="Z263" s="1"/>
    </row>
    <row r="264" spans="1:26" ht="12.75" customHeight="1">
      <c r="A264" s="20"/>
      <c r="B264" s="20"/>
      <c r="C264" s="7"/>
      <c r="D264" s="893"/>
      <c r="E264" s="893"/>
      <c r="F264" s="893"/>
      <c r="G264" s="1"/>
      <c r="H264" s="1"/>
      <c r="I264" s="10"/>
      <c r="J264" s="1"/>
      <c r="K264" s="1"/>
      <c r="L264" s="1"/>
      <c r="M264" s="1"/>
      <c r="N264" s="1"/>
      <c r="O264" s="1"/>
      <c r="P264" s="1"/>
      <c r="Q264" s="1"/>
      <c r="R264" s="1"/>
      <c r="S264" s="1"/>
      <c r="T264" s="1"/>
      <c r="U264" s="1"/>
      <c r="V264" s="1"/>
      <c r="W264" s="1"/>
      <c r="X264" s="1"/>
      <c r="Y264" s="1"/>
      <c r="Z264" s="1"/>
    </row>
    <row r="265" spans="1:26" ht="12.75" customHeight="1">
      <c r="A265" s="20"/>
      <c r="B265" s="20"/>
      <c r="C265" s="7"/>
      <c r="D265" s="893"/>
      <c r="E265" s="893"/>
      <c r="F265" s="893"/>
      <c r="G265" s="1"/>
      <c r="H265" s="1"/>
      <c r="I265" s="10"/>
      <c r="J265" s="1"/>
      <c r="K265" s="1"/>
      <c r="L265" s="1"/>
      <c r="M265" s="1"/>
      <c r="N265" s="1"/>
      <c r="O265" s="1"/>
      <c r="P265" s="1"/>
      <c r="Q265" s="1"/>
      <c r="R265" s="1"/>
      <c r="S265" s="1"/>
      <c r="T265" s="1"/>
      <c r="U265" s="1"/>
      <c r="V265" s="1"/>
      <c r="W265" s="1"/>
      <c r="X265" s="1"/>
      <c r="Y265" s="1"/>
      <c r="Z265" s="1"/>
    </row>
    <row r="266" spans="1:26" ht="12.75" customHeight="1">
      <c r="A266" s="20"/>
      <c r="B266" s="20"/>
      <c r="C266" s="7"/>
      <c r="D266" s="1"/>
      <c r="E266" s="18" t="s">
        <v>420</v>
      </c>
      <c r="F266" s="1"/>
      <c r="G266" s="1"/>
      <c r="H266" s="1"/>
      <c r="I266" s="10"/>
      <c r="J266" s="1"/>
      <c r="K266" s="1"/>
      <c r="L266" s="1"/>
      <c r="M266" s="1"/>
      <c r="N266" s="1"/>
      <c r="O266" s="1"/>
      <c r="P266" s="1"/>
      <c r="Q266" s="1"/>
      <c r="R266" s="1"/>
      <c r="S266" s="1"/>
      <c r="T266" s="1"/>
      <c r="U266" s="1"/>
      <c r="V266" s="1"/>
      <c r="W266" s="1"/>
      <c r="X266" s="1"/>
      <c r="Y266" s="1"/>
      <c r="Z266" s="1"/>
    </row>
    <row r="267" spans="1:26" ht="12.75" customHeight="1">
      <c r="A267" s="20"/>
      <c r="B267" s="20"/>
      <c r="C267" s="7"/>
      <c r="D267" s="17"/>
      <c r="E267" s="17"/>
      <c r="F267" s="17"/>
      <c r="G267" s="1"/>
      <c r="H267" s="1"/>
      <c r="I267" s="10"/>
      <c r="J267" s="1"/>
      <c r="K267" s="1"/>
      <c r="L267" s="1"/>
      <c r="M267" s="1"/>
      <c r="N267" s="1"/>
      <c r="O267" s="1"/>
      <c r="P267" s="1"/>
      <c r="Q267" s="1"/>
      <c r="R267" s="1"/>
      <c r="S267" s="1"/>
      <c r="T267" s="1"/>
      <c r="U267" s="1"/>
      <c r="V267" s="1"/>
      <c r="W267" s="1"/>
      <c r="X267" s="1"/>
      <c r="Y267" s="1"/>
      <c r="Z267" s="1"/>
    </row>
    <row r="268" spans="1:26" ht="14.25" customHeight="1">
      <c r="A268" s="20"/>
      <c r="B268" s="21" t="s">
        <v>27</v>
      </c>
      <c r="C268" s="7"/>
      <c r="D268" s="895" t="s">
        <v>423</v>
      </c>
      <c r="E268" s="893"/>
      <c r="F268" s="893"/>
      <c r="G268" s="1"/>
      <c r="H268" s="1"/>
      <c r="I268" s="10"/>
      <c r="J268" s="1"/>
      <c r="K268" s="1"/>
      <c r="L268" s="1"/>
      <c r="M268" s="1"/>
      <c r="N268" s="1"/>
      <c r="O268" s="1"/>
      <c r="P268" s="1"/>
      <c r="Q268" s="1"/>
      <c r="R268" s="1"/>
      <c r="S268" s="1"/>
      <c r="T268" s="1"/>
      <c r="U268" s="1"/>
      <c r="V268" s="1"/>
      <c r="W268" s="1"/>
      <c r="X268" s="1"/>
      <c r="Y268" s="1"/>
      <c r="Z268" s="1"/>
    </row>
    <row r="269" spans="1:26" ht="12.75" customHeight="1">
      <c r="A269" s="20"/>
      <c r="B269" s="20"/>
      <c r="C269" s="7"/>
      <c r="D269" s="893"/>
      <c r="E269" s="893"/>
      <c r="F269" s="893"/>
      <c r="G269" s="1"/>
      <c r="H269" s="1"/>
      <c r="I269" s="10"/>
      <c r="J269" s="1"/>
      <c r="K269" s="1"/>
      <c r="L269" s="1"/>
      <c r="M269" s="1"/>
      <c r="N269" s="1"/>
      <c r="O269" s="1"/>
      <c r="P269" s="1"/>
      <c r="Q269" s="1"/>
      <c r="R269" s="1"/>
      <c r="S269" s="1"/>
      <c r="T269" s="1"/>
      <c r="U269" s="1"/>
      <c r="V269" s="1"/>
      <c r="W269" s="1"/>
      <c r="X269" s="1"/>
      <c r="Y269" s="1"/>
      <c r="Z269" s="1"/>
    </row>
    <row r="270" spans="1:26" ht="12.75" customHeight="1">
      <c r="A270" s="20"/>
      <c r="B270" s="20"/>
      <c r="C270" s="7"/>
      <c r="D270" s="893"/>
      <c r="E270" s="893"/>
      <c r="F270" s="893"/>
      <c r="G270" s="1"/>
      <c r="H270" s="1"/>
      <c r="I270" s="10"/>
      <c r="J270" s="1"/>
      <c r="K270" s="1"/>
      <c r="L270" s="1"/>
      <c r="M270" s="1"/>
      <c r="N270" s="1"/>
      <c r="O270" s="1"/>
      <c r="P270" s="1"/>
      <c r="Q270" s="1"/>
      <c r="R270" s="1"/>
      <c r="S270" s="1"/>
      <c r="T270" s="1"/>
      <c r="U270" s="1"/>
      <c r="V270" s="1"/>
      <c r="W270" s="1"/>
      <c r="X270" s="1"/>
      <c r="Y270" s="1"/>
      <c r="Z270" s="1"/>
    </row>
    <row r="271" spans="1:26" ht="12.75" customHeight="1">
      <c r="A271" s="20"/>
      <c r="B271" s="20"/>
      <c r="C271" s="7"/>
      <c r="D271" s="893"/>
      <c r="E271" s="893"/>
      <c r="F271" s="893"/>
      <c r="G271" s="1"/>
      <c r="H271" s="1"/>
      <c r="I271" s="10"/>
      <c r="J271" s="1"/>
      <c r="K271" s="1"/>
      <c r="L271" s="1"/>
      <c r="M271" s="1"/>
      <c r="N271" s="1"/>
      <c r="O271" s="1"/>
      <c r="P271" s="1"/>
      <c r="Q271" s="1"/>
      <c r="R271" s="1"/>
      <c r="S271" s="1"/>
      <c r="T271" s="1"/>
      <c r="U271" s="1"/>
      <c r="V271" s="1"/>
      <c r="W271" s="1"/>
      <c r="X271" s="1"/>
      <c r="Y271" s="1"/>
      <c r="Z271" s="1"/>
    </row>
    <row r="272" spans="1:26" ht="12.75" customHeight="1">
      <c r="A272" s="20"/>
      <c r="B272" s="20"/>
      <c r="C272" s="7"/>
      <c r="D272" s="893"/>
      <c r="E272" s="893"/>
      <c r="F272" s="893"/>
      <c r="G272" s="1"/>
      <c r="H272" s="1"/>
      <c r="I272" s="10"/>
      <c r="J272" s="1"/>
      <c r="K272" s="1"/>
      <c r="L272" s="1"/>
      <c r="M272" s="1"/>
      <c r="N272" s="1"/>
      <c r="O272" s="1"/>
      <c r="P272" s="1"/>
      <c r="Q272" s="1"/>
      <c r="R272" s="1"/>
      <c r="S272" s="1"/>
      <c r="T272" s="1"/>
      <c r="U272" s="1"/>
      <c r="V272" s="1"/>
      <c r="W272" s="1"/>
      <c r="X272" s="1"/>
      <c r="Y272" s="1"/>
      <c r="Z272" s="1"/>
    </row>
    <row r="273" spans="1:26" ht="12.75" customHeight="1">
      <c r="A273" s="20"/>
      <c r="B273" s="20"/>
      <c r="C273" s="7"/>
      <c r="D273" s="11"/>
      <c r="E273" s="11"/>
      <c r="F273" s="11"/>
      <c r="G273" s="1"/>
      <c r="H273" s="1"/>
      <c r="I273" s="10"/>
      <c r="J273" s="1"/>
      <c r="K273" s="1"/>
      <c r="L273" s="1"/>
      <c r="M273" s="1"/>
      <c r="N273" s="1"/>
      <c r="O273" s="1"/>
      <c r="P273" s="1"/>
      <c r="Q273" s="1"/>
      <c r="R273" s="1"/>
      <c r="S273" s="1"/>
      <c r="T273" s="1"/>
      <c r="U273" s="1"/>
      <c r="V273" s="1"/>
      <c r="W273" s="1"/>
      <c r="X273" s="1"/>
      <c r="Y273" s="1"/>
      <c r="Z273" s="1"/>
    </row>
    <row r="274" spans="1:26" ht="12.75" customHeight="1">
      <c r="A274" s="20"/>
      <c r="B274" s="21" t="s">
        <v>27</v>
      </c>
      <c r="C274" s="7"/>
      <c r="D274" s="14" t="s">
        <v>425</v>
      </c>
      <c r="E274" s="11"/>
      <c r="F274" s="11"/>
      <c r="G274" s="1"/>
      <c r="H274" s="1"/>
      <c r="I274" s="10"/>
      <c r="J274" s="1"/>
      <c r="K274" s="1"/>
      <c r="L274" s="1"/>
      <c r="M274" s="1"/>
      <c r="N274" s="1"/>
      <c r="O274" s="1"/>
      <c r="P274" s="1"/>
      <c r="Q274" s="1"/>
      <c r="R274" s="1"/>
      <c r="S274" s="1"/>
      <c r="T274" s="1"/>
      <c r="U274" s="1"/>
      <c r="V274" s="1"/>
      <c r="W274" s="1"/>
      <c r="X274" s="1"/>
      <c r="Y274" s="1"/>
      <c r="Z274" s="1"/>
    </row>
    <row r="275" spans="1:26" ht="12.75" customHeight="1">
      <c r="A275" s="20"/>
      <c r="B275" s="20"/>
      <c r="C275" s="7"/>
      <c r="D275" s="1"/>
      <c r="E275" s="18" t="s">
        <v>427</v>
      </c>
      <c r="F275" s="1"/>
      <c r="G275" s="1"/>
      <c r="H275" s="1"/>
      <c r="I275" s="10"/>
      <c r="J275" s="1"/>
      <c r="K275" s="1"/>
      <c r="L275" s="1"/>
      <c r="M275" s="1"/>
      <c r="N275" s="1"/>
      <c r="O275" s="1"/>
      <c r="P275" s="1"/>
      <c r="Q275" s="1"/>
      <c r="R275" s="1"/>
      <c r="S275" s="1"/>
      <c r="T275" s="1"/>
      <c r="U275" s="1"/>
      <c r="V275" s="1"/>
      <c r="W275" s="1"/>
      <c r="X275" s="1"/>
      <c r="Y275" s="1"/>
      <c r="Z275" s="1"/>
    </row>
    <row r="276" spans="1:26" ht="12.75" customHeight="1">
      <c r="A276" s="7"/>
      <c r="B276" s="7"/>
      <c r="C276" s="7"/>
      <c r="D276" s="17"/>
      <c r="E276" s="17"/>
      <c r="F276" s="17"/>
      <c r="G276" s="1"/>
      <c r="H276" s="1"/>
      <c r="I276" s="10"/>
      <c r="J276" s="1"/>
      <c r="K276" s="1"/>
      <c r="L276" s="1"/>
      <c r="M276" s="1"/>
      <c r="N276" s="1"/>
      <c r="O276" s="1"/>
      <c r="P276" s="1"/>
      <c r="Q276" s="1"/>
      <c r="R276" s="1"/>
      <c r="S276" s="1"/>
      <c r="T276" s="1"/>
      <c r="U276" s="1"/>
      <c r="V276" s="1"/>
      <c r="W276" s="1"/>
      <c r="X276" s="1"/>
      <c r="Y276" s="1"/>
      <c r="Z276" s="1"/>
    </row>
    <row r="277" spans="1:26" ht="12.75" customHeight="1">
      <c r="A277" s="20"/>
      <c r="B277" s="21" t="s">
        <v>27</v>
      </c>
      <c r="C277" s="7"/>
      <c r="D277" s="895" t="s">
        <v>429</v>
      </c>
      <c r="E277" s="893"/>
      <c r="F277" s="893"/>
      <c r="G277" s="1"/>
      <c r="H277" s="1"/>
      <c r="I277" s="10"/>
      <c r="J277" s="1"/>
      <c r="K277" s="1"/>
      <c r="L277" s="1"/>
      <c r="M277" s="1"/>
      <c r="N277" s="1"/>
      <c r="O277" s="1"/>
      <c r="P277" s="1"/>
      <c r="Q277" s="1"/>
      <c r="R277" s="1"/>
      <c r="S277" s="1"/>
      <c r="T277" s="1"/>
      <c r="U277" s="1"/>
      <c r="V277" s="1"/>
      <c r="W277" s="1"/>
      <c r="X277" s="1"/>
      <c r="Y277" s="1"/>
      <c r="Z277" s="1"/>
    </row>
    <row r="278" spans="1:26" ht="12.75" customHeight="1">
      <c r="A278" s="20"/>
      <c r="B278" s="20"/>
      <c r="C278" s="7"/>
      <c r="D278" s="893"/>
      <c r="E278" s="893"/>
      <c r="F278" s="893"/>
      <c r="G278" s="1"/>
      <c r="H278" s="1"/>
      <c r="I278" s="10"/>
      <c r="J278" s="1"/>
      <c r="K278" s="1"/>
      <c r="L278" s="1"/>
      <c r="M278" s="1"/>
      <c r="N278" s="1"/>
      <c r="O278" s="1"/>
      <c r="P278" s="1"/>
      <c r="Q278" s="1"/>
      <c r="R278" s="1"/>
      <c r="S278" s="1"/>
      <c r="T278" s="1"/>
      <c r="U278" s="1"/>
      <c r="V278" s="1"/>
      <c r="W278" s="1"/>
      <c r="X278" s="1"/>
      <c r="Y278" s="1"/>
      <c r="Z278" s="1"/>
    </row>
    <row r="279" spans="1:26" ht="12.75" customHeight="1">
      <c r="A279" s="7"/>
      <c r="B279" s="7"/>
      <c r="C279" s="7"/>
      <c r="D279" s="17"/>
      <c r="E279" s="1"/>
      <c r="F279" s="1"/>
      <c r="G279" s="1"/>
      <c r="H279" s="1"/>
      <c r="I279" s="10"/>
      <c r="J279" s="1"/>
      <c r="K279" s="1"/>
      <c r="L279" s="1"/>
      <c r="M279" s="1"/>
      <c r="N279" s="1"/>
      <c r="O279" s="1"/>
      <c r="P279" s="1"/>
      <c r="Q279" s="1"/>
      <c r="R279" s="1"/>
      <c r="S279" s="1"/>
      <c r="T279" s="1"/>
      <c r="U279" s="1"/>
      <c r="V279" s="1"/>
      <c r="W279" s="1"/>
      <c r="X279" s="1"/>
      <c r="Y279" s="1"/>
      <c r="Z279" s="1"/>
    </row>
    <row r="280" spans="1:26" ht="12.75" customHeight="1">
      <c r="A280" s="920" t="s">
        <v>434</v>
      </c>
      <c r="B280" s="921"/>
      <c r="C280" s="921"/>
      <c r="D280" s="921"/>
      <c r="E280" s="921"/>
      <c r="F280" s="921"/>
      <c r="G280" s="921"/>
      <c r="H280" s="5"/>
      <c r="I280" s="39"/>
      <c r="J280" s="1"/>
      <c r="K280" s="1"/>
      <c r="L280" s="1"/>
      <c r="M280" s="1"/>
      <c r="N280" s="1"/>
      <c r="O280" s="1"/>
      <c r="P280" s="1"/>
      <c r="Q280" s="1"/>
      <c r="R280" s="1"/>
      <c r="S280" s="1"/>
      <c r="T280" s="1"/>
      <c r="U280" s="1"/>
      <c r="V280" s="1"/>
      <c r="W280" s="1"/>
      <c r="X280" s="1"/>
      <c r="Y280" s="1"/>
      <c r="Z280" s="1"/>
    </row>
    <row r="281" spans="1:26" ht="12.75" customHeight="1">
      <c r="A281" s="7"/>
      <c r="B281" s="7"/>
      <c r="C281" s="7"/>
      <c r="D281" s="17"/>
      <c r="E281" s="1"/>
      <c r="F281" s="1"/>
      <c r="G281" s="1"/>
      <c r="H281" s="1"/>
      <c r="I281" s="10"/>
      <c r="J281" s="1"/>
      <c r="K281" s="1"/>
      <c r="L281" s="1"/>
      <c r="M281" s="1"/>
      <c r="N281" s="1"/>
      <c r="O281" s="1"/>
      <c r="P281" s="1"/>
      <c r="Q281" s="1"/>
      <c r="R281" s="1"/>
      <c r="S281" s="1"/>
      <c r="T281" s="1"/>
      <c r="U281" s="1"/>
      <c r="V281" s="1"/>
      <c r="W281" s="1"/>
      <c r="X281" s="1"/>
      <c r="Y281" s="1"/>
      <c r="Z281" s="1"/>
    </row>
    <row r="282" spans="1:26" ht="12.75" customHeight="1">
      <c r="A282" s="7"/>
      <c r="B282" s="7"/>
      <c r="C282" s="40"/>
      <c r="D282" s="914" t="s">
        <v>436</v>
      </c>
      <c r="E282" s="893"/>
      <c r="F282" s="893"/>
      <c r="G282" s="1"/>
      <c r="H282" s="1"/>
      <c r="I282" s="10"/>
      <c r="J282" s="1"/>
      <c r="K282" s="1"/>
      <c r="L282" s="1"/>
      <c r="M282" s="1"/>
      <c r="N282" s="1"/>
      <c r="O282" s="1"/>
      <c r="P282" s="1"/>
      <c r="Q282" s="1"/>
      <c r="R282" s="1"/>
      <c r="S282" s="1"/>
      <c r="T282" s="1"/>
      <c r="U282" s="1"/>
      <c r="V282" s="1"/>
      <c r="W282" s="1"/>
      <c r="X282" s="1"/>
      <c r="Y282" s="1"/>
      <c r="Z282" s="1"/>
    </row>
    <row r="283" spans="1:26" ht="12.75" customHeight="1">
      <c r="A283" s="9"/>
      <c r="B283" s="9"/>
      <c r="C283" s="9"/>
      <c r="D283" s="17"/>
      <c r="E283" s="17"/>
      <c r="F283" s="17"/>
      <c r="G283" s="1"/>
      <c r="H283" s="1"/>
      <c r="I283" s="10"/>
      <c r="J283" s="1"/>
      <c r="K283" s="1"/>
      <c r="L283" s="1"/>
      <c r="M283" s="1"/>
      <c r="N283" s="1"/>
      <c r="O283" s="1"/>
      <c r="P283" s="1"/>
      <c r="Q283" s="1"/>
      <c r="R283" s="1"/>
      <c r="S283" s="1"/>
      <c r="T283" s="1"/>
      <c r="U283" s="1"/>
      <c r="V283" s="1"/>
      <c r="W283" s="1"/>
      <c r="X283" s="1"/>
      <c r="Y283" s="1"/>
      <c r="Z283" s="1"/>
    </row>
    <row r="284" spans="1:26" ht="12.75" customHeight="1">
      <c r="A284" s="16"/>
      <c r="B284" s="16"/>
      <c r="C284" s="16"/>
      <c r="D284" s="914" t="s">
        <v>437</v>
      </c>
      <c r="E284" s="893"/>
      <c r="F284" s="893"/>
      <c r="G284" s="1"/>
      <c r="H284" s="1"/>
      <c r="I284" s="10"/>
      <c r="J284" s="1"/>
      <c r="K284" s="1"/>
      <c r="L284" s="1"/>
      <c r="M284" s="1"/>
      <c r="N284" s="1"/>
      <c r="O284" s="1"/>
      <c r="P284" s="1"/>
      <c r="Q284" s="1"/>
      <c r="R284" s="1"/>
      <c r="S284" s="1"/>
      <c r="T284" s="1"/>
      <c r="U284" s="1"/>
      <c r="V284" s="1"/>
      <c r="W284" s="1"/>
      <c r="X284" s="1"/>
      <c r="Y284" s="1"/>
      <c r="Z284" s="1"/>
    </row>
    <row r="285" spans="1:26" ht="14.25" customHeight="1">
      <c r="A285" s="20"/>
      <c r="B285" s="21" t="s">
        <v>27</v>
      </c>
      <c r="C285" s="7"/>
      <c r="D285" s="895" t="s">
        <v>438</v>
      </c>
      <c r="E285" s="893"/>
      <c r="F285" s="893"/>
      <c r="G285" s="1"/>
      <c r="H285" s="1"/>
      <c r="I285" s="10"/>
      <c r="J285" s="1"/>
      <c r="K285" s="1"/>
      <c r="L285" s="1"/>
      <c r="M285" s="1"/>
      <c r="N285" s="1"/>
      <c r="O285" s="1"/>
      <c r="P285" s="1"/>
      <c r="Q285" s="1"/>
      <c r="R285" s="1"/>
      <c r="S285" s="1"/>
      <c r="T285" s="1"/>
      <c r="U285" s="1"/>
      <c r="V285" s="1"/>
      <c r="W285" s="1"/>
      <c r="X285" s="1"/>
      <c r="Y285" s="1"/>
      <c r="Z285" s="1"/>
    </row>
    <row r="286" spans="1:26" ht="12.75" customHeight="1">
      <c r="A286" s="7"/>
      <c r="B286" s="7"/>
      <c r="C286" s="7"/>
      <c r="D286" s="893"/>
      <c r="E286" s="893"/>
      <c r="F286" s="893"/>
      <c r="G286" s="1"/>
      <c r="H286" s="1"/>
      <c r="I286" s="10"/>
      <c r="J286" s="1"/>
      <c r="K286" s="1"/>
      <c r="L286" s="1"/>
      <c r="M286" s="1"/>
      <c r="N286" s="1"/>
      <c r="O286" s="1"/>
      <c r="P286" s="1"/>
      <c r="Q286" s="1"/>
      <c r="R286" s="1"/>
      <c r="S286" s="1"/>
      <c r="T286" s="1"/>
      <c r="U286" s="1"/>
      <c r="V286" s="1"/>
      <c r="W286" s="1"/>
      <c r="X286" s="1"/>
      <c r="Y286" s="1"/>
      <c r="Z286" s="1"/>
    </row>
    <row r="287" spans="1:26" ht="12.75" customHeight="1">
      <c r="A287" s="7"/>
      <c r="B287" s="7"/>
      <c r="C287" s="7"/>
      <c r="D287" s="1"/>
      <c r="E287" s="18" t="s">
        <v>440</v>
      </c>
      <c r="F287" s="1"/>
      <c r="G287" s="1"/>
      <c r="H287" s="1"/>
      <c r="I287" s="10"/>
      <c r="J287" s="1"/>
      <c r="K287" s="1"/>
      <c r="L287" s="1"/>
      <c r="M287" s="1"/>
      <c r="N287" s="1"/>
      <c r="O287" s="1"/>
      <c r="P287" s="1"/>
      <c r="Q287" s="1"/>
      <c r="R287" s="1"/>
      <c r="S287" s="1"/>
      <c r="T287" s="1"/>
      <c r="U287" s="1"/>
      <c r="V287" s="1"/>
      <c r="W287" s="1"/>
      <c r="X287" s="1"/>
      <c r="Y287" s="1"/>
      <c r="Z287" s="1"/>
    </row>
    <row r="288" spans="1:26" ht="12.75" customHeight="1">
      <c r="A288" s="7"/>
      <c r="B288" s="7"/>
      <c r="C288" s="7"/>
      <c r="D288" s="17"/>
      <c r="E288" s="17"/>
      <c r="F288" s="17"/>
      <c r="G288" s="1"/>
      <c r="H288" s="1"/>
      <c r="I288" s="10"/>
      <c r="J288" s="1"/>
      <c r="K288" s="1"/>
      <c r="L288" s="1"/>
      <c r="M288" s="1"/>
      <c r="N288" s="1"/>
      <c r="O288" s="1"/>
      <c r="P288" s="1"/>
      <c r="Q288" s="1"/>
      <c r="R288" s="1"/>
      <c r="S288" s="1"/>
      <c r="T288" s="1"/>
      <c r="U288" s="1"/>
      <c r="V288" s="1"/>
      <c r="W288" s="1"/>
      <c r="X288" s="1"/>
      <c r="Y288" s="1"/>
      <c r="Z288" s="1"/>
    </row>
    <row r="289" spans="1:26" ht="14.25" customHeight="1">
      <c r="A289" s="20"/>
      <c r="B289" s="21" t="s">
        <v>27</v>
      </c>
      <c r="C289" s="7"/>
      <c r="D289" s="895" t="s">
        <v>442</v>
      </c>
      <c r="E289" s="893"/>
      <c r="F289" s="893"/>
      <c r="G289" s="1"/>
      <c r="H289" s="1"/>
      <c r="I289" s="10"/>
      <c r="J289" s="1"/>
      <c r="K289" s="1"/>
      <c r="L289" s="1"/>
      <c r="M289" s="1"/>
      <c r="N289" s="1"/>
      <c r="O289" s="1"/>
      <c r="P289" s="1"/>
      <c r="Q289" s="1"/>
      <c r="R289" s="1"/>
      <c r="S289" s="1"/>
      <c r="T289" s="1"/>
      <c r="U289" s="1"/>
      <c r="V289" s="1"/>
      <c r="W289" s="1"/>
      <c r="X289" s="1"/>
      <c r="Y289" s="1"/>
      <c r="Z289" s="1"/>
    </row>
    <row r="290" spans="1:26" ht="12.75" customHeight="1">
      <c r="A290" s="7"/>
      <c r="B290" s="7"/>
      <c r="C290" s="7"/>
      <c r="D290" s="893"/>
      <c r="E290" s="893"/>
      <c r="F290" s="893"/>
      <c r="G290" s="1"/>
      <c r="H290" s="1"/>
      <c r="I290" s="10"/>
      <c r="J290" s="1"/>
      <c r="K290" s="1"/>
      <c r="L290" s="1"/>
      <c r="M290" s="1"/>
      <c r="N290" s="1"/>
      <c r="O290" s="1"/>
      <c r="P290" s="1"/>
      <c r="Q290" s="1"/>
      <c r="R290" s="1"/>
      <c r="S290" s="1"/>
      <c r="T290" s="1"/>
      <c r="U290" s="1"/>
      <c r="V290" s="1"/>
      <c r="W290" s="1"/>
      <c r="X290" s="1"/>
      <c r="Y290" s="1"/>
      <c r="Z290" s="1"/>
    </row>
    <row r="291" spans="1:26" ht="12.75" customHeight="1">
      <c r="A291" s="7"/>
      <c r="B291" s="7"/>
      <c r="C291" s="7"/>
      <c r="D291" s="893"/>
      <c r="E291" s="893"/>
      <c r="F291" s="893"/>
      <c r="G291" s="1"/>
      <c r="H291" s="1"/>
      <c r="I291" s="10"/>
      <c r="J291" s="1"/>
      <c r="K291" s="1"/>
      <c r="L291" s="1"/>
      <c r="M291" s="1"/>
      <c r="N291" s="1"/>
      <c r="O291" s="1"/>
      <c r="P291" s="1"/>
      <c r="Q291" s="1"/>
      <c r="R291" s="1"/>
      <c r="S291" s="1"/>
      <c r="T291" s="1"/>
      <c r="U291" s="1"/>
      <c r="V291" s="1"/>
      <c r="W291" s="1"/>
      <c r="X291" s="1"/>
      <c r="Y291" s="1"/>
      <c r="Z291" s="1"/>
    </row>
    <row r="292" spans="1:26" ht="12.75" customHeight="1">
      <c r="A292" s="7"/>
      <c r="B292" s="7"/>
      <c r="C292" s="7"/>
      <c r="D292" s="893"/>
      <c r="E292" s="893"/>
      <c r="F292" s="893"/>
      <c r="G292" s="1"/>
      <c r="H292" s="1"/>
      <c r="I292" s="10"/>
      <c r="J292" s="1"/>
      <c r="K292" s="1"/>
      <c r="L292" s="1"/>
      <c r="M292" s="1"/>
      <c r="N292" s="1"/>
      <c r="O292" s="1"/>
      <c r="P292" s="1"/>
      <c r="Q292" s="1"/>
      <c r="R292" s="1"/>
      <c r="S292" s="1"/>
      <c r="T292" s="1"/>
      <c r="U292" s="1"/>
      <c r="V292" s="1"/>
      <c r="W292" s="1"/>
      <c r="X292" s="1"/>
      <c r="Y292" s="1"/>
      <c r="Z292" s="1"/>
    </row>
    <row r="293" spans="1:26" ht="12.75" customHeight="1">
      <c r="A293" s="7"/>
      <c r="B293" s="7"/>
      <c r="C293" s="7"/>
      <c r="D293" s="893"/>
      <c r="E293" s="893"/>
      <c r="F293" s="893"/>
      <c r="G293" s="1"/>
      <c r="H293" s="1"/>
      <c r="I293" s="10"/>
      <c r="J293" s="1"/>
      <c r="K293" s="1"/>
      <c r="L293" s="1"/>
      <c r="M293" s="1"/>
      <c r="N293" s="1"/>
      <c r="O293" s="1"/>
      <c r="P293" s="1"/>
      <c r="Q293" s="1"/>
      <c r="R293" s="1"/>
      <c r="S293" s="1"/>
      <c r="T293" s="1"/>
      <c r="U293" s="1"/>
      <c r="V293" s="1"/>
      <c r="W293" s="1"/>
      <c r="X293" s="1"/>
      <c r="Y293" s="1"/>
      <c r="Z293" s="1"/>
    </row>
    <row r="294" spans="1:26" ht="12.75" customHeight="1">
      <c r="A294" s="7"/>
      <c r="B294" s="7"/>
      <c r="C294" s="7"/>
      <c r="D294" s="893"/>
      <c r="E294" s="893"/>
      <c r="F294" s="893"/>
      <c r="G294" s="1"/>
      <c r="H294" s="1"/>
      <c r="I294" s="10"/>
      <c r="J294" s="1"/>
      <c r="K294" s="1"/>
      <c r="L294" s="1"/>
      <c r="M294" s="1"/>
      <c r="N294" s="1"/>
      <c r="O294" s="1"/>
      <c r="P294" s="1"/>
      <c r="Q294" s="1"/>
      <c r="R294" s="1"/>
      <c r="S294" s="1"/>
      <c r="T294" s="1"/>
      <c r="U294" s="1"/>
      <c r="V294" s="1"/>
      <c r="W294" s="1"/>
      <c r="X294" s="1"/>
      <c r="Y294" s="1"/>
      <c r="Z294" s="1"/>
    </row>
    <row r="295" spans="1:26" ht="12.75" customHeight="1">
      <c r="A295" s="7"/>
      <c r="B295" s="7"/>
      <c r="C295" s="7"/>
      <c r="D295" s="17"/>
      <c r="E295" s="17"/>
      <c r="F295" s="17"/>
      <c r="G295" s="1"/>
      <c r="H295" s="1"/>
      <c r="I295" s="10"/>
      <c r="J295" s="1"/>
      <c r="K295" s="1"/>
      <c r="L295" s="1"/>
      <c r="M295" s="1"/>
      <c r="N295" s="1"/>
      <c r="O295" s="1"/>
      <c r="P295" s="1"/>
      <c r="Q295" s="1"/>
      <c r="R295" s="1"/>
      <c r="S295" s="1"/>
      <c r="T295" s="1"/>
      <c r="U295" s="1"/>
      <c r="V295" s="1"/>
      <c r="W295" s="1"/>
      <c r="X295" s="1"/>
      <c r="Y295" s="1"/>
      <c r="Z295" s="1"/>
    </row>
    <row r="296" spans="1:26" ht="12.75" customHeight="1">
      <c r="A296" s="20"/>
      <c r="B296" s="21" t="s">
        <v>27</v>
      </c>
      <c r="C296" s="7"/>
      <c r="D296" s="895" t="s">
        <v>445</v>
      </c>
      <c r="E296" s="893"/>
      <c r="F296" s="893"/>
      <c r="G296" s="1"/>
      <c r="H296" s="1"/>
      <c r="I296" s="10"/>
      <c r="J296" s="1"/>
      <c r="K296" s="1"/>
      <c r="L296" s="1"/>
      <c r="M296" s="1"/>
      <c r="N296" s="1"/>
      <c r="O296" s="1"/>
      <c r="P296" s="1"/>
      <c r="Q296" s="1"/>
      <c r="R296" s="1"/>
      <c r="S296" s="1"/>
      <c r="T296" s="1"/>
      <c r="U296" s="1"/>
      <c r="V296" s="1"/>
      <c r="W296" s="1"/>
      <c r="X296" s="1"/>
      <c r="Y296" s="1"/>
      <c r="Z296" s="1"/>
    </row>
    <row r="297" spans="1:26" ht="12.75" customHeight="1">
      <c r="A297" s="7"/>
      <c r="B297" s="7"/>
      <c r="C297" s="7"/>
      <c r="D297" s="893"/>
      <c r="E297" s="893"/>
      <c r="F297" s="893"/>
      <c r="G297" s="1"/>
      <c r="H297" s="1"/>
      <c r="I297" s="10"/>
      <c r="J297" s="1"/>
      <c r="K297" s="1"/>
      <c r="L297" s="1"/>
      <c r="M297" s="1"/>
      <c r="N297" s="1"/>
      <c r="O297" s="1"/>
      <c r="P297" s="1"/>
      <c r="Q297" s="1"/>
      <c r="R297" s="1"/>
      <c r="S297" s="1"/>
      <c r="T297" s="1"/>
      <c r="U297" s="1"/>
      <c r="V297" s="1"/>
      <c r="W297" s="1"/>
      <c r="X297" s="1"/>
      <c r="Y297" s="1"/>
      <c r="Z297" s="1"/>
    </row>
    <row r="298" spans="1:26" ht="12.75" customHeight="1">
      <c r="A298" s="7"/>
      <c r="B298" s="7"/>
      <c r="C298" s="7"/>
      <c r="D298" s="893"/>
      <c r="E298" s="893"/>
      <c r="F298" s="893"/>
      <c r="G298" s="1"/>
      <c r="H298" s="1"/>
      <c r="I298" s="10"/>
      <c r="J298" s="1"/>
      <c r="K298" s="1"/>
      <c r="L298" s="1"/>
      <c r="M298" s="1"/>
      <c r="N298" s="1"/>
      <c r="O298" s="1"/>
      <c r="P298" s="1"/>
      <c r="Q298" s="1"/>
      <c r="R298" s="1"/>
      <c r="S298" s="1"/>
      <c r="T298" s="1"/>
      <c r="U298" s="1"/>
      <c r="V298" s="1"/>
      <c r="W298" s="1"/>
      <c r="X298" s="1"/>
      <c r="Y298" s="1"/>
      <c r="Z298" s="1"/>
    </row>
    <row r="299" spans="1:26" ht="12.75" customHeight="1">
      <c r="A299" s="7"/>
      <c r="B299" s="7"/>
      <c r="C299" s="7"/>
      <c r="D299" s="17"/>
      <c r="E299" s="17"/>
      <c r="F299" s="17"/>
      <c r="G299" s="1"/>
      <c r="H299" s="1"/>
      <c r="I299" s="10"/>
      <c r="J299" s="1"/>
      <c r="K299" s="1"/>
      <c r="L299" s="1"/>
      <c r="M299" s="1"/>
      <c r="N299" s="1"/>
      <c r="O299" s="1"/>
      <c r="P299" s="1"/>
      <c r="Q299" s="1"/>
      <c r="R299" s="1"/>
      <c r="S299" s="1"/>
      <c r="T299" s="1"/>
      <c r="U299" s="1"/>
      <c r="V299" s="1"/>
      <c r="W299" s="1"/>
      <c r="X299" s="1"/>
      <c r="Y299" s="1"/>
      <c r="Z299" s="1"/>
    </row>
    <row r="300" spans="1:26" ht="12.75" customHeight="1">
      <c r="A300" s="920" t="s">
        <v>450</v>
      </c>
      <c r="B300" s="921"/>
      <c r="C300" s="921"/>
      <c r="D300" s="921"/>
      <c r="E300" s="921"/>
      <c r="F300" s="921"/>
      <c r="G300" s="921"/>
      <c r="H300" s="5"/>
      <c r="I300" s="39"/>
      <c r="J300" s="1"/>
      <c r="K300" s="1"/>
      <c r="L300" s="1"/>
      <c r="M300" s="1"/>
      <c r="N300" s="1"/>
      <c r="O300" s="1"/>
      <c r="P300" s="1"/>
      <c r="Q300" s="1"/>
      <c r="R300" s="1"/>
      <c r="S300" s="1"/>
      <c r="T300" s="1"/>
      <c r="U300" s="1"/>
      <c r="V300" s="1"/>
      <c r="W300" s="1"/>
      <c r="X300" s="1"/>
      <c r="Y300" s="1"/>
      <c r="Z300" s="1"/>
    </row>
    <row r="301" spans="1:26" ht="12.75" customHeight="1">
      <c r="A301" s="7"/>
      <c r="B301" s="7"/>
      <c r="C301" s="7"/>
      <c r="D301" s="17"/>
      <c r="E301" s="17"/>
      <c r="F301" s="17"/>
      <c r="G301" s="1"/>
      <c r="H301" s="1"/>
      <c r="I301" s="10"/>
      <c r="J301" s="1"/>
      <c r="K301" s="1"/>
      <c r="L301" s="1"/>
      <c r="M301" s="1"/>
      <c r="N301" s="1"/>
      <c r="O301" s="1"/>
      <c r="P301" s="1"/>
      <c r="Q301" s="1"/>
      <c r="R301" s="1"/>
      <c r="S301" s="1"/>
      <c r="T301" s="1"/>
      <c r="U301" s="1"/>
      <c r="V301" s="1"/>
      <c r="W301" s="1"/>
      <c r="X301" s="1"/>
      <c r="Y301" s="1"/>
      <c r="Z301" s="1"/>
    </row>
    <row r="302" spans="1:26" ht="12.75" customHeight="1">
      <c r="A302" s="7"/>
      <c r="B302" s="7"/>
      <c r="C302" s="9"/>
      <c r="D302" s="918" t="s">
        <v>452</v>
      </c>
      <c r="E302" s="893"/>
      <c r="F302" s="893"/>
      <c r="G302" s="1"/>
      <c r="H302" s="1"/>
      <c r="I302" s="10"/>
      <c r="J302" s="1"/>
      <c r="K302" s="1"/>
      <c r="L302" s="1"/>
      <c r="M302" s="1"/>
      <c r="N302" s="1"/>
      <c r="O302" s="1"/>
      <c r="P302" s="1"/>
      <c r="Q302" s="1"/>
      <c r="R302" s="1"/>
      <c r="S302" s="1"/>
      <c r="T302" s="1"/>
      <c r="U302" s="1"/>
      <c r="V302" s="1"/>
      <c r="W302" s="1"/>
      <c r="X302" s="1"/>
      <c r="Y302" s="1"/>
      <c r="Z302" s="1"/>
    </row>
    <row r="303" spans="1:26" ht="12.75" customHeight="1">
      <c r="A303" s="7"/>
      <c r="B303" s="7"/>
      <c r="C303" s="9"/>
      <c r="D303" s="893"/>
      <c r="E303" s="893"/>
      <c r="F303" s="893"/>
      <c r="G303" s="1"/>
      <c r="H303" s="1"/>
      <c r="I303" s="10"/>
      <c r="J303" s="1"/>
      <c r="K303" s="1"/>
      <c r="L303" s="1"/>
      <c r="M303" s="1"/>
      <c r="N303" s="1"/>
      <c r="O303" s="1"/>
      <c r="P303" s="1"/>
      <c r="Q303" s="1"/>
      <c r="R303" s="1"/>
      <c r="S303" s="1"/>
      <c r="T303" s="1"/>
      <c r="U303" s="1"/>
      <c r="V303" s="1"/>
      <c r="W303" s="1"/>
      <c r="X303" s="1"/>
      <c r="Y303" s="1"/>
      <c r="Z303" s="1"/>
    </row>
    <row r="304" spans="1:26" ht="12.75" customHeight="1">
      <c r="A304" s="16"/>
      <c r="B304" s="16"/>
      <c r="C304" s="16"/>
      <c r="D304" s="8"/>
      <c r="E304" s="1"/>
      <c r="F304" s="1"/>
      <c r="G304" s="1"/>
      <c r="H304" s="1"/>
      <c r="I304" s="10"/>
      <c r="J304" s="1"/>
      <c r="K304" s="1"/>
      <c r="L304" s="1"/>
      <c r="M304" s="1"/>
      <c r="N304" s="1"/>
      <c r="O304" s="1"/>
      <c r="P304" s="1"/>
      <c r="Q304" s="1"/>
      <c r="R304" s="1"/>
      <c r="S304" s="1"/>
      <c r="T304" s="1"/>
      <c r="U304" s="1"/>
      <c r="V304" s="1"/>
      <c r="W304" s="1"/>
      <c r="X304" s="1"/>
      <c r="Y304" s="1"/>
      <c r="Z304" s="1"/>
    </row>
    <row r="305" spans="1:26" ht="12.75" customHeight="1">
      <c r="A305" s="7"/>
      <c r="B305" s="7"/>
      <c r="C305" s="16"/>
      <c r="D305" s="914" t="s">
        <v>453</v>
      </c>
      <c r="E305" s="893"/>
      <c r="F305" s="893"/>
      <c r="G305" s="1"/>
      <c r="H305" s="1"/>
      <c r="I305" s="10"/>
      <c r="J305" s="1"/>
      <c r="K305" s="1"/>
      <c r="L305" s="1"/>
      <c r="M305" s="1"/>
      <c r="N305" s="1"/>
      <c r="O305" s="1"/>
      <c r="P305" s="1"/>
      <c r="Q305" s="1"/>
      <c r="R305" s="1"/>
      <c r="S305" s="1"/>
      <c r="T305" s="1"/>
      <c r="U305" s="1"/>
      <c r="V305" s="1"/>
      <c r="W305" s="1"/>
      <c r="X305" s="1"/>
      <c r="Y305" s="1"/>
      <c r="Z305" s="1"/>
    </row>
    <row r="306" spans="1:26" ht="15.75" customHeight="1">
      <c r="A306" s="20"/>
      <c r="B306" s="20"/>
      <c r="C306" s="7"/>
      <c r="D306" s="936" t="s">
        <v>454</v>
      </c>
      <c r="E306" s="893"/>
      <c r="F306" s="893"/>
      <c r="G306" s="1"/>
      <c r="H306" s="1"/>
      <c r="I306" s="10"/>
      <c r="J306" s="1"/>
      <c r="K306" s="1"/>
      <c r="L306" s="1"/>
      <c r="M306" s="1"/>
      <c r="N306" s="1"/>
      <c r="O306" s="1"/>
      <c r="P306" s="1"/>
      <c r="Q306" s="1"/>
      <c r="R306" s="1"/>
      <c r="S306" s="1"/>
      <c r="T306" s="1"/>
      <c r="U306" s="1"/>
      <c r="V306" s="1"/>
      <c r="W306" s="1"/>
      <c r="X306" s="1"/>
      <c r="Y306" s="1"/>
      <c r="Z306" s="1"/>
    </row>
    <row r="307" spans="1:26" ht="12.75" customHeight="1">
      <c r="A307" s="7"/>
      <c r="B307" s="7"/>
      <c r="C307" s="7"/>
      <c r="D307" s="1"/>
      <c r="E307" s="17"/>
      <c r="F307" s="17"/>
      <c r="G307" s="1"/>
      <c r="H307" s="1"/>
      <c r="I307" s="10"/>
      <c r="J307" s="1"/>
      <c r="K307" s="1"/>
      <c r="L307" s="1"/>
      <c r="M307" s="1"/>
      <c r="N307" s="1"/>
      <c r="O307" s="1"/>
      <c r="P307" s="1"/>
      <c r="Q307" s="1"/>
      <c r="R307" s="1"/>
      <c r="S307" s="1"/>
      <c r="T307" s="1"/>
      <c r="U307" s="1"/>
      <c r="V307" s="1"/>
      <c r="W307" s="1"/>
      <c r="X307" s="1"/>
      <c r="Y307" s="1"/>
      <c r="Z307" s="1"/>
    </row>
    <row r="308" spans="1:26" ht="12.75" customHeight="1">
      <c r="A308" s="20"/>
      <c r="B308" s="21" t="s">
        <v>27</v>
      </c>
      <c r="C308" s="7"/>
      <c r="D308" s="895" t="s">
        <v>456</v>
      </c>
      <c r="E308" s="893"/>
      <c r="F308" s="893"/>
      <c r="G308" s="1"/>
      <c r="H308" s="1"/>
      <c r="I308" s="10"/>
      <c r="J308" s="1"/>
      <c r="K308" s="1"/>
      <c r="L308" s="1"/>
      <c r="M308" s="1"/>
      <c r="N308" s="1"/>
      <c r="O308" s="1"/>
      <c r="P308" s="1"/>
      <c r="Q308" s="1"/>
      <c r="R308" s="1"/>
      <c r="S308" s="1"/>
      <c r="T308" s="1"/>
      <c r="U308" s="1"/>
      <c r="V308" s="1"/>
      <c r="W308" s="1"/>
      <c r="X308" s="1"/>
      <c r="Y308" s="1"/>
      <c r="Z308" s="1"/>
    </row>
    <row r="309" spans="1:26" ht="12.75" customHeight="1">
      <c r="A309" s="20"/>
      <c r="B309" s="20"/>
      <c r="C309" s="7"/>
      <c r="D309" s="893"/>
      <c r="E309" s="893"/>
      <c r="F309" s="893"/>
      <c r="G309" s="1"/>
      <c r="H309" s="1"/>
      <c r="I309" s="10"/>
      <c r="J309" s="1"/>
      <c r="K309" s="1"/>
      <c r="L309" s="1"/>
      <c r="M309" s="1"/>
      <c r="N309" s="1"/>
      <c r="O309" s="1"/>
      <c r="P309" s="1"/>
      <c r="Q309" s="1"/>
      <c r="R309" s="1"/>
      <c r="S309" s="1"/>
      <c r="T309" s="1"/>
      <c r="U309" s="1"/>
      <c r="V309" s="1"/>
      <c r="W309" s="1"/>
      <c r="X309" s="1"/>
      <c r="Y309" s="1"/>
      <c r="Z309" s="1"/>
    </row>
    <row r="310" spans="1:26" ht="12.75" customHeight="1">
      <c r="A310" s="7"/>
      <c r="B310" s="7"/>
      <c r="C310" s="7"/>
      <c r="D310" s="17"/>
      <c r="E310" s="17"/>
      <c r="F310" s="17"/>
      <c r="G310" s="1"/>
      <c r="H310" s="1"/>
      <c r="I310" s="10"/>
      <c r="J310" s="1"/>
      <c r="K310" s="1"/>
      <c r="L310" s="1"/>
      <c r="M310" s="1"/>
      <c r="N310" s="1"/>
      <c r="O310" s="1"/>
      <c r="P310" s="1"/>
      <c r="Q310" s="1"/>
      <c r="R310" s="1"/>
      <c r="S310" s="1"/>
      <c r="T310" s="1"/>
      <c r="U310" s="1"/>
      <c r="V310" s="1"/>
      <c r="W310" s="1"/>
      <c r="X310" s="1"/>
      <c r="Y310" s="1"/>
      <c r="Z310" s="1"/>
    </row>
    <row r="311" spans="1:26" ht="12.75" customHeight="1">
      <c r="A311" s="20"/>
      <c r="B311" s="21" t="s">
        <v>27</v>
      </c>
      <c r="C311" s="7"/>
      <c r="D311" s="895" t="s">
        <v>459</v>
      </c>
      <c r="E311" s="893"/>
      <c r="F311" s="893"/>
      <c r="G311" s="1"/>
      <c r="H311" s="1"/>
      <c r="I311" s="10"/>
      <c r="J311" s="1"/>
      <c r="K311" s="1"/>
      <c r="L311" s="1"/>
      <c r="M311" s="1"/>
      <c r="N311" s="1"/>
      <c r="O311" s="1"/>
      <c r="P311" s="1"/>
      <c r="Q311" s="1"/>
      <c r="R311" s="1"/>
      <c r="S311" s="1"/>
      <c r="T311" s="1"/>
      <c r="U311" s="1"/>
      <c r="V311" s="1"/>
      <c r="W311" s="1"/>
      <c r="X311" s="1"/>
      <c r="Y311" s="1"/>
      <c r="Z311" s="1"/>
    </row>
    <row r="312" spans="1:26" ht="12.75" customHeight="1">
      <c r="A312" s="20"/>
      <c r="B312" s="20"/>
      <c r="C312" s="7"/>
      <c r="D312" s="893"/>
      <c r="E312" s="893"/>
      <c r="F312" s="893"/>
      <c r="G312" s="1"/>
      <c r="H312" s="1"/>
      <c r="I312" s="10"/>
      <c r="J312" s="1"/>
      <c r="K312" s="1"/>
      <c r="L312" s="1"/>
      <c r="M312" s="1"/>
      <c r="N312" s="1"/>
      <c r="O312" s="1"/>
      <c r="P312" s="1"/>
      <c r="Q312" s="1"/>
      <c r="R312" s="1"/>
      <c r="S312" s="1"/>
      <c r="T312" s="1"/>
      <c r="U312" s="1"/>
      <c r="V312" s="1"/>
      <c r="W312" s="1"/>
      <c r="X312" s="1"/>
      <c r="Y312" s="1"/>
      <c r="Z312" s="1"/>
    </row>
    <row r="313" spans="1:26" ht="12.75" customHeight="1">
      <c r="A313" s="20"/>
      <c r="B313" s="20"/>
      <c r="C313" s="7"/>
      <c r="D313" s="893"/>
      <c r="E313" s="893"/>
      <c r="F313" s="893"/>
      <c r="G313" s="1"/>
      <c r="H313" s="1"/>
      <c r="I313" s="10"/>
      <c r="J313" s="1"/>
      <c r="K313" s="1"/>
      <c r="L313" s="1"/>
      <c r="M313" s="1"/>
      <c r="N313" s="1"/>
      <c r="O313" s="1"/>
      <c r="P313" s="1"/>
      <c r="Q313" s="1"/>
      <c r="R313" s="1"/>
      <c r="S313" s="1"/>
      <c r="T313" s="1"/>
      <c r="U313" s="1"/>
      <c r="V313" s="1"/>
      <c r="W313" s="1"/>
      <c r="X313" s="1"/>
      <c r="Y313" s="1"/>
      <c r="Z313" s="1"/>
    </row>
    <row r="314" spans="1:26" ht="12.75" customHeight="1">
      <c r="A314" s="7"/>
      <c r="B314" s="7"/>
      <c r="C314" s="7"/>
      <c r="D314" s="17"/>
      <c r="E314" s="17"/>
      <c r="F314" s="17"/>
      <c r="G314" s="1"/>
      <c r="H314" s="1"/>
      <c r="I314" s="10"/>
      <c r="J314" s="1"/>
      <c r="K314" s="1"/>
      <c r="L314" s="1"/>
      <c r="M314" s="1"/>
      <c r="N314" s="1"/>
      <c r="O314" s="1"/>
      <c r="P314" s="1"/>
      <c r="Q314" s="1"/>
      <c r="R314" s="1"/>
      <c r="S314" s="1"/>
      <c r="T314" s="1"/>
      <c r="U314" s="1"/>
      <c r="V314" s="1"/>
      <c r="W314" s="1"/>
      <c r="X314" s="1"/>
      <c r="Y314" s="1"/>
      <c r="Z314" s="1"/>
    </row>
    <row r="315" spans="1:26" ht="12.75" customHeight="1">
      <c r="A315" s="20"/>
      <c r="B315" s="21" t="s">
        <v>27</v>
      </c>
      <c r="C315" s="7"/>
      <c r="D315" s="895" t="s">
        <v>463</v>
      </c>
      <c r="E315" s="893"/>
      <c r="F315" s="893"/>
      <c r="G315" s="1"/>
      <c r="H315" s="1"/>
      <c r="I315" s="10"/>
      <c r="J315" s="1"/>
      <c r="K315" s="1"/>
      <c r="L315" s="1"/>
      <c r="M315" s="1"/>
      <c r="N315" s="1"/>
      <c r="O315" s="1"/>
      <c r="P315" s="1"/>
      <c r="Q315" s="1"/>
      <c r="R315" s="1"/>
      <c r="S315" s="1"/>
      <c r="T315" s="1"/>
      <c r="U315" s="1"/>
      <c r="V315" s="1"/>
      <c r="W315" s="1"/>
      <c r="X315" s="1"/>
      <c r="Y315" s="1"/>
      <c r="Z315" s="1"/>
    </row>
    <row r="316" spans="1:26" ht="12.75" customHeight="1">
      <c r="A316" s="20"/>
      <c r="B316" s="20"/>
      <c r="C316" s="7"/>
      <c r="D316" s="893"/>
      <c r="E316" s="893"/>
      <c r="F316" s="893"/>
      <c r="G316" s="1"/>
      <c r="H316" s="1"/>
      <c r="I316" s="10"/>
      <c r="J316" s="1"/>
      <c r="K316" s="1"/>
      <c r="L316" s="1"/>
      <c r="M316" s="1"/>
      <c r="N316" s="1"/>
      <c r="O316" s="1"/>
      <c r="P316" s="1"/>
      <c r="Q316" s="1"/>
      <c r="R316" s="1"/>
      <c r="S316" s="1"/>
      <c r="T316" s="1"/>
      <c r="U316" s="1"/>
      <c r="V316" s="1"/>
      <c r="W316" s="1"/>
      <c r="X316" s="1"/>
      <c r="Y316" s="1"/>
      <c r="Z316" s="1"/>
    </row>
    <row r="317" spans="1:26" ht="12.75" customHeight="1">
      <c r="A317" s="10"/>
      <c r="B317" s="10"/>
      <c r="C317" s="7"/>
      <c r="D317" s="1"/>
      <c r="E317" s="17"/>
      <c r="F317" s="17"/>
      <c r="G317" s="1"/>
      <c r="H317" s="1"/>
      <c r="I317" s="10"/>
      <c r="J317" s="1"/>
      <c r="K317" s="1"/>
      <c r="L317" s="1"/>
      <c r="M317" s="1"/>
      <c r="N317" s="1"/>
      <c r="O317" s="1"/>
      <c r="P317" s="1"/>
      <c r="Q317" s="1"/>
      <c r="R317" s="1"/>
      <c r="S317" s="1"/>
      <c r="T317" s="1"/>
      <c r="U317" s="1"/>
      <c r="V317" s="1"/>
      <c r="W317" s="1"/>
      <c r="X317" s="1"/>
      <c r="Y317" s="1"/>
      <c r="Z317" s="1"/>
    </row>
    <row r="318" spans="1:26" ht="12.75" customHeight="1">
      <c r="A318" s="920" t="s">
        <v>465</v>
      </c>
      <c r="B318" s="921"/>
      <c r="C318" s="921"/>
      <c r="D318" s="921"/>
      <c r="E318" s="921"/>
      <c r="F318" s="921"/>
      <c r="G318" s="921"/>
      <c r="H318" s="5"/>
      <c r="I318" s="39"/>
      <c r="J318" s="1"/>
      <c r="K318" s="1"/>
      <c r="L318" s="1"/>
      <c r="M318" s="1"/>
      <c r="N318" s="1"/>
      <c r="O318" s="1"/>
      <c r="P318" s="1"/>
      <c r="Q318" s="1"/>
      <c r="R318" s="1"/>
      <c r="S318" s="1"/>
      <c r="T318" s="1"/>
      <c r="U318" s="1"/>
      <c r="V318" s="1"/>
      <c r="W318" s="1"/>
      <c r="X318" s="1"/>
      <c r="Y318" s="1"/>
      <c r="Z318" s="1"/>
    </row>
    <row r="319" spans="1:26" ht="12.75" customHeight="1">
      <c r="A319" s="10"/>
      <c r="B319" s="10"/>
      <c r="C319" s="7"/>
      <c r="D319" s="17"/>
      <c r="E319" s="17"/>
      <c r="F319" s="17"/>
      <c r="G319" s="1"/>
      <c r="H319" s="1"/>
      <c r="I319" s="10"/>
      <c r="J319" s="1"/>
      <c r="K319" s="1"/>
      <c r="L319" s="1"/>
      <c r="M319" s="1"/>
      <c r="N319" s="1"/>
      <c r="O319" s="1"/>
      <c r="P319" s="1"/>
      <c r="Q319" s="1"/>
      <c r="R319" s="1"/>
      <c r="S319" s="1"/>
      <c r="T319" s="1"/>
      <c r="U319" s="1"/>
      <c r="V319" s="1"/>
      <c r="W319" s="1"/>
      <c r="X319" s="1"/>
      <c r="Y319" s="1"/>
      <c r="Z319" s="1"/>
    </row>
    <row r="320" spans="1:26" ht="12.75" customHeight="1">
      <c r="A320" s="7"/>
      <c r="B320" s="7"/>
      <c r="C320" s="10"/>
      <c r="D320" s="914" t="s">
        <v>467</v>
      </c>
      <c r="E320" s="893"/>
      <c r="F320" s="893"/>
      <c r="G320" s="1"/>
      <c r="H320" s="1"/>
      <c r="I320" s="10"/>
      <c r="J320" s="1"/>
      <c r="K320" s="1"/>
      <c r="L320" s="1"/>
      <c r="M320" s="1"/>
      <c r="N320" s="1"/>
      <c r="O320" s="1"/>
      <c r="P320" s="1"/>
      <c r="Q320" s="1"/>
      <c r="R320" s="1"/>
      <c r="S320" s="1"/>
      <c r="T320" s="1"/>
      <c r="U320" s="1"/>
      <c r="V320" s="1"/>
      <c r="W320" s="1"/>
      <c r="X320" s="1"/>
      <c r="Y320" s="1"/>
      <c r="Z320" s="1"/>
    </row>
    <row r="321" spans="1:26" ht="12.75" customHeight="1">
      <c r="A321" s="7"/>
      <c r="B321" s="7"/>
      <c r="C321" s="10"/>
      <c r="D321" s="915" t="s">
        <v>468</v>
      </c>
      <c r="E321" s="893"/>
      <c r="F321" s="893"/>
      <c r="G321" s="1"/>
      <c r="H321" s="1"/>
      <c r="I321" s="10"/>
      <c r="J321" s="1"/>
      <c r="K321" s="1"/>
      <c r="L321" s="1"/>
      <c r="M321" s="1"/>
      <c r="N321" s="1"/>
      <c r="O321" s="1"/>
      <c r="P321" s="1"/>
      <c r="Q321" s="1"/>
      <c r="R321" s="1"/>
      <c r="S321" s="1"/>
      <c r="T321" s="1"/>
      <c r="U321" s="1"/>
      <c r="V321" s="1"/>
      <c r="W321" s="1"/>
      <c r="X321" s="1"/>
      <c r="Y321" s="1"/>
      <c r="Z321" s="1"/>
    </row>
    <row r="322" spans="1:26" ht="12.75" customHeight="1">
      <c r="A322" s="7"/>
      <c r="B322" s="7"/>
      <c r="C322" s="10"/>
      <c r="D322" s="86"/>
      <c r="E322" s="1"/>
      <c r="F322" s="1"/>
      <c r="G322" s="1"/>
      <c r="H322" s="1"/>
      <c r="I322" s="10"/>
      <c r="J322" s="1"/>
      <c r="K322" s="1"/>
      <c r="L322" s="1"/>
      <c r="M322" s="1"/>
      <c r="N322" s="1"/>
      <c r="O322" s="1"/>
      <c r="P322" s="1"/>
      <c r="Q322" s="1"/>
      <c r="R322" s="1"/>
      <c r="S322" s="1"/>
      <c r="T322" s="1"/>
      <c r="U322" s="1"/>
      <c r="V322" s="1"/>
      <c r="W322" s="1"/>
      <c r="X322" s="1"/>
      <c r="Y322" s="1"/>
      <c r="Z322" s="1"/>
    </row>
    <row r="323" spans="1:26" ht="12.75" customHeight="1">
      <c r="A323" s="7"/>
      <c r="B323" s="21" t="s">
        <v>27</v>
      </c>
      <c r="C323" s="7"/>
      <c r="D323" s="915" t="s">
        <v>471</v>
      </c>
      <c r="E323" s="893"/>
      <c r="F323" s="893"/>
      <c r="G323" s="1"/>
      <c r="H323" s="1"/>
      <c r="I323" s="10"/>
      <c r="J323" s="1"/>
      <c r="K323" s="1"/>
      <c r="L323" s="1"/>
      <c r="M323" s="1"/>
      <c r="N323" s="1"/>
      <c r="O323" s="1"/>
      <c r="P323" s="1"/>
      <c r="Q323" s="1"/>
      <c r="R323" s="1"/>
      <c r="S323" s="1"/>
      <c r="T323" s="1"/>
      <c r="U323" s="1"/>
      <c r="V323" s="1"/>
      <c r="W323" s="1"/>
      <c r="X323" s="1"/>
      <c r="Y323" s="1"/>
      <c r="Z323" s="1"/>
    </row>
    <row r="324" spans="1:26" ht="12.75" customHeight="1">
      <c r="A324" s="20"/>
      <c r="B324" s="20"/>
      <c r="C324" s="7"/>
      <c r="D324" s="17"/>
      <c r="E324" s="17"/>
      <c r="F324" s="17"/>
      <c r="G324" s="1"/>
      <c r="H324" s="1"/>
      <c r="I324" s="10"/>
      <c r="J324" s="1"/>
      <c r="K324" s="1"/>
      <c r="L324" s="1"/>
      <c r="M324" s="1"/>
      <c r="N324" s="1"/>
      <c r="O324" s="1"/>
      <c r="P324" s="1"/>
      <c r="Q324" s="1"/>
      <c r="R324" s="1"/>
      <c r="S324" s="1"/>
      <c r="T324" s="1"/>
      <c r="U324" s="1"/>
      <c r="V324" s="1"/>
      <c r="W324" s="1"/>
      <c r="X324" s="1"/>
      <c r="Y324" s="1"/>
      <c r="Z324" s="1"/>
    </row>
    <row r="325" spans="1:26" ht="13.5" customHeight="1">
      <c r="A325" s="7"/>
      <c r="B325" s="21" t="s">
        <v>27</v>
      </c>
      <c r="C325" s="7"/>
      <c r="D325" s="895" t="s">
        <v>474</v>
      </c>
      <c r="E325" s="893"/>
      <c r="F325" s="893"/>
      <c r="G325" s="1"/>
      <c r="H325" s="1"/>
      <c r="I325" s="10"/>
      <c r="J325" s="1"/>
      <c r="K325" s="1"/>
      <c r="L325" s="1"/>
      <c r="M325" s="1"/>
      <c r="N325" s="1"/>
      <c r="O325" s="1"/>
      <c r="P325" s="1"/>
      <c r="Q325" s="1"/>
      <c r="R325" s="1"/>
      <c r="S325" s="1"/>
      <c r="T325" s="1"/>
      <c r="U325" s="1"/>
      <c r="V325" s="1"/>
      <c r="W325" s="1"/>
      <c r="X325" s="1"/>
      <c r="Y325" s="1"/>
      <c r="Z325" s="1"/>
    </row>
    <row r="326" spans="1:26" ht="12.75" customHeight="1">
      <c r="A326" s="20"/>
      <c r="B326" s="20"/>
      <c r="C326" s="7"/>
      <c r="D326" s="893"/>
      <c r="E326" s="893"/>
      <c r="F326" s="893"/>
      <c r="G326" s="1"/>
      <c r="H326" s="1"/>
      <c r="I326" s="10"/>
      <c r="J326" s="1"/>
      <c r="K326" s="1"/>
      <c r="L326" s="1"/>
      <c r="M326" s="1"/>
      <c r="N326" s="1"/>
      <c r="O326" s="1"/>
      <c r="P326" s="1"/>
      <c r="Q326" s="1"/>
      <c r="R326" s="1"/>
      <c r="S326" s="1"/>
      <c r="T326" s="1"/>
      <c r="U326" s="1"/>
      <c r="V326" s="1"/>
      <c r="W326" s="1"/>
      <c r="X326" s="1"/>
      <c r="Y326" s="1"/>
      <c r="Z326" s="1"/>
    </row>
    <row r="327" spans="1:26" ht="12.75" customHeight="1">
      <c r="A327" s="20"/>
      <c r="B327" s="20"/>
      <c r="C327" s="7"/>
      <c r="D327" s="893"/>
      <c r="E327" s="893"/>
      <c r="F327" s="893"/>
      <c r="G327" s="1"/>
      <c r="H327" s="1"/>
      <c r="I327" s="10"/>
      <c r="J327" s="1"/>
      <c r="K327" s="1"/>
      <c r="L327" s="1"/>
      <c r="M327" s="1"/>
      <c r="N327" s="1"/>
      <c r="O327" s="1"/>
      <c r="P327" s="1"/>
      <c r="Q327" s="1"/>
      <c r="R327" s="1"/>
      <c r="S327" s="1"/>
      <c r="T327" s="1"/>
      <c r="U327" s="1"/>
      <c r="V327" s="1"/>
      <c r="W327" s="1"/>
      <c r="X327" s="1"/>
      <c r="Y327" s="1"/>
      <c r="Z327" s="1"/>
    </row>
    <row r="328" spans="1:26" ht="12.75" customHeight="1">
      <c r="A328" s="20"/>
      <c r="B328" s="20"/>
      <c r="C328" s="7"/>
      <c r="D328" s="893"/>
      <c r="E328" s="893"/>
      <c r="F328" s="893"/>
      <c r="G328" s="1"/>
      <c r="H328" s="1"/>
      <c r="I328" s="10"/>
      <c r="J328" s="1"/>
      <c r="K328" s="1"/>
      <c r="L328" s="1"/>
      <c r="M328" s="1"/>
      <c r="N328" s="1"/>
      <c r="O328" s="1"/>
      <c r="P328" s="1"/>
      <c r="Q328" s="1"/>
      <c r="R328" s="1"/>
      <c r="S328" s="1"/>
      <c r="T328" s="1"/>
      <c r="U328" s="1"/>
      <c r="V328" s="1"/>
      <c r="W328" s="1"/>
      <c r="X328" s="1"/>
      <c r="Y328" s="1"/>
      <c r="Z328" s="1"/>
    </row>
    <row r="329" spans="1:26" ht="12.75" customHeight="1">
      <c r="A329" s="20"/>
      <c r="B329" s="20"/>
      <c r="C329" s="7"/>
      <c r="D329" s="893"/>
      <c r="E329" s="893"/>
      <c r="F329" s="893"/>
      <c r="G329" s="1"/>
      <c r="H329" s="1"/>
      <c r="I329" s="10"/>
      <c r="J329" s="1"/>
      <c r="K329" s="1"/>
      <c r="L329" s="1"/>
      <c r="M329" s="1"/>
      <c r="N329" s="1"/>
      <c r="O329" s="1"/>
      <c r="P329" s="1"/>
      <c r="Q329" s="1"/>
      <c r="R329" s="1"/>
      <c r="S329" s="1"/>
      <c r="T329" s="1"/>
      <c r="U329" s="1"/>
      <c r="V329" s="1"/>
      <c r="W329" s="1"/>
      <c r="X329" s="1"/>
      <c r="Y329" s="1"/>
      <c r="Z329" s="1"/>
    </row>
    <row r="330" spans="1:26" ht="12.75" customHeight="1">
      <c r="A330" s="20"/>
      <c r="B330" s="20"/>
      <c r="C330" s="7"/>
      <c r="D330" s="17"/>
      <c r="E330" s="17"/>
      <c r="F330" s="17"/>
      <c r="G330" s="1"/>
      <c r="H330" s="1"/>
      <c r="I330" s="10"/>
      <c r="J330" s="1"/>
      <c r="K330" s="1"/>
      <c r="L330" s="1"/>
      <c r="M330" s="1"/>
      <c r="N330" s="1"/>
      <c r="O330" s="1"/>
      <c r="P330" s="1"/>
      <c r="Q330" s="1"/>
      <c r="R330" s="1"/>
      <c r="S330" s="1"/>
      <c r="T330" s="1"/>
      <c r="U330" s="1"/>
      <c r="V330" s="1"/>
      <c r="W330" s="1"/>
      <c r="X330" s="1"/>
      <c r="Y330" s="1"/>
      <c r="Z330" s="1"/>
    </row>
    <row r="331" spans="1:26" ht="13.5" customHeight="1">
      <c r="A331" s="7"/>
      <c r="B331" s="21" t="s">
        <v>27</v>
      </c>
      <c r="C331" s="7"/>
      <c r="D331" s="895" t="s">
        <v>478</v>
      </c>
      <c r="E331" s="893"/>
      <c r="F331" s="893"/>
      <c r="G331" s="1"/>
      <c r="H331" s="1"/>
      <c r="I331" s="10"/>
      <c r="J331" s="1"/>
      <c r="K331" s="1"/>
      <c r="L331" s="1"/>
      <c r="M331" s="1"/>
      <c r="N331" s="1"/>
      <c r="O331" s="1"/>
      <c r="P331" s="1"/>
      <c r="Q331" s="1"/>
      <c r="R331" s="1"/>
      <c r="S331" s="1"/>
      <c r="T331" s="1"/>
      <c r="U331" s="1"/>
      <c r="V331" s="1"/>
      <c r="W331" s="1"/>
      <c r="X331" s="1"/>
      <c r="Y331" s="1"/>
      <c r="Z331" s="1"/>
    </row>
    <row r="332" spans="1:26" ht="12.75" customHeight="1">
      <c r="A332" s="7"/>
      <c r="B332" s="7"/>
      <c r="C332" s="7"/>
      <c r="D332" s="893"/>
      <c r="E332" s="893"/>
      <c r="F332" s="893"/>
      <c r="G332" s="1"/>
      <c r="H332" s="1"/>
      <c r="I332" s="10"/>
      <c r="J332" s="1"/>
      <c r="K332" s="1"/>
      <c r="L332" s="1"/>
      <c r="M332" s="1"/>
      <c r="N332" s="1"/>
      <c r="O332" s="1"/>
      <c r="P332" s="1"/>
      <c r="Q332" s="1"/>
      <c r="R332" s="1"/>
      <c r="S332" s="1"/>
      <c r="T332" s="1"/>
      <c r="U332" s="1"/>
      <c r="V332" s="1"/>
      <c r="W332" s="1"/>
      <c r="X332" s="1"/>
      <c r="Y332" s="1"/>
      <c r="Z332" s="1"/>
    </row>
    <row r="333" spans="1:26" ht="12.75" customHeight="1">
      <c r="A333" s="20"/>
      <c r="B333" s="20"/>
      <c r="C333" s="7"/>
      <c r="D333" s="17"/>
      <c r="E333" s="17"/>
      <c r="F333" s="17"/>
      <c r="G333" s="1"/>
      <c r="H333" s="1"/>
      <c r="I333" s="10"/>
      <c r="J333" s="1"/>
      <c r="K333" s="1"/>
      <c r="L333" s="1"/>
      <c r="M333" s="1"/>
      <c r="N333" s="1"/>
      <c r="O333" s="1"/>
      <c r="P333" s="1"/>
      <c r="Q333" s="1"/>
      <c r="R333" s="1"/>
      <c r="S333" s="1"/>
      <c r="T333" s="1"/>
      <c r="U333" s="1"/>
      <c r="V333" s="1"/>
      <c r="W333" s="1"/>
      <c r="X333" s="1"/>
      <c r="Y333" s="1"/>
      <c r="Z333" s="1"/>
    </row>
    <row r="334" spans="1:26" ht="12.75" customHeight="1">
      <c r="A334" s="7"/>
      <c r="B334" s="21" t="s">
        <v>27</v>
      </c>
      <c r="C334" s="7"/>
      <c r="D334" s="915" t="s">
        <v>480</v>
      </c>
      <c r="E334" s="893"/>
      <c r="F334" s="893"/>
      <c r="G334" s="1"/>
      <c r="H334" s="1"/>
      <c r="I334" s="10"/>
      <c r="J334" s="1"/>
      <c r="K334" s="1"/>
      <c r="L334" s="1"/>
      <c r="M334" s="1"/>
      <c r="N334" s="1"/>
      <c r="O334" s="1"/>
      <c r="P334" s="1"/>
      <c r="Q334" s="1"/>
      <c r="R334" s="1"/>
      <c r="S334" s="1"/>
      <c r="T334" s="1"/>
      <c r="U334" s="1"/>
      <c r="V334" s="1"/>
      <c r="W334" s="1"/>
      <c r="X334" s="1"/>
      <c r="Y334" s="1"/>
      <c r="Z334" s="1"/>
    </row>
    <row r="335" spans="1:26" ht="12.75" customHeight="1">
      <c r="A335" s="7"/>
      <c r="B335" s="7"/>
      <c r="C335" s="7"/>
      <c r="D335" s="1"/>
      <c r="E335" s="17"/>
      <c r="F335" s="17"/>
      <c r="G335" s="1"/>
      <c r="H335" s="1"/>
      <c r="I335" s="10"/>
      <c r="J335" s="1"/>
      <c r="K335" s="1"/>
      <c r="L335" s="1"/>
      <c r="M335" s="1"/>
      <c r="N335" s="1"/>
      <c r="O335" s="1"/>
      <c r="P335" s="1"/>
      <c r="Q335" s="1"/>
      <c r="R335" s="1"/>
      <c r="S335" s="1"/>
      <c r="T335" s="1"/>
      <c r="U335" s="1"/>
      <c r="V335" s="1"/>
      <c r="W335" s="1"/>
      <c r="X335" s="1"/>
      <c r="Y335" s="1"/>
      <c r="Z335" s="1"/>
    </row>
    <row r="336" spans="1:26" ht="12.75" customHeight="1">
      <c r="A336" s="20"/>
      <c r="B336" s="21" t="s">
        <v>27</v>
      </c>
      <c r="C336" s="7"/>
      <c r="D336" s="895" t="s">
        <v>483</v>
      </c>
      <c r="E336" s="893"/>
      <c r="F336" s="893"/>
      <c r="G336" s="1"/>
      <c r="H336" s="1"/>
      <c r="I336" s="10"/>
      <c r="J336" s="1"/>
      <c r="K336" s="1"/>
      <c r="L336" s="1"/>
      <c r="M336" s="1"/>
      <c r="N336" s="1"/>
      <c r="O336" s="1"/>
      <c r="P336" s="1"/>
      <c r="Q336" s="1"/>
      <c r="R336" s="1"/>
      <c r="S336" s="1"/>
      <c r="T336" s="1"/>
      <c r="U336" s="1"/>
      <c r="V336" s="1"/>
      <c r="W336" s="1"/>
      <c r="X336" s="1"/>
      <c r="Y336" s="1"/>
      <c r="Z336" s="1"/>
    </row>
    <row r="337" spans="1:26" ht="12.75" customHeight="1">
      <c r="A337" s="20"/>
      <c r="B337" s="20"/>
      <c r="C337" s="7"/>
      <c r="D337" s="893"/>
      <c r="E337" s="893"/>
      <c r="F337" s="893"/>
      <c r="G337" s="1"/>
      <c r="H337" s="1"/>
      <c r="I337" s="10"/>
      <c r="J337" s="1"/>
      <c r="K337" s="1"/>
      <c r="L337" s="1"/>
      <c r="M337" s="1"/>
      <c r="N337" s="1"/>
      <c r="O337" s="1"/>
      <c r="P337" s="1"/>
      <c r="Q337" s="1"/>
      <c r="R337" s="1"/>
      <c r="S337" s="1"/>
      <c r="T337" s="1"/>
      <c r="U337" s="1"/>
      <c r="V337" s="1"/>
      <c r="W337" s="1"/>
      <c r="X337" s="1"/>
      <c r="Y337" s="1"/>
      <c r="Z337" s="1"/>
    </row>
    <row r="338" spans="1:26" ht="12.75" customHeight="1">
      <c r="A338" s="20"/>
      <c r="B338" s="20"/>
      <c r="C338" s="7"/>
      <c r="D338" s="893"/>
      <c r="E338" s="893"/>
      <c r="F338" s="893"/>
      <c r="G338" s="1"/>
      <c r="H338" s="1"/>
      <c r="I338" s="10"/>
      <c r="J338" s="1"/>
      <c r="K338" s="1"/>
      <c r="L338" s="1"/>
      <c r="M338" s="1"/>
      <c r="N338" s="1"/>
      <c r="O338" s="1"/>
      <c r="P338" s="1"/>
      <c r="Q338" s="1"/>
      <c r="R338" s="1"/>
      <c r="S338" s="1"/>
      <c r="T338" s="1"/>
      <c r="U338" s="1"/>
      <c r="V338" s="1"/>
      <c r="W338" s="1"/>
      <c r="X338" s="1"/>
      <c r="Y338" s="1"/>
      <c r="Z338" s="1"/>
    </row>
    <row r="339" spans="1:26" ht="12.75" customHeight="1">
      <c r="A339" s="20"/>
      <c r="B339" s="20"/>
      <c r="C339" s="7"/>
      <c r="D339" s="893"/>
      <c r="E339" s="893"/>
      <c r="F339" s="893"/>
      <c r="G339" s="1"/>
      <c r="H339" s="1"/>
      <c r="I339" s="10"/>
      <c r="J339" s="1"/>
      <c r="K339" s="1"/>
      <c r="L339" s="1"/>
      <c r="M339" s="1"/>
      <c r="N339" s="1"/>
      <c r="O339" s="1"/>
      <c r="P339" s="1"/>
      <c r="Q339" s="1"/>
      <c r="R339" s="1"/>
      <c r="S339" s="1"/>
      <c r="T339" s="1"/>
      <c r="U339" s="1"/>
      <c r="V339" s="1"/>
      <c r="W339" s="1"/>
      <c r="X339" s="1"/>
      <c r="Y339" s="1"/>
      <c r="Z339" s="1"/>
    </row>
    <row r="340" spans="1:26" ht="12.75" customHeight="1">
      <c r="A340" s="20"/>
      <c r="B340" s="20"/>
      <c r="C340" s="7"/>
      <c r="D340" s="893"/>
      <c r="E340" s="893"/>
      <c r="F340" s="893"/>
      <c r="G340" s="1"/>
      <c r="H340" s="1"/>
      <c r="I340" s="10"/>
      <c r="J340" s="1"/>
      <c r="K340" s="1"/>
      <c r="L340" s="1"/>
      <c r="M340" s="1"/>
      <c r="N340" s="1"/>
      <c r="O340" s="1"/>
      <c r="P340" s="1"/>
      <c r="Q340" s="1"/>
      <c r="R340" s="1"/>
      <c r="S340" s="1"/>
      <c r="T340" s="1"/>
      <c r="U340" s="1"/>
      <c r="V340" s="1"/>
      <c r="W340" s="1"/>
      <c r="X340" s="1"/>
      <c r="Y340" s="1"/>
      <c r="Z340" s="1"/>
    </row>
    <row r="341" spans="1:26" ht="12.75" customHeight="1">
      <c r="A341" s="20"/>
      <c r="B341" s="20"/>
      <c r="C341" s="7"/>
      <c r="D341" s="893"/>
      <c r="E341" s="893"/>
      <c r="F341" s="893"/>
      <c r="G341" s="1"/>
      <c r="H341" s="1"/>
      <c r="I341" s="10"/>
      <c r="J341" s="1"/>
      <c r="K341" s="1"/>
      <c r="L341" s="1"/>
      <c r="M341" s="1"/>
      <c r="N341" s="1"/>
      <c r="O341" s="1"/>
      <c r="P341" s="1"/>
      <c r="Q341" s="1"/>
      <c r="R341" s="1"/>
      <c r="S341" s="1"/>
      <c r="T341" s="1"/>
      <c r="U341" s="1"/>
      <c r="V341" s="1"/>
      <c r="W341" s="1"/>
      <c r="X341" s="1"/>
      <c r="Y341" s="1"/>
      <c r="Z341" s="1"/>
    </row>
    <row r="342" spans="1:26" ht="12.75" customHeight="1">
      <c r="A342" s="20"/>
      <c r="B342" s="20"/>
      <c r="C342" s="7"/>
      <c r="D342" s="893"/>
      <c r="E342" s="893"/>
      <c r="F342" s="893"/>
      <c r="G342" s="1"/>
      <c r="H342" s="1"/>
      <c r="I342" s="10"/>
      <c r="J342" s="1"/>
      <c r="K342" s="1"/>
      <c r="L342" s="1"/>
      <c r="M342" s="1"/>
      <c r="N342" s="1"/>
      <c r="O342" s="1"/>
      <c r="P342" s="1"/>
      <c r="Q342" s="1"/>
      <c r="R342" s="1"/>
      <c r="S342" s="1"/>
      <c r="T342" s="1"/>
      <c r="U342" s="1"/>
      <c r="V342" s="1"/>
      <c r="W342" s="1"/>
      <c r="X342" s="1"/>
      <c r="Y342" s="1"/>
      <c r="Z342" s="1"/>
    </row>
    <row r="343" spans="1:26" ht="12.75" customHeight="1">
      <c r="A343" s="20"/>
      <c r="B343" s="20"/>
      <c r="C343" s="7"/>
      <c r="D343" s="893"/>
      <c r="E343" s="893"/>
      <c r="F343" s="893"/>
      <c r="G343" s="1"/>
      <c r="H343" s="1"/>
      <c r="I343" s="10"/>
      <c r="J343" s="1"/>
      <c r="K343" s="1"/>
      <c r="L343" s="1"/>
      <c r="M343" s="1"/>
      <c r="N343" s="1"/>
      <c r="O343" s="1"/>
      <c r="P343" s="1"/>
      <c r="Q343" s="1"/>
      <c r="R343" s="1"/>
      <c r="S343" s="1"/>
      <c r="T343" s="1"/>
      <c r="U343" s="1"/>
      <c r="V343" s="1"/>
      <c r="W343" s="1"/>
      <c r="X343" s="1"/>
      <c r="Y343" s="1"/>
      <c r="Z343" s="1"/>
    </row>
    <row r="344" spans="1:26" ht="12.75" customHeight="1">
      <c r="A344" s="20"/>
      <c r="B344" s="20"/>
      <c r="C344" s="7"/>
      <c r="D344" s="893"/>
      <c r="E344" s="893"/>
      <c r="F344" s="893"/>
      <c r="G344" s="1"/>
      <c r="H344" s="1"/>
      <c r="I344" s="10"/>
      <c r="J344" s="1"/>
      <c r="K344" s="1"/>
      <c r="L344" s="1"/>
      <c r="M344" s="1"/>
      <c r="N344" s="1"/>
      <c r="O344" s="1"/>
      <c r="P344" s="1"/>
      <c r="Q344" s="1"/>
      <c r="R344" s="1"/>
      <c r="S344" s="1"/>
      <c r="T344" s="1"/>
      <c r="U344" s="1"/>
      <c r="V344" s="1"/>
      <c r="W344" s="1"/>
      <c r="X344" s="1"/>
      <c r="Y344" s="1"/>
      <c r="Z344" s="1"/>
    </row>
    <row r="345" spans="1:26" ht="12.75" customHeight="1">
      <c r="A345" s="20"/>
      <c r="B345" s="20"/>
      <c r="C345" s="7"/>
      <c r="D345" s="893"/>
      <c r="E345" s="893"/>
      <c r="F345" s="893"/>
      <c r="G345" s="1"/>
      <c r="H345" s="1"/>
      <c r="I345" s="10"/>
      <c r="J345" s="1"/>
      <c r="K345" s="1"/>
      <c r="L345" s="1"/>
      <c r="M345" s="1"/>
      <c r="N345" s="1"/>
      <c r="O345" s="1"/>
      <c r="P345" s="1"/>
      <c r="Q345" s="1"/>
      <c r="R345" s="1"/>
      <c r="S345" s="1"/>
      <c r="T345" s="1"/>
      <c r="U345" s="1"/>
      <c r="V345" s="1"/>
      <c r="W345" s="1"/>
      <c r="X345" s="1"/>
      <c r="Y345" s="1"/>
      <c r="Z345" s="1"/>
    </row>
    <row r="346" spans="1:26" ht="12.75" customHeight="1">
      <c r="A346" s="20"/>
      <c r="B346" s="20"/>
      <c r="C346" s="7"/>
      <c r="D346" s="893"/>
      <c r="E346" s="893"/>
      <c r="F346" s="893"/>
      <c r="G346" s="1"/>
      <c r="H346" s="1"/>
      <c r="I346" s="10"/>
      <c r="J346" s="1"/>
      <c r="K346" s="1"/>
      <c r="L346" s="1"/>
      <c r="M346" s="1"/>
      <c r="N346" s="1"/>
      <c r="O346" s="1"/>
      <c r="P346" s="1"/>
      <c r="Q346" s="1"/>
      <c r="R346" s="1"/>
      <c r="S346" s="1"/>
      <c r="T346" s="1"/>
      <c r="U346" s="1"/>
      <c r="V346" s="1"/>
      <c r="W346" s="1"/>
      <c r="X346" s="1"/>
      <c r="Y346" s="1"/>
      <c r="Z346" s="1"/>
    </row>
    <row r="347" spans="1:26" ht="12.75" customHeight="1">
      <c r="A347" s="20"/>
      <c r="B347" s="20"/>
      <c r="C347" s="7"/>
      <c r="D347" s="893"/>
      <c r="E347" s="893"/>
      <c r="F347" s="893"/>
      <c r="G347" s="1"/>
      <c r="H347" s="1"/>
      <c r="I347" s="10"/>
      <c r="J347" s="1"/>
      <c r="K347" s="1"/>
      <c r="L347" s="1"/>
      <c r="M347" s="1"/>
      <c r="N347" s="1"/>
      <c r="O347" s="1"/>
      <c r="P347" s="1"/>
      <c r="Q347" s="1"/>
      <c r="R347" s="1"/>
      <c r="S347" s="1"/>
      <c r="T347" s="1"/>
      <c r="U347" s="1"/>
      <c r="V347" s="1"/>
      <c r="W347" s="1"/>
      <c r="X347" s="1"/>
      <c r="Y347" s="1"/>
      <c r="Z347" s="1"/>
    </row>
    <row r="348" spans="1:26" ht="12.75" customHeight="1">
      <c r="A348" s="20"/>
      <c r="B348" s="20"/>
      <c r="C348" s="7"/>
      <c r="D348" s="893"/>
      <c r="E348" s="893"/>
      <c r="F348" s="893"/>
      <c r="G348" s="1"/>
      <c r="H348" s="1"/>
      <c r="I348" s="10"/>
      <c r="J348" s="1"/>
      <c r="K348" s="1"/>
      <c r="L348" s="1"/>
      <c r="M348" s="1"/>
      <c r="N348" s="1"/>
      <c r="O348" s="1"/>
      <c r="P348" s="1"/>
      <c r="Q348" s="1"/>
      <c r="R348" s="1"/>
      <c r="S348" s="1"/>
      <c r="T348" s="1"/>
      <c r="U348" s="1"/>
      <c r="V348" s="1"/>
      <c r="W348" s="1"/>
      <c r="X348" s="1"/>
      <c r="Y348" s="1"/>
      <c r="Z348" s="1"/>
    </row>
    <row r="349" spans="1:26" ht="12.75" customHeight="1">
      <c r="A349" s="20"/>
      <c r="B349" s="20"/>
      <c r="C349" s="7"/>
      <c r="D349" s="893"/>
      <c r="E349" s="893"/>
      <c r="F349" s="893"/>
      <c r="G349" s="1"/>
      <c r="H349" s="1"/>
      <c r="I349" s="10"/>
      <c r="J349" s="1"/>
      <c r="K349" s="1"/>
      <c r="L349" s="1"/>
      <c r="M349" s="1"/>
      <c r="N349" s="1"/>
      <c r="O349" s="1"/>
      <c r="P349" s="1"/>
      <c r="Q349" s="1"/>
      <c r="R349" s="1"/>
      <c r="S349" s="1"/>
      <c r="T349" s="1"/>
      <c r="U349" s="1"/>
      <c r="V349" s="1"/>
      <c r="W349" s="1"/>
      <c r="X349" s="1"/>
      <c r="Y349" s="1"/>
      <c r="Z349" s="1"/>
    </row>
    <row r="350" spans="1:26" ht="12.75" customHeight="1">
      <c r="A350" s="20"/>
      <c r="B350" s="20"/>
      <c r="C350" s="7"/>
      <c r="D350" s="893"/>
      <c r="E350" s="893"/>
      <c r="F350" s="893"/>
      <c r="G350" s="1"/>
      <c r="H350" s="1"/>
      <c r="I350" s="10"/>
      <c r="J350" s="1"/>
      <c r="K350" s="1"/>
      <c r="L350" s="1"/>
      <c r="M350" s="1"/>
      <c r="N350" s="1"/>
      <c r="O350" s="1"/>
      <c r="P350" s="1"/>
      <c r="Q350" s="1"/>
      <c r="R350" s="1"/>
      <c r="S350" s="1"/>
      <c r="T350" s="1"/>
      <c r="U350" s="1"/>
      <c r="V350" s="1"/>
      <c r="W350" s="1"/>
      <c r="X350" s="1"/>
      <c r="Y350" s="1"/>
      <c r="Z350" s="1"/>
    </row>
    <row r="351" spans="1:26" ht="12.75" customHeight="1">
      <c r="A351" s="7"/>
      <c r="B351" s="7"/>
      <c r="C351" s="7"/>
      <c r="D351" s="17"/>
      <c r="E351" s="17"/>
      <c r="F351" s="17"/>
      <c r="G351" s="1"/>
      <c r="H351" s="1"/>
      <c r="I351" s="10"/>
      <c r="J351" s="1"/>
      <c r="K351" s="1"/>
      <c r="L351" s="1"/>
      <c r="M351" s="1"/>
      <c r="N351" s="1"/>
      <c r="O351" s="1"/>
      <c r="P351" s="1"/>
      <c r="Q351" s="1"/>
      <c r="R351" s="1"/>
      <c r="S351" s="1"/>
      <c r="T351" s="1"/>
      <c r="U351" s="1"/>
      <c r="V351" s="1"/>
      <c r="W351" s="1"/>
      <c r="X351" s="1"/>
      <c r="Y351" s="1"/>
      <c r="Z351" s="1"/>
    </row>
    <row r="352" spans="1:26" ht="12.75" customHeight="1">
      <c r="A352" s="20"/>
      <c r="B352" s="21" t="s">
        <v>27</v>
      </c>
      <c r="C352" s="7"/>
      <c r="D352" s="895" t="s">
        <v>488</v>
      </c>
      <c r="E352" s="893"/>
      <c r="F352" s="893"/>
      <c r="G352" s="1"/>
      <c r="H352" s="1"/>
      <c r="I352" s="10"/>
      <c r="J352" s="1"/>
      <c r="K352" s="1"/>
      <c r="L352" s="1"/>
      <c r="M352" s="1"/>
      <c r="N352" s="1"/>
      <c r="O352" s="1"/>
      <c r="P352" s="1"/>
      <c r="Q352" s="1"/>
      <c r="R352" s="1"/>
      <c r="S352" s="1"/>
      <c r="T352" s="1"/>
      <c r="U352" s="1"/>
      <c r="V352" s="1"/>
      <c r="W352" s="1"/>
      <c r="X352" s="1"/>
      <c r="Y352" s="1"/>
      <c r="Z352" s="1"/>
    </row>
    <row r="353" spans="1:26" ht="12.75" customHeight="1">
      <c r="A353" s="7"/>
      <c r="B353" s="7"/>
      <c r="C353" s="7"/>
      <c r="D353" s="893"/>
      <c r="E353" s="893"/>
      <c r="F353" s="893"/>
      <c r="G353" s="1"/>
      <c r="H353" s="1"/>
      <c r="I353" s="10"/>
      <c r="J353" s="1"/>
      <c r="K353" s="1"/>
      <c r="L353" s="1"/>
      <c r="M353" s="1"/>
      <c r="N353" s="1"/>
      <c r="O353" s="1"/>
      <c r="P353" s="1"/>
      <c r="Q353" s="1"/>
      <c r="R353" s="1"/>
      <c r="S353" s="1"/>
      <c r="T353" s="1"/>
      <c r="U353" s="1"/>
      <c r="V353" s="1"/>
      <c r="W353" s="1"/>
      <c r="X353" s="1"/>
      <c r="Y353" s="1"/>
      <c r="Z353" s="1"/>
    </row>
    <row r="354" spans="1:26" ht="12.75" customHeight="1">
      <c r="A354" s="7"/>
      <c r="B354" s="7"/>
      <c r="C354" s="7"/>
      <c r="D354" s="893"/>
      <c r="E354" s="893"/>
      <c r="F354" s="893"/>
      <c r="G354" s="1"/>
      <c r="H354" s="1"/>
      <c r="I354" s="10"/>
      <c r="J354" s="1"/>
      <c r="K354" s="1"/>
      <c r="L354" s="1"/>
      <c r="M354" s="1"/>
      <c r="N354" s="1"/>
      <c r="O354" s="1"/>
      <c r="P354" s="1"/>
      <c r="Q354" s="1"/>
      <c r="R354" s="1"/>
      <c r="S354" s="1"/>
      <c r="T354" s="1"/>
      <c r="U354" s="1"/>
      <c r="V354" s="1"/>
      <c r="W354" s="1"/>
      <c r="X354" s="1"/>
      <c r="Y354" s="1"/>
      <c r="Z354" s="1"/>
    </row>
    <row r="355" spans="1:26" ht="12.75" customHeight="1">
      <c r="A355" s="7"/>
      <c r="B355" s="7"/>
      <c r="C355" s="7"/>
      <c r="D355" s="893"/>
      <c r="E355" s="893"/>
      <c r="F355" s="893"/>
      <c r="G355" s="1"/>
      <c r="H355" s="1"/>
      <c r="I355" s="10"/>
      <c r="J355" s="1"/>
      <c r="K355" s="1"/>
      <c r="L355" s="1"/>
      <c r="M355" s="1"/>
      <c r="N355" s="1"/>
      <c r="O355" s="1"/>
      <c r="P355" s="1"/>
      <c r="Q355" s="1"/>
      <c r="R355" s="1"/>
      <c r="S355" s="1"/>
      <c r="T355" s="1"/>
      <c r="U355" s="1"/>
      <c r="V355" s="1"/>
      <c r="W355" s="1"/>
      <c r="X355" s="1"/>
      <c r="Y355" s="1"/>
      <c r="Z355" s="1"/>
    </row>
    <row r="356" spans="1:26" ht="12.75" customHeight="1">
      <c r="A356" s="7"/>
      <c r="B356" s="7"/>
      <c r="C356" s="7"/>
      <c r="D356" s="893"/>
      <c r="E356" s="893"/>
      <c r="F356" s="893"/>
      <c r="G356" s="1"/>
      <c r="H356" s="1"/>
      <c r="I356" s="10"/>
      <c r="J356" s="1"/>
      <c r="K356" s="1"/>
      <c r="L356" s="1"/>
      <c r="M356" s="1"/>
      <c r="N356" s="1"/>
      <c r="O356" s="1"/>
      <c r="P356" s="1"/>
      <c r="Q356" s="1"/>
      <c r="R356" s="1"/>
      <c r="S356" s="1"/>
      <c r="T356" s="1"/>
      <c r="U356" s="1"/>
      <c r="V356" s="1"/>
      <c r="W356" s="1"/>
      <c r="X356" s="1"/>
      <c r="Y356" s="1"/>
      <c r="Z356" s="1"/>
    </row>
    <row r="357" spans="1:26" ht="12.75" customHeight="1">
      <c r="A357" s="7"/>
      <c r="B357" s="7"/>
      <c r="C357" s="7"/>
      <c r="D357" s="893"/>
      <c r="E357" s="893"/>
      <c r="F357" s="893"/>
      <c r="G357" s="1"/>
      <c r="H357" s="1"/>
      <c r="I357" s="10"/>
      <c r="J357" s="1"/>
      <c r="K357" s="1"/>
      <c r="L357" s="1"/>
      <c r="M357" s="1"/>
      <c r="N357" s="1"/>
      <c r="O357" s="1"/>
      <c r="P357" s="1"/>
      <c r="Q357" s="1"/>
      <c r="R357" s="1"/>
      <c r="S357" s="1"/>
      <c r="T357" s="1"/>
      <c r="U357" s="1"/>
      <c r="V357" s="1"/>
      <c r="W357" s="1"/>
      <c r="X357" s="1"/>
      <c r="Y357" s="1"/>
      <c r="Z357" s="1"/>
    </row>
    <row r="358" spans="1:26" ht="12.75" customHeight="1">
      <c r="A358" s="7"/>
      <c r="B358" s="7"/>
      <c r="C358" s="7"/>
      <c r="D358" s="893"/>
      <c r="E358" s="893"/>
      <c r="F358" s="893"/>
      <c r="G358" s="1"/>
      <c r="H358" s="1"/>
      <c r="I358" s="10"/>
      <c r="J358" s="1"/>
      <c r="K358" s="1"/>
      <c r="L358" s="1"/>
      <c r="M358" s="1"/>
      <c r="N358" s="1"/>
      <c r="O358" s="1"/>
      <c r="P358" s="1"/>
      <c r="Q358" s="1"/>
      <c r="R358" s="1"/>
      <c r="S358" s="1"/>
      <c r="T358" s="1"/>
      <c r="U358" s="1"/>
      <c r="V358" s="1"/>
      <c r="W358" s="1"/>
      <c r="X358" s="1"/>
      <c r="Y358" s="1"/>
      <c r="Z358" s="1"/>
    </row>
    <row r="359" spans="1:26" ht="12.75" customHeight="1">
      <c r="A359" s="7"/>
      <c r="B359" s="7"/>
      <c r="C359" s="7"/>
      <c r="D359" s="893"/>
      <c r="E359" s="893"/>
      <c r="F359" s="893"/>
      <c r="G359" s="1"/>
      <c r="H359" s="1"/>
      <c r="I359" s="10"/>
      <c r="J359" s="1"/>
      <c r="K359" s="1"/>
      <c r="L359" s="1"/>
      <c r="M359" s="1"/>
      <c r="N359" s="1"/>
      <c r="O359" s="1"/>
      <c r="P359" s="1"/>
      <c r="Q359" s="1"/>
      <c r="R359" s="1"/>
      <c r="S359" s="1"/>
      <c r="T359" s="1"/>
      <c r="U359" s="1"/>
      <c r="V359" s="1"/>
      <c r="W359" s="1"/>
      <c r="X359" s="1"/>
      <c r="Y359" s="1"/>
      <c r="Z359" s="1"/>
    </row>
    <row r="360" spans="1:26" ht="12.75" customHeight="1">
      <c r="A360" s="7"/>
      <c r="B360" s="7"/>
      <c r="C360" s="7"/>
      <c r="D360" s="893"/>
      <c r="E360" s="893"/>
      <c r="F360" s="893"/>
      <c r="G360" s="1"/>
      <c r="H360" s="1"/>
      <c r="I360" s="10"/>
      <c r="J360" s="1"/>
      <c r="K360" s="1"/>
      <c r="L360" s="1"/>
      <c r="M360" s="1"/>
      <c r="N360" s="1"/>
      <c r="O360" s="1"/>
      <c r="P360" s="1"/>
      <c r="Q360" s="1"/>
      <c r="R360" s="1"/>
      <c r="S360" s="1"/>
      <c r="T360" s="1"/>
      <c r="U360" s="1"/>
      <c r="V360" s="1"/>
      <c r="W360" s="1"/>
      <c r="X360" s="1"/>
      <c r="Y360" s="1"/>
      <c r="Z360" s="1"/>
    </row>
    <row r="361" spans="1:26" ht="12.75" customHeight="1">
      <c r="A361" s="7"/>
      <c r="B361" s="7"/>
      <c r="C361" s="7"/>
      <c r="D361" s="17"/>
      <c r="E361" s="17"/>
      <c r="F361" s="17"/>
      <c r="G361" s="1"/>
      <c r="H361" s="1"/>
      <c r="I361" s="10"/>
      <c r="J361" s="1"/>
      <c r="K361" s="1"/>
      <c r="L361" s="1"/>
      <c r="M361" s="1"/>
      <c r="N361" s="1"/>
      <c r="O361" s="1"/>
      <c r="P361" s="1"/>
      <c r="Q361" s="1"/>
      <c r="R361" s="1"/>
      <c r="S361" s="1"/>
      <c r="T361" s="1"/>
      <c r="U361" s="1"/>
      <c r="V361" s="1"/>
      <c r="W361" s="1"/>
      <c r="X361" s="1"/>
      <c r="Y361" s="1"/>
      <c r="Z361" s="1"/>
    </row>
    <row r="362" spans="1:26" ht="14.25" customHeight="1">
      <c r="A362" s="20"/>
      <c r="B362" s="21" t="s">
        <v>27</v>
      </c>
      <c r="C362" s="7"/>
      <c r="D362" s="895" t="s">
        <v>491</v>
      </c>
      <c r="E362" s="893"/>
      <c r="F362" s="893"/>
      <c r="G362" s="1"/>
      <c r="H362" s="1"/>
      <c r="I362" s="10"/>
      <c r="J362" s="1"/>
      <c r="K362" s="1"/>
      <c r="L362" s="1"/>
      <c r="M362" s="1"/>
      <c r="N362" s="1"/>
      <c r="O362" s="1"/>
      <c r="P362" s="1"/>
      <c r="Q362" s="1"/>
      <c r="R362" s="1"/>
      <c r="S362" s="1"/>
      <c r="T362" s="1"/>
      <c r="U362" s="1"/>
      <c r="V362" s="1"/>
      <c r="W362" s="1"/>
      <c r="X362" s="1"/>
      <c r="Y362" s="1"/>
      <c r="Z362" s="1"/>
    </row>
    <row r="363" spans="1:26" ht="12.75" customHeight="1">
      <c r="A363" s="7"/>
      <c r="B363" s="7"/>
      <c r="C363" s="7"/>
      <c r="D363" s="893"/>
      <c r="E363" s="893"/>
      <c r="F363" s="893"/>
      <c r="G363" s="1"/>
      <c r="H363" s="1"/>
      <c r="I363" s="10"/>
      <c r="J363" s="1"/>
      <c r="K363" s="1"/>
      <c r="L363" s="1"/>
      <c r="M363" s="1"/>
      <c r="N363" s="1"/>
      <c r="O363" s="1"/>
      <c r="P363" s="1"/>
      <c r="Q363" s="1"/>
      <c r="R363" s="1"/>
      <c r="S363" s="1"/>
      <c r="T363" s="1"/>
      <c r="U363" s="1"/>
      <c r="V363" s="1"/>
      <c r="W363" s="1"/>
      <c r="X363" s="1"/>
      <c r="Y363" s="1"/>
      <c r="Z363" s="1"/>
    </row>
    <row r="364" spans="1:26" ht="12.75" customHeight="1">
      <c r="A364" s="7"/>
      <c r="B364" s="7"/>
      <c r="C364" s="7"/>
      <c r="D364" s="893"/>
      <c r="E364" s="893"/>
      <c r="F364" s="893"/>
      <c r="G364" s="1"/>
      <c r="H364" s="1"/>
      <c r="I364" s="10"/>
      <c r="J364" s="1"/>
      <c r="K364" s="1"/>
      <c r="L364" s="1"/>
      <c r="M364" s="1"/>
      <c r="N364" s="1"/>
      <c r="O364" s="1"/>
      <c r="P364" s="1"/>
      <c r="Q364" s="1"/>
      <c r="R364" s="1"/>
      <c r="S364" s="1"/>
      <c r="T364" s="1"/>
      <c r="U364" s="1"/>
      <c r="V364" s="1"/>
      <c r="W364" s="1"/>
      <c r="X364" s="1"/>
      <c r="Y364" s="1"/>
      <c r="Z364" s="1"/>
    </row>
    <row r="365" spans="1:26" ht="12.75" customHeight="1">
      <c r="A365" s="7"/>
      <c r="B365" s="7"/>
      <c r="C365" s="7"/>
      <c r="D365" s="893"/>
      <c r="E365" s="893"/>
      <c r="F365" s="893"/>
      <c r="G365" s="1"/>
      <c r="H365" s="1"/>
      <c r="I365" s="10"/>
      <c r="J365" s="1"/>
      <c r="K365" s="1"/>
      <c r="L365" s="1"/>
      <c r="M365" s="1"/>
      <c r="N365" s="1"/>
      <c r="O365" s="1"/>
      <c r="P365" s="1"/>
      <c r="Q365" s="1"/>
      <c r="R365" s="1"/>
      <c r="S365" s="1"/>
      <c r="T365" s="1"/>
      <c r="U365" s="1"/>
      <c r="V365" s="1"/>
      <c r="W365" s="1"/>
      <c r="X365" s="1"/>
      <c r="Y365" s="1"/>
      <c r="Z365" s="1"/>
    </row>
    <row r="366" spans="1:26" ht="12.75" customHeight="1">
      <c r="A366" s="7"/>
      <c r="B366" s="7"/>
      <c r="C366" s="7"/>
      <c r="D366" s="41" t="s">
        <v>379</v>
      </c>
      <c r="E366" s="4"/>
      <c r="F366" s="4"/>
      <c r="G366" s="1"/>
      <c r="H366" s="1"/>
      <c r="I366" s="10"/>
      <c r="J366" s="1"/>
      <c r="K366" s="1"/>
      <c r="L366" s="1"/>
      <c r="M366" s="1"/>
      <c r="N366" s="1"/>
      <c r="O366" s="1"/>
      <c r="P366" s="1"/>
      <c r="Q366" s="1"/>
      <c r="R366" s="1"/>
      <c r="S366" s="1"/>
      <c r="T366" s="1"/>
      <c r="U366" s="1"/>
      <c r="V366" s="1"/>
      <c r="W366" s="1"/>
      <c r="X366" s="1"/>
      <c r="Y366" s="1"/>
      <c r="Z366" s="1"/>
    </row>
    <row r="367" spans="1:26" ht="12.75" customHeight="1">
      <c r="A367" s="7"/>
      <c r="B367" s="7"/>
      <c r="C367" s="7"/>
      <c r="D367" s="4"/>
      <c r="E367" s="18" t="s">
        <v>495</v>
      </c>
      <c r="F367" s="1"/>
      <c r="G367" s="18"/>
      <c r="H367" s="1"/>
      <c r="I367" s="10"/>
      <c r="J367" s="1"/>
      <c r="K367" s="1"/>
      <c r="L367" s="1"/>
      <c r="M367" s="1"/>
      <c r="N367" s="1"/>
      <c r="O367" s="1"/>
      <c r="P367" s="1"/>
      <c r="Q367" s="1"/>
      <c r="R367" s="1"/>
      <c r="S367" s="1"/>
      <c r="T367" s="1"/>
      <c r="U367" s="1"/>
      <c r="V367" s="1"/>
      <c r="W367" s="1"/>
      <c r="X367" s="1"/>
      <c r="Y367" s="1"/>
      <c r="Z367" s="1"/>
    </row>
    <row r="368" spans="1:26" ht="12.75" customHeight="1">
      <c r="A368" s="7"/>
      <c r="B368" s="7"/>
      <c r="C368" s="7"/>
      <c r="D368" s="11"/>
      <c r="E368" s="11"/>
      <c r="F368" s="11"/>
      <c r="G368" s="1"/>
      <c r="H368" s="1"/>
      <c r="I368" s="10"/>
      <c r="J368" s="1"/>
      <c r="K368" s="1"/>
      <c r="L368" s="1"/>
      <c r="M368" s="1"/>
      <c r="N368" s="1"/>
      <c r="O368" s="1"/>
      <c r="P368" s="1"/>
      <c r="Q368" s="1"/>
      <c r="R368" s="1"/>
      <c r="S368" s="1"/>
      <c r="T368" s="1"/>
      <c r="U368" s="1"/>
      <c r="V368" s="1"/>
      <c r="W368" s="1"/>
      <c r="X368" s="1"/>
      <c r="Y368" s="1"/>
      <c r="Z368" s="1"/>
    </row>
    <row r="369" spans="1:26" ht="12.75" customHeight="1">
      <c r="A369" s="91"/>
      <c r="B369" s="91"/>
      <c r="C369" s="91"/>
      <c r="D369" s="933" t="s">
        <v>499</v>
      </c>
      <c r="E369" s="904"/>
      <c r="F369" s="904"/>
      <c r="G369" s="92"/>
      <c r="H369" s="92"/>
      <c r="I369" s="93"/>
      <c r="J369" s="1"/>
      <c r="K369" s="1"/>
      <c r="L369" s="1"/>
      <c r="M369" s="1"/>
      <c r="N369" s="1"/>
      <c r="O369" s="1"/>
      <c r="P369" s="1"/>
      <c r="Q369" s="1"/>
      <c r="R369" s="1"/>
      <c r="S369" s="1"/>
      <c r="T369" s="1"/>
      <c r="U369" s="1"/>
      <c r="V369" s="1"/>
      <c r="W369" s="1"/>
      <c r="X369" s="1"/>
      <c r="Y369" s="1"/>
      <c r="Z369" s="1"/>
    </row>
    <row r="370" spans="1:26" ht="12.75" customHeight="1">
      <c r="A370" s="7"/>
      <c r="B370" s="7"/>
      <c r="C370" s="7"/>
      <c r="D370" s="934" t="s">
        <v>500</v>
      </c>
      <c r="E370" s="935"/>
      <c r="F370" s="935"/>
      <c r="G370" s="1"/>
      <c r="H370" s="1"/>
      <c r="I370" s="10"/>
      <c r="J370" s="1"/>
      <c r="K370" s="1"/>
      <c r="L370" s="1"/>
      <c r="M370" s="1"/>
      <c r="N370" s="1"/>
      <c r="O370" s="1"/>
      <c r="P370" s="1"/>
      <c r="Q370" s="1"/>
      <c r="R370" s="1"/>
      <c r="S370" s="1"/>
      <c r="T370" s="1"/>
      <c r="U370" s="1"/>
      <c r="V370" s="1"/>
      <c r="W370" s="1"/>
      <c r="X370" s="1"/>
      <c r="Y370" s="1"/>
      <c r="Z370" s="1"/>
    </row>
    <row r="371" spans="1:26" ht="12.75" customHeight="1">
      <c r="A371" s="7"/>
      <c r="B371" s="7"/>
      <c r="C371" s="7"/>
      <c r="D371" s="17"/>
      <c r="E371" s="17"/>
      <c r="F371" s="17"/>
      <c r="G371" s="1"/>
      <c r="H371" s="1"/>
      <c r="I371" s="10"/>
      <c r="J371" s="1"/>
      <c r="K371" s="1"/>
      <c r="L371" s="1"/>
      <c r="M371" s="1"/>
      <c r="N371" s="1"/>
      <c r="O371" s="1"/>
      <c r="P371" s="1"/>
      <c r="Q371" s="1"/>
      <c r="R371" s="1"/>
      <c r="S371" s="1"/>
      <c r="T371" s="1"/>
      <c r="U371" s="1"/>
      <c r="V371" s="1"/>
      <c r="W371" s="1"/>
      <c r="X371" s="1"/>
      <c r="Y371" s="1"/>
      <c r="Z371" s="1"/>
    </row>
    <row r="372" spans="1:26" ht="12.75" customHeight="1">
      <c r="A372" s="1"/>
      <c r="B372" s="1"/>
      <c r="C372" s="1"/>
      <c r="D372" s="17"/>
      <c r="E372" s="17"/>
      <c r="F372" s="17"/>
      <c r="G372" s="1"/>
      <c r="H372" s="1"/>
      <c r="I372" s="10"/>
      <c r="J372" s="1"/>
      <c r="K372" s="1"/>
      <c r="L372" s="1"/>
      <c r="M372" s="1"/>
      <c r="N372" s="1"/>
      <c r="O372" s="1"/>
      <c r="P372" s="1"/>
      <c r="Q372" s="1"/>
      <c r="R372" s="1"/>
      <c r="S372" s="1"/>
      <c r="T372" s="1"/>
      <c r="U372" s="1"/>
      <c r="V372" s="1"/>
      <c r="W372" s="1"/>
      <c r="X372" s="1"/>
      <c r="Y372" s="1"/>
      <c r="Z372" s="1"/>
    </row>
    <row r="373" spans="1:26" ht="12.75" customHeight="1">
      <c r="A373" s="20"/>
      <c r="B373" s="21" t="s">
        <v>27</v>
      </c>
      <c r="C373" s="95"/>
      <c r="D373" s="915" t="s">
        <v>504</v>
      </c>
      <c r="E373" s="893"/>
      <c r="F373" s="893"/>
      <c r="G373" s="1"/>
      <c r="H373" s="1"/>
      <c r="I373" s="10"/>
      <c r="J373" s="1"/>
      <c r="K373" s="1"/>
      <c r="L373" s="1"/>
      <c r="M373" s="1"/>
      <c r="N373" s="1"/>
      <c r="O373" s="1"/>
      <c r="P373" s="1"/>
      <c r="Q373" s="1"/>
      <c r="R373" s="1"/>
      <c r="S373" s="1"/>
      <c r="T373" s="1"/>
      <c r="U373" s="1"/>
      <c r="V373" s="1"/>
      <c r="W373" s="1"/>
      <c r="X373" s="1"/>
      <c r="Y373" s="1"/>
      <c r="Z373" s="1"/>
    </row>
    <row r="374" spans="1:26" ht="12.75" customHeight="1">
      <c r="A374" s="7"/>
      <c r="B374" s="7"/>
      <c r="C374" s="7"/>
      <c r="D374" s="22"/>
      <c r="E374" s="18" t="s">
        <v>506</v>
      </c>
      <c r="F374" s="22"/>
      <c r="G374" s="1"/>
      <c r="H374" s="1"/>
      <c r="I374" s="10"/>
      <c r="J374" s="1"/>
      <c r="K374" s="1"/>
      <c r="L374" s="1"/>
      <c r="M374" s="1"/>
      <c r="N374" s="1"/>
      <c r="O374" s="1"/>
      <c r="P374" s="1"/>
      <c r="Q374" s="1"/>
      <c r="R374" s="1"/>
      <c r="S374" s="1"/>
      <c r="T374" s="1"/>
      <c r="U374" s="1"/>
      <c r="V374" s="1"/>
      <c r="W374" s="1"/>
      <c r="X374" s="1"/>
      <c r="Y374" s="1"/>
      <c r="Z374" s="1"/>
    </row>
    <row r="375" spans="1:26" ht="12.75" customHeight="1">
      <c r="A375" s="7"/>
      <c r="B375" s="7"/>
      <c r="C375" s="7"/>
      <c r="D375" s="895" t="s">
        <v>507</v>
      </c>
      <c r="E375" s="893"/>
      <c r="F375" s="893"/>
      <c r="G375" s="1"/>
      <c r="H375" s="1"/>
      <c r="I375" s="10"/>
      <c r="J375" s="1"/>
      <c r="K375" s="1"/>
      <c r="L375" s="1"/>
      <c r="M375" s="1"/>
      <c r="N375" s="1"/>
      <c r="O375" s="1"/>
      <c r="P375" s="1"/>
      <c r="Q375" s="1"/>
      <c r="R375" s="1"/>
      <c r="S375" s="1"/>
      <c r="T375" s="1"/>
      <c r="U375" s="1"/>
      <c r="V375" s="1"/>
      <c r="W375" s="1"/>
      <c r="X375" s="1"/>
      <c r="Y375" s="1"/>
      <c r="Z375" s="1"/>
    </row>
    <row r="376" spans="1:26" ht="12.75" customHeight="1">
      <c r="A376" s="7"/>
      <c r="B376" s="7"/>
      <c r="C376" s="7"/>
      <c r="D376" s="893"/>
      <c r="E376" s="893"/>
      <c r="F376" s="893"/>
      <c r="G376" s="1"/>
      <c r="H376" s="1"/>
      <c r="I376" s="10"/>
      <c r="J376" s="1"/>
      <c r="K376" s="1"/>
      <c r="L376" s="1"/>
      <c r="M376" s="1"/>
      <c r="N376" s="1"/>
      <c r="O376" s="1"/>
      <c r="P376" s="1"/>
      <c r="Q376" s="1"/>
      <c r="R376" s="1"/>
      <c r="S376" s="1"/>
      <c r="T376" s="1"/>
      <c r="U376" s="1"/>
      <c r="V376" s="1"/>
      <c r="W376" s="1"/>
      <c r="X376" s="1"/>
      <c r="Y376" s="1"/>
      <c r="Z376" s="1"/>
    </row>
    <row r="377" spans="1:26" ht="12.75" customHeight="1">
      <c r="A377" s="7"/>
      <c r="B377" s="7"/>
      <c r="C377" s="7"/>
      <c r="D377" s="893"/>
      <c r="E377" s="893"/>
      <c r="F377" s="893"/>
      <c r="G377" s="1"/>
      <c r="H377" s="1"/>
      <c r="I377" s="10"/>
      <c r="J377" s="1"/>
      <c r="K377" s="1"/>
      <c r="L377" s="1"/>
      <c r="M377" s="1"/>
      <c r="N377" s="1"/>
      <c r="O377" s="1"/>
      <c r="P377" s="1"/>
      <c r="Q377" s="1"/>
      <c r="R377" s="1"/>
      <c r="S377" s="1"/>
      <c r="T377" s="1"/>
      <c r="U377" s="1"/>
      <c r="V377" s="1"/>
      <c r="W377" s="1"/>
      <c r="X377" s="1"/>
      <c r="Y377" s="1"/>
      <c r="Z377" s="1"/>
    </row>
    <row r="378" spans="1:26" ht="12.75" customHeight="1">
      <c r="A378" s="20"/>
      <c r="B378" s="21" t="s">
        <v>27</v>
      </c>
      <c r="C378" s="1"/>
      <c r="D378" s="915" t="s">
        <v>510</v>
      </c>
      <c r="E378" s="893"/>
      <c r="F378" s="893"/>
      <c r="G378" s="1"/>
      <c r="H378" s="1"/>
      <c r="I378" s="7"/>
      <c r="J378" s="1"/>
      <c r="K378" s="1"/>
      <c r="L378" s="1"/>
      <c r="M378" s="1"/>
      <c r="N378" s="1"/>
      <c r="O378" s="1"/>
      <c r="P378" s="1"/>
      <c r="Q378" s="1"/>
      <c r="R378" s="1"/>
      <c r="S378" s="1"/>
      <c r="T378" s="1"/>
      <c r="U378" s="1"/>
      <c r="V378" s="1"/>
      <c r="W378" s="1"/>
      <c r="X378" s="1"/>
      <c r="Y378" s="1"/>
      <c r="Z378" s="1"/>
    </row>
    <row r="379" spans="1:26" ht="12.75" customHeight="1">
      <c r="A379" s="1"/>
      <c r="B379" s="1"/>
      <c r="C379" s="1"/>
      <c r="D379" s="17"/>
      <c r="E379" s="17"/>
      <c r="F379" s="17"/>
      <c r="G379" s="1"/>
      <c r="H379" s="1"/>
      <c r="I379" s="10"/>
      <c r="J379" s="1"/>
      <c r="K379" s="1"/>
      <c r="L379" s="1"/>
      <c r="M379" s="1"/>
      <c r="N379" s="1"/>
      <c r="O379" s="1"/>
      <c r="P379" s="1"/>
      <c r="Q379" s="1"/>
      <c r="R379" s="1"/>
      <c r="S379" s="1"/>
      <c r="T379" s="1"/>
      <c r="U379" s="1"/>
      <c r="V379" s="1"/>
      <c r="W379" s="1"/>
      <c r="X379" s="1"/>
      <c r="Y379" s="1"/>
      <c r="Z379" s="1"/>
    </row>
    <row r="380" spans="1:26" ht="12.75" customHeight="1">
      <c r="A380" s="1"/>
      <c r="B380" s="21" t="s">
        <v>27</v>
      </c>
      <c r="C380" s="1"/>
      <c r="D380" s="895" t="s">
        <v>512</v>
      </c>
      <c r="E380" s="893"/>
      <c r="F380" s="893"/>
      <c r="G380" s="1"/>
      <c r="H380" s="1"/>
      <c r="I380" s="10"/>
      <c r="J380" s="1"/>
      <c r="K380" s="1"/>
      <c r="L380" s="1"/>
      <c r="M380" s="1"/>
      <c r="N380" s="1"/>
      <c r="O380" s="1"/>
      <c r="P380" s="1"/>
      <c r="Q380" s="1"/>
      <c r="R380" s="1"/>
      <c r="S380" s="1"/>
      <c r="T380" s="1"/>
      <c r="U380" s="1"/>
      <c r="V380" s="1"/>
      <c r="W380" s="1"/>
      <c r="X380" s="1"/>
      <c r="Y380" s="1"/>
      <c r="Z380" s="1"/>
    </row>
    <row r="381" spans="1:26" ht="12.75" customHeight="1">
      <c r="A381" s="1"/>
      <c r="B381" s="1"/>
      <c r="C381" s="1"/>
      <c r="D381" s="893"/>
      <c r="E381" s="893"/>
      <c r="F381" s="893"/>
      <c r="G381" s="1"/>
      <c r="H381" s="1"/>
      <c r="I381" s="10"/>
      <c r="J381" s="1"/>
      <c r="K381" s="1"/>
      <c r="L381" s="1"/>
      <c r="M381" s="1"/>
      <c r="N381" s="1"/>
      <c r="O381" s="1"/>
      <c r="P381" s="1"/>
      <c r="Q381" s="1"/>
      <c r="R381" s="1"/>
      <c r="S381" s="1"/>
      <c r="T381" s="1"/>
      <c r="U381" s="1"/>
      <c r="V381" s="1"/>
      <c r="W381" s="1"/>
      <c r="X381" s="1"/>
      <c r="Y381" s="1"/>
      <c r="Z381" s="1"/>
    </row>
    <row r="382" spans="1:26" ht="12.75" customHeight="1">
      <c r="A382" s="1"/>
      <c r="B382" s="1"/>
      <c r="C382" s="1"/>
      <c r="D382" s="893"/>
      <c r="E382" s="893"/>
      <c r="F382" s="893"/>
      <c r="G382" s="1"/>
      <c r="H382" s="1"/>
      <c r="I382" s="10"/>
      <c r="J382" s="1"/>
      <c r="K382" s="1"/>
      <c r="L382" s="1"/>
      <c r="M382" s="1"/>
      <c r="N382" s="1"/>
      <c r="O382" s="1"/>
      <c r="P382" s="1"/>
      <c r="Q382" s="1"/>
      <c r="R382" s="1"/>
      <c r="S382" s="1"/>
      <c r="T382" s="1"/>
      <c r="U382" s="1"/>
      <c r="V382" s="1"/>
      <c r="W382" s="1"/>
      <c r="X382" s="1"/>
      <c r="Y382" s="1"/>
      <c r="Z382" s="1"/>
    </row>
    <row r="383" spans="1:26" ht="12.75" customHeight="1">
      <c r="A383" s="1"/>
      <c r="B383" s="1"/>
      <c r="C383" s="1"/>
      <c r="D383" s="893"/>
      <c r="E383" s="893"/>
      <c r="F383" s="893"/>
      <c r="G383" s="1"/>
      <c r="H383" s="1"/>
      <c r="I383" s="10"/>
      <c r="J383" s="1"/>
      <c r="K383" s="1"/>
      <c r="L383" s="1"/>
      <c r="M383" s="1"/>
      <c r="N383" s="1"/>
      <c r="O383" s="1"/>
      <c r="P383" s="1"/>
      <c r="Q383" s="1"/>
      <c r="R383" s="1"/>
      <c r="S383" s="1"/>
      <c r="T383" s="1"/>
      <c r="U383" s="1"/>
      <c r="V383" s="1"/>
      <c r="W383" s="1"/>
      <c r="X383" s="1"/>
      <c r="Y383" s="1"/>
      <c r="Z383" s="1"/>
    </row>
    <row r="384" spans="1:26" ht="12.75" customHeight="1">
      <c r="A384" s="1"/>
      <c r="B384" s="1"/>
      <c r="C384" s="1"/>
      <c r="D384" s="893"/>
      <c r="E384" s="893"/>
      <c r="F384" s="893"/>
      <c r="G384" s="1"/>
      <c r="H384" s="1"/>
      <c r="I384" s="10"/>
      <c r="J384" s="1"/>
      <c r="K384" s="1"/>
      <c r="L384" s="1"/>
      <c r="M384" s="1"/>
      <c r="N384" s="1"/>
      <c r="O384" s="1"/>
      <c r="P384" s="1"/>
      <c r="Q384" s="1"/>
      <c r="R384" s="1"/>
      <c r="S384" s="1"/>
      <c r="T384" s="1"/>
      <c r="U384" s="1"/>
      <c r="V384" s="1"/>
      <c r="W384" s="1"/>
      <c r="X384" s="1"/>
      <c r="Y384" s="1"/>
      <c r="Z384" s="1"/>
    </row>
    <row r="385" spans="1:26" ht="12.75" customHeight="1">
      <c r="A385" s="1"/>
      <c r="B385" s="1"/>
      <c r="C385" s="1"/>
      <c r="D385" s="893"/>
      <c r="E385" s="893"/>
      <c r="F385" s="893"/>
      <c r="G385" s="1"/>
      <c r="H385" s="1"/>
      <c r="I385" s="10"/>
      <c r="J385" s="1"/>
      <c r="K385" s="1"/>
      <c r="L385" s="1"/>
      <c r="M385" s="1"/>
      <c r="N385" s="1"/>
      <c r="O385" s="1"/>
      <c r="P385" s="1"/>
      <c r="Q385" s="1"/>
      <c r="R385" s="1"/>
      <c r="S385" s="1"/>
      <c r="T385" s="1"/>
      <c r="U385" s="1"/>
      <c r="V385" s="1"/>
      <c r="W385" s="1"/>
      <c r="X385" s="1"/>
      <c r="Y385" s="1"/>
      <c r="Z385" s="1"/>
    </row>
    <row r="386" spans="1:26" ht="12.75" customHeight="1">
      <c r="A386" s="1"/>
      <c r="B386" s="1"/>
      <c r="C386" s="1"/>
      <c r="D386" s="893"/>
      <c r="E386" s="893"/>
      <c r="F386" s="893"/>
      <c r="G386" s="1"/>
      <c r="H386" s="1"/>
      <c r="I386" s="10"/>
      <c r="J386" s="1"/>
      <c r="K386" s="1"/>
      <c r="L386" s="1"/>
      <c r="M386" s="1"/>
      <c r="N386" s="1"/>
      <c r="O386" s="1"/>
      <c r="P386" s="1"/>
      <c r="Q386" s="1"/>
      <c r="R386" s="1"/>
      <c r="S386" s="1"/>
      <c r="T386" s="1"/>
      <c r="U386" s="1"/>
      <c r="V386" s="1"/>
      <c r="W386" s="1"/>
      <c r="X386" s="1"/>
      <c r="Y386" s="1"/>
      <c r="Z386" s="1"/>
    </row>
    <row r="387" spans="1:26" ht="12.75" customHeight="1">
      <c r="A387" s="1"/>
      <c r="B387" s="1"/>
      <c r="C387" s="1"/>
      <c r="D387" s="893"/>
      <c r="E387" s="893"/>
      <c r="F387" s="893"/>
      <c r="G387" s="1"/>
      <c r="H387" s="1"/>
      <c r="I387" s="10"/>
      <c r="J387" s="1"/>
      <c r="K387" s="1"/>
      <c r="L387" s="1"/>
      <c r="M387" s="1"/>
      <c r="N387" s="1"/>
      <c r="O387" s="1"/>
      <c r="P387" s="1"/>
      <c r="Q387" s="1"/>
      <c r="R387" s="1"/>
      <c r="S387" s="1"/>
      <c r="T387" s="1"/>
      <c r="U387" s="1"/>
      <c r="V387" s="1"/>
      <c r="W387" s="1"/>
      <c r="X387" s="1"/>
      <c r="Y387" s="1"/>
      <c r="Z387" s="1"/>
    </row>
    <row r="388" spans="1:26" ht="12.75" customHeight="1">
      <c r="A388" s="1"/>
      <c r="B388" s="1"/>
      <c r="C388" s="1"/>
      <c r="D388" s="893"/>
      <c r="E388" s="893"/>
      <c r="F388" s="893"/>
      <c r="G388" s="1"/>
      <c r="H388" s="1"/>
      <c r="I388" s="10"/>
      <c r="J388" s="1"/>
      <c r="K388" s="1"/>
      <c r="L388" s="1"/>
      <c r="M388" s="1"/>
      <c r="N388" s="1"/>
      <c r="O388" s="1"/>
      <c r="P388" s="1"/>
      <c r="Q388" s="1"/>
      <c r="R388" s="1"/>
      <c r="S388" s="1"/>
      <c r="T388" s="1"/>
      <c r="U388" s="1"/>
      <c r="V388" s="1"/>
      <c r="W388" s="1"/>
      <c r="X388" s="1"/>
      <c r="Y388" s="1"/>
      <c r="Z388" s="1"/>
    </row>
    <row r="389" spans="1:26" ht="12.75" customHeight="1">
      <c r="A389" s="1"/>
      <c r="B389" s="1"/>
      <c r="C389" s="1"/>
      <c r="D389" s="893"/>
      <c r="E389" s="893"/>
      <c r="F389" s="893"/>
      <c r="G389" s="1"/>
      <c r="H389" s="1"/>
      <c r="I389" s="10"/>
      <c r="J389" s="1"/>
      <c r="K389" s="1"/>
      <c r="L389" s="1"/>
      <c r="M389" s="1"/>
      <c r="N389" s="1"/>
      <c r="O389" s="1"/>
      <c r="P389" s="1"/>
      <c r="Q389" s="1"/>
      <c r="R389" s="1"/>
      <c r="S389" s="1"/>
      <c r="T389" s="1"/>
      <c r="U389" s="1"/>
      <c r="V389" s="1"/>
      <c r="W389" s="1"/>
      <c r="X389" s="1"/>
      <c r="Y389" s="1"/>
      <c r="Z389" s="1"/>
    </row>
    <row r="390" spans="1:26" ht="12.75" customHeight="1">
      <c r="A390" s="1"/>
      <c r="B390" s="1"/>
      <c r="C390" s="1"/>
      <c r="D390" s="893"/>
      <c r="E390" s="893"/>
      <c r="F390" s="893"/>
      <c r="G390" s="1"/>
      <c r="H390" s="1"/>
      <c r="I390" s="10"/>
      <c r="J390" s="1"/>
      <c r="K390" s="1"/>
      <c r="L390" s="1"/>
      <c r="M390" s="1"/>
      <c r="N390" s="1"/>
      <c r="O390" s="1"/>
      <c r="P390" s="1"/>
      <c r="Q390" s="1"/>
      <c r="R390" s="1"/>
      <c r="S390" s="1"/>
      <c r="T390" s="1"/>
      <c r="U390" s="1"/>
      <c r="V390" s="1"/>
      <c r="W390" s="1"/>
      <c r="X390" s="1"/>
      <c r="Y390" s="1"/>
      <c r="Z390" s="1"/>
    </row>
    <row r="391" spans="1:26" ht="12.75" customHeight="1">
      <c r="A391" s="1"/>
      <c r="B391" s="1"/>
      <c r="C391" s="1"/>
      <c r="D391" s="893"/>
      <c r="E391" s="893"/>
      <c r="F391" s="893"/>
      <c r="G391" s="1"/>
      <c r="H391" s="1"/>
      <c r="I391" s="10"/>
      <c r="J391" s="1"/>
      <c r="K391" s="1"/>
      <c r="L391" s="1"/>
      <c r="M391" s="1"/>
      <c r="N391" s="1"/>
      <c r="O391" s="1"/>
      <c r="P391" s="1"/>
      <c r="Q391" s="1"/>
      <c r="R391" s="1"/>
      <c r="S391" s="1"/>
      <c r="T391" s="1"/>
      <c r="U391" s="1"/>
      <c r="V391" s="1"/>
      <c r="W391" s="1"/>
      <c r="X391" s="1"/>
      <c r="Y391" s="1"/>
      <c r="Z391" s="1"/>
    </row>
    <row r="392" spans="1:26" ht="12.75" customHeight="1">
      <c r="A392" s="1"/>
      <c r="B392" s="1"/>
      <c r="C392" s="1"/>
      <c r="D392" s="11"/>
      <c r="E392" s="11"/>
      <c r="F392" s="11"/>
      <c r="G392" s="1"/>
      <c r="H392" s="1"/>
      <c r="I392" s="10"/>
      <c r="J392" s="1"/>
      <c r="K392" s="1"/>
      <c r="L392" s="1"/>
      <c r="M392" s="1"/>
      <c r="N392" s="1"/>
      <c r="O392" s="1"/>
      <c r="P392" s="1"/>
      <c r="Q392" s="1"/>
      <c r="R392" s="1"/>
      <c r="S392" s="1"/>
      <c r="T392" s="1"/>
      <c r="U392" s="1"/>
      <c r="V392" s="1"/>
      <c r="W392" s="1"/>
      <c r="X392" s="1"/>
      <c r="Y392" s="1"/>
      <c r="Z392" s="1"/>
    </row>
    <row r="393" spans="1:26" ht="12" customHeight="1">
      <c r="A393" s="1"/>
      <c r="B393" s="21" t="s">
        <v>27</v>
      </c>
      <c r="C393" s="1"/>
      <c r="D393" s="910" t="s">
        <v>521</v>
      </c>
      <c r="E393" s="893"/>
      <c r="F393" s="893"/>
      <c r="G393" s="1"/>
      <c r="H393" s="1"/>
      <c r="I393" s="10"/>
      <c r="J393" s="1"/>
      <c r="K393" s="1"/>
      <c r="L393" s="1"/>
      <c r="M393" s="1"/>
      <c r="N393" s="1"/>
      <c r="O393" s="1"/>
      <c r="P393" s="1"/>
      <c r="Q393" s="1"/>
      <c r="R393" s="1"/>
      <c r="S393" s="1"/>
      <c r="T393" s="1"/>
      <c r="U393" s="1"/>
      <c r="V393" s="1"/>
      <c r="W393" s="1"/>
      <c r="X393" s="1"/>
      <c r="Y393" s="1"/>
      <c r="Z393" s="1"/>
    </row>
    <row r="394" spans="1:26" ht="12.75" customHeight="1">
      <c r="A394" s="1"/>
      <c r="B394" s="1"/>
      <c r="C394" s="1"/>
      <c r="D394" s="893"/>
      <c r="E394" s="893"/>
      <c r="F394" s="893"/>
      <c r="G394" s="1"/>
      <c r="H394" s="1"/>
      <c r="I394" s="10"/>
      <c r="J394" s="1"/>
      <c r="K394" s="1"/>
      <c r="L394" s="1"/>
      <c r="M394" s="1"/>
      <c r="N394" s="1"/>
      <c r="O394" s="1"/>
      <c r="P394" s="1"/>
      <c r="Q394" s="1"/>
      <c r="R394" s="1"/>
      <c r="S394" s="1"/>
      <c r="T394" s="1"/>
      <c r="U394" s="1"/>
      <c r="V394" s="1"/>
      <c r="W394" s="1"/>
      <c r="X394" s="1"/>
      <c r="Y394" s="1"/>
      <c r="Z394" s="1"/>
    </row>
    <row r="395" spans="1:26" ht="12.75" customHeight="1">
      <c r="A395" s="1"/>
      <c r="B395" s="1"/>
      <c r="C395" s="1"/>
      <c r="D395" s="893"/>
      <c r="E395" s="893"/>
      <c r="F395" s="893"/>
      <c r="G395" s="1"/>
      <c r="H395" s="1"/>
      <c r="I395" s="10"/>
      <c r="J395" s="1"/>
      <c r="K395" s="1"/>
      <c r="L395" s="1"/>
      <c r="M395" s="1"/>
      <c r="N395" s="1"/>
      <c r="O395" s="1"/>
      <c r="P395" s="1"/>
      <c r="Q395" s="1"/>
      <c r="R395" s="1"/>
      <c r="S395" s="1"/>
      <c r="T395" s="1"/>
      <c r="U395" s="1"/>
      <c r="V395" s="1"/>
      <c r="W395" s="1"/>
      <c r="X395" s="1"/>
      <c r="Y395" s="1"/>
      <c r="Z395" s="1"/>
    </row>
    <row r="396" spans="1:26" ht="12.75" customHeight="1">
      <c r="A396" s="1"/>
      <c r="B396" s="1"/>
      <c r="C396" s="1"/>
      <c r="D396" s="893"/>
      <c r="E396" s="893"/>
      <c r="F396" s="893"/>
      <c r="G396" s="1"/>
      <c r="H396" s="1"/>
      <c r="I396" s="10"/>
      <c r="J396" s="1"/>
      <c r="K396" s="1"/>
      <c r="L396" s="1"/>
      <c r="M396" s="1"/>
      <c r="N396" s="1"/>
      <c r="O396" s="1"/>
      <c r="P396" s="1"/>
      <c r="Q396" s="1"/>
      <c r="R396" s="1"/>
      <c r="S396" s="1"/>
      <c r="T396" s="1"/>
      <c r="U396" s="1"/>
      <c r="V396" s="1"/>
      <c r="W396" s="1"/>
      <c r="X396" s="1"/>
      <c r="Y396" s="1"/>
      <c r="Z396" s="1"/>
    </row>
    <row r="397" spans="1:26" ht="12.75" customHeight="1">
      <c r="A397" s="1"/>
      <c r="B397" s="1"/>
      <c r="C397" s="1"/>
      <c r="D397" s="4"/>
      <c r="E397" s="4"/>
      <c r="F397" s="4"/>
      <c r="G397" s="1"/>
      <c r="H397" s="1"/>
      <c r="I397" s="10"/>
      <c r="J397" s="1"/>
      <c r="K397" s="1"/>
      <c r="L397" s="1"/>
      <c r="M397" s="1"/>
      <c r="N397" s="1"/>
      <c r="O397" s="1"/>
      <c r="P397" s="1"/>
      <c r="Q397" s="1"/>
      <c r="R397" s="1"/>
      <c r="S397" s="1"/>
      <c r="T397" s="1"/>
      <c r="U397" s="1"/>
      <c r="V397" s="1"/>
      <c r="W397" s="1"/>
      <c r="X397" s="1"/>
      <c r="Y397" s="1"/>
      <c r="Z397" s="1"/>
    </row>
    <row r="398" spans="1:26" ht="12.75" customHeight="1">
      <c r="A398" s="1"/>
      <c r="B398" s="21" t="s">
        <v>27</v>
      </c>
      <c r="C398" s="1"/>
      <c r="D398" s="1" t="s">
        <v>524</v>
      </c>
      <c r="E398" s="4"/>
      <c r="F398" s="4"/>
      <c r="G398" s="1"/>
      <c r="H398" s="1"/>
      <c r="I398" s="10"/>
      <c r="J398" s="1"/>
      <c r="K398" s="1"/>
      <c r="L398" s="1"/>
      <c r="M398" s="1"/>
      <c r="N398" s="1"/>
      <c r="O398" s="1"/>
      <c r="P398" s="1"/>
      <c r="Q398" s="1"/>
      <c r="R398" s="1"/>
      <c r="S398" s="1"/>
      <c r="T398" s="1"/>
      <c r="U398" s="1"/>
      <c r="V398" s="1"/>
      <c r="W398" s="1"/>
      <c r="X398" s="1"/>
      <c r="Y398" s="1"/>
      <c r="Z398" s="1"/>
    </row>
    <row r="399" spans="1:26" ht="12.75" customHeight="1">
      <c r="A399" s="1"/>
      <c r="B399" s="1"/>
      <c r="C399" s="1"/>
      <c r="D399" s="1" t="s">
        <v>527</v>
      </c>
      <c r="E399" s="4"/>
      <c r="F399" s="4"/>
      <c r="G399" s="1"/>
      <c r="H399" s="1"/>
      <c r="I399" s="10"/>
      <c r="J399" s="1"/>
      <c r="K399" s="1"/>
      <c r="L399" s="1"/>
      <c r="M399" s="1"/>
      <c r="N399" s="1"/>
      <c r="O399" s="1"/>
      <c r="P399" s="1"/>
      <c r="Q399" s="1"/>
      <c r="R399" s="1"/>
      <c r="S399" s="1"/>
      <c r="T399" s="1"/>
      <c r="U399" s="1"/>
      <c r="V399" s="1"/>
      <c r="W399" s="1"/>
      <c r="X399" s="1"/>
      <c r="Y399" s="1"/>
      <c r="Z399" s="1"/>
    </row>
    <row r="400" spans="1:26" ht="12.75" customHeight="1">
      <c r="A400" s="1"/>
      <c r="B400" s="1"/>
      <c r="C400" s="1"/>
      <c r="D400" s="1" t="s">
        <v>528</v>
      </c>
      <c r="E400" s="4"/>
      <c r="F400" s="4"/>
      <c r="G400" s="1"/>
      <c r="H400" s="1"/>
      <c r="I400" s="10"/>
      <c r="J400" s="1"/>
      <c r="K400" s="1"/>
      <c r="L400" s="1"/>
      <c r="M400" s="1"/>
      <c r="N400" s="1"/>
      <c r="O400" s="1"/>
      <c r="P400" s="1"/>
      <c r="Q400" s="1"/>
      <c r="R400" s="1"/>
      <c r="S400" s="1"/>
      <c r="T400" s="1"/>
      <c r="U400" s="1"/>
      <c r="V400" s="1"/>
      <c r="W400" s="1"/>
      <c r="X400" s="1"/>
      <c r="Y400" s="1"/>
      <c r="Z400" s="1"/>
    </row>
    <row r="401" spans="1:26" ht="12.75" customHeight="1">
      <c r="A401" s="1"/>
      <c r="B401" s="1"/>
      <c r="C401" s="1"/>
      <c r="D401" s="1" t="s">
        <v>529</v>
      </c>
      <c r="E401" s="4"/>
      <c r="F401" s="4"/>
      <c r="G401" s="1"/>
      <c r="H401" s="1"/>
      <c r="I401" s="10"/>
      <c r="J401" s="1"/>
      <c r="K401" s="1"/>
      <c r="L401" s="1"/>
      <c r="M401" s="1"/>
      <c r="N401" s="1"/>
      <c r="O401" s="1"/>
      <c r="P401" s="1"/>
      <c r="Q401" s="1"/>
      <c r="R401" s="1"/>
      <c r="S401" s="1"/>
      <c r="T401" s="1"/>
      <c r="U401" s="1"/>
      <c r="V401" s="1"/>
      <c r="W401" s="1"/>
      <c r="X401" s="1"/>
      <c r="Y401" s="1"/>
      <c r="Z401" s="1"/>
    </row>
    <row r="402" spans="1:26" ht="12.75" customHeight="1">
      <c r="A402" s="1"/>
      <c r="B402" s="1"/>
      <c r="C402" s="1"/>
      <c r="D402" s="1" t="s">
        <v>531</v>
      </c>
      <c r="E402" s="4"/>
      <c r="F402" s="4"/>
      <c r="G402" s="1"/>
      <c r="H402" s="1"/>
      <c r="I402" s="10"/>
      <c r="J402" s="1"/>
      <c r="K402" s="1"/>
      <c r="L402" s="1"/>
      <c r="M402" s="1"/>
      <c r="N402" s="1"/>
      <c r="O402" s="1"/>
      <c r="P402" s="1"/>
      <c r="Q402" s="1"/>
      <c r="R402" s="1"/>
      <c r="S402" s="1"/>
      <c r="T402" s="1"/>
      <c r="U402" s="1"/>
      <c r="V402" s="1"/>
      <c r="W402" s="1"/>
      <c r="X402" s="1"/>
      <c r="Y402" s="1"/>
      <c r="Z402" s="1"/>
    </row>
    <row r="403" spans="1:26" ht="12.75" customHeight="1">
      <c r="A403" s="1"/>
      <c r="B403" s="1"/>
      <c r="C403" s="1"/>
      <c r="D403" s="1" t="s">
        <v>532</v>
      </c>
      <c r="E403" s="4"/>
      <c r="F403" s="4"/>
      <c r="G403" s="1"/>
      <c r="H403" s="1"/>
      <c r="I403" s="10"/>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7"/>
      <c r="F404" s="17"/>
      <c r="G404" s="1"/>
      <c r="H404" s="1"/>
      <c r="I404" s="10"/>
      <c r="J404" s="1"/>
      <c r="K404" s="1"/>
      <c r="L404" s="1"/>
      <c r="M404" s="1"/>
      <c r="N404" s="1"/>
      <c r="O404" s="1"/>
      <c r="P404" s="1"/>
      <c r="Q404" s="1"/>
      <c r="R404" s="1"/>
      <c r="S404" s="1"/>
      <c r="T404" s="1"/>
      <c r="U404" s="1"/>
      <c r="V404" s="1"/>
      <c r="W404" s="1"/>
      <c r="X404" s="1"/>
      <c r="Y404" s="1"/>
      <c r="Z404" s="1"/>
    </row>
    <row r="405" spans="1:26" ht="12.75" customHeight="1">
      <c r="A405" s="20"/>
      <c r="B405" s="21" t="s">
        <v>27</v>
      </c>
      <c r="C405" s="1"/>
      <c r="D405" s="895" t="s">
        <v>535</v>
      </c>
      <c r="E405" s="893"/>
      <c r="F405" s="893"/>
      <c r="G405" s="1"/>
      <c r="H405" s="1"/>
      <c r="I405" s="10"/>
      <c r="J405" s="1"/>
      <c r="K405" s="1"/>
      <c r="L405" s="1"/>
      <c r="M405" s="1"/>
      <c r="N405" s="1"/>
      <c r="O405" s="1"/>
      <c r="P405" s="1"/>
      <c r="Q405" s="1"/>
      <c r="R405" s="1"/>
      <c r="S405" s="1"/>
      <c r="T405" s="1"/>
      <c r="U405" s="1"/>
      <c r="V405" s="1"/>
      <c r="W405" s="1"/>
      <c r="X405" s="1"/>
      <c r="Y405" s="1"/>
      <c r="Z405" s="1"/>
    </row>
    <row r="406" spans="1:26" ht="12.75" customHeight="1">
      <c r="A406" s="1"/>
      <c r="B406" s="1"/>
      <c r="C406" s="1"/>
      <c r="D406" s="893"/>
      <c r="E406" s="893"/>
      <c r="F406" s="893"/>
      <c r="G406" s="1"/>
      <c r="H406" s="1"/>
      <c r="I406" s="10"/>
      <c r="J406" s="1"/>
      <c r="K406" s="1"/>
      <c r="L406" s="1"/>
      <c r="M406" s="1"/>
      <c r="N406" s="1"/>
      <c r="O406" s="1"/>
      <c r="P406" s="1"/>
      <c r="Q406" s="1"/>
      <c r="R406" s="1"/>
      <c r="S406" s="1"/>
      <c r="T406" s="1"/>
      <c r="U406" s="1"/>
      <c r="V406" s="1"/>
      <c r="W406" s="1"/>
      <c r="X406" s="1"/>
      <c r="Y406" s="1"/>
      <c r="Z406" s="1"/>
    </row>
    <row r="407" spans="1:26" ht="12.75" customHeight="1">
      <c r="A407" s="1"/>
      <c r="B407" s="1"/>
      <c r="C407" s="1"/>
      <c r="D407" s="893"/>
      <c r="E407" s="893"/>
      <c r="F407" s="893"/>
      <c r="G407" s="1"/>
      <c r="H407" s="1"/>
      <c r="I407" s="10"/>
      <c r="J407" s="1"/>
      <c r="K407" s="1"/>
      <c r="L407" s="1"/>
      <c r="M407" s="1"/>
      <c r="N407" s="1"/>
      <c r="O407" s="1"/>
      <c r="P407" s="1"/>
      <c r="Q407" s="1"/>
      <c r="R407" s="1"/>
      <c r="S407" s="1"/>
      <c r="T407" s="1"/>
      <c r="U407" s="1"/>
      <c r="V407" s="1"/>
      <c r="W407" s="1"/>
      <c r="X407" s="1"/>
      <c r="Y407" s="1"/>
      <c r="Z407" s="1"/>
    </row>
    <row r="408" spans="1:26" ht="12.75" customHeight="1">
      <c r="A408" s="1"/>
      <c r="B408" s="1"/>
      <c r="C408" s="1"/>
      <c r="D408" s="893"/>
      <c r="E408" s="893"/>
      <c r="F408" s="893"/>
      <c r="G408" s="1"/>
      <c r="H408" s="1"/>
      <c r="I408" s="10"/>
      <c r="J408" s="1"/>
      <c r="K408" s="1"/>
      <c r="L408" s="1"/>
      <c r="M408" s="1"/>
      <c r="N408" s="1"/>
      <c r="O408" s="1"/>
      <c r="P408" s="1"/>
      <c r="Q408" s="1"/>
      <c r="R408" s="1"/>
      <c r="S408" s="1"/>
      <c r="T408" s="1"/>
      <c r="U408" s="1"/>
      <c r="V408" s="1"/>
      <c r="W408" s="1"/>
      <c r="X408" s="1"/>
      <c r="Y408" s="1"/>
      <c r="Z408" s="1"/>
    </row>
    <row r="409" spans="1:26" ht="12.75" customHeight="1">
      <c r="A409" s="1"/>
      <c r="B409" s="1"/>
      <c r="C409" s="1"/>
      <c r="D409" s="17"/>
      <c r="E409" s="17"/>
      <c r="F409" s="17"/>
      <c r="G409" s="1"/>
      <c r="H409" s="1"/>
      <c r="I409" s="10"/>
      <c r="J409" s="1"/>
      <c r="K409" s="1"/>
      <c r="L409" s="1"/>
      <c r="M409" s="1"/>
      <c r="N409" s="1"/>
      <c r="O409" s="1"/>
      <c r="P409" s="1"/>
      <c r="Q409" s="1"/>
      <c r="R409" s="1"/>
      <c r="S409" s="1"/>
      <c r="T409" s="1"/>
      <c r="U409" s="1"/>
      <c r="V409" s="1"/>
      <c r="W409" s="1"/>
      <c r="X409" s="1"/>
      <c r="Y409" s="1"/>
      <c r="Z409" s="1"/>
    </row>
    <row r="410" spans="1:26" ht="12.75" customHeight="1">
      <c r="A410" s="1"/>
      <c r="B410" s="1"/>
      <c r="C410" s="1"/>
      <c r="D410" s="895" t="s">
        <v>538</v>
      </c>
      <c r="E410" s="893"/>
      <c r="F410" s="893"/>
      <c r="G410" s="1"/>
      <c r="H410" s="1"/>
      <c r="I410" s="10"/>
      <c r="J410" s="1"/>
      <c r="K410" s="1"/>
      <c r="L410" s="1"/>
      <c r="M410" s="1"/>
      <c r="N410" s="1"/>
      <c r="O410" s="1"/>
      <c r="P410" s="1"/>
      <c r="Q410" s="1"/>
      <c r="R410" s="1"/>
      <c r="S410" s="1"/>
      <c r="T410" s="1"/>
      <c r="U410" s="1"/>
      <c r="V410" s="1"/>
      <c r="W410" s="1"/>
      <c r="X410" s="1"/>
      <c r="Y410" s="1"/>
      <c r="Z410" s="1"/>
    </row>
    <row r="411" spans="1:26" ht="12.75" customHeight="1">
      <c r="A411" s="1"/>
      <c r="B411" s="1"/>
      <c r="C411" s="1"/>
      <c r="D411" s="893"/>
      <c r="E411" s="893"/>
      <c r="F411" s="893"/>
      <c r="G411" s="1"/>
      <c r="H411" s="1"/>
      <c r="I411" s="10"/>
      <c r="J411" s="1"/>
      <c r="K411" s="1"/>
      <c r="L411" s="1"/>
      <c r="M411" s="1"/>
      <c r="N411" s="1"/>
      <c r="O411" s="1"/>
      <c r="P411" s="1"/>
      <c r="Q411" s="1"/>
      <c r="R411" s="1"/>
      <c r="S411" s="1"/>
      <c r="T411" s="1"/>
      <c r="U411" s="1"/>
      <c r="V411" s="1"/>
      <c r="W411" s="1"/>
      <c r="X411" s="1"/>
      <c r="Y411" s="1"/>
      <c r="Z411" s="1"/>
    </row>
    <row r="412" spans="1:26" ht="12.75" customHeight="1">
      <c r="A412" s="1"/>
      <c r="B412" s="1"/>
      <c r="C412" s="1"/>
      <c r="D412" s="893"/>
      <c r="E412" s="893"/>
      <c r="F412" s="893"/>
      <c r="G412" s="1"/>
      <c r="H412" s="1"/>
      <c r="I412" s="10"/>
      <c r="J412" s="1"/>
      <c r="K412" s="1"/>
      <c r="L412" s="1"/>
      <c r="M412" s="1"/>
      <c r="N412" s="1"/>
      <c r="O412" s="1"/>
      <c r="P412" s="1"/>
      <c r="Q412" s="1"/>
      <c r="R412" s="1"/>
      <c r="S412" s="1"/>
      <c r="T412" s="1"/>
      <c r="U412" s="1"/>
      <c r="V412" s="1"/>
      <c r="W412" s="1"/>
      <c r="X412" s="1"/>
      <c r="Y412" s="1"/>
      <c r="Z412" s="1"/>
    </row>
    <row r="413" spans="1:26" ht="12.75" customHeight="1">
      <c r="A413" s="1"/>
      <c r="B413" s="1"/>
      <c r="C413" s="1"/>
      <c r="D413" s="893"/>
      <c r="E413" s="893"/>
      <c r="F413" s="893"/>
      <c r="G413" s="1"/>
      <c r="H413" s="1"/>
      <c r="I413" s="10"/>
      <c r="J413" s="1"/>
      <c r="K413" s="1"/>
      <c r="L413" s="1"/>
      <c r="M413" s="1"/>
      <c r="N413" s="1"/>
      <c r="O413" s="1"/>
      <c r="P413" s="1"/>
      <c r="Q413" s="1"/>
      <c r="R413" s="1"/>
      <c r="S413" s="1"/>
      <c r="T413" s="1"/>
      <c r="U413" s="1"/>
      <c r="V413" s="1"/>
      <c r="W413" s="1"/>
      <c r="X413" s="1"/>
      <c r="Y413" s="1"/>
      <c r="Z413" s="1"/>
    </row>
    <row r="414" spans="1:26" ht="18" customHeight="1">
      <c r="A414" s="1"/>
      <c r="B414" s="1"/>
      <c r="C414" s="1"/>
      <c r="D414" s="893"/>
      <c r="E414" s="893"/>
      <c r="F414" s="893"/>
      <c r="G414" s="1"/>
      <c r="H414" s="1"/>
      <c r="I414" s="10"/>
      <c r="J414" s="1"/>
      <c r="K414" s="1"/>
      <c r="L414" s="1"/>
      <c r="M414" s="1"/>
      <c r="N414" s="1"/>
      <c r="O414" s="1"/>
      <c r="P414" s="1"/>
      <c r="Q414" s="1"/>
      <c r="R414" s="1"/>
      <c r="S414" s="1"/>
      <c r="T414" s="1"/>
      <c r="U414" s="1"/>
      <c r="V414" s="1"/>
      <c r="W414" s="1"/>
      <c r="X414" s="1"/>
      <c r="Y414" s="1"/>
      <c r="Z414" s="1"/>
    </row>
    <row r="415" spans="1:26" ht="12.75" customHeight="1">
      <c r="A415" s="1"/>
      <c r="B415" s="1"/>
      <c r="C415" s="1"/>
      <c r="D415" s="893"/>
      <c r="E415" s="893"/>
      <c r="F415" s="893"/>
      <c r="G415" s="1"/>
      <c r="H415" s="1"/>
      <c r="I415" s="10"/>
      <c r="J415" s="1"/>
      <c r="K415" s="1"/>
      <c r="L415" s="1"/>
      <c r="M415" s="1"/>
      <c r="N415" s="1"/>
      <c r="O415" s="1"/>
      <c r="P415" s="1"/>
      <c r="Q415" s="1"/>
      <c r="R415" s="1"/>
      <c r="S415" s="1"/>
      <c r="T415" s="1"/>
      <c r="U415" s="1"/>
      <c r="V415" s="1"/>
      <c r="W415" s="1"/>
      <c r="X415" s="1"/>
      <c r="Y415" s="1"/>
      <c r="Z415" s="1"/>
    </row>
    <row r="416" spans="1:26" ht="12.75" customHeight="1">
      <c r="A416" s="1"/>
      <c r="B416" s="1"/>
      <c r="C416" s="1"/>
      <c r="D416" s="893"/>
      <c r="E416" s="893"/>
      <c r="F416" s="893"/>
      <c r="G416" s="1"/>
      <c r="H416" s="1"/>
      <c r="I416" s="10"/>
      <c r="J416" s="1"/>
      <c r="K416" s="1"/>
      <c r="L416" s="1"/>
      <c r="M416" s="1"/>
      <c r="N416" s="1"/>
      <c r="O416" s="1"/>
      <c r="P416" s="1"/>
      <c r="Q416" s="1"/>
      <c r="R416" s="1"/>
      <c r="S416" s="1"/>
      <c r="T416" s="1"/>
      <c r="U416" s="1"/>
      <c r="V416" s="1"/>
      <c r="W416" s="1"/>
      <c r="X416" s="1"/>
      <c r="Y416" s="1"/>
      <c r="Z416" s="1"/>
    </row>
    <row r="417" spans="1:26" ht="12.75" customHeight="1">
      <c r="A417" s="1"/>
      <c r="B417" s="1"/>
      <c r="C417" s="1"/>
      <c r="D417" s="893"/>
      <c r="E417" s="893"/>
      <c r="F417" s="893"/>
      <c r="G417" s="1"/>
      <c r="H417" s="1"/>
      <c r="I417" s="10"/>
      <c r="J417" s="1"/>
      <c r="K417" s="1"/>
      <c r="L417" s="1"/>
      <c r="M417" s="1"/>
      <c r="N417" s="1"/>
      <c r="O417" s="1"/>
      <c r="P417" s="1"/>
      <c r="Q417" s="1"/>
      <c r="R417" s="1"/>
      <c r="S417" s="1"/>
      <c r="T417" s="1"/>
      <c r="U417" s="1"/>
      <c r="V417" s="1"/>
      <c r="W417" s="1"/>
      <c r="X417" s="1"/>
      <c r="Y417" s="1"/>
      <c r="Z417" s="1"/>
    </row>
    <row r="418" spans="1:26" ht="8.25" customHeight="1">
      <c r="A418" s="1"/>
      <c r="B418" s="1"/>
      <c r="C418" s="1"/>
      <c r="D418" s="893"/>
      <c r="E418" s="893"/>
      <c r="F418" s="893"/>
      <c r="G418" s="1"/>
      <c r="H418" s="1"/>
      <c r="I418" s="10"/>
      <c r="J418" s="1"/>
      <c r="K418" s="1"/>
      <c r="L418" s="1"/>
      <c r="M418" s="1"/>
      <c r="N418" s="1"/>
      <c r="O418" s="1"/>
      <c r="P418" s="1"/>
      <c r="Q418" s="1"/>
      <c r="R418" s="1"/>
      <c r="S418" s="1"/>
      <c r="T418" s="1"/>
      <c r="U418" s="1"/>
      <c r="V418" s="1"/>
      <c r="W418" s="1"/>
      <c r="X418" s="1"/>
      <c r="Y418" s="1"/>
      <c r="Z418" s="1"/>
    </row>
    <row r="419" spans="1:26" ht="13.5" customHeight="1">
      <c r="A419" s="1"/>
      <c r="B419" s="1"/>
      <c r="C419" s="1"/>
      <c r="D419" s="895" t="s">
        <v>542</v>
      </c>
      <c r="E419" s="893"/>
      <c r="F419" s="893"/>
      <c r="G419" s="1"/>
      <c r="H419" s="1"/>
      <c r="I419" s="10"/>
      <c r="J419" s="1"/>
      <c r="K419" s="1"/>
      <c r="L419" s="1"/>
      <c r="M419" s="1"/>
      <c r="N419" s="1"/>
      <c r="O419" s="1"/>
      <c r="P419" s="1"/>
      <c r="Q419" s="1"/>
      <c r="R419" s="1"/>
      <c r="S419" s="1"/>
      <c r="T419" s="1"/>
      <c r="U419" s="1"/>
      <c r="V419" s="1"/>
      <c r="W419" s="1"/>
      <c r="X419" s="1"/>
      <c r="Y419" s="1"/>
      <c r="Z419" s="1"/>
    </row>
    <row r="420" spans="1:26" ht="12.75" customHeight="1">
      <c r="A420" s="1"/>
      <c r="B420" s="1"/>
      <c r="C420" s="1"/>
      <c r="D420" s="893"/>
      <c r="E420" s="893"/>
      <c r="F420" s="893"/>
      <c r="G420" s="1"/>
      <c r="H420" s="1"/>
      <c r="I420" s="10"/>
      <c r="J420" s="1"/>
      <c r="K420" s="1"/>
      <c r="L420" s="1"/>
      <c r="M420" s="1"/>
      <c r="N420" s="1"/>
      <c r="O420" s="1"/>
      <c r="P420" s="1"/>
      <c r="Q420" s="1"/>
      <c r="R420" s="1"/>
      <c r="S420" s="1"/>
      <c r="T420" s="1"/>
      <c r="U420" s="1"/>
      <c r="V420" s="1"/>
      <c r="W420" s="1"/>
      <c r="X420" s="1"/>
      <c r="Y420" s="1"/>
      <c r="Z420" s="1"/>
    </row>
    <row r="421" spans="1:26" ht="12.75" customHeight="1">
      <c r="A421" s="1"/>
      <c r="B421" s="1"/>
      <c r="C421" s="1"/>
      <c r="D421" s="893"/>
      <c r="E421" s="893"/>
      <c r="F421" s="893"/>
      <c r="G421" s="1"/>
      <c r="H421" s="1"/>
      <c r="I421" s="10"/>
      <c r="J421" s="1"/>
      <c r="K421" s="1"/>
      <c r="L421" s="1"/>
      <c r="M421" s="1"/>
      <c r="N421" s="1"/>
      <c r="O421" s="1"/>
      <c r="P421" s="1"/>
      <c r="Q421" s="1"/>
      <c r="R421" s="1"/>
      <c r="S421" s="1"/>
      <c r="T421" s="1"/>
      <c r="U421" s="1"/>
      <c r="V421" s="1"/>
      <c r="W421" s="1"/>
      <c r="X421" s="1"/>
      <c r="Y421" s="1"/>
      <c r="Z421" s="1"/>
    </row>
    <row r="422" spans="1:26" ht="12.75" customHeight="1">
      <c r="A422" s="1"/>
      <c r="B422" s="1"/>
      <c r="C422" s="1"/>
      <c r="D422" s="893"/>
      <c r="E422" s="893"/>
      <c r="F422" s="893"/>
      <c r="G422" s="1"/>
      <c r="H422" s="1"/>
      <c r="I422" s="10"/>
      <c r="J422" s="1"/>
      <c r="K422" s="1"/>
      <c r="L422" s="1"/>
      <c r="M422" s="1"/>
      <c r="N422" s="1"/>
      <c r="O422" s="1"/>
      <c r="P422" s="1"/>
      <c r="Q422" s="1"/>
      <c r="R422" s="1"/>
      <c r="S422" s="1"/>
      <c r="T422" s="1"/>
      <c r="U422" s="1"/>
      <c r="V422" s="1"/>
      <c r="W422" s="1"/>
      <c r="X422" s="1"/>
      <c r="Y422" s="1"/>
      <c r="Z422" s="1"/>
    </row>
    <row r="423" spans="1:26" ht="12.75" customHeight="1">
      <c r="A423" s="1"/>
      <c r="B423" s="1"/>
      <c r="C423" s="1"/>
      <c r="D423" s="893"/>
      <c r="E423" s="893"/>
      <c r="F423" s="893"/>
      <c r="G423" s="1"/>
      <c r="H423" s="1"/>
      <c r="I423" s="10"/>
      <c r="J423" s="1"/>
      <c r="K423" s="1"/>
      <c r="L423" s="1"/>
      <c r="M423" s="1"/>
      <c r="N423" s="1"/>
      <c r="O423" s="1"/>
      <c r="P423" s="1"/>
      <c r="Q423" s="1"/>
      <c r="R423" s="1"/>
      <c r="S423" s="1"/>
      <c r="T423" s="1"/>
      <c r="U423" s="1"/>
      <c r="V423" s="1"/>
      <c r="W423" s="1"/>
      <c r="X423" s="1"/>
      <c r="Y423" s="1"/>
      <c r="Z423" s="1"/>
    </row>
    <row r="424" spans="1:26" ht="12.75" customHeight="1">
      <c r="A424" s="1"/>
      <c r="B424" s="1"/>
      <c r="C424" s="1"/>
      <c r="D424" s="893"/>
      <c r="E424" s="893"/>
      <c r="F424" s="893"/>
      <c r="G424" s="1"/>
      <c r="H424" s="1"/>
      <c r="I424" s="10"/>
      <c r="J424" s="1"/>
      <c r="K424" s="1"/>
      <c r="L424" s="1"/>
      <c r="M424" s="1"/>
      <c r="N424" s="1"/>
      <c r="O424" s="1"/>
      <c r="P424" s="1"/>
      <c r="Q424" s="1"/>
      <c r="R424" s="1"/>
      <c r="S424" s="1"/>
      <c r="T424" s="1"/>
      <c r="U424" s="1"/>
      <c r="V424" s="1"/>
      <c r="W424" s="1"/>
      <c r="X424" s="1"/>
      <c r="Y424" s="1"/>
      <c r="Z424" s="1"/>
    </row>
    <row r="425" spans="1:26" ht="12.75" customHeight="1">
      <c r="A425" s="1"/>
      <c r="B425" s="1"/>
      <c r="C425" s="1"/>
      <c r="D425" s="893"/>
      <c r="E425" s="893"/>
      <c r="F425" s="893"/>
      <c r="G425" s="1"/>
      <c r="H425" s="1"/>
      <c r="I425" s="10"/>
      <c r="J425" s="1"/>
      <c r="K425" s="1"/>
      <c r="L425" s="1"/>
      <c r="M425" s="1"/>
      <c r="N425" s="1"/>
      <c r="O425" s="1"/>
      <c r="P425" s="1"/>
      <c r="Q425" s="1"/>
      <c r="R425" s="1"/>
      <c r="S425" s="1"/>
      <c r="T425" s="1"/>
      <c r="U425" s="1"/>
      <c r="V425" s="1"/>
      <c r="W425" s="1"/>
      <c r="X425" s="1"/>
      <c r="Y425" s="1"/>
      <c r="Z425" s="1"/>
    </row>
    <row r="426" spans="1:26" ht="12.75" customHeight="1">
      <c r="A426" s="1"/>
      <c r="B426" s="1"/>
      <c r="C426" s="1"/>
      <c r="D426" s="893"/>
      <c r="E426" s="893"/>
      <c r="F426" s="893"/>
      <c r="G426" s="1"/>
      <c r="H426" s="1"/>
      <c r="I426" s="10"/>
      <c r="J426" s="1"/>
      <c r="K426" s="1"/>
      <c r="L426" s="1"/>
      <c r="M426" s="1"/>
      <c r="N426" s="1"/>
      <c r="O426" s="1"/>
      <c r="P426" s="1"/>
      <c r="Q426" s="1"/>
      <c r="R426" s="1"/>
      <c r="S426" s="1"/>
      <c r="T426" s="1"/>
      <c r="U426" s="1"/>
      <c r="V426" s="1"/>
      <c r="W426" s="1"/>
      <c r="X426" s="1"/>
      <c r="Y426" s="1"/>
      <c r="Z426" s="1"/>
    </row>
    <row r="427" spans="1:26" ht="12.75" customHeight="1">
      <c r="A427" s="1"/>
      <c r="B427" s="1"/>
      <c r="C427" s="1"/>
      <c r="D427" s="893"/>
      <c r="E427" s="893"/>
      <c r="F427" s="893"/>
      <c r="G427" s="1"/>
      <c r="H427" s="1"/>
      <c r="I427" s="10"/>
      <c r="J427" s="1"/>
      <c r="K427" s="1"/>
      <c r="L427" s="1"/>
      <c r="M427" s="1"/>
      <c r="N427" s="1"/>
      <c r="O427" s="1"/>
      <c r="P427" s="1"/>
      <c r="Q427" s="1"/>
      <c r="R427" s="1"/>
      <c r="S427" s="1"/>
      <c r="T427" s="1"/>
      <c r="U427" s="1"/>
      <c r="V427" s="1"/>
      <c r="W427" s="1"/>
      <c r="X427" s="1"/>
      <c r="Y427" s="1"/>
      <c r="Z427" s="1"/>
    </row>
    <row r="428" spans="1:26" ht="12.75" customHeight="1">
      <c r="A428" s="1"/>
      <c r="B428" s="1"/>
      <c r="C428" s="1"/>
      <c r="D428" s="893"/>
      <c r="E428" s="893"/>
      <c r="F428" s="893"/>
      <c r="G428" s="1"/>
      <c r="H428" s="1"/>
      <c r="I428" s="10"/>
      <c r="J428" s="1"/>
      <c r="K428" s="1"/>
      <c r="L428" s="1"/>
      <c r="M428" s="1"/>
      <c r="N428" s="1"/>
      <c r="O428" s="1"/>
      <c r="P428" s="1"/>
      <c r="Q428" s="1"/>
      <c r="R428" s="1"/>
      <c r="S428" s="1"/>
      <c r="T428" s="1"/>
      <c r="U428" s="1"/>
      <c r="V428" s="1"/>
      <c r="W428" s="1"/>
      <c r="X428" s="1"/>
      <c r="Y428" s="1"/>
      <c r="Z428" s="1"/>
    </row>
    <row r="429" spans="1:26" ht="12.75" customHeight="1">
      <c r="A429" s="1"/>
      <c r="B429" s="1"/>
      <c r="C429" s="1"/>
      <c r="D429" s="893"/>
      <c r="E429" s="893"/>
      <c r="F429" s="893"/>
      <c r="G429" s="1"/>
      <c r="H429" s="1"/>
      <c r="I429" s="10"/>
      <c r="J429" s="1"/>
      <c r="K429" s="1"/>
      <c r="L429" s="1"/>
      <c r="M429" s="1"/>
      <c r="N429" s="1"/>
      <c r="O429" s="1"/>
      <c r="P429" s="1"/>
      <c r="Q429" s="1"/>
      <c r="R429" s="1"/>
      <c r="S429" s="1"/>
      <c r="T429" s="1"/>
      <c r="U429" s="1"/>
      <c r="V429" s="1"/>
      <c r="W429" s="1"/>
      <c r="X429" s="1"/>
      <c r="Y429" s="1"/>
      <c r="Z429" s="1"/>
    </row>
    <row r="430" spans="1:26" ht="12.75" customHeight="1">
      <c r="A430" s="1"/>
      <c r="B430" s="1"/>
      <c r="C430" s="1"/>
      <c r="D430" s="893"/>
      <c r="E430" s="893"/>
      <c r="F430" s="893"/>
      <c r="G430" s="1"/>
      <c r="H430" s="1"/>
      <c r="I430" s="10"/>
      <c r="J430" s="1"/>
      <c r="K430" s="1"/>
      <c r="L430" s="1"/>
      <c r="M430" s="1"/>
      <c r="N430" s="1"/>
      <c r="O430" s="1"/>
      <c r="P430" s="1"/>
      <c r="Q430" s="1"/>
      <c r="R430" s="1"/>
      <c r="S430" s="1"/>
      <c r="T430" s="1"/>
      <c r="U430" s="1"/>
      <c r="V430" s="1"/>
      <c r="W430" s="1"/>
      <c r="X430" s="1"/>
      <c r="Y430" s="1"/>
      <c r="Z430" s="1"/>
    </row>
    <row r="431" spans="1:26" ht="12.75" customHeight="1">
      <c r="A431" s="1"/>
      <c r="B431" s="1"/>
      <c r="C431" s="95"/>
      <c r="D431" s="893"/>
      <c r="E431" s="893"/>
      <c r="F431" s="893"/>
      <c r="G431" s="1"/>
      <c r="H431" s="1"/>
      <c r="I431" s="10"/>
      <c r="J431" s="1"/>
      <c r="K431" s="1"/>
      <c r="L431" s="1"/>
      <c r="M431" s="1"/>
      <c r="N431" s="1"/>
      <c r="O431" s="1"/>
      <c r="P431" s="1"/>
      <c r="Q431" s="1"/>
      <c r="R431" s="1"/>
      <c r="S431" s="1"/>
      <c r="T431" s="1"/>
      <c r="U431" s="1"/>
      <c r="V431" s="1"/>
      <c r="W431" s="1"/>
      <c r="X431" s="1"/>
      <c r="Y431" s="1"/>
      <c r="Z431" s="1"/>
    </row>
    <row r="432" spans="1:26" ht="12.75" customHeight="1">
      <c r="A432" s="1"/>
      <c r="B432" s="1"/>
      <c r="C432" s="95"/>
      <c r="D432" s="893"/>
      <c r="E432" s="893"/>
      <c r="F432" s="893"/>
      <c r="G432" s="1"/>
      <c r="H432" s="1"/>
      <c r="I432" s="10"/>
      <c r="J432" s="1"/>
      <c r="K432" s="1"/>
      <c r="L432" s="1"/>
      <c r="M432" s="1"/>
      <c r="N432" s="1"/>
      <c r="O432" s="1"/>
      <c r="P432" s="1"/>
      <c r="Q432" s="1"/>
      <c r="R432" s="1"/>
      <c r="S432" s="1"/>
      <c r="T432" s="1"/>
      <c r="U432" s="1"/>
      <c r="V432" s="1"/>
      <c r="W432" s="1"/>
      <c r="X432" s="1"/>
      <c r="Y432" s="1"/>
      <c r="Z432" s="1"/>
    </row>
    <row r="433" spans="1:26" ht="12.75" customHeight="1">
      <c r="A433" s="1"/>
      <c r="B433" s="1"/>
      <c r="C433" s="1"/>
      <c r="D433" s="893"/>
      <c r="E433" s="893"/>
      <c r="F433" s="893"/>
      <c r="G433" s="1"/>
      <c r="H433" s="1"/>
      <c r="I433" s="10"/>
      <c r="J433" s="1"/>
      <c r="K433" s="1"/>
      <c r="L433" s="1"/>
      <c r="M433" s="1"/>
      <c r="N433" s="1"/>
      <c r="O433" s="1"/>
      <c r="P433" s="1"/>
      <c r="Q433" s="1"/>
      <c r="R433" s="1"/>
      <c r="S433" s="1"/>
      <c r="T433" s="1"/>
      <c r="U433" s="1"/>
      <c r="V433" s="1"/>
      <c r="W433" s="1"/>
      <c r="X433" s="1"/>
      <c r="Y433" s="1"/>
      <c r="Z433" s="1"/>
    </row>
    <row r="434" spans="1:26" ht="12.75" customHeight="1">
      <c r="A434" s="1"/>
      <c r="B434" s="1"/>
      <c r="C434" s="95"/>
      <c r="D434" s="893"/>
      <c r="E434" s="893"/>
      <c r="F434" s="893"/>
      <c r="G434" s="1"/>
      <c r="H434" s="1"/>
      <c r="I434" s="10"/>
      <c r="J434" s="1"/>
      <c r="K434" s="1"/>
      <c r="L434" s="1"/>
      <c r="M434" s="1"/>
      <c r="N434" s="1"/>
      <c r="O434" s="1"/>
      <c r="P434" s="1"/>
      <c r="Q434" s="1"/>
      <c r="R434" s="1"/>
      <c r="S434" s="1"/>
      <c r="T434" s="1"/>
      <c r="U434" s="1"/>
      <c r="V434" s="1"/>
      <c r="W434" s="1"/>
      <c r="X434" s="1"/>
      <c r="Y434" s="1"/>
      <c r="Z434" s="1"/>
    </row>
    <row r="435" spans="1:26" ht="12.75" customHeight="1">
      <c r="A435" s="1"/>
      <c r="B435" s="1"/>
      <c r="C435" s="95"/>
      <c r="D435" s="893"/>
      <c r="E435" s="893"/>
      <c r="F435" s="893"/>
      <c r="G435" s="1"/>
      <c r="H435" s="1"/>
      <c r="I435" s="10"/>
      <c r="J435" s="1"/>
      <c r="K435" s="1"/>
      <c r="L435" s="1"/>
      <c r="M435" s="1"/>
      <c r="N435" s="1"/>
      <c r="O435" s="1"/>
      <c r="P435" s="1"/>
      <c r="Q435" s="1"/>
      <c r="R435" s="1"/>
      <c r="S435" s="1"/>
      <c r="T435" s="1"/>
      <c r="U435" s="1"/>
      <c r="V435" s="1"/>
      <c r="W435" s="1"/>
      <c r="X435" s="1"/>
      <c r="Y435" s="1"/>
      <c r="Z435" s="1"/>
    </row>
    <row r="436" spans="1:26" ht="12.75" customHeight="1">
      <c r="A436" s="1"/>
      <c r="B436" s="1"/>
      <c r="C436" s="95"/>
      <c r="D436" s="893"/>
      <c r="E436" s="893"/>
      <c r="F436" s="893"/>
      <c r="G436" s="1"/>
      <c r="H436" s="1"/>
      <c r="I436" s="10"/>
      <c r="J436" s="1"/>
      <c r="K436" s="1"/>
      <c r="L436" s="1"/>
      <c r="M436" s="1"/>
      <c r="N436" s="1"/>
      <c r="O436" s="1"/>
      <c r="P436" s="1"/>
      <c r="Q436" s="1"/>
      <c r="R436" s="1"/>
      <c r="S436" s="1"/>
      <c r="T436" s="1"/>
      <c r="U436" s="1"/>
      <c r="V436" s="1"/>
      <c r="W436" s="1"/>
      <c r="X436" s="1"/>
      <c r="Y436" s="1"/>
      <c r="Z436" s="1"/>
    </row>
    <row r="437" spans="1:26" ht="12.75" customHeight="1">
      <c r="A437" s="1"/>
      <c r="B437" s="1"/>
      <c r="C437" s="1"/>
      <c r="D437" s="17"/>
      <c r="E437" s="17"/>
      <c r="F437" s="17"/>
      <c r="G437" s="1"/>
      <c r="H437" s="1"/>
      <c r="I437" s="10"/>
      <c r="J437" s="1"/>
      <c r="K437" s="1"/>
      <c r="L437" s="1"/>
      <c r="M437" s="1"/>
      <c r="N437" s="1"/>
      <c r="O437" s="1"/>
      <c r="P437" s="1"/>
      <c r="Q437" s="1"/>
      <c r="R437" s="1"/>
      <c r="S437" s="1"/>
      <c r="T437" s="1"/>
      <c r="U437" s="1"/>
      <c r="V437" s="1"/>
      <c r="W437" s="1"/>
      <c r="X437" s="1"/>
      <c r="Y437" s="1"/>
      <c r="Z437" s="1"/>
    </row>
    <row r="438" spans="1:26" ht="12.75" customHeight="1">
      <c r="A438" s="1"/>
      <c r="B438" s="21" t="s">
        <v>27</v>
      </c>
      <c r="C438" s="1"/>
      <c r="D438" s="895" t="s">
        <v>547</v>
      </c>
      <c r="E438" s="893"/>
      <c r="F438" s="893"/>
      <c r="G438" s="1"/>
      <c r="H438" s="1"/>
      <c r="I438" s="10"/>
      <c r="J438" s="1"/>
      <c r="K438" s="1"/>
      <c r="L438" s="1"/>
      <c r="M438" s="1"/>
      <c r="N438" s="1"/>
      <c r="O438" s="1"/>
      <c r="P438" s="1"/>
      <c r="Q438" s="1"/>
      <c r="R438" s="1"/>
      <c r="S438" s="1"/>
      <c r="T438" s="1"/>
      <c r="U438" s="1"/>
      <c r="V438" s="1"/>
      <c r="W438" s="1"/>
      <c r="X438" s="1"/>
      <c r="Y438" s="1"/>
      <c r="Z438" s="1"/>
    </row>
    <row r="439" spans="1:26" ht="12.75" customHeight="1">
      <c r="A439" s="1"/>
      <c r="B439" s="1"/>
      <c r="C439" s="1"/>
      <c r="D439" s="893"/>
      <c r="E439" s="893"/>
      <c r="F439" s="893"/>
      <c r="G439" s="1"/>
      <c r="H439" s="1"/>
      <c r="I439" s="10"/>
      <c r="J439" s="1"/>
      <c r="K439" s="1"/>
      <c r="L439" s="1"/>
      <c r="M439" s="1"/>
      <c r="N439" s="1"/>
      <c r="O439" s="1"/>
      <c r="P439" s="1"/>
      <c r="Q439" s="1"/>
      <c r="R439" s="1"/>
      <c r="S439" s="1"/>
      <c r="T439" s="1"/>
      <c r="U439" s="1"/>
      <c r="V439" s="1"/>
      <c r="W439" s="1"/>
      <c r="X439" s="1"/>
      <c r="Y439" s="1"/>
      <c r="Z439" s="1"/>
    </row>
    <row r="440" spans="1:26" ht="12.75" customHeight="1">
      <c r="A440" s="1"/>
      <c r="B440" s="1"/>
      <c r="C440" s="1"/>
      <c r="D440" s="11"/>
      <c r="E440" s="11"/>
      <c r="F440" s="11"/>
      <c r="G440" s="1"/>
      <c r="H440" s="1"/>
      <c r="I440" s="10"/>
      <c r="J440" s="1"/>
      <c r="K440" s="1"/>
      <c r="L440" s="1"/>
      <c r="M440" s="1"/>
      <c r="N440" s="1"/>
      <c r="O440" s="1"/>
      <c r="P440" s="1"/>
      <c r="Q440" s="1"/>
      <c r="R440" s="1"/>
      <c r="S440" s="1"/>
      <c r="T440" s="1"/>
      <c r="U440" s="1"/>
      <c r="V440" s="1"/>
      <c r="W440" s="1"/>
      <c r="X440" s="1"/>
      <c r="Y440" s="1"/>
      <c r="Z440" s="1"/>
    </row>
    <row r="441" spans="1:26" ht="14.25" customHeight="1">
      <c r="A441" s="20"/>
      <c r="B441" s="21" t="s">
        <v>27</v>
      </c>
      <c r="C441" s="7"/>
      <c r="D441" s="895" t="s">
        <v>549</v>
      </c>
      <c r="E441" s="893"/>
      <c r="F441" s="893"/>
      <c r="G441" s="1"/>
      <c r="H441" s="1"/>
      <c r="I441" s="10"/>
      <c r="J441" s="1"/>
      <c r="K441" s="1"/>
      <c r="L441" s="1"/>
      <c r="M441" s="1"/>
      <c r="N441" s="1"/>
      <c r="O441" s="1"/>
      <c r="P441" s="1"/>
      <c r="Q441" s="1"/>
      <c r="R441" s="1"/>
      <c r="S441" s="1"/>
      <c r="T441" s="1"/>
      <c r="U441" s="1"/>
      <c r="V441" s="1"/>
      <c r="W441" s="1"/>
      <c r="X441" s="1"/>
      <c r="Y441" s="1"/>
      <c r="Z441" s="1"/>
    </row>
    <row r="442" spans="1:26" ht="14.25" customHeight="1">
      <c r="A442" s="20"/>
      <c r="B442" s="7"/>
      <c r="C442" s="7"/>
      <c r="D442" s="893"/>
      <c r="E442" s="893"/>
      <c r="F442" s="893"/>
      <c r="G442" s="1"/>
      <c r="H442" s="1"/>
      <c r="I442" s="10"/>
      <c r="J442" s="1"/>
      <c r="K442" s="1"/>
      <c r="L442" s="1"/>
      <c r="M442" s="1"/>
      <c r="N442" s="1"/>
      <c r="O442" s="1"/>
      <c r="P442" s="1"/>
      <c r="Q442" s="1"/>
      <c r="R442" s="1"/>
      <c r="S442" s="1"/>
      <c r="T442" s="1"/>
      <c r="U442" s="1"/>
      <c r="V442" s="1"/>
      <c r="W442" s="1"/>
      <c r="X442" s="1"/>
      <c r="Y442" s="1"/>
      <c r="Z442" s="1"/>
    </row>
    <row r="443" spans="1:26" ht="14.25" customHeight="1">
      <c r="A443" s="20"/>
      <c r="B443" s="7"/>
      <c r="C443" s="7"/>
      <c r="D443" s="893"/>
      <c r="E443" s="893"/>
      <c r="F443" s="893"/>
      <c r="G443" s="1"/>
      <c r="H443" s="1"/>
      <c r="I443" s="10"/>
      <c r="J443" s="1"/>
      <c r="K443" s="1"/>
      <c r="L443" s="1"/>
      <c r="M443" s="1"/>
      <c r="N443" s="1"/>
      <c r="O443" s="1"/>
      <c r="P443" s="1"/>
      <c r="Q443" s="1"/>
      <c r="R443" s="1"/>
      <c r="S443" s="1"/>
      <c r="T443" s="1"/>
      <c r="U443" s="1"/>
      <c r="V443" s="1"/>
      <c r="W443" s="1"/>
      <c r="X443" s="1"/>
      <c r="Y443" s="1"/>
      <c r="Z443" s="1"/>
    </row>
    <row r="444" spans="1:26" ht="14.25" customHeight="1">
      <c r="A444" s="20"/>
      <c r="B444" s="7"/>
      <c r="C444" s="7"/>
      <c r="D444" s="893"/>
      <c r="E444" s="893"/>
      <c r="F444" s="893"/>
      <c r="G444" s="1"/>
      <c r="H444" s="1"/>
      <c r="I444" s="10"/>
      <c r="J444" s="1"/>
      <c r="K444" s="1"/>
      <c r="L444" s="1"/>
      <c r="M444" s="1"/>
      <c r="N444" s="1"/>
      <c r="O444" s="1"/>
      <c r="P444" s="1"/>
      <c r="Q444" s="1"/>
      <c r="R444" s="1"/>
      <c r="S444" s="1"/>
      <c r="T444" s="1"/>
      <c r="U444" s="1"/>
      <c r="V444" s="1"/>
      <c r="W444" s="1"/>
      <c r="X444" s="1"/>
      <c r="Y444" s="1"/>
      <c r="Z444" s="1"/>
    </row>
    <row r="445" spans="1:26" ht="14.25" customHeight="1">
      <c r="A445" s="20"/>
      <c r="B445" s="7"/>
      <c r="C445" s="7"/>
      <c r="D445" s="893"/>
      <c r="E445" s="893"/>
      <c r="F445" s="893"/>
      <c r="G445" s="1"/>
      <c r="H445" s="1"/>
      <c r="I445" s="10"/>
      <c r="J445" s="1"/>
      <c r="K445" s="1"/>
      <c r="L445" s="1"/>
      <c r="M445" s="1"/>
      <c r="N445" s="1"/>
      <c r="O445" s="1"/>
      <c r="P445" s="1"/>
      <c r="Q445" s="1"/>
      <c r="R445" s="1"/>
      <c r="S445" s="1"/>
      <c r="T445" s="1"/>
      <c r="U445" s="1"/>
      <c r="V445" s="1"/>
      <c r="W445" s="1"/>
      <c r="X445" s="1"/>
      <c r="Y445" s="1"/>
      <c r="Z445" s="1"/>
    </row>
    <row r="446" spans="1:26" ht="14.25" customHeight="1">
      <c r="A446" s="20"/>
      <c r="B446" s="7"/>
      <c r="C446" s="7"/>
      <c r="D446" s="4"/>
      <c r="E446" s="4"/>
      <c r="F446" s="4"/>
      <c r="G446" s="1"/>
      <c r="H446" s="1"/>
      <c r="I446" s="10"/>
      <c r="J446" s="1"/>
      <c r="K446" s="1"/>
      <c r="L446" s="1"/>
      <c r="M446" s="1"/>
      <c r="N446" s="1"/>
      <c r="O446" s="1"/>
      <c r="P446" s="1"/>
      <c r="Q446" s="1"/>
      <c r="R446" s="1"/>
      <c r="S446" s="1"/>
      <c r="T446" s="1"/>
      <c r="U446" s="1"/>
      <c r="V446" s="1"/>
      <c r="W446" s="1"/>
      <c r="X446" s="1"/>
      <c r="Y446" s="1"/>
      <c r="Z446" s="1"/>
    </row>
    <row r="447" spans="1:26" ht="13.5" customHeight="1">
      <c r="A447" s="20"/>
      <c r="B447" s="21" t="s">
        <v>27</v>
      </c>
      <c r="C447" s="1"/>
      <c r="D447" s="895" t="s">
        <v>553</v>
      </c>
      <c r="E447" s="893"/>
      <c r="F447" s="893"/>
      <c r="G447" s="1"/>
      <c r="H447" s="1"/>
      <c r="I447" s="10"/>
      <c r="J447" s="1"/>
      <c r="K447" s="1"/>
      <c r="L447" s="1"/>
      <c r="M447" s="1"/>
      <c r="N447" s="1"/>
      <c r="O447" s="1"/>
      <c r="P447" s="1"/>
      <c r="Q447" s="1"/>
      <c r="R447" s="1"/>
      <c r="S447" s="1"/>
      <c r="T447" s="1"/>
      <c r="U447" s="1"/>
      <c r="V447" s="1"/>
      <c r="W447" s="1"/>
      <c r="X447" s="1"/>
      <c r="Y447" s="1"/>
      <c r="Z447" s="1"/>
    </row>
    <row r="448" spans="1:26" ht="12.75" customHeight="1">
      <c r="A448" s="20"/>
      <c r="B448" s="20"/>
      <c r="C448" s="1"/>
      <c r="D448" s="893"/>
      <c r="E448" s="893"/>
      <c r="F448" s="893"/>
      <c r="G448" s="1"/>
      <c r="H448" s="1"/>
      <c r="I448" s="10"/>
      <c r="J448" s="1"/>
      <c r="K448" s="1"/>
      <c r="L448" s="1"/>
      <c r="M448" s="1"/>
      <c r="N448" s="1"/>
      <c r="O448" s="1"/>
      <c r="P448" s="1"/>
      <c r="Q448" s="1"/>
      <c r="R448" s="1"/>
      <c r="S448" s="1"/>
      <c r="T448" s="1"/>
      <c r="U448" s="1"/>
      <c r="V448" s="1"/>
      <c r="W448" s="1"/>
      <c r="X448" s="1"/>
      <c r="Y448" s="1"/>
      <c r="Z448" s="1"/>
    </row>
    <row r="449" spans="1:26" ht="12.75" customHeight="1">
      <c r="A449" s="20"/>
      <c r="B449" s="20"/>
      <c r="C449" s="1"/>
      <c r="D449" s="893"/>
      <c r="E449" s="893"/>
      <c r="F449" s="893"/>
      <c r="G449" s="1"/>
      <c r="H449" s="1"/>
      <c r="I449" s="10"/>
      <c r="J449" s="1"/>
      <c r="K449" s="1"/>
      <c r="L449" s="1"/>
      <c r="M449" s="1"/>
      <c r="N449" s="1"/>
      <c r="O449" s="1"/>
      <c r="P449" s="1"/>
      <c r="Q449" s="1"/>
      <c r="R449" s="1"/>
      <c r="S449" s="1"/>
      <c r="T449" s="1"/>
      <c r="U449" s="1"/>
      <c r="V449" s="1"/>
      <c r="W449" s="1"/>
      <c r="X449" s="1"/>
      <c r="Y449" s="1"/>
      <c r="Z449" s="1"/>
    </row>
    <row r="450" spans="1:26" ht="12.75" customHeight="1">
      <c r="A450" s="20"/>
      <c r="B450" s="20"/>
      <c r="C450" s="1"/>
      <c r="D450" s="893"/>
      <c r="E450" s="893"/>
      <c r="F450" s="893"/>
      <c r="G450" s="1"/>
      <c r="H450" s="1"/>
      <c r="I450" s="10"/>
      <c r="J450" s="1"/>
      <c r="K450" s="1"/>
      <c r="L450" s="1"/>
      <c r="M450" s="1"/>
      <c r="N450" s="1"/>
      <c r="O450" s="1"/>
      <c r="P450" s="1"/>
      <c r="Q450" s="1"/>
      <c r="R450" s="1"/>
      <c r="S450" s="1"/>
      <c r="T450" s="1"/>
      <c r="U450" s="1"/>
      <c r="V450" s="1"/>
      <c r="W450" s="1"/>
      <c r="X450" s="1"/>
      <c r="Y450" s="1"/>
      <c r="Z450" s="1"/>
    </row>
    <row r="451" spans="1:26" ht="15.75" customHeight="1">
      <c r="A451" s="20"/>
      <c r="B451" s="20"/>
      <c r="C451" s="1"/>
      <c r="D451" s="924" t="s">
        <v>555</v>
      </c>
      <c r="E451" s="893"/>
      <c r="F451" s="893"/>
      <c r="G451" s="1"/>
      <c r="H451" s="1"/>
      <c r="I451" s="10"/>
      <c r="J451" s="1"/>
      <c r="K451" s="1"/>
      <c r="L451" s="1"/>
      <c r="M451" s="1"/>
      <c r="N451" s="1"/>
      <c r="O451" s="1"/>
      <c r="P451" s="1"/>
      <c r="Q451" s="1"/>
      <c r="R451" s="1"/>
      <c r="S451" s="1"/>
      <c r="T451" s="1"/>
      <c r="U451" s="1"/>
      <c r="V451" s="1"/>
      <c r="W451" s="1"/>
      <c r="X451" s="1"/>
      <c r="Y451" s="1"/>
      <c r="Z451" s="1"/>
    </row>
    <row r="452" spans="1:26" ht="12.75" customHeight="1">
      <c r="A452" s="7"/>
      <c r="B452" s="7"/>
      <c r="C452" s="7"/>
      <c r="D452" s="17"/>
      <c r="E452" s="17"/>
      <c r="F452" s="17"/>
      <c r="G452" s="1"/>
      <c r="H452" s="1"/>
      <c r="I452" s="10"/>
      <c r="J452" s="1"/>
      <c r="K452" s="1"/>
      <c r="L452" s="1"/>
      <c r="M452" s="1"/>
      <c r="N452" s="1"/>
      <c r="O452" s="1"/>
      <c r="P452" s="1"/>
      <c r="Q452" s="1"/>
      <c r="R452" s="1"/>
      <c r="S452" s="1"/>
      <c r="T452" s="1"/>
      <c r="U452" s="1"/>
      <c r="V452" s="1"/>
      <c r="W452" s="1"/>
      <c r="X452" s="1"/>
      <c r="Y452" s="1"/>
      <c r="Z452" s="1"/>
    </row>
    <row r="453" spans="1:26" ht="12.75" customHeight="1">
      <c r="A453" s="20"/>
      <c r="B453" s="21" t="s">
        <v>27</v>
      </c>
      <c r="C453" s="95"/>
      <c r="D453" s="895" t="s">
        <v>561</v>
      </c>
      <c r="E453" s="893"/>
      <c r="F453" s="893"/>
      <c r="G453" s="1"/>
      <c r="H453" s="1"/>
      <c r="I453" s="10"/>
      <c r="J453" s="1"/>
      <c r="K453" s="1"/>
      <c r="L453" s="1"/>
      <c r="M453" s="1"/>
      <c r="N453" s="1"/>
      <c r="O453" s="1"/>
      <c r="P453" s="1"/>
      <c r="Q453" s="1"/>
      <c r="R453" s="1"/>
      <c r="S453" s="1"/>
      <c r="T453" s="1"/>
      <c r="U453" s="1"/>
      <c r="V453" s="1"/>
      <c r="W453" s="1"/>
      <c r="X453" s="1"/>
      <c r="Y453" s="1"/>
      <c r="Z453" s="1"/>
    </row>
    <row r="454" spans="1:26" ht="12.75" customHeight="1">
      <c r="A454" s="20"/>
      <c r="B454" s="20"/>
      <c r="C454" s="7"/>
      <c r="D454" s="893"/>
      <c r="E454" s="893"/>
      <c r="F454" s="893"/>
      <c r="G454" s="1"/>
      <c r="H454" s="1"/>
      <c r="I454" s="10"/>
      <c r="J454" s="1"/>
      <c r="K454" s="1"/>
      <c r="L454" s="1"/>
      <c r="M454" s="1"/>
      <c r="N454" s="1"/>
      <c r="O454" s="1"/>
      <c r="P454" s="1"/>
      <c r="Q454" s="1"/>
      <c r="R454" s="1"/>
      <c r="S454" s="1"/>
      <c r="T454" s="1"/>
      <c r="U454" s="1"/>
      <c r="V454" s="1"/>
      <c r="W454" s="1"/>
      <c r="X454" s="1"/>
      <c r="Y454" s="1"/>
      <c r="Z454" s="1"/>
    </row>
    <row r="455" spans="1:26" ht="12.75" customHeight="1">
      <c r="A455" s="7"/>
      <c r="B455" s="7"/>
      <c r="C455" s="7"/>
      <c r="D455" s="893"/>
      <c r="E455" s="893"/>
      <c r="F455" s="893"/>
      <c r="G455" s="1"/>
      <c r="H455" s="1"/>
      <c r="I455" s="10"/>
      <c r="J455" s="1"/>
      <c r="K455" s="1"/>
      <c r="L455" s="1"/>
      <c r="M455" s="1"/>
      <c r="N455" s="1"/>
      <c r="O455" s="1"/>
      <c r="P455" s="1"/>
      <c r="Q455" s="1"/>
      <c r="R455" s="1"/>
      <c r="S455" s="1"/>
      <c r="T455" s="1"/>
      <c r="U455" s="1"/>
      <c r="V455" s="1"/>
      <c r="W455" s="1"/>
      <c r="X455" s="1"/>
      <c r="Y455" s="1"/>
      <c r="Z455" s="1"/>
    </row>
    <row r="456" spans="1:26" ht="12.75" customHeight="1">
      <c r="A456" s="7"/>
      <c r="B456" s="7"/>
      <c r="C456" s="7"/>
      <c r="D456" s="893"/>
      <c r="E456" s="893"/>
      <c r="F456" s="893"/>
      <c r="G456" s="1"/>
      <c r="H456" s="1"/>
      <c r="I456" s="10"/>
      <c r="J456" s="1"/>
      <c r="K456" s="1"/>
      <c r="L456" s="1"/>
      <c r="M456" s="1"/>
      <c r="N456" s="1"/>
      <c r="O456" s="1"/>
      <c r="P456" s="1"/>
      <c r="Q456" s="1"/>
      <c r="R456" s="1"/>
      <c r="S456" s="1"/>
      <c r="T456" s="1"/>
      <c r="U456" s="1"/>
      <c r="V456" s="1"/>
      <c r="W456" s="1"/>
      <c r="X456" s="1"/>
      <c r="Y456" s="1"/>
      <c r="Z456" s="1"/>
    </row>
    <row r="457" spans="1:26" ht="12.75" customHeight="1">
      <c r="A457" s="7"/>
      <c r="B457" s="7"/>
      <c r="C457" s="7"/>
      <c r="D457" s="893"/>
      <c r="E457" s="893"/>
      <c r="F457" s="893"/>
      <c r="G457" s="1"/>
      <c r="H457" s="1"/>
      <c r="I457" s="10"/>
      <c r="J457" s="1"/>
      <c r="K457" s="1"/>
      <c r="L457" s="1"/>
      <c r="M457" s="1"/>
      <c r="N457" s="1"/>
      <c r="O457" s="1"/>
      <c r="P457" s="1"/>
      <c r="Q457" s="1"/>
      <c r="R457" s="1"/>
      <c r="S457" s="1"/>
      <c r="T457" s="1"/>
      <c r="U457" s="1"/>
      <c r="V457" s="1"/>
      <c r="W457" s="1"/>
      <c r="X457" s="1"/>
      <c r="Y457" s="1"/>
      <c r="Z457" s="1"/>
    </row>
    <row r="458" spans="1:26" ht="12.75" customHeight="1">
      <c r="A458" s="7"/>
      <c r="B458" s="7"/>
      <c r="C458" s="7"/>
      <c r="D458" s="893"/>
      <c r="E458" s="893"/>
      <c r="F458" s="893"/>
      <c r="G458" s="1"/>
      <c r="H458" s="1"/>
      <c r="I458" s="10"/>
      <c r="J458" s="1"/>
      <c r="K458" s="1"/>
      <c r="L458" s="1"/>
      <c r="M458" s="1"/>
      <c r="N458" s="1"/>
      <c r="O458" s="1"/>
      <c r="P458" s="1"/>
      <c r="Q458" s="1"/>
      <c r="R458" s="1"/>
      <c r="S458" s="1"/>
      <c r="T458" s="1"/>
      <c r="U458" s="1"/>
      <c r="V458" s="1"/>
      <c r="W458" s="1"/>
      <c r="X458" s="1"/>
      <c r="Y458" s="1"/>
      <c r="Z458" s="1"/>
    </row>
    <row r="459" spans="1:26" ht="12.75" customHeight="1">
      <c r="A459" s="7"/>
      <c r="B459" s="7"/>
      <c r="C459" s="7"/>
      <c r="D459" s="893"/>
      <c r="E459" s="893"/>
      <c r="F459" s="893"/>
      <c r="G459" s="1"/>
      <c r="H459" s="1"/>
      <c r="I459" s="10"/>
      <c r="J459" s="1"/>
      <c r="K459" s="1"/>
      <c r="L459" s="1"/>
      <c r="M459" s="1"/>
      <c r="N459" s="1"/>
      <c r="O459" s="1"/>
      <c r="P459" s="1"/>
      <c r="Q459" s="1"/>
      <c r="R459" s="1"/>
      <c r="S459" s="1"/>
      <c r="T459" s="1"/>
      <c r="U459" s="1"/>
      <c r="V459" s="1"/>
      <c r="W459" s="1"/>
      <c r="X459" s="1"/>
      <c r="Y459" s="1"/>
      <c r="Z459" s="1"/>
    </row>
    <row r="460" spans="1:26" ht="12.75" customHeight="1">
      <c r="A460" s="7"/>
      <c r="B460" s="7"/>
      <c r="C460" s="7"/>
      <c r="D460" s="893"/>
      <c r="E460" s="893"/>
      <c r="F460" s="893"/>
      <c r="G460" s="1"/>
      <c r="H460" s="1"/>
      <c r="I460" s="10"/>
      <c r="J460" s="1"/>
      <c r="K460" s="1"/>
      <c r="L460" s="1"/>
      <c r="M460" s="1"/>
      <c r="N460" s="1"/>
      <c r="O460" s="1"/>
      <c r="P460" s="1"/>
      <c r="Q460" s="1"/>
      <c r="R460" s="1"/>
      <c r="S460" s="1"/>
      <c r="T460" s="1"/>
      <c r="U460" s="1"/>
      <c r="V460" s="1"/>
      <c r="W460" s="1"/>
      <c r="X460" s="1"/>
      <c r="Y460" s="1"/>
      <c r="Z460" s="1"/>
    </row>
    <row r="461" spans="1:26" ht="12.75" customHeight="1">
      <c r="A461" s="7"/>
      <c r="B461" s="7"/>
      <c r="C461" s="7"/>
      <c r="D461" s="893"/>
      <c r="E461" s="893"/>
      <c r="F461" s="893"/>
      <c r="G461" s="1"/>
      <c r="H461" s="1"/>
      <c r="I461" s="10"/>
      <c r="J461" s="1"/>
      <c r="K461" s="1"/>
      <c r="L461" s="1"/>
      <c r="M461" s="1"/>
      <c r="N461" s="1"/>
      <c r="O461" s="1"/>
      <c r="P461" s="1"/>
      <c r="Q461" s="1"/>
      <c r="R461" s="1"/>
      <c r="S461" s="1"/>
      <c r="T461" s="1"/>
      <c r="U461" s="1"/>
      <c r="V461" s="1"/>
      <c r="W461" s="1"/>
      <c r="X461" s="1"/>
      <c r="Y461" s="1"/>
      <c r="Z461" s="1"/>
    </row>
    <row r="462" spans="1:26" ht="12.75" customHeight="1">
      <c r="A462" s="7"/>
      <c r="B462" s="7"/>
      <c r="C462" s="7"/>
      <c r="D462" s="893"/>
      <c r="E462" s="893"/>
      <c r="F462" s="893"/>
      <c r="G462" s="1"/>
      <c r="H462" s="1"/>
      <c r="I462" s="10"/>
      <c r="J462" s="1"/>
      <c r="K462" s="1"/>
      <c r="L462" s="1"/>
      <c r="M462" s="1"/>
      <c r="N462" s="1"/>
      <c r="O462" s="1"/>
      <c r="P462" s="1"/>
      <c r="Q462" s="1"/>
      <c r="R462" s="1"/>
      <c r="S462" s="1"/>
      <c r="T462" s="1"/>
      <c r="U462" s="1"/>
      <c r="V462" s="1"/>
      <c r="W462" s="1"/>
      <c r="X462" s="1"/>
      <c r="Y462" s="1"/>
      <c r="Z462" s="1"/>
    </row>
    <row r="463" spans="1:26" ht="12.75" customHeight="1">
      <c r="A463" s="7"/>
      <c r="B463" s="7"/>
      <c r="C463" s="7"/>
      <c r="D463" s="893"/>
      <c r="E463" s="893"/>
      <c r="F463" s="893"/>
      <c r="G463" s="1"/>
      <c r="H463" s="1"/>
      <c r="I463" s="10"/>
      <c r="J463" s="1"/>
      <c r="K463" s="1"/>
      <c r="L463" s="1"/>
      <c r="M463" s="1"/>
      <c r="N463" s="1"/>
      <c r="O463" s="1"/>
      <c r="P463" s="1"/>
      <c r="Q463" s="1"/>
      <c r="R463" s="1"/>
      <c r="S463" s="1"/>
      <c r="T463" s="1"/>
      <c r="U463" s="1"/>
      <c r="V463" s="1"/>
      <c r="W463" s="1"/>
      <c r="X463" s="1"/>
      <c r="Y463" s="1"/>
      <c r="Z463" s="1"/>
    </row>
    <row r="464" spans="1:26" ht="12.75" customHeight="1">
      <c r="A464" s="7"/>
      <c r="B464" s="7"/>
      <c r="C464" s="7"/>
      <c r="D464" s="893"/>
      <c r="E464" s="893"/>
      <c r="F464" s="893"/>
      <c r="G464" s="1"/>
      <c r="H464" s="1"/>
      <c r="I464" s="10"/>
      <c r="J464" s="1"/>
      <c r="K464" s="1"/>
      <c r="L464" s="1"/>
      <c r="M464" s="1"/>
      <c r="N464" s="1"/>
      <c r="O464" s="1"/>
      <c r="P464" s="1"/>
      <c r="Q464" s="1"/>
      <c r="R464" s="1"/>
      <c r="S464" s="1"/>
      <c r="T464" s="1"/>
      <c r="U464" s="1"/>
      <c r="V464" s="1"/>
      <c r="W464" s="1"/>
      <c r="X464" s="1"/>
      <c r="Y464" s="1"/>
      <c r="Z464" s="1"/>
    </row>
    <row r="465" spans="1:26" ht="12.75" customHeight="1">
      <c r="A465" s="7"/>
      <c r="B465" s="7"/>
      <c r="C465" s="7"/>
      <c r="D465" s="893"/>
      <c r="E465" s="893"/>
      <c r="F465" s="893"/>
      <c r="G465" s="1"/>
      <c r="H465" s="1"/>
      <c r="I465" s="10"/>
      <c r="J465" s="1"/>
      <c r="K465" s="1"/>
      <c r="L465" s="1"/>
      <c r="M465" s="1"/>
      <c r="N465" s="1"/>
      <c r="O465" s="1"/>
      <c r="P465" s="1"/>
      <c r="Q465" s="1"/>
      <c r="R465" s="1"/>
      <c r="S465" s="1"/>
      <c r="T465" s="1"/>
      <c r="U465" s="1"/>
      <c r="V465" s="1"/>
      <c r="W465" s="1"/>
      <c r="X465" s="1"/>
      <c r="Y465" s="1"/>
      <c r="Z465" s="1"/>
    </row>
    <row r="466" spans="1:26" ht="12.75" customHeight="1">
      <c r="A466" s="1"/>
      <c r="B466" s="1"/>
      <c r="C466" s="1"/>
      <c r="D466" s="893"/>
      <c r="E466" s="893"/>
      <c r="F466" s="893"/>
      <c r="G466" s="1"/>
      <c r="H466" s="1"/>
      <c r="I466" s="10"/>
      <c r="J466" s="1"/>
      <c r="K466" s="1"/>
      <c r="L466" s="1"/>
      <c r="M466" s="1"/>
      <c r="N466" s="1"/>
      <c r="O466" s="1"/>
      <c r="P466" s="1"/>
      <c r="Q466" s="1"/>
      <c r="R466" s="1"/>
      <c r="S466" s="1"/>
      <c r="T466" s="1"/>
      <c r="U466" s="1"/>
      <c r="V466" s="1"/>
      <c r="W466" s="1"/>
      <c r="X466" s="1"/>
      <c r="Y466" s="1"/>
      <c r="Z466" s="1"/>
    </row>
    <row r="467" spans="1:26" ht="12.75" customHeight="1">
      <c r="A467" s="1"/>
      <c r="B467" s="1"/>
      <c r="C467" s="1"/>
      <c r="D467" s="893"/>
      <c r="E467" s="893"/>
      <c r="F467" s="893"/>
      <c r="G467" s="1"/>
      <c r="H467" s="1"/>
      <c r="I467" s="10"/>
      <c r="J467" s="1"/>
      <c r="K467" s="1"/>
      <c r="L467" s="1"/>
      <c r="M467" s="1"/>
      <c r="N467" s="1"/>
      <c r="O467" s="1"/>
      <c r="P467" s="1"/>
      <c r="Q467" s="1"/>
      <c r="R467" s="1"/>
      <c r="S467" s="1"/>
      <c r="T467" s="1"/>
      <c r="U467" s="1"/>
      <c r="V467" s="1"/>
      <c r="W467" s="1"/>
      <c r="X467" s="1"/>
      <c r="Y467" s="1"/>
      <c r="Z467" s="1"/>
    </row>
    <row r="468" spans="1:26" ht="12.75" customHeight="1">
      <c r="A468" s="1"/>
      <c r="B468" s="1"/>
      <c r="C468" s="1"/>
      <c r="D468" s="893"/>
      <c r="E468" s="893"/>
      <c r="F468" s="893"/>
      <c r="G468" s="1"/>
      <c r="H468" s="1"/>
      <c r="I468" s="10"/>
      <c r="J468" s="1"/>
      <c r="K468" s="1"/>
      <c r="L468" s="1"/>
      <c r="M468" s="1"/>
      <c r="N468" s="1"/>
      <c r="O468" s="1"/>
      <c r="P468" s="1"/>
      <c r="Q468" s="1"/>
      <c r="R468" s="1"/>
      <c r="S468" s="1"/>
      <c r="T468" s="1"/>
      <c r="U468" s="1"/>
      <c r="V468" s="1"/>
      <c r="W468" s="1"/>
      <c r="X468" s="1"/>
      <c r="Y468" s="1"/>
      <c r="Z468" s="1"/>
    </row>
    <row r="469" spans="1:26" ht="12.75" customHeight="1">
      <c r="A469" s="1"/>
      <c r="B469" s="1"/>
      <c r="C469" s="1"/>
      <c r="D469" s="893"/>
      <c r="E469" s="893"/>
      <c r="F469" s="893"/>
      <c r="G469" s="1"/>
      <c r="H469" s="1"/>
      <c r="I469" s="10"/>
      <c r="J469" s="1"/>
      <c r="K469" s="1"/>
      <c r="L469" s="1"/>
      <c r="M469" s="1"/>
      <c r="N469" s="1"/>
      <c r="O469" s="1"/>
      <c r="P469" s="1"/>
      <c r="Q469" s="1"/>
      <c r="R469" s="1"/>
      <c r="S469" s="1"/>
      <c r="T469" s="1"/>
      <c r="U469" s="1"/>
      <c r="V469" s="1"/>
      <c r="W469" s="1"/>
      <c r="X469" s="1"/>
      <c r="Y469" s="1"/>
      <c r="Z469" s="1"/>
    </row>
    <row r="470" spans="1:26" ht="12.75" customHeight="1">
      <c r="A470" s="1"/>
      <c r="B470" s="1"/>
      <c r="C470" s="1"/>
      <c r="D470" s="893"/>
      <c r="E470" s="893"/>
      <c r="F470" s="893"/>
      <c r="G470" s="1"/>
      <c r="H470" s="1"/>
      <c r="I470" s="10"/>
      <c r="J470" s="1"/>
      <c r="K470" s="1"/>
      <c r="L470" s="1"/>
      <c r="M470" s="1"/>
      <c r="N470" s="1"/>
      <c r="O470" s="1"/>
      <c r="P470" s="1"/>
      <c r="Q470" s="1"/>
      <c r="R470" s="1"/>
      <c r="S470" s="1"/>
      <c r="T470" s="1"/>
      <c r="U470" s="1"/>
      <c r="V470" s="1"/>
      <c r="W470" s="1"/>
      <c r="X470" s="1"/>
      <c r="Y470" s="1"/>
      <c r="Z470" s="1"/>
    </row>
    <row r="471" spans="1:26" ht="12.75" customHeight="1">
      <c r="A471" s="1"/>
      <c r="B471" s="1"/>
      <c r="C471" s="1"/>
      <c r="D471" s="893"/>
      <c r="E471" s="893"/>
      <c r="F471" s="893"/>
      <c r="G471" s="1"/>
      <c r="H471" s="1"/>
      <c r="I471" s="10"/>
      <c r="J471" s="1"/>
      <c r="K471" s="1"/>
      <c r="L471" s="1"/>
      <c r="M471" s="1"/>
      <c r="N471" s="1"/>
      <c r="O471" s="1"/>
      <c r="P471" s="1"/>
      <c r="Q471" s="1"/>
      <c r="R471" s="1"/>
      <c r="S471" s="1"/>
      <c r="T471" s="1"/>
      <c r="U471" s="1"/>
      <c r="V471" s="1"/>
      <c r="W471" s="1"/>
      <c r="X471" s="1"/>
      <c r="Y471" s="1"/>
      <c r="Z471" s="1"/>
    </row>
    <row r="472" spans="1:26" ht="12.75" customHeight="1">
      <c r="A472" s="1"/>
      <c r="B472" s="1"/>
      <c r="C472" s="1"/>
      <c r="D472" s="893"/>
      <c r="E472" s="893"/>
      <c r="F472" s="893"/>
      <c r="G472" s="1"/>
      <c r="H472" s="1"/>
      <c r="I472" s="10"/>
      <c r="J472" s="1"/>
      <c r="K472" s="1"/>
      <c r="L472" s="1"/>
      <c r="M472" s="1"/>
      <c r="N472" s="1"/>
      <c r="O472" s="1"/>
      <c r="P472" s="1"/>
      <c r="Q472" s="1"/>
      <c r="R472" s="1"/>
      <c r="S472" s="1"/>
      <c r="T472" s="1"/>
      <c r="U472" s="1"/>
      <c r="V472" s="1"/>
      <c r="W472" s="1"/>
      <c r="X472" s="1"/>
      <c r="Y472" s="1"/>
      <c r="Z472" s="1"/>
    </row>
    <row r="473" spans="1:26" ht="12.75" customHeight="1">
      <c r="A473" s="1"/>
      <c r="B473" s="1"/>
      <c r="C473" s="1"/>
      <c r="D473" s="893"/>
      <c r="E473" s="893"/>
      <c r="F473" s="893"/>
      <c r="G473" s="1"/>
      <c r="H473" s="1"/>
      <c r="I473" s="10"/>
      <c r="J473" s="1"/>
      <c r="K473" s="1"/>
      <c r="L473" s="1"/>
      <c r="M473" s="1"/>
      <c r="N473" s="1"/>
      <c r="O473" s="1"/>
      <c r="P473" s="1"/>
      <c r="Q473" s="1"/>
      <c r="R473" s="1"/>
      <c r="S473" s="1"/>
      <c r="T473" s="1"/>
      <c r="U473" s="1"/>
      <c r="V473" s="1"/>
      <c r="W473" s="1"/>
      <c r="X473" s="1"/>
      <c r="Y473" s="1"/>
      <c r="Z473" s="1"/>
    </row>
    <row r="474" spans="1:26" ht="12.75" customHeight="1">
      <c r="A474" s="1"/>
      <c r="B474" s="1"/>
      <c r="C474" s="1"/>
      <c r="D474" s="893"/>
      <c r="E474" s="893"/>
      <c r="F474" s="893"/>
      <c r="G474" s="1"/>
      <c r="H474" s="1"/>
      <c r="I474" s="10"/>
      <c r="J474" s="1"/>
      <c r="K474" s="1"/>
      <c r="L474" s="1"/>
      <c r="M474" s="1"/>
      <c r="N474" s="1"/>
      <c r="O474" s="1"/>
      <c r="P474" s="1"/>
      <c r="Q474" s="1"/>
      <c r="R474" s="1"/>
      <c r="S474" s="1"/>
      <c r="T474" s="1"/>
      <c r="U474" s="1"/>
      <c r="V474" s="1"/>
      <c r="W474" s="1"/>
      <c r="X474" s="1"/>
      <c r="Y474" s="1"/>
      <c r="Z474" s="1"/>
    </row>
    <row r="475" spans="1:26" ht="12.75" customHeight="1">
      <c r="A475" s="1"/>
      <c r="B475" s="1"/>
      <c r="C475" s="1"/>
      <c r="D475" s="893"/>
      <c r="E475" s="893"/>
      <c r="F475" s="893"/>
      <c r="G475" s="1"/>
      <c r="H475" s="1"/>
      <c r="I475" s="10"/>
      <c r="J475" s="1"/>
      <c r="K475" s="1"/>
      <c r="L475" s="1"/>
      <c r="M475" s="1"/>
      <c r="N475" s="1"/>
      <c r="O475" s="1"/>
      <c r="P475" s="1"/>
      <c r="Q475" s="1"/>
      <c r="R475" s="1"/>
      <c r="S475" s="1"/>
      <c r="T475" s="1"/>
      <c r="U475" s="1"/>
      <c r="V475" s="1"/>
      <c r="W475" s="1"/>
      <c r="X475" s="1"/>
      <c r="Y475" s="1"/>
      <c r="Z475" s="1"/>
    </row>
    <row r="476" spans="1:26" ht="12.75" customHeight="1">
      <c r="A476" s="1"/>
      <c r="B476" s="1"/>
      <c r="C476" s="1"/>
      <c r="D476" s="893"/>
      <c r="E476" s="893"/>
      <c r="F476" s="893"/>
      <c r="G476" s="1"/>
      <c r="H476" s="1"/>
      <c r="I476" s="10"/>
      <c r="J476" s="1"/>
      <c r="K476" s="1"/>
      <c r="L476" s="1"/>
      <c r="M476" s="1"/>
      <c r="N476" s="1"/>
      <c r="O476" s="1"/>
      <c r="P476" s="1"/>
      <c r="Q476" s="1"/>
      <c r="R476" s="1"/>
      <c r="S476" s="1"/>
      <c r="T476" s="1"/>
      <c r="U476" s="1"/>
      <c r="V476" s="1"/>
      <c r="W476" s="1"/>
      <c r="X476" s="1"/>
      <c r="Y476" s="1"/>
      <c r="Z476" s="1"/>
    </row>
    <row r="477" spans="1:26" ht="12.75" customHeight="1">
      <c r="A477" s="1"/>
      <c r="B477" s="1"/>
      <c r="C477" s="1"/>
      <c r="D477" s="893"/>
      <c r="E477" s="893"/>
      <c r="F477" s="893"/>
      <c r="G477" s="1"/>
      <c r="H477" s="1"/>
      <c r="I477" s="10"/>
      <c r="J477" s="1"/>
      <c r="K477" s="1"/>
      <c r="L477" s="1"/>
      <c r="M477" s="1"/>
      <c r="N477" s="1"/>
      <c r="O477" s="1"/>
      <c r="P477" s="1"/>
      <c r="Q477" s="1"/>
      <c r="R477" s="1"/>
      <c r="S477" s="1"/>
      <c r="T477" s="1"/>
      <c r="U477" s="1"/>
      <c r="V477" s="1"/>
      <c r="W477" s="1"/>
      <c r="X477" s="1"/>
      <c r="Y477" s="1"/>
      <c r="Z477" s="1"/>
    </row>
    <row r="478" spans="1:26" ht="12.75" customHeight="1">
      <c r="A478" s="1"/>
      <c r="B478" s="1"/>
      <c r="C478" s="1"/>
      <c r="D478" s="893"/>
      <c r="E478" s="893"/>
      <c r="F478" s="893"/>
      <c r="G478" s="1"/>
      <c r="H478" s="1"/>
      <c r="I478" s="10"/>
      <c r="J478" s="1"/>
      <c r="K478" s="1"/>
      <c r="L478" s="1"/>
      <c r="M478" s="1"/>
      <c r="N478" s="1"/>
      <c r="O478" s="1"/>
      <c r="P478" s="1"/>
      <c r="Q478" s="1"/>
      <c r="R478" s="1"/>
      <c r="S478" s="1"/>
      <c r="T478" s="1"/>
      <c r="U478" s="1"/>
      <c r="V478" s="1"/>
      <c r="W478" s="1"/>
      <c r="X478" s="1"/>
      <c r="Y478" s="1"/>
      <c r="Z478" s="1"/>
    </row>
    <row r="479" spans="1:26" ht="12.75" customHeight="1">
      <c r="A479" s="1"/>
      <c r="B479" s="1"/>
      <c r="C479" s="1"/>
      <c r="D479" s="893"/>
      <c r="E479" s="893"/>
      <c r="F479" s="893"/>
      <c r="G479" s="1"/>
      <c r="H479" s="1"/>
      <c r="I479" s="10"/>
      <c r="J479" s="1"/>
      <c r="K479" s="1"/>
      <c r="L479" s="1"/>
      <c r="M479" s="1"/>
      <c r="N479" s="1"/>
      <c r="O479" s="1"/>
      <c r="P479" s="1"/>
      <c r="Q479" s="1"/>
      <c r="R479" s="1"/>
      <c r="S479" s="1"/>
      <c r="T479" s="1"/>
      <c r="U479" s="1"/>
      <c r="V479" s="1"/>
      <c r="W479" s="1"/>
      <c r="X479" s="1"/>
      <c r="Y479" s="1"/>
      <c r="Z479" s="1"/>
    </row>
    <row r="480" spans="1:26" ht="12.75" customHeight="1">
      <c r="A480" s="1"/>
      <c r="B480" s="1"/>
      <c r="C480" s="1"/>
      <c r="D480" s="893"/>
      <c r="E480" s="893"/>
      <c r="F480" s="893"/>
      <c r="G480" s="1"/>
      <c r="H480" s="1"/>
      <c r="I480" s="10"/>
      <c r="J480" s="1"/>
      <c r="K480" s="1"/>
      <c r="L480" s="1"/>
      <c r="M480" s="1"/>
      <c r="N480" s="1"/>
      <c r="O480" s="1"/>
      <c r="P480" s="1"/>
      <c r="Q480" s="1"/>
      <c r="R480" s="1"/>
      <c r="S480" s="1"/>
      <c r="T480" s="1"/>
      <c r="U480" s="1"/>
      <c r="V480" s="1"/>
      <c r="W480" s="1"/>
      <c r="X480" s="1"/>
      <c r="Y480" s="1"/>
      <c r="Z480" s="1"/>
    </row>
    <row r="481" spans="1:26" ht="12.75" customHeight="1">
      <c r="A481" s="1"/>
      <c r="B481" s="1"/>
      <c r="C481" s="1"/>
      <c r="D481" s="893"/>
      <c r="E481" s="893"/>
      <c r="F481" s="893"/>
      <c r="G481" s="1"/>
      <c r="H481" s="1"/>
      <c r="I481" s="10"/>
      <c r="J481" s="1"/>
      <c r="K481" s="1"/>
      <c r="L481" s="1"/>
      <c r="M481" s="1"/>
      <c r="N481" s="1"/>
      <c r="O481" s="1"/>
      <c r="P481" s="1"/>
      <c r="Q481" s="1"/>
      <c r="R481" s="1"/>
      <c r="S481" s="1"/>
      <c r="T481" s="1"/>
      <c r="U481" s="1"/>
      <c r="V481" s="1"/>
      <c r="W481" s="1"/>
      <c r="X481" s="1"/>
      <c r="Y481" s="1"/>
      <c r="Z481" s="1"/>
    </row>
    <row r="482" spans="1:26" ht="12.75" customHeight="1">
      <c r="A482" s="7"/>
      <c r="B482" s="7"/>
      <c r="C482" s="7"/>
      <c r="D482" s="893"/>
      <c r="E482" s="893"/>
      <c r="F482" s="893"/>
      <c r="G482" s="1"/>
      <c r="H482" s="1"/>
      <c r="I482" s="10"/>
      <c r="J482" s="1"/>
      <c r="K482" s="1"/>
      <c r="L482" s="1"/>
      <c r="M482" s="1"/>
      <c r="N482" s="1"/>
      <c r="O482" s="1"/>
      <c r="P482" s="1"/>
      <c r="Q482" s="1"/>
      <c r="R482" s="1"/>
      <c r="S482" s="1"/>
      <c r="T482" s="1"/>
      <c r="U482" s="1"/>
      <c r="V482" s="1"/>
      <c r="W482" s="1"/>
      <c r="X482" s="1"/>
      <c r="Y482" s="1"/>
      <c r="Z482" s="1"/>
    </row>
    <row r="483" spans="1:26" ht="40.5" customHeight="1">
      <c r="A483" s="7"/>
      <c r="B483" s="7"/>
      <c r="C483" s="7"/>
      <c r="D483" s="893"/>
      <c r="E483" s="893"/>
      <c r="F483" s="893"/>
      <c r="G483" s="1"/>
      <c r="H483" s="1"/>
      <c r="I483" s="10"/>
      <c r="J483" s="1"/>
      <c r="K483" s="1"/>
      <c r="L483" s="1"/>
      <c r="M483" s="1"/>
      <c r="N483" s="1"/>
      <c r="O483" s="1"/>
      <c r="P483" s="1"/>
      <c r="Q483" s="1"/>
      <c r="R483" s="1"/>
      <c r="S483" s="1"/>
      <c r="T483" s="1"/>
      <c r="U483" s="1"/>
      <c r="V483" s="1"/>
      <c r="W483" s="1"/>
      <c r="X483" s="1"/>
      <c r="Y483" s="1"/>
      <c r="Z483" s="1"/>
    </row>
    <row r="484" spans="1:26" ht="12.75" customHeight="1">
      <c r="A484" s="7"/>
      <c r="B484" s="7"/>
      <c r="C484" s="7"/>
      <c r="D484" s="17"/>
      <c r="E484" s="17"/>
      <c r="F484" s="17"/>
      <c r="G484" s="1"/>
      <c r="H484" s="1"/>
      <c r="I484" s="10"/>
      <c r="J484" s="1"/>
      <c r="K484" s="1"/>
      <c r="L484" s="1"/>
      <c r="M484" s="1"/>
      <c r="N484" s="1"/>
      <c r="O484" s="1"/>
      <c r="P484" s="1"/>
      <c r="Q484" s="1"/>
      <c r="R484" s="1"/>
      <c r="S484" s="1"/>
      <c r="T484" s="1"/>
      <c r="U484" s="1"/>
      <c r="V484" s="1"/>
      <c r="W484" s="1"/>
      <c r="X484" s="1"/>
      <c r="Y484" s="1"/>
      <c r="Z484" s="1"/>
    </row>
    <row r="485" spans="1:26" ht="12.75" customHeight="1">
      <c r="A485" s="20"/>
      <c r="B485" s="21" t="s">
        <v>27</v>
      </c>
      <c r="C485" s="95"/>
      <c r="D485" s="895" t="s">
        <v>577</v>
      </c>
      <c r="E485" s="893"/>
      <c r="F485" s="893"/>
      <c r="G485" s="1"/>
      <c r="H485" s="1"/>
      <c r="I485" s="10"/>
      <c r="J485" s="1"/>
      <c r="K485" s="1"/>
      <c r="L485" s="1"/>
      <c r="M485" s="1"/>
      <c r="N485" s="1"/>
      <c r="O485" s="1"/>
      <c r="P485" s="1"/>
      <c r="Q485" s="1"/>
      <c r="R485" s="1"/>
      <c r="S485" s="1"/>
      <c r="T485" s="1"/>
      <c r="U485" s="1"/>
      <c r="V485" s="1"/>
      <c r="W485" s="1"/>
      <c r="X485" s="1"/>
      <c r="Y485" s="1"/>
      <c r="Z485" s="1"/>
    </row>
    <row r="486" spans="1:26" ht="12.75" customHeight="1">
      <c r="A486" s="7"/>
      <c r="B486" s="7"/>
      <c r="C486" s="7"/>
      <c r="D486" s="893"/>
      <c r="E486" s="893"/>
      <c r="F486" s="893"/>
      <c r="G486" s="1"/>
      <c r="H486" s="1"/>
      <c r="I486" s="10"/>
      <c r="J486" s="1"/>
      <c r="K486" s="1"/>
      <c r="L486" s="1"/>
      <c r="M486" s="1"/>
      <c r="N486" s="1"/>
      <c r="O486" s="1"/>
      <c r="P486" s="1"/>
      <c r="Q486" s="1"/>
      <c r="R486" s="1"/>
      <c r="S486" s="1"/>
      <c r="T486" s="1"/>
      <c r="U486" s="1"/>
      <c r="V486" s="1"/>
      <c r="W486" s="1"/>
      <c r="X486" s="1"/>
      <c r="Y486" s="1"/>
      <c r="Z486" s="1"/>
    </row>
    <row r="487" spans="1:26" ht="12.75" customHeight="1">
      <c r="A487" s="7"/>
      <c r="B487" s="7"/>
      <c r="C487" s="7"/>
      <c r="D487" s="893"/>
      <c r="E487" s="893"/>
      <c r="F487" s="893"/>
      <c r="G487" s="1"/>
      <c r="H487" s="1"/>
      <c r="I487" s="10"/>
      <c r="J487" s="1"/>
      <c r="K487" s="1"/>
      <c r="L487" s="1"/>
      <c r="M487" s="1"/>
      <c r="N487" s="1"/>
      <c r="O487" s="1"/>
      <c r="P487" s="1"/>
      <c r="Q487" s="1"/>
      <c r="R487" s="1"/>
      <c r="S487" s="1"/>
      <c r="T487" s="1"/>
      <c r="U487" s="1"/>
      <c r="V487" s="1"/>
      <c r="W487" s="1"/>
      <c r="X487" s="1"/>
      <c r="Y487" s="1"/>
      <c r="Z487" s="1"/>
    </row>
    <row r="488" spans="1:26" ht="12.75" customHeight="1">
      <c r="A488" s="7"/>
      <c r="B488" s="7"/>
      <c r="C488" s="7"/>
      <c r="D488" s="11"/>
      <c r="E488" s="11"/>
      <c r="F488" s="11"/>
      <c r="G488" s="1"/>
      <c r="H488" s="1"/>
      <c r="I488" s="10"/>
      <c r="J488" s="1"/>
      <c r="K488" s="1"/>
      <c r="L488" s="1"/>
      <c r="M488" s="1"/>
      <c r="N488" s="1"/>
      <c r="O488" s="1"/>
      <c r="P488" s="1"/>
      <c r="Q488" s="1"/>
      <c r="R488" s="1"/>
      <c r="S488" s="1"/>
      <c r="T488" s="1"/>
      <c r="U488" s="1"/>
      <c r="V488" s="1"/>
      <c r="W488" s="1"/>
      <c r="X488" s="1"/>
      <c r="Y488" s="1"/>
      <c r="Z488" s="1"/>
    </row>
    <row r="489" spans="1:26" ht="12.75" customHeight="1">
      <c r="A489" s="7"/>
      <c r="B489" s="21" t="s">
        <v>27</v>
      </c>
      <c r="C489" s="20"/>
      <c r="D489" s="895" t="s">
        <v>581</v>
      </c>
      <c r="E489" s="893"/>
      <c r="F489" s="893"/>
      <c r="G489" s="1"/>
      <c r="H489" s="1"/>
      <c r="I489" s="10"/>
      <c r="J489" s="1"/>
      <c r="K489" s="1"/>
      <c r="L489" s="1"/>
      <c r="M489" s="1"/>
      <c r="N489" s="1"/>
      <c r="O489" s="1"/>
      <c r="P489" s="1"/>
      <c r="Q489" s="1"/>
      <c r="R489" s="1"/>
      <c r="S489" s="1"/>
      <c r="T489" s="1"/>
      <c r="U489" s="1"/>
      <c r="V489" s="1"/>
      <c r="W489" s="1"/>
      <c r="X489" s="1"/>
      <c r="Y489" s="1"/>
      <c r="Z489" s="1"/>
    </row>
    <row r="490" spans="1:26" ht="12.75" customHeight="1">
      <c r="A490" s="7"/>
      <c r="B490" s="7"/>
      <c r="C490" s="7"/>
      <c r="D490" s="893"/>
      <c r="E490" s="893"/>
      <c r="F490" s="893"/>
      <c r="G490" s="1"/>
      <c r="H490" s="1"/>
      <c r="I490" s="10"/>
      <c r="J490" s="1"/>
      <c r="K490" s="1"/>
      <c r="L490" s="1"/>
      <c r="M490" s="1"/>
      <c r="N490" s="1"/>
      <c r="O490" s="1"/>
      <c r="P490" s="1"/>
      <c r="Q490" s="1"/>
      <c r="R490" s="1"/>
      <c r="S490" s="1"/>
      <c r="T490" s="1"/>
      <c r="U490" s="1"/>
      <c r="V490" s="1"/>
      <c r="W490" s="1"/>
      <c r="X490" s="1"/>
      <c r="Y490" s="1"/>
      <c r="Z490" s="1"/>
    </row>
    <row r="491" spans="1:26" ht="12.75" customHeight="1">
      <c r="A491" s="7"/>
      <c r="B491" s="7"/>
      <c r="C491" s="7"/>
      <c r="D491" s="17"/>
      <c r="E491" s="17"/>
      <c r="F491" s="17"/>
      <c r="G491" s="1"/>
      <c r="H491" s="1"/>
      <c r="I491" s="10"/>
      <c r="J491" s="1"/>
      <c r="K491" s="1"/>
      <c r="L491" s="1"/>
      <c r="M491" s="1"/>
      <c r="N491" s="1"/>
      <c r="O491" s="1"/>
      <c r="P491" s="1"/>
      <c r="Q491" s="1"/>
      <c r="R491" s="1"/>
      <c r="S491" s="1"/>
      <c r="T491" s="1"/>
      <c r="U491" s="1"/>
      <c r="V491" s="1"/>
      <c r="W491" s="1"/>
      <c r="X491" s="1"/>
      <c r="Y491" s="1"/>
      <c r="Z491" s="1"/>
    </row>
    <row r="492" spans="1:26" ht="12.75" customHeight="1">
      <c r="A492" s="7"/>
      <c r="B492" s="21" t="s">
        <v>27</v>
      </c>
      <c r="C492" s="20"/>
      <c r="D492" s="895" t="s">
        <v>583</v>
      </c>
      <c r="E492" s="893"/>
      <c r="F492" s="893"/>
      <c r="G492" s="1"/>
      <c r="H492" s="1"/>
      <c r="I492" s="10"/>
      <c r="J492" s="1"/>
      <c r="K492" s="1"/>
      <c r="L492" s="1"/>
      <c r="M492" s="1"/>
      <c r="N492" s="1"/>
      <c r="O492" s="1"/>
      <c r="P492" s="1"/>
      <c r="Q492" s="1"/>
      <c r="R492" s="1"/>
      <c r="S492" s="1"/>
      <c r="T492" s="1"/>
      <c r="U492" s="1"/>
      <c r="V492" s="1"/>
      <c r="W492" s="1"/>
      <c r="X492" s="1"/>
      <c r="Y492" s="1"/>
      <c r="Z492" s="1"/>
    </row>
    <row r="493" spans="1:26" ht="12.75" customHeight="1">
      <c r="A493" s="7"/>
      <c r="B493" s="7"/>
      <c r="C493" s="7"/>
      <c r="D493" s="893"/>
      <c r="E493" s="893"/>
      <c r="F493" s="893"/>
      <c r="G493" s="1"/>
      <c r="H493" s="1"/>
      <c r="I493" s="10"/>
      <c r="J493" s="1"/>
      <c r="K493" s="1"/>
      <c r="L493" s="1"/>
      <c r="M493" s="1"/>
      <c r="N493" s="1"/>
      <c r="O493" s="1"/>
      <c r="P493" s="1"/>
      <c r="Q493" s="1"/>
      <c r="R493" s="1"/>
      <c r="S493" s="1"/>
      <c r="T493" s="1"/>
      <c r="U493" s="1"/>
      <c r="V493" s="1"/>
      <c r="W493" s="1"/>
      <c r="X493" s="1"/>
      <c r="Y493" s="1"/>
      <c r="Z493" s="1"/>
    </row>
    <row r="494" spans="1:26" ht="12.75" customHeight="1">
      <c r="A494" s="7"/>
      <c r="B494" s="7"/>
      <c r="C494" s="7"/>
      <c r="D494" s="893"/>
      <c r="E494" s="893"/>
      <c r="F494" s="893"/>
      <c r="G494" s="1"/>
      <c r="H494" s="1"/>
      <c r="I494" s="10"/>
      <c r="J494" s="1"/>
      <c r="K494" s="1"/>
      <c r="L494" s="1"/>
      <c r="M494" s="1"/>
      <c r="N494" s="1"/>
      <c r="O494" s="1"/>
      <c r="P494" s="1"/>
      <c r="Q494" s="1"/>
      <c r="R494" s="1"/>
      <c r="S494" s="1"/>
      <c r="T494" s="1"/>
      <c r="U494" s="1"/>
      <c r="V494" s="1"/>
      <c r="W494" s="1"/>
      <c r="X494" s="1"/>
      <c r="Y494" s="1"/>
      <c r="Z494" s="1"/>
    </row>
    <row r="495" spans="1:26" ht="12.75" customHeight="1">
      <c r="A495" s="7"/>
      <c r="B495" s="7"/>
      <c r="C495" s="7"/>
      <c r="D495" s="893"/>
      <c r="E495" s="893"/>
      <c r="F495" s="893"/>
      <c r="G495" s="1"/>
      <c r="H495" s="1"/>
      <c r="I495" s="10"/>
      <c r="J495" s="1"/>
      <c r="K495" s="1"/>
      <c r="L495" s="1"/>
      <c r="M495" s="1"/>
      <c r="N495" s="1"/>
      <c r="O495" s="1"/>
      <c r="P495" s="1"/>
      <c r="Q495" s="1"/>
      <c r="R495" s="1"/>
      <c r="S495" s="1"/>
      <c r="T495" s="1"/>
      <c r="U495" s="1"/>
      <c r="V495" s="1"/>
      <c r="W495" s="1"/>
      <c r="X495" s="1"/>
      <c r="Y495" s="1"/>
      <c r="Z495" s="1"/>
    </row>
    <row r="496" spans="1:26" ht="12.75" customHeight="1">
      <c r="A496" s="7"/>
      <c r="B496" s="21" t="s">
        <v>27</v>
      </c>
      <c r="C496" s="7"/>
      <c r="D496" s="893"/>
      <c r="E496" s="893"/>
      <c r="F496" s="893"/>
      <c r="G496" s="1"/>
      <c r="H496" s="1"/>
      <c r="I496" s="10"/>
      <c r="J496" s="1"/>
      <c r="K496" s="1"/>
      <c r="L496" s="1"/>
      <c r="M496" s="1"/>
      <c r="N496" s="1"/>
      <c r="O496" s="1"/>
      <c r="P496" s="1"/>
      <c r="Q496" s="1"/>
      <c r="R496" s="1"/>
      <c r="S496" s="1"/>
      <c r="T496" s="1"/>
      <c r="U496" s="1"/>
      <c r="V496" s="1"/>
      <c r="W496" s="1"/>
      <c r="X496" s="1"/>
      <c r="Y496" s="1"/>
      <c r="Z496" s="1"/>
    </row>
    <row r="497" spans="1:26" ht="12.75" customHeight="1">
      <c r="A497" s="1"/>
      <c r="B497" s="1"/>
      <c r="C497" s="1"/>
      <c r="D497" s="893"/>
      <c r="E497" s="893"/>
      <c r="F497" s="893"/>
      <c r="G497" s="1"/>
      <c r="H497" s="1"/>
      <c r="I497" s="10"/>
      <c r="J497" s="1"/>
      <c r="K497" s="1"/>
      <c r="L497" s="1"/>
      <c r="M497" s="1"/>
      <c r="N497" s="1"/>
      <c r="O497" s="1"/>
      <c r="P497" s="1"/>
      <c r="Q497" s="1"/>
      <c r="R497" s="1"/>
      <c r="S497" s="1"/>
      <c r="T497" s="1"/>
      <c r="U497" s="1"/>
      <c r="V497" s="1"/>
      <c r="W497" s="1"/>
      <c r="X497" s="1"/>
      <c r="Y497" s="1"/>
      <c r="Z497" s="1"/>
    </row>
    <row r="498" spans="1:26" ht="12.75" customHeight="1">
      <c r="A498" s="1"/>
      <c r="B498" s="7"/>
      <c r="C498" s="1"/>
      <c r="D498" s="893"/>
      <c r="E498" s="893"/>
      <c r="F498" s="893"/>
      <c r="G498" s="1"/>
      <c r="H498" s="1"/>
      <c r="I498" s="10"/>
      <c r="J498" s="1"/>
      <c r="K498" s="1"/>
      <c r="L498" s="1"/>
      <c r="M498" s="1"/>
      <c r="N498" s="1"/>
      <c r="O498" s="1"/>
      <c r="P498" s="1"/>
      <c r="Q498" s="1"/>
      <c r="R498" s="1"/>
      <c r="S498" s="1"/>
      <c r="T498" s="1"/>
      <c r="U498" s="1"/>
      <c r="V498" s="1"/>
      <c r="W498" s="1"/>
      <c r="X498" s="1"/>
      <c r="Y498" s="1"/>
      <c r="Z498" s="1"/>
    </row>
    <row r="499" spans="1:26" ht="12.75" customHeight="1">
      <c r="A499" s="1"/>
      <c r="B499" s="21" t="s">
        <v>27</v>
      </c>
      <c r="C499" s="1"/>
      <c r="D499" s="893"/>
      <c r="E499" s="893"/>
      <c r="F499" s="893"/>
      <c r="G499" s="1"/>
      <c r="H499" s="1"/>
      <c r="I499" s="10"/>
      <c r="J499" s="1"/>
      <c r="K499" s="1"/>
      <c r="L499" s="1"/>
      <c r="M499" s="1"/>
      <c r="N499" s="1"/>
      <c r="O499" s="1"/>
      <c r="P499" s="1"/>
      <c r="Q499" s="1"/>
      <c r="R499" s="1"/>
      <c r="S499" s="1"/>
      <c r="T499" s="1"/>
      <c r="U499" s="1"/>
      <c r="V499" s="1"/>
      <c r="W499" s="1"/>
      <c r="X499" s="1"/>
      <c r="Y499" s="1"/>
      <c r="Z499" s="1"/>
    </row>
    <row r="500" spans="1:26" ht="12.75" customHeight="1">
      <c r="A500" s="1"/>
      <c r="B500" s="1"/>
      <c r="C500" s="1"/>
      <c r="D500" s="893"/>
      <c r="E500" s="893"/>
      <c r="F500" s="893"/>
      <c r="G500" s="1"/>
      <c r="H500" s="1"/>
      <c r="I500" s="10"/>
      <c r="J500" s="1"/>
      <c r="K500" s="1"/>
      <c r="L500" s="1"/>
      <c r="M500" s="1"/>
      <c r="N500" s="1"/>
      <c r="O500" s="1"/>
      <c r="P500" s="1"/>
      <c r="Q500" s="1"/>
      <c r="R500" s="1"/>
      <c r="S500" s="1"/>
      <c r="T500" s="1"/>
      <c r="U500" s="1"/>
      <c r="V500" s="1"/>
      <c r="W500" s="1"/>
      <c r="X500" s="1"/>
      <c r="Y500" s="1"/>
      <c r="Z500" s="1"/>
    </row>
    <row r="501" spans="1:26" ht="12.75" customHeight="1">
      <c r="A501" s="1"/>
      <c r="B501" s="7"/>
      <c r="C501" s="1"/>
      <c r="D501" s="893"/>
      <c r="E501" s="893"/>
      <c r="F501" s="893"/>
      <c r="G501" s="1"/>
      <c r="H501" s="1"/>
      <c r="I501" s="10"/>
      <c r="J501" s="1"/>
      <c r="K501" s="1"/>
      <c r="L501" s="1"/>
      <c r="M501" s="1"/>
      <c r="N501" s="1"/>
      <c r="O501" s="1"/>
      <c r="P501" s="1"/>
      <c r="Q501" s="1"/>
      <c r="R501" s="1"/>
      <c r="S501" s="1"/>
      <c r="T501" s="1"/>
      <c r="U501" s="1"/>
      <c r="V501" s="1"/>
      <c r="W501" s="1"/>
      <c r="X501" s="1"/>
      <c r="Y501" s="1"/>
      <c r="Z501" s="1"/>
    </row>
    <row r="502" spans="1:26" ht="12.75" customHeight="1">
      <c r="A502" s="1"/>
      <c r="B502" s="7"/>
      <c r="C502" s="1"/>
      <c r="D502" s="893"/>
      <c r="E502" s="893"/>
      <c r="F502" s="893"/>
      <c r="G502" s="1"/>
      <c r="H502" s="1"/>
      <c r="I502" s="10"/>
      <c r="J502" s="1"/>
      <c r="K502" s="1"/>
      <c r="L502" s="1"/>
      <c r="M502" s="1"/>
      <c r="N502" s="1"/>
      <c r="O502" s="1"/>
      <c r="P502" s="1"/>
      <c r="Q502" s="1"/>
      <c r="R502" s="1"/>
      <c r="S502" s="1"/>
      <c r="T502" s="1"/>
      <c r="U502" s="1"/>
      <c r="V502" s="1"/>
      <c r="W502" s="1"/>
      <c r="X502" s="1"/>
      <c r="Y502" s="1"/>
      <c r="Z502" s="1"/>
    </row>
    <row r="503" spans="1:26" ht="12.75" customHeight="1">
      <c r="A503" s="1"/>
      <c r="B503" s="7"/>
      <c r="C503" s="1"/>
      <c r="D503" s="893"/>
      <c r="E503" s="893"/>
      <c r="F503" s="893"/>
      <c r="G503" s="1"/>
      <c r="H503" s="1"/>
      <c r="I503" s="10"/>
      <c r="J503" s="1"/>
      <c r="K503" s="1"/>
      <c r="L503" s="1"/>
      <c r="M503" s="1"/>
      <c r="N503" s="1"/>
      <c r="O503" s="1"/>
      <c r="P503" s="1"/>
      <c r="Q503" s="1"/>
      <c r="R503" s="1"/>
      <c r="S503" s="1"/>
      <c r="T503" s="1"/>
      <c r="U503" s="1"/>
      <c r="V503" s="1"/>
      <c r="W503" s="1"/>
      <c r="X503" s="1"/>
      <c r="Y503" s="1"/>
      <c r="Z503" s="1"/>
    </row>
    <row r="504" spans="1:26" ht="12.75" customHeight="1">
      <c r="A504" s="1"/>
      <c r="B504" s="21" t="s">
        <v>27</v>
      </c>
      <c r="C504" s="1"/>
      <c r="D504" s="893"/>
      <c r="E504" s="893"/>
      <c r="F504" s="893"/>
      <c r="G504" s="1"/>
      <c r="H504" s="1"/>
      <c r="I504" s="10"/>
      <c r="J504" s="1"/>
      <c r="K504" s="1"/>
      <c r="L504" s="1"/>
      <c r="M504" s="1"/>
      <c r="N504" s="1"/>
      <c r="O504" s="1"/>
      <c r="P504" s="1"/>
      <c r="Q504" s="1"/>
      <c r="R504" s="1"/>
      <c r="S504" s="1"/>
      <c r="T504" s="1"/>
      <c r="U504" s="1"/>
      <c r="V504" s="1"/>
      <c r="W504" s="1"/>
      <c r="X504" s="1"/>
      <c r="Y504" s="1"/>
      <c r="Z504" s="1"/>
    </row>
    <row r="505" spans="1:26" ht="12.75" customHeight="1">
      <c r="A505" s="1"/>
      <c r="B505" s="7"/>
      <c r="C505" s="1"/>
      <c r="D505" s="893"/>
      <c r="E505" s="893"/>
      <c r="F505" s="893"/>
      <c r="G505" s="1"/>
      <c r="H505" s="1"/>
      <c r="I505" s="10"/>
      <c r="J505" s="1"/>
      <c r="K505" s="1"/>
      <c r="L505" s="1"/>
      <c r="M505" s="1"/>
      <c r="N505" s="1"/>
      <c r="O505" s="1"/>
      <c r="P505" s="1"/>
      <c r="Q505" s="1"/>
      <c r="R505" s="1"/>
      <c r="S505" s="1"/>
      <c r="T505" s="1"/>
      <c r="U505" s="1"/>
      <c r="V505" s="1"/>
      <c r="W505" s="1"/>
      <c r="X505" s="1"/>
      <c r="Y505" s="1"/>
      <c r="Z505" s="1"/>
    </row>
    <row r="506" spans="1:26" ht="12.75" customHeight="1">
      <c r="A506" s="1"/>
      <c r="B506" s="21" t="s">
        <v>27</v>
      </c>
      <c r="C506" s="1"/>
      <c r="D506" s="895" t="s">
        <v>592</v>
      </c>
      <c r="E506" s="893"/>
      <c r="F506" s="893"/>
      <c r="G506" s="1"/>
      <c r="H506" s="1"/>
      <c r="I506" s="10"/>
      <c r="J506" s="1"/>
      <c r="K506" s="1"/>
      <c r="L506" s="1"/>
      <c r="M506" s="1"/>
      <c r="N506" s="1"/>
      <c r="O506" s="1"/>
      <c r="P506" s="1"/>
      <c r="Q506" s="1"/>
      <c r="R506" s="1"/>
      <c r="S506" s="1"/>
      <c r="T506" s="1"/>
      <c r="U506" s="1"/>
      <c r="V506" s="1"/>
      <c r="W506" s="1"/>
      <c r="X506" s="1"/>
      <c r="Y506" s="1"/>
      <c r="Z506" s="1"/>
    </row>
    <row r="507" spans="1:26" ht="12.75" customHeight="1">
      <c r="A507" s="1"/>
      <c r="B507" s="1"/>
      <c r="C507" s="1"/>
      <c r="D507" s="893"/>
      <c r="E507" s="893"/>
      <c r="F507" s="893"/>
      <c r="G507" s="1"/>
      <c r="H507" s="1"/>
      <c r="I507" s="10"/>
      <c r="J507" s="1"/>
      <c r="K507" s="1"/>
      <c r="L507" s="1"/>
      <c r="M507" s="1"/>
      <c r="N507" s="1"/>
      <c r="O507" s="1"/>
      <c r="P507" s="1"/>
      <c r="Q507" s="1"/>
      <c r="R507" s="1"/>
      <c r="S507" s="1"/>
      <c r="T507" s="1"/>
      <c r="U507" s="1"/>
      <c r="V507" s="1"/>
      <c r="W507" s="1"/>
      <c r="X507" s="1"/>
      <c r="Y507" s="1"/>
      <c r="Z507" s="1"/>
    </row>
    <row r="508" spans="1:26" ht="12.75" customHeight="1">
      <c r="A508" s="1"/>
      <c r="B508" s="1"/>
      <c r="C508" s="1"/>
      <c r="D508" s="893"/>
      <c r="E508" s="893"/>
      <c r="F508" s="893"/>
      <c r="G508" s="1"/>
      <c r="H508" s="1"/>
      <c r="I508" s="10"/>
      <c r="J508" s="1"/>
      <c r="K508" s="1"/>
      <c r="L508" s="1"/>
      <c r="M508" s="1"/>
      <c r="N508" s="1"/>
      <c r="O508" s="1"/>
      <c r="P508" s="1"/>
      <c r="Q508" s="1"/>
      <c r="R508" s="1"/>
      <c r="S508" s="1"/>
      <c r="T508" s="1"/>
      <c r="U508" s="1"/>
      <c r="V508" s="1"/>
      <c r="W508" s="1"/>
      <c r="X508" s="1"/>
      <c r="Y508" s="1"/>
      <c r="Z508" s="1"/>
    </row>
    <row r="509" spans="1:26" ht="12.75" customHeight="1">
      <c r="A509" s="1"/>
      <c r="B509" s="1"/>
      <c r="C509" s="1"/>
      <c r="D509" s="893"/>
      <c r="E509" s="893"/>
      <c r="F509" s="893"/>
      <c r="G509" s="1"/>
      <c r="H509" s="1"/>
      <c r="I509" s="10"/>
      <c r="J509" s="1"/>
      <c r="K509" s="1"/>
      <c r="L509" s="1"/>
      <c r="M509" s="1"/>
      <c r="N509" s="1"/>
      <c r="O509" s="1"/>
      <c r="P509" s="1"/>
      <c r="Q509" s="1"/>
      <c r="R509" s="1"/>
      <c r="S509" s="1"/>
      <c r="T509" s="1"/>
      <c r="U509" s="1"/>
      <c r="V509" s="1"/>
      <c r="W509" s="1"/>
      <c r="X509" s="1"/>
      <c r="Y509" s="1"/>
      <c r="Z509" s="1"/>
    </row>
    <row r="510" spans="1:26" ht="12.75" customHeight="1">
      <c r="A510" s="7"/>
      <c r="B510" s="7"/>
      <c r="C510" s="7"/>
      <c r="D510" s="893"/>
      <c r="E510" s="893"/>
      <c r="F510" s="893"/>
      <c r="G510" s="1"/>
      <c r="H510" s="1"/>
      <c r="I510" s="10"/>
      <c r="J510" s="1"/>
      <c r="K510" s="1"/>
      <c r="L510" s="1"/>
      <c r="M510" s="1"/>
      <c r="N510" s="1"/>
      <c r="O510" s="1"/>
      <c r="P510" s="1"/>
      <c r="Q510" s="1"/>
      <c r="R510" s="1"/>
      <c r="S510" s="1"/>
      <c r="T510" s="1"/>
      <c r="U510" s="1"/>
      <c r="V510" s="1"/>
      <c r="W510" s="1"/>
      <c r="X510" s="1"/>
      <c r="Y510" s="1"/>
      <c r="Z510" s="1"/>
    </row>
    <row r="511" spans="1:26" ht="12.75" customHeight="1">
      <c r="A511" s="7"/>
      <c r="B511" s="7"/>
      <c r="C511" s="7"/>
      <c r="D511" s="17"/>
      <c r="E511" s="17"/>
      <c r="F511" s="17"/>
      <c r="G511" s="1"/>
      <c r="H511" s="1"/>
      <c r="I511" s="10"/>
      <c r="J511" s="1"/>
      <c r="K511" s="1"/>
      <c r="L511" s="1"/>
      <c r="M511" s="1"/>
      <c r="N511" s="1"/>
      <c r="O511" s="1"/>
      <c r="P511" s="1"/>
      <c r="Q511" s="1"/>
      <c r="R511" s="1"/>
      <c r="S511" s="1"/>
      <c r="T511" s="1"/>
      <c r="U511" s="1"/>
      <c r="V511" s="1"/>
      <c r="W511" s="1"/>
      <c r="X511" s="1"/>
      <c r="Y511" s="1"/>
      <c r="Z511" s="1"/>
    </row>
    <row r="512" spans="1:26" ht="12.75" customHeight="1">
      <c r="A512" s="7"/>
      <c r="B512" s="21" t="s">
        <v>27</v>
      </c>
      <c r="C512" s="7"/>
      <c r="D512" s="915" t="s">
        <v>595</v>
      </c>
      <c r="E512" s="893"/>
      <c r="F512" s="893"/>
      <c r="G512" s="1"/>
      <c r="H512" s="1"/>
      <c r="I512" s="10"/>
      <c r="J512" s="1"/>
      <c r="K512" s="1"/>
      <c r="L512" s="1"/>
      <c r="M512" s="1"/>
      <c r="N512" s="1"/>
      <c r="O512" s="1"/>
      <c r="P512" s="1"/>
      <c r="Q512" s="1"/>
      <c r="R512" s="1"/>
      <c r="S512" s="1"/>
      <c r="T512" s="1"/>
      <c r="U512" s="1"/>
      <c r="V512" s="1"/>
      <c r="W512" s="1"/>
      <c r="X512" s="1"/>
      <c r="Y512" s="1"/>
      <c r="Z512" s="1"/>
    </row>
    <row r="513" spans="1:26" ht="12.75" customHeight="1">
      <c r="A513" s="17"/>
      <c r="B513" s="17"/>
      <c r="C513" s="7"/>
      <c r="D513" s="1"/>
      <c r="E513" s="1"/>
      <c r="F513" s="1"/>
      <c r="G513" s="1"/>
      <c r="H513" s="1"/>
      <c r="I513" s="10"/>
      <c r="J513" s="1"/>
      <c r="K513" s="1"/>
      <c r="L513" s="1"/>
      <c r="M513" s="1"/>
      <c r="N513" s="1"/>
      <c r="O513" s="1"/>
      <c r="P513" s="1"/>
      <c r="Q513" s="1"/>
      <c r="R513" s="1"/>
      <c r="S513" s="1"/>
      <c r="T513" s="1"/>
      <c r="U513" s="1"/>
      <c r="V513" s="1"/>
      <c r="W513" s="1"/>
      <c r="X513" s="1"/>
      <c r="Y513" s="1"/>
      <c r="Z513" s="1"/>
    </row>
    <row r="514" spans="1:26" ht="12.75" customHeight="1">
      <c r="A514" s="920" t="s">
        <v>596</v>
      </c>
      <c r="B514" s="921"/>
      <c r="C514" s="921"/>
      <c r="D514" s="921"/>
      <c r="E514" s="921"/>
      <c r="F514" s="921"/>
      <c r="G514" s="921"/>
      <c r="H514" s="5"/>
      <c r="I514" s="39"/>
      <c r="J514" s="1"/>
      <c r="K514" s="1"/>
      <c r="L514" s="1"/>
      <c r="M514" s="1"/>
      <c r="N514" s="1"/>
      <c r="O514" s="1"/>
      <c r="P514" s="1"/>
      <c r="Q514" s="1"/>
      <c r="R514" s="1"/>
      <c r="S514" s="1"/>
      <c r="T514" s="1"/>
      <c r="U514" s="1"/>
      <c r="V514" s="1"/>
      <c r="W514" s="1"/>
      <c r="X514" s="1"/>
      <c r="Y514" s="1"/>
      <c r="Z514" s="1"/>
    </row>
    <row r="515" spans="1:26" ht="12.75" customHeight="1">
      <c r="A515" s="17"/>
      <c r="B515" s="17"/>
      <c r="C515" s="7"/>
      <c r="D515" s="1"/>
      <c r="E515" s="1"/>
      <c r="F515" s="1"/>
      <c r="G515" s="1"/>
      <c r="H515" s="1"/>
      <c r="I515" s="10"/>
      <c r="J515" s="1"/>
      <c r="K515" s="1"/>
      <c r="L515" s="1"/>
      <c r="M515" s="1"/>
      <c r="N515" s="1"/>
      <c r="O515" s="1"/>
      <c r="P515" s="1"/>
      <c r="Q515" s="1"/>
      <c r="R515" s="1"/>
      <c r="S515" s="1"/>
      <c r="T515" s="1"/>
      <c r="U515" s="1"/>
      <c r="V515" s="1"/>
      <c r="W515" s="1"/>
      <c r="X515" s="1"/>
      <c r="Y515" s="1"/>
      <c r="Z515" s="1"/>
    </row>
    <row r="516" spans="1:26" ht="12.75" customHeight="1">
      <c r="A516" s="7"/>
      <c r="B516" s="7"/>
      <c r="C516" s="7"/>
      <c r="D516" s="914" t="s">
        <v>599</v>
      </c>
      <c r="E516" s="893"/>
      <c r="F516" s="893"/>
      <c r="G516" s="1"/>
      <c r="H516" s="1"/>
      <c r="I516" s="10"/>
      <c r="J516" s="1"/>
      <c r="K516" s="1"/>
      <c r="L516" s="1"/>
      <c r="M516" s="1"/>
      <c r="N516" s="1"/>
      <c r="O516" s="1"/>
      <c r="P516" s="1"/>
      <c r="Q516" s="1"/>
      <c r="R516" s="1"/>
      <c r="S516" s="1"/>
      <c r="T516" s="1"/>
      <c r="U516" s="1"/>
      <c r="V516" s="1"/>
      <c r="W516" s="1"/>
      <c r="X516" s="1"/>
      <c r="Y516" s="1"/>
      <c r="Z516" s="1"/>
    </row>
    <row r="517" spans="1:26" ht="12.75" customHeight="1">
      <c r="A517" s="20"/>
      <c r="B517" s="20"/>
      <c r="C517" s="7"/>
      <c r="D517" s="915" t="s">
        <v>600</v>
      </c>
      <c r="E517" s="893"/>
      <c r="F517" s="893"/>
      <c r="G517" s="1"/>
      <c r="H517" s="1"/>
      <c r="I517" s="10"/>
      <c r="J517" s="1"/>
      <c r="K517" s="1"/>
      <c r="L517" s="1"/>
      <c r="M517" s="1"/>
      <c r="N517" s="1"/>
      <c r="O517" s="1"/>
      <c r="P517" s="1"/>
      <c r="Q517" s="1"/>
      <c r="R517" s="1"/>
      <c r="S517" s="1"/>
      <c r="T517" s="1"/>
      <c r="U517" s="1"/>
      <c r="V517" s="1"/>
      <c r="W517" s="1"/>
      <c r="X517" s="1"/>
      <c r="Y517" s="1"/>
      <c r="Z517" s="1"/>
    </row>
    <row r="518" spans="1:26" ht="12.75" customHeight="1">
      <c r="A518" s="20"/>
      <c r="B518" s="20"/>
      <c r="C518" s="7"/>
      <c r="D518" s="17"/>
      <c r="E518" s="1"/>
      <c r="F518" s="1"/>
      <c r="G518" s="1"/>
      <c r="H518" s="1"/>
      <c r="I518" s="10"/>
      <c r="J518" s="1"/>
      <c r="K518" s="1"/>
      <c r="L518" s="1"/>
      <c r="M518" s="1"/>
      <c r="N518" s="1"/>
      <c r="O518" s="1"/>
      <c r="P518" s="1"/>
      <c r="Q518" s="1"/>
      <c r="R518" s="1"/>
      <c r="S518" s="1"/>
      <c r="T518" s="1"/>
      <c r="U518" s="1"/>
      <c r="V518" s="1"/>
      <c r="W518" s="1"/>
      <c r="X518" s="1"/>
      <c r="Y518" s="1"/>
      <c r="Z518" s="1"/>
    </row>
    <row r="519" spans="1:26" ht="12.75" customHeight="1">
      <c r="A519" s="20"/>
      <c r="B519" s="21" t="s">
        <v>27</v>
      </c>
      <c r="C519" s="7"/>
      <c r="D519" s="895" t="s">
        <v>604</v>
      </c>
      <c r="E519" s="893"/>
      <c r="F519" s="893"/>
      <c r="G519" s="1"/>
      <c r="H519" s="1"/>
      <c r="I519" s="10"/>
      <c r="J519" s="1"/>
      <c r="K519" s="1"/>
      <c r="L519" s="1"/>
      <c r="M519" s="1"/>
      <c r="N519" s="1"/>
      <c r="O519" s="1"/>
      <c r="P519" s="1"/>
      <c r="Q519" s="1"/>
      <c r="R519" s="1"/>
      <c r="S519" s="1"/>
      <c r="T519" s="1"/>
      <c r="U519" s="1"/>
      <c r="V519" s="1"/>
      <c r="W519" s="1"/>
      <c r="X519" s="1"/>
      <c r="Y519" s="1"/>
      <c r="Z519" s="1"/>
    </row>
    <row r="520" spans="1:26" ht="12.75" customHeight="1">
      <c r="A520" s="20"/>
      <c r="B520" s="20"/>
      <c r="C520" s="7"/>
      <c r="D520" s="893"/>
      <c r="E520" s="893"/>
      <c r="F520" s="893"/>
      <c r="G520" s="1"/>
      <c r="H520" s="1"/>
      <c r="I520" s="10"/>
      <c r="J520" s="1"/>
      <c r="K520" s="1"/>
      <c r="L520" s="1"/>
      <c r="M520" s="1"/>
      <c r="N520" s="1"/>
      <c r="O520" s="1"/>
      <c r="P520" s="1"/>
      <c r="Q520" s="1"/>
      <c r="R520" s="1"/>
      <c r="S520" s="1"/>
      <c r="T520" s="1"/>
      <c r="U520" s="1"/>
      <c r="V520" s="1"/>
      <c r="W520" s="1"/>
      <c r="X520" s="1"/>
      <c r="Y520" s="1"/>
      <c r="Z520" s="1"/>
    </row>
    <row r="521" spans="1:26" ht="12.75" customHeight="1">
      <c r="A521" s="20"/>
      <c r="B521" s="20"/>
      <c r="C521" s="7"/>
      <c r="D521" s="17"/>
      <c r="E521" s="1"/>
      <c r="F521" s="1"/>
      <c r="G521" s="1"/>
      <c r="H521" s="1"/>
      <c r="I521" s="10"/>
      <c r="J521" s="1"/>
      <c r="K521" s="1"/>
      <c r="L521" s="1"/>
      <c r="M521" s="1"/>
      <c r="N521" s="1"/>
      <c r="O521" s="1"/>
      <c r="P521" s="1"/>
      <c r="Q521" s="1"/>
      <c r="R521" s="1"/>
      <c r="S521" s="1"/>
      <c r="T521" s="1"/>
      <c r="U521" s="1"/>
      <c r="V521" s="1"/>
      <c r="W521" s="1"/>
      <c r="X521" s="1"/>
      <c r="Y521" s="1"/>
      <c r="Z521" s="1"/>
    </row>
    <row r="522" spans="1:26" ht="12.75" customHeight="1">
      <c r="A522" s="7"/>
      <c r="B522" s="21" t="s">
        <v>27</v>
      </c>
      <c r="C522" s="7"/>
      <c r="D522" s="927" t="s">
        <v>606</v>
      </c>
      <c r="E522" s="893"/>
      <c r="F522" s="893"/>
      <c r="G522" s="1"/>
      <c r="H522" s="1"/>
      <c r="I522" s="10"/>
      <c r="J522" s="1"/>
      <c r="K522" s="1"/>
      <c r="L522" s="1"/>
      <c r="M522" s="1"/>
      <c r="N522" s="1"/>
      <c r="O522" s="1"/>
      <c r="P522" s="1"/>
      <c r="Q522" s="1"/>
      <c r="R522" s="1"/>
      <c r="S522" s="1"/>
      <c r="T522" s="1"/>
      <c r="U522" s="1"/>
      <c r="V522" s="1"/>
      <c r="W522" s="1"/>
      <c r="X522" s="1"/>
      <c r="Y522" s="1"/>
      <c r="Z522" s="1"/>
    </row>
    <row r="523" spans="1:26" ht="12.75" customHeight="1">
      <c r="A523" s="20"/>
      <c r="B523" s="7"/>
      <c r="C523" s="7"/>
      <c r="D523" s="893"/>
      <c r="E523" s="893"/>
      <c r="F523" s="893"/>
      <c r="G523" s="1"/>
      <c r="H523" s="1"/>
      <c r="I523" s="10"/>
      <c r="J523" s="1"/>
      <c r="K523" s="1"/>
      <c r="L523" s="1"/>
      <c r="M523" s="1"/>
      <c r="N523" s="1"/>
      <c r="O523" s="1"/>
      <c r="P523" s="1"/>
      <c r="Q523" s="1"/>
      <c r="R523" s="1"/>
      <c r="S523" s="1"/>
      <c r="T523" s="1"/>
      <c r="U523" s="1"/>
      <c r="V523" s="1"/>
      <c r="W523" s="1"/>
      <c r="X523" s="1"/>
      <c r="Y523" s="1"/>
      <c r="Z523" s="1"/>
    </row>
    <row r="524" spans="1:26" ht="12.75" customHeight="1">
      <c r="A524" s="20"/>
      <c r="B524" s="20"/>
      <c r="C524" s="7"/>
      <c r="D524" s="893"/>
      <c r="E524" s="893"/>
      <c r="F524" s="893"/>
      <c r="G524" s="1"/>
      <c r="H524" s="1"/>
      <c r="I524" s="10"/>
      <c r="J524" s="1"/>
      <c r="K524" s="1"/>
      <c r="L524" s="1"/>
      <c r="M524" s="1"/>
      <c r="N524" s="1"/>
      <c r="O524" s="1"/>
      <c r="P524" s="1"/>
      <c r="Q524" s="1"/>
      <c r="R524" s="1"/>
      <c r="S524" s="1"/>
      <c r="T524" s="1"/>
      <c r="U524" s="1"/>
      <c r="V524" s="1"/>
      <c r="W524" s="1"/>
      <c r="X524" s="1"/>
      <c r="Y524" s="1"/>
      <c r="Z524" s="1"/>
    </row>
    <row r="525" spans="1:26" ht="12.75" customHeight="1">
      <c r="A525" s="20"/>
      <c r="B525" s="20"/>
      <c r="C525" s="7"/>
      <c r="D525" s="893"/>
      <c r="E525" s="893"/>
      <c r="F525" s="893"/>
      <c r="G525" s="1"/>
      <c r="H525" s="1"/>
      <c r="I525" s="10"/>
      <c r="J525" s="1"/>
      <c r="K525" s="1"/>
      <c r="L525" s="1"/>
      <c r="M525" s="1"/>
      <c r="N525" s="1"/>
      <c r="O525" s="1"/>
      <c r="P525" s="1"/>
      <c r="Q525" s="1"/>
      <c r="R525" s="1"/>
      <c r="S525" s="1"/>
      <c r="T525" s="1"/>
      <c r="U525" s="1"/>
      <c r="V525" s="1"/>
      <c r="W525" s="1"/>
      <c r="X525" s="1"/>
      <c r="Y525" s="1"/>
      <c r="Z525" s="1"/>
    </row>
    <row r="526" spans="1:26" ht="12.75" customHeight="1">
      <c r="A526" s="20"/>
      <c r="B526" s="7"/>
      <c r="C526" s="7"/>
      <c r="D526" s="108"/>
      <c r="E526" s="108"/>
      <c r="F526" s="108"/>
      <c r="G526" s="1"/>
      <c r="H526" s="1"/>
      <c r="I526" s="10"/>
      <c r="J526" s="1"/>
      <c r="K526" s="1"/>
      <c r="L526" s="1"/>
      <c r="M526" s="1"/>
      <c r="N526" s="1"/>
      <c r="O526" s="1"/>
      <c r="P526" s="1"/>
      <c r="Q526" s="1"/>
      <c r="R526" s="1"/>
      <c r="S526" s="1"/>
      <c r="T526" s="1"/>
      <c r="U526" s="1"/>
      <c r="V526" s="1"/>
      <c r="W526" s="1"/>
      <c r="X526" s="1"/>
      <c r="Y526" s="1"/>
      <c r="Z526" s="1"/>
    </row>
    <row r="527" spans="1:26" ht="12.75" customHeight="1">
      <c r="A527" s="20"/>
      <c r="B527" s="21" t="s">
        <v>27</v>
      </c>
      <c r="C527" s="7"/>
      <c r="D527" s="915" t="s">
        <v>608</v>
      </c>
      <c r="E527" s="893"/>
      <c r="F527" s="893"/>
      <c r="G527" s="1"/>
      <c r="H527" s="1"/>
      <c r="I527" s="10"/>
      <c r="J527" s="1"/>
      <c r="K527" s="1"/>
      <c r="L527" s="1"/>
      <c r="M527" s="1"/>
      <c r="N527" s="1"/>
      <c r="O527" s="1"/>
      <c r="P527" s="1"/>
      <c r="Q527" s="1"/>
      <c r="R527" s="1"/>
      <c r="S527" s="1"/>
      <c r="T527" s="1"/>
      <c r="U527" s="1"/>
      <c r="V527" s="1"/>
      <c r="W527" s="1"/>
      <c r="X527" s="1"/>
      <c r="Y527" s="1"/>
      <c r="Z527" s="1"/>
    </row>
    <row r="528" spans="1:26" ht="12.75" customHeight="1">
      <c r="A528" s="20"/>
      <c r="B528" s="20"/>
      <c r="C528" s="7"/>
      <c r="D528" s="17"/>
      <c r="E528" s="1"/>
      <c r="F528" s="1"/>
      <c r="G528" s="1"/>
      <c r="H528" s="1"/>
      <c r="I528" s="10"/>
      <c r="J528" s="1"/>
      <c r="K528" s="1"/>
      <c r="L528" s="1"/>
      <c r="M528" s="1"/>
      <c r="N528" s="1"/>
      <c r="O528" s="1"/>
      <c r="P528" s="1"/>
      <c r="Q528" s="1"/>
      <c r="R528" s="1"/>
      <c r="S528" s="1"/>
      <c r="T528" s="1"/>
      <c r="U528" s="1"/>
      <c r="V528" s="1"/>
      <c r="W528" s="1"/>
      <c r="X528" s="1"/>
      <c r="Y528" s="1"/>
      <c r="Z528" s="1"/>
    </row>
    <row r="529" spans="1:26" ht="12.75" customHeight="1">
      <c r="A529" s="20"/>
      <c r="B529" s="21" t="s">
        <v>27</v>
      </c>
      <c r="C529" s="7"/>
      <c r="D529" s="895" t="s">
        <v>609</v>
      </c>
      <c r="E529" s="893"/>
      <c r="F529" s="893"/>
      <c r="G529" s="1"/>
      <c r="H529" s="1"/>
      <c r="I529" s="10"/>
      <c r="J529" s="1"/>
      <c r="K529" s="1"/>
      <c r="L529" s="1"/>
      <c r="M529" s="1"/>
      <c r="N529" s="1"/>
      <c r="O529" s="1"/>
      <c r="P529" s="1"/>
      <c r="Q529" s="1"/>
      <c r="R529" s="1"/>
      <c r="S529" s="1"/>
      <c r="T529" s="1"/>
      <c r="U529" s="1"/>
      <c r="V529" s="1"/>
      <c r="W529" s="1"/>
      <c r="X529" s="1"/>
      <c r="Y529" s="1"/>
      <c r="Z529" s="1"/>
    </row>
    <row r="530" spans="1:26" ht="12.75" customHeight="1">
      <c r="A530" s="20"/>
      <c r="B530" s="7"/>
      <c r="C530" s="7"/>
      <c r="D530" s="893"/>
      <c r="E530" s="893"/>
      <c r="F530" s="893"/>
      <c r="G530" s="1"/>
      <c r="H530" s="1"/>
      <c r="I530" s="10"/>
      <c r="J530" s="1"/>
      <c r="K530" s="1"/>
      <c r="L530" s="1"/>
      <c r="M530" s="1"/>
      <c r="N530" s="1"/>
      <c r="O530" s="1"/>
      <c r="P530" s="1"/>
      <c r="Q530" s="1"/>
      <c r="R530" s="1"/>
      <c r="S530" s="1"/>
      <c r="T530" s="1"/>
      <c r="U530" s="1"/>
      <c r="V530" s="1"/>
      <c r="W530" s="1"/>
      <c r="X530" s="1"/>
      <c r="Y530" s="1"/>
      <c r="Z530" s="1"/>
    </row>
    <row r="531" spans="1:26" ht="12.75" customHeight="1">
      <c r="A531" s="10"/>
      <c r="B531" s="10"/>
      <c r="C531" s="7"/>
      <c r="D531" s="17"/>
      <c r="E531" s="1"/>
      <c r="F531" s="1"/>
      <c r="G531" s="1"/>
      <c r="H531" s="1"/>
      <c r="I531" s="10"/>
      <c r="J531" s="1"/>
      <c r="K531" s="1"/>
      <c r="L531" s="1"/>
      <c r="M531" s="1"/>
      <c r="N531" s="1"/>
      <c r="O531" s="1"/>
      <c r="P531" s="1"/>
      <c r="Q531" s="1"/>
      <c r="R531" s="1"/>
      <c r="S531" s="1"/>
      <c r="T531" s="1"/>
      <c r="U531" s="1"/>
      <c r="V531" s="1"/>
      <c r="W531" s="1"/>
      <c r="X531" s="1"/>
      <c r="Y531" s="1"/>
      <c r="Z531" s="1"/>
    </row>
    <row r="532" spans="1:26" ht="12.75" customHeight="1">
      <c r="A532" s="10"/>
      <c r="B532" s="21" t="s">
        <v>27</v>
      </c>
      <c r="C532" s="7"/>
      <c r="D532" s="915" t="s">
        <v>612</v>
      </c>
      <c r="E532" s="893"/>
      <c r="F532" s="893"/>
      <c r="G532" s="1"/>
      <c r="H532" s="1"/>
      <c r="I532" s="10"/>
      <c r="J532" s="1"/>
      <c r="K532" s="1"/>
      <c r="L532" s="1"/>
      <c r="M532" s="1"/>
      <c r="N532" s="1"/>
      <c r="O532" s="1"/>
      <c r="P532" s="1"/>
      <c r="Q532" s="1"/>
      <c r="R532" s="1"/>
      <c r="S532" s="1"/>
      <c r="T532" s="1"/>
      <c r="U532" s="1"/>
      <c r="V532" s="1"/>
      <c r="W532" s="1"/>
      <c r="X532" s="1"/>
      <c r="Y532" s="1"/>
      <c r="Z532" s="1"/>
    </row>
    <row r="533" spans="1:26" ht="12.75" customHeight="1">
      <c r="A533" s="7"/>
      <c r="B533" s="7"/>
      <c r="C533" s="7"/>
      <c r="D533" s="17"/>
      <c r="E533" s="17"/>
      <c r="F533" s="17"/>
      <c r="G533" s="1"/>
      <c r="H533" s="1"/>
      <c r="I533" s="10"/>
      <c r="J533" s="1"/>
      <c r="K533" s="1"/>
      <c r="L533" s="1"/>
      <c r="M533" s="1"/>
      <c r="N533" s="1"/>
      <c r="O533" s="1"/>
      <c r="P533" s="1"/>
      <c r="Q533" s="1"/>
      <c r="R533" s="1"/>
      <c r="S533" s="1"/>
      <c r="T533" s="1"/>
      <c r="U533" s="1"/>
      <c r="V533" s="1"/>
      <c r="W533" s="1"/>
      <c r="X533" s="1"/>
      <c r="Y533" s="1"/>
      <c r="Z533" s="1"/>
    </row>
    <row r="534" spans="1:26" ht="12.75" customHeight="1">
      <c r="A534" s="7"/>
      <c r="B534" s="21" t="s">
        <v>27</v>
      </c>
      <c r="C534" s="7"/>
      <c r="D534" s="895" t="s">
        <v>615</v>
      </c>
      <c r="E534" s="893"/>
      <c r="F534" s="893"/>
      <c r="G534" s="1"/>
      <c r="H534" s="1"/>
      <c r="I534" s="10"/>
      <c r="J534" s="1"/>
      <c r="K534" s="1"/>
      <c r="L534" s="1"/>
      <c r="M534" s="1"/>
      <c r="N534" s="1"/>
      <c r="O534" s="1"/>
      <c r="P534" s="1"/>
      <c r="Q534" s="1"/>
      <c r="R534" s="1"/>
      <c r="S534" s="1"/>
      <c r="T534" s="1"/>
      <c r="U534" s="1"/>
      <c r="V534" s="1"/>
      <c r="W534" s="1"/>
      <c r="X534" s="1"/>
      <c r="Y534" s="1"/>
      <c r="Z534" s="1"/>
    </row>
    <row r="535" spans="1:26" ht="12.75" customHeight="1">
      <c r="A535" s="7"/>
      <c r="B535" s="7"/>
      <c r="C535" s="7"/>
      <c r="D535" s="893"/>
      <c r="E535" s="893"/>
      <c r="F535" s="893"/>
      <c r="G535" s="1"/>
      <c r="H535" s="1"/>
      <c r="I535" s="10"/>
      <c r="J535" s="1"/>
      <c r="K535" s="1"/>
      <c r="L535" s="1"/>
      <c r="M535" s="1"/>
      <c r="N535" s="1"/>
      <c r="O535" s="1"/>
      <c r="P535" s="1"/>
      <c r="Q535" s="1"/>
      <c r="R535" s="1"/>
      <c r="S535" s="1"/>
      <c r="T535" s="1"/>
      <c r="U535" s="1"/>
      <c r="V535" s="1"/>
      <c r="W535" s="1"/>
      <c r="X535" s="1"/>
      <c r="Y535" s="1"/>
      <c r="Z535" s="1"/>
    </row>
    <row r="536" spans="1:26" ht="12.75" customHeight="1">
      <c r="A536" s="7"/>
      <c r="B536" s="7"/>
      <c r="C536" s="7"/>
      <c r="D536" s="893"/>
      <c r="E536" s="893"/>
      <c r="F536" s="893"/>
      <c r="G536" s="1"/>
      <c r="H536" s="1"/>
      <c r="I536" s="10"/>
      <c r="J536" s="1"/>
      <c r="K536" s="1"/>
      <c r="L536" s="1"/>
      <c r="M536" s="1"/>
      <c r="N536" s="1"/>
      <c r="O536" s="1"/>
      <c r="P536" s="1"/>
      <c r="Q536" s="1"/>
      <c r="R536" s="1"/>
      <c r="S536" s="1"/>
      <c r="T536" s="1"/>
      <c r="U536" s="1"/>
      <c r="V536" s="1"/>
      <c r="W536" s="1"/>
      <c r="X536" s="1"/>
      <c r="Y536" s="1"/>
      <c r="Z536" s="1"/>
    </row>
    <row r="537" spans="1:26" ht="12.75" customHeight="1">
      <c r="A537" s="7"/>
      <c r="B537" s="7"/>
      <c r="C537" s="7"/>
      <c r="D537" s="17"/>
      <c r="E537" s="17"/>
      <c r="F537" s="17"/>
      <c r="G537" s="1"/>
      <c r="H537" s="1"/>
      <c r="I537" s="10"/>
      <c r="J537" s="1"/>
      <c r="K537" s="1"/>
      <c r="L537" s="1"/>
      <c r="M537" s="1"/>
      <c r="N537" s="1"/>
      <c r="O537" s="1"/>
      <c r="P537" s="1"/>
      <c r="Q537" s="1"/>
      <c r="R537" s="1"/>
      <c r="S537" s="1"/>
      <c r="T537" s="1"/>
      <c r="U537" s="1"/>
      <c r="V537" s="1"/>
      <c r="W537" s="1"/>
      <c r="X537" s="1"/>
      <c r="Y537" s="1"/>
      <c r="Z537" s="1"/>
    </row>
    <row r="538" spans="1:26" ht="12.75" customHeight="1">
      <c r="A538" s="20"/>
      <c r="B538" s="20"/>
      <c r="C538" s="7"/>
      <c r="D538" s="17"/>
      <c r="E538" s="1"/>
      <c r="F538" s="1"/>
      <c r="G538" s="1"/>
      <c r="H538" s="1"/>
      <c r="I538" s="10"/>
      <c r="J538" s="1"/>
      <c r="K538" s="1"/>
      <c r="L538" s="1"/>
      <c r="M538" s="1"/>
      <c r="N538" s="1"/>
      <c r="O538" s="1"/>
      <c r="P538" s="1"/>
      <c r="Q538" s="1"/>
      <c r="R538" s="1"/>
      <c r="S538" s="1"/>
      <c r="T538" s="1"/>
      <c r="U538" s="1"/>
      <c r="V538" s="1"/>
      <c r="W538" s="1"/>
      <c r="X538" s="1"/>
      <c r="Y538" s="1"/>
      <c r="Z538" s="1"/>
    </row>
    <row r="539" spans="1:26" ht="12.75" customHeight="1">
      <c r="A539" s="920" t="s">
        <v>618</v>
      </c>
      <c r="B539" s="921"/>
      <c r="C539" s="921"/>
      <c r="D539" s="921"/>
      <c r="E539" s="921"/>
      <c r="F539" s="921"/>
      <c r="G539" s="921"/>
      <c r="H539" s="5"/>
      <c r="I539" s="39"/>
      <c r="J539" s="1"/>
      <c r="K539" s="1"/>
      <c r="L539" s="1"/>
      <c r="M539" s="1"/>
      <c r="N539" s="1"/>
      <c r="O539" s="1"/>
      <c r="P539" s="1"/>
      <c r="Q539" s="1"/>
      <c r="R539" s="1"/>
      <c r="S539" s="1"/>
      <c r="T539" s="1"/>
      <c r="U539" s="1"/>
      <c r="V539" s="1"/>
      <c r="W539" s="1"/>
      <c r="X539" s="1"/>
      <c r="Y539" s="1"/>
      <c r="Z539" s="1"/>
    </row>
    <row r="540" spans="1:26" ht="12" customHeight="1">
      <c r="A540" s="20"/>
      <c r="B540" s="20"/>
      <c r="C540" s="7"/>
      <c r="D540" s="17"/>
      <c r="E540" s="1"/>
      <c r="F540" s="1"/>
      <c r="G540" s="1"/>
      <c r="H540" s="1"/>
      <c r="I540" s="10"/>
      <c r="J540" s="1"/>
      <c r="K540" s="1"/>
      <c r="L540" s="1"/>
      <c r="M540" s="1"/>
      <c r="N540" s="1"/>
      <c r="O540" s="1"/>
      <c r="P540" s="1"/>
      <c r="Q540" s="1"/>
      <c r="R540" s="1"/>
      <c r="S540" s="1"/>
      <c r="T540" s="1"/>
      <c r="U540" s="1"/>
      <c r="V540" s="1"/>
      <c r="W540" s="1"/>
      <c r="X540" s="1"/>
      <c r="Y540" s="1"/>
      <c r="Z540" s="1"/>
    </row>
    <row r="541" spans="1:26" ht="12.75" customHeight="1">
      <c r="A541" s="7"/>
      <c r="B541" s="7"/>
      <c r="C541" s="9"/>
      <c r="D541" s="914" t="s">
        <v>619</v>
      </c>
      <c r="E541" s="893"/>
      <c r="F541" s="893"/>
      <c r="G541" s="1"/>
      <c r="H541" s="1"/>
      <c r="I541" s="10"/>
      <c r="J541" s="1"/>
      <c r="K541" s="1"/>
      <c r="L541" s="1"/>
      <c r="M541" s="1"/>
      <c r="N541" s="1"/>
      <c r="O541" s="1"/>
      <c r="P541" s="1"/>
      <c r="Q541" s="1"/>
      <c r="R541" s="1"/>
      <c r="S541" s="1"/>
      <c r="T541" s="1"/>
      <c r="U541" s="1"/>
      <c r="V541" s="1"/>
      <c r="W541" s="1"/>
      <c r="X541" s="1"/>
      <c r="Y541" s="1"/>
      <c r="Z541" s="1"/>
    </row>
    <row r="542" spans="1:26" ht="12.75" customHeight="1">
      <c r="A542" s="7"/>
      <c r="B542" s="7"/>
      <c r="C542" s="9"/>
      <c r="D542" s="111" t="s">
        <v>620</v>
      </c>
      <c r="E542" s="111"/>
      <c r="F542" s="111"/>
      <c r="G542" s="1"/>
      <c r="H542" s="1"/>
      <c r="I542" s="10"/>
      <c r="J542" s="1"/>
      <c r="K542" s="1"/>
      <c r="L542" s="1"/>
      <c r="M542" s="1"/>
      <c r="N542" s="1"/>
      <c r="O542" s="1"/>
      <c r="P542" s="1"/>
      <c r="Q542" s="1"/>
      <c r="R542" s="1"/>
      <c r="S542" s="1"/>
      <c r="T542" s="1"/>
      <c r="U542" s="1"/>
      <c r="V542" s="1"/>
      <c r="W542" s="1"/>
      <c r="X542" s="1"/>
      <c r="Y542" s="1"/>
      <c r="Z542" s="1"/>
    </row>
    <row r="543" spans="1:26" ht="12.75" customHeight="1">
      <c r="A543" s="7"/>
      <c r="B543" s="7"/>
      <c r="C543" s="9"/>
      <c r="D543" s="111" t="s">
        <v>622</v>
      </c>
      <c r="E543" s="111"/>
      <c r="F543" s="111"/>
      <c r="G543" s="1"/>
      <c r="H543" s="1"/>
      <c r="I543" s="10"/>
      <c r="J543" s="1"/>
      <c r="K543" s="1"/>
      <c r="L543" s="1"/>
      <c r="M543" s="1"/>
      <c r="N543" s="1"/>
      <c r="O543" s="1"/>
      <c r="P543" s="1"/>
      <c r="Q543" s="1"/>
      <c r="R543" s="1"/>
      <c r="S543" s="1"/>
      <c r="T543" s="1"/>
      <c r="U543" s="1"/>
      <c r="V543" s="1"/>
      <c r="W543" s="1"/>
      <c r="X543" s="1"/>
      <c r="Y543" s="1"/>
      <c r="Z543" s="1"/>
    </row>
    <row r="544" spans="1:26" ht="12.75" customHeight="1">
      <c r="A544" s="7"/>
      <c r="B544" s="7"/>
      <c r="C544" s="9"/>
      <c r="D544" s="12"/>
      <c r="E544" s="12"/>
      <c r="F544" s="12"/>
      <c r="G544" s="1"/>
      <c r="H544" s="1"/>
      <c r="I544" s="10"/>
      <c r="J544" s="1"/>
      <c r="K544" s="1"/>
      <c r="L544" s="1"/>
      <c r="M544" s="1"/>
      <c r="N544" s="1"/>
      <c r="O544" s="1"/>
      <c r="P544" s="1"/>
      <c r="Q544" s="1"/>
      <c r="R544" s="1"/>
      <c r="S544" s="1"/>
      <c r="T544" s="1"/>
      <c r="U544" s="1"/>
      <c r="V544" s="1"/>
      <c r="W544" s="1"/>
      <c r="X544" s="1"/>
      <c r="Y544" s="1"/>
      <c r="Z544" s="1"/>
    </row>
    <row r="545" spans="1:26" ht="13.5" customHeight="1">
      <c r="A545" s="16"/>
      <c r="B545" s="21" t="s">
        <v>27</v>
      </c>
      <c r="C545" s="16"/>
      <c r="D545" s="895" t="s">
        <v>623</v>
      </c>
      <c r="E545" s="893"/>
      <c r="F545" s="893"/>
      <c r="G545" s="1"/>
      <c r="H545" s="1"/>
      <c r="I545" s="10"/>
      <c r="J545" s="1"/>
      <c r="K545" s="1"/>
      <c r="L545" s="1"/>
      <c r="M545" s="1"/>
      <c r="N545" s="1"/>
      <c r="O545" s="1"/>
      <c r="P545" s="1"/>
      <c r="Q545" s="1"/>
      <c r="R545" s="1"/>
      <c r="S545" s="1"/>
      <c r="T545" s="1"/>
      <c r="U545" s="1"/>
      <c r="V545" s="1"/>
      <c r="W545" s="1"/>
      <c r="X545" s="1"/>
      <c r="Y545" s="1"/>
      <c r="Z545" s="1"/>
    </row>
    <row r="546" spans="1:26" ht="12.75" customHeight="1">
      <c r="A546" s="16"/>
      <c r="B546" s="16"/>
      <c r="C546" s="16"/>
      <c r="D546" s="893"/>
      <c r="E546" s="893"/>
      <c r="F546" s="893"/>
      <c r="G546" s="1"/>
      <c r="H546" s="1"/>
      <c r="I546" s="10"/>
      <c r="J546" s="1"/>
      <c r="K546" s="1"/>
      <c r="L546" s="1"/>
      <c r="M546" s="1"/>
      <c r="N546" s="1"/>
      <c r="O546" s="1"/>
      <c r="P546" s="1"/>
      <c r="Q546" s="1"/>
      <c r="R546" s="1"/>
      <c r="S546" s="1"/>
      <c r="T546" s="1"/>
      <c r="U546" s="1"/>
      <c r="V546" s="1"/>
      <c r="W546" s="1"/>
      <c r="X546" s="1"/>
      <c r="Y546" s="1"/>
      <c r="Z546" s="1"/>
    </row>
    <row r="547" spans="1:26" ht="12.75" customHeight="1">
      <c r="A547" s="16"/>
      <c r="B547" s="16"/>
      <c r="C547" s="16"/>
      <c r="D547" s="11"/>
      <c r="E547" s="11"/>
      <c r="F547" s="11"/>
      <c r="G547" s="1"/>
      <c r="H547" s="1"/>
      <c r="I547" s="7"/>
      <c r="J547" s="1"/>
      <c r="K547" s="1"/>
      <c r="L547" s="1"/>
      <c r="M547" s="1"/>
      <c r="N547" s="1"/>
      <c r="O547" s="1"/>
      <c r="P547" s="1"/>
      <c r="Q547" s="1"/>
      <c r="R547" s="1"/>
      <c r="S547" s="1"/>
      <c r="T547" s="1"/>
      <c r="U547" s="1"/>
      <c r="V547" s="1"/>
      <c r="W547" s="1"/>
      <c r="X547" s="1"/>
      <c r="Y547" s="1"/>
      <c r="Z547" s="1"/>
    </row>
    <row r="548" spans="1:26" ht="12.75" customHeight="1">
      <c r="A548" s="16"/>
      <c r="B548" s="21" t="s">
        <v>27</v>
      </c>
      <c r="C548" s="7"/>
      <c r="D548" s="41" t="s">
        <v>627</v>
      </c>
      <c r="E548" s="4"/>
      <c r="F548" s="4"/>
      <c r="G548" s="1"/>
      <c r="H548" s="1"/>
      <c r="I548" s="10"/>
      <c r="J548" s="1"/>
      <c r="K548" s="1"/>
      <c r="L548" s="1"/>
      <c r="M548" s="1"/>
      <c r="N548" s="1"/>
      <c r="O548" s="1"/>
      <c r="P548" s="1"/>
      <c r="Q548" s="1"/>
      <c r="R548" s="1"/>
      <c r="S548" s="1"/>
      <c r="T548" s="1"/>
      <c r="U548" s="1"/>
      <c r="V548" s="1"/>
      <c r="W548" s="1"/>
      <c r="X548" s="1"/>
      <c r="Y548" s="1"/>
      <c r="Z548" s="1"/>
    </row>
    <row r="549" spans="1:26" ht="12.75" customHeight="1">
      <c r="A549" s="16"/>
      <c r="B549" s="16"/>
      <c r="C549" s="16"/>
      <c r="D549" s="4"/>
      <c r="E549" s="18" t="s">
        <v>629</v>
      </c>
      <c r="F549" s="1"/>
      <c r="G549" s="1"/>
      <c r="H549" s="1"/>
      <c r="I549" s="10"/>
      <c r="J549" s="1"/>
      <c r="K549" s="1"/>
      <c r="L549" s="1"/>
      <c r="M549" s="1"/>
      <c r="N549" s="1"/>
      <c r="O549" s="1"/>
      <c r="P549" s="1"/>
      <c r="Q549" s="1"/>
      <c r="R549" s="1"/>
      <c r="S549" s="1"/>
      <c r="T549" s="1"/>
      <c r="U549" s="1"/>
      <c r="V549" s="1"/>
      <c r="W549" s="1"/>
      <c r="X549" s="1"/>
      <c r="Y549" s="1"/>
      <c r="Z549" s="1"/>
    </row>
    <row r="550" spans="1:26" ht="12.75" customHeight="1">
      <c r="A550" s="16"/>
      <c r="B550" s="16"/>
      <c r="C550" s="7"/>
      <c r="D550" s="910" t="s">
        <v>631</v>
      </c>
      <c r="E550" s="893"/>
      <c r="F550" s="893"/>
      <c r="G550" s="1"/>
      <c r="H550" s="1"/>
      <c r="I550" s="10"/>
      <c r="J550" s="1"/>
      <c r="K550" s="1"/>
      <c r="L550" s="1"/>
      <c r="M550" s="1"/>
      <c r="N550" s="1"/>
      <c r="O550" s="1"/>
      <c r="P550" s="1"/>
      <c r="Q550" s="1"/>
      <c r="R550" s="1"/>
      <c r="S550" s="1"/>
      <c r="T550" s="1"/>
      <c r="U550" s="1"/>
      <c r="V550" s="1"/>
      <c r="W550" s="1"/>
      <c r="X550" s="1"/>
      <c r="Y550" s="1"/>
      <c r="Z550" s="1"/>
    </row>
    <row r="551" spans="1:26" ht="12.75" customHeight="1">
      <c r="A551" s="16"/>
      <c r="B551" s="16"/>
      <c r="C551" s="7"/>
      <c r="D551" s="893"/>
      <c r="E551" s="893"/>
      <c r="F551" s="893"/>
      <c r="G551" s="1"/>
      <c r="H551" s="1"/>
      <c r="I551" s="10"/>
      <c r="J551" s="1"/>
      <c r="K551" s="1"/>
      <c r="L551" s="1"/>
      <c r="M551" s="1"/>
      <c r="N551" s="1"/>
      <c r="O551" s="1"/>
      <c r="P551" s="1"/>
      <c r="Q551" s="1"/>
      <c r="R551" s="1"/>
      <c r="S551" s="1"/>
      <c r="T551" s="1"/>
      <c r="U551" s="1"/>
      <c r="V551" s="1"/>
      <c r="W551" s="1"/>
      <c r="X551" s="1"/>
      <c r="Y551" s="1"/>
      <c r="Z551" s="1"/>
    </row>
    <row r="552" spans="1:26" ht="12.75" customHeight="1">
      <c r="A552" s="16"/>
      <c r="B552" s="16"/>
      <c r="C552" s="16"/>
      <c r="D552" s="893"/>
      <c r="E552" s="893"/>
      <c r="F552" s="893"/>
      <c r="G552" s="1"/>
      <c r="H552" s="1"/>
      <c r="I552" s="10"/>
      <c r="J552" s="1"/>
      <c r="K552" s="1"/>
      <c r="L552" s="1"/>
      <c r="M552" s="1"/>
      <c r="N552" s="1"/>
      <c r="O552" s="1"/>
      <c r="P552" s="1"/>
      <c r="Q552" s="1"/>
      <c r="R552" s="1"/>
      <c r="S552" s="1"/>
      <c r="T552" s="1"/>
      <c r="U552" s="1"/>
      <c r="V552" s="1"/>
      <c r="W552" s="1"/>
      <c r="X552" s="1"/>
      <c r="Y552" s="1"/>
      <c r="Z552" s="1"/>
    </row>
    <row r="553" spans="1:26" ht="12.75" customHeight="1">
      <c r="A553" s="16"/>
      <c r="B553" s="16"/>
      <c r="C553" s="16"/>
      <c r="D553" s="62"/>
      <c r="E553" s="1"/>
      <c r="F553" s="17"/>
      <c r="G553" s="1"/>
      <c r="H553" s="1"/>
      <c r="I553" s="10"/>
      <c r="J553" s="1"/>
      <c r="K553" s="1"/>
      <c r="L553" s="1"/>
      <c r="M553" s="1"/>
      <c r="N553" s="1"/>
      <c r="O553" s="1"/>
      <c r="P553" s="1"/>
      <c r="Q553" s="1"/>
      <c r="R553" s="1"/>
      <c r="S553" s="1"/>
      <c r="T553" s="1"/>
      <c r="U553" s="1"/>
      <c r="V553" s="1"/>
      <c r="W553" s="1"/>
      <c r="X553" s="1"/>
      <c r="Y553" s="1"/>
      <c r="Z553" s="1"/>
    </row>
    <row r="554" spans="1:26" ht="12.75" customHeight="1">
      <c r="A554" s="16"/>
      <c r="B554" s="21" t="s">
        <v>27</v>
      </c>
      <c r="C554" s="16"/>
      <c r="D554" s="895" t="s">
        <v>633</v>
      </c>
      <c r="E554" s="893"/>
      <c r="F554" s="893"/>
      <c r="G554" s="1"/>
      <c r="H554" s="1"/>
      <c r="I554" s="10"/>
      <c r="J554" s="1"/>
      <c r="K554" s="1"/>
      <c r="L554" s="1"/>
      <c r="M554" s="1"/>
      <c r="N554" s="1"/>
      <c r="O554" s="1"/>
      <c r="P554" s="1"/>
      <c r="Q554" s="1"/>
      <c r="R554" s="1"/>
      <c r="S554" s="1"/>
      <c r="T554" s="1"/>
      <c r="U554" s="1"/>
      <c r="V554" s="1"/>
      <c r="W554" s="1"/>
      <c r="X554" s="1"/>
      <c r="Y554" s="1"/>
      <c r="Z554" s="1"/>
    </row>
    <row r="555" spans="1:26" ht="12.75" customHeight="1">
      <c r="A555" s="16"/>
      <c r="B555" s="16"/>
      <c r="C555" s="16"/>
      <c r="D555" s="893"/>
      <c r="E555" s="893"/>
      <c r="F555" s="893"/>
      <c r="G555" s="1"/>
      <c r="H555" s="1"/>
      <c r="I555" s="10"/>
      <c r="J555" s="1"/>
      <c r="K555" s="1"/>
      <c r="L555" s="1"/>
      <c r="M555" s="1"/>
      <c r="N555" s="1"/>
      <c r="O555" s="1"/>
      <c r="P555" s="1"/>
      <c r="Q555" s="1"/>
      <c r="R555" s="1"/>
      <c r="S555" s="1"/>
      <c r="T555" s="1"/>
      <c r="U555" s="1"/>
      <c r="V555" s="1"/>
      <c r="W555" s="1"/>
      <c r="X555" s="1"/>
      <c r="Y555" s="1"/>
      <c r="Z555" s="1"/>
    </row>
    <row r="556" spans="1:26" ht="12.75" customHeight="1">
      <c r="A556" s="16"/>
      <c r="B556" s="16"/>
      <c r="C556" s="16"/>
      <c r="D556" s="893"/>
      <c r="E556" s="893"/>
      <c r="F556" s="893"/>
      <c r="G556" s="1"/>
      <c r="H556" s="1"/>
      <c r="I556" s="10"/>
      <c r="J556" s="1"/>
      <c r="K556" s="1"/>
      <c r="L556" s="1"/>
      <c r="M556" s="1"/>
      <c r="N556" s="1"/>
      <c r="O556" s="1"/>
      <c r="P556" s="1"/>
      <c r="Q556" s="1"/>
      <c r="R556" s="1"/>
      <c r="S556" s="1"/>
      <c r="T556" s="1"/>
      <c r="U556" s="1"/>
      <c r="V556" s="1"/>
      <c r="W556" s="1"/>
      <c r="X556" s="1"/>
      <c r="Y556" s="1"/>
      <c r="Z556" s="1"/>
    </row>
    <row r="557" spans="1:26" ht="12" customHeight="1">
      <c r="A557" s="17"/>
      <c r="B557" s="17"/>
      <c r="C557" s="95"/>
      <c r="D557" s="17"/>
      <c r="E557" s="1"/>
      <c r="F557" s="62"/>
      <c r="G557" s="1"/>
      <c r="H557" s="1"/>
      <c r="I557" s="10"/>
      <c r="J557" s="1"/>
      <c r="K557" s="1"/>
      <c r="L557" s="1"/>
      <c r="M557" s="1"/>
      <c r="N557" s="1"/>
      <c r="O557" s="1"/>
      <c r="P557" s="1"/>
      <c r="Q557" s="1"/>
      <c r="R557" s="1"/>
      <c r="S557" s="1"/>
      <c r="T557" s="1"/>
      <c r="U557" s="1"/>
      <c r="V557" s="1"/>
      <c r="W557" s="1"/>
      <c r="X557" s="1"/>
      <c r="Y557" s="1"/>
      <c r="Z557" s="1"/>
    </row>
    <row r="558" spans="1:26" ht="12.75" customHeight="1">
      <c r="A558" s="920" t="s">
        <v>636</v>
      </c>
      <c r="B558" s="921"/>
      <c r="C558" s="921"/>
      <c r="D558" s="921"/>
      <c r="E558" s="921"/>
      <c r="F558" s="921"/>
      <c r="G558" s="921"/>
      <c r="H558" s="5"/>
      <c r="I558" s="39"/>
      <c r="J558" s="1"/>
      <c r="K558" s="1"/>
      <c r="L558" s="1"/>
      <c r="M558" s="1"/>
      <c r="N558" s="1"/>
      <c r="O558" s="1"/>
      <c r="P558" s="1"/>
      <c r="Q558" s="1"/>
      <c r="R558" s="1"/>
      <c r="S558" s="1"/>
      <c r="T558" s="1"/>
      <c r="U558" s="1"/>
      <c r="V558" s="1"/>
      <c r="W558" s="1"/>
      <c r="X558" s="1"/>
      <c r="Y558" s="1"/>
      <c r="Z558" s="1"/>
    </row>
    <row r="559" spans="1:26" ht="12.75" customHeight="1">
      <c r="A559" s="17"/>
      <c r="B559" s="17"/>
      <c r="C559" s="95"/>
      <c r="D559" s="1"/>
      <c r="E559" s="1"/>
      <c r="F559" s="62"/>
      <c r="G559" s="1"/>
      <c r="H559" s="1"/>
      <c r="I559" s="10"/>
      <c r="J559" s="1"/>
      <c r="K559" s="1"/>
      <c r="L559" s="1"/>
      <c r="M559" s="1"/>
      <c r="N559" s="1"/>
      <c r="O559" s="1"/>
      <c r="P559" s="1"/>
      <c r="Q559" s="1"/>
      <c r="R559" s="1"/>
      <c r="S559" s="1"/>
      <c r="T559" s="1"/>
      <c r="U559" s="1"/>
      <c r="V559" s="1"/>
      <c r="W559" s="1"/>
      <c r="X559" s="1"/>
      <c r="Y559" s="1"/>
      <c r="Z559" s="1"/>
    </row>
    <row r="560" spans="1:26" ht="12.75" customHeight="1">
      <c r="A560" s="7"/>
      <c r="B560" s="919" t="s">
        <v>364</v>
      </c>
      <c r="C560" s="893"/>
      <c r="D560" s="893"/>
      <c r="E560" s="893"/>
      <c r="F560" s="893"/>
      <c r="G560" s="1"/>
      <c r="H560" s="1"/>
      <c r="I560" s="10"/>
      <c r="J560" s="1"/>
      <c r="K560" s="1"/>
      <c r="L560" s="1"/>
      <c r="M560" s="1"/>
      <c r="N560" s="1"/>
      <c r="O560" s="1"/>
      <c r="P560" s="1"/>
      <c r="Q560" s="1"/>
      <c r="R560" s="1"/>
      <c r="S560" s="1"/>
      <c r="T560" s="1"/>
      <c r="U560" s="1"/>
      <c r="V560" s="1"/>
      <c r="W560" s="1"/>
      <c r="X560" s="1"/>
      <c r="Y560" s="1"/>
      <c r="Z560" s="1"/>
    </row>
    <row r="561" spans="1:26" ht="12.75" customHeight="1">
      <c r="A561" s="17"/>
      <c r="B561" s="17"/>
      <c r="C561" s="95"/>
      <c r="D561" s="17"/>
      <c r="E561" s="1"/>
      <c r="F561" s="17"/>
      <c r="G561" s="1"/>
      <c r="H561" s="1"/>
      <c r="I561" s="10"/>
      <c r="J561" s="1"/>
      <c r="K561" s="1"/>
      <c r="L561" s="1"/>
      <c r="M561" s="1"/>
      <c r="N561" s="1"/>
      <c r="O561" s="1"/>
      <c r="P561" s="1"/>
      <c r="Q561" s="1"/>
      <c r="R561" s="1"/>
      <c r="S561" s="1"/>
      <c r="T561" s="1"/>
      <c r="U561" s="1"/>
      <c r="V561" s="1"/>
      <c r="W561" s="1"/>
      <c r="X561" s="1"/>
      <c r="Y561" s="1"/>
      <c r="Z561" s="1"/>
    </row>
    <row r="562" spans="1:26" ht="12.75" customHeight="1">
      <c r="A562" s="931" t="s">
        <v>641</v>
      </c>
      <c r="B562" s="921"/>
      <c r="C562" s="921"/>
      <c r="D562" s="921"/>
      <c r="E562" s="921"/>
      <c r="F562" s="921"/>
      <c r="G562" s="921"/>
      <c r="H562" s="5"/>
      <c r="I562" s="39"/>
      <c r="J562" s="1"/>
      <c r="K562" s="1"/>
      <c r="L562" s="1"/>
      <c r="M562" s="1"/>
      <c r="N562" s="1"/>
      <c r="O562" s="1"/>
      <c r="P562" s="1"/>
      <c r="Q562" s="1"/>
      <c r="R562" s="1"/>
      <c r="S562" s="1"/>
      <c r="T562" s="1"/>
      <c r="U562" s="1"/>
      <c r="V562" s="1"/>
      <c r="W562" s="1"/>
      <c r="X562" s="1"/>
      <c r="Y562" s="1"/>
      <c r="Z562" s="1"/>
    </row>
    <row r="563" spans="1:26" ht="12.75" customHeight="1">
      <c r="A563" s="17"/>
      <c r="B563" s="17"/>
      <c r="C563" s="95"/>
      <c r="D563" s="17"/>
      <c r="E563" s="1"/>
      <c r="F563" s="17"/>
      <c r="G563" s="1"/>
      <c r="H563" s="1"/>
      <c r="I563" s="10"/>
      <c r="J563" s="1"/>
      <c r="K563" s="1"/>
      <c r="L563" s="1"/>
      <c r="M563" s="1"/>
      <c r="N563" s="1"/>
      <c r="O563" s="1"/>
      <c r="P563" s="1"/>
      <c r="Q563" s="1"/>
      <c r="R563" s="1"/>
      <c r="S563" s="1"/>
      <c r="T563" s="1"/>
      <c r="U563" s="1"/>
      <c r="V563" s="1"/>
      <c r="W563" s="1"/>
      <c r="X563" s="1"/>
      <c r="Y563" s="1"/>
      <c r="Z563" s="1"/>
    </row>
    <row r="564" spans="1:26" ht="12.75" customHeight="1">
      <c r="A564" s="7"/>
      <c r="B564" s="7"/>
      <c r="C564" s="95"/>
      <c r="D564" s="914" t="s">
        <v>643</v>
      </c>
      <c r="E564" s="893"/>
      <c r="F564" s="893"/>
      <c r="G564" s="1"/>
      <c r="H564" s="1"/>
      <c r="I564" s="10"/>
      <c r="J564" s="1"/>
      <c r="K564" s="1"/>
      <c r="L564" s="1"/>
      <c r="M564" s="1"/>
      <c r="N564" s="1"/>
      <c r="O564" s="1"/>
      <c r="P564" s="1"/>
      <c r="Q564" s="1"/>
      <c r="R564" s="1"/>
      <c r="S564" s="1"/>
      <c r="T564" s="1"/>
      <c r="U564" s="1"/>
      <c r="V564" s="1"/>
      <c r="W564" s="1"/>
      <c r="X564" s="1"/>
      <c r="Y564" s="1"/>
      <c r="Z564" s="1"/>
    </row>
    <row r="565" spans="1:26" ht="12.75" customHeight="1">
      <c r="A565" s="7"/>
      <c r="B565" s="7"/>
      <c r="C565" s="95"/>
      <c r="D565" s="915" t="s">
        <v>644</v>
      </c>
      <c r="E565" s="893"/>
      <c r="F565" s="893"/>
      <c r="G565" s="1"/>
      <c r="H565" s="1"/>
      <c r="I565" s="10"/>
      <c r="J565" s="1"/>
      <c r="K565" s="1"/>
      <c r="L565" s="1"/>
      <c r="M565" s="1"/>
      <c r="N565" s="1"/>
      <c r="O565" s="1"/>
      <c r="P565" s="1"/>
      <c r="Q565" s="1"/>
      <c r="R565" s="1"/>
      <c r="S565" s="1"/>
      <c r="T565" s="1"/>
      <c r="U565" s="1"/>
      <c r="V565" s="1"/>
      <c r="W565" s="1"/>
      <c r="X565" s="1"/>
      <c r="Y565" s="1"/>
      <c r="Z565" s="1"/>
    </row>
    <row r="566" spans="1:26" ht="12.75" customHeight="1">
      <c r="A566" s="7"/>
      <c r="B566" s="7"/>
      <c r="C566" s="95"/>
      <c r="D566" s="17"/>
      <c r="E566" s="17"/>
      <c r="F566" s="17"/>
      <c r="G566" s="1"/>
      <c r="H566" s="1"/>
      <c r="I566" s="10"/>
      <c r="J566" s="1"/>
      <c r="K566" s="1"/>
      <c r="L566" s="1"/>
      <c r="M566" s="1"/>
      <c r="N566" s="1"/>
      <c r="O566" s="1"/>
      <c r="P566" s="1"/>
      <c r="Q566" s="1"/>
      <c r="R566" s="1"/>
      <c r="S566" s="1"/>
      <c r="T566" s="1"/>
      <c r="U566" s="1"/>
      <c r="V566" s="1"/>
      <c r="W566" s="1"/>
      <c r="X566" s="1"/>
      <c r="Y566" s="1"/>
      <c r="Z566" s="1"/>
    </row>
    <row r="567" spans="1:26" ht="13.5" customHeight="1">
      <c r="A567" s="20"/>
      <c r="B567" s="21" t="s">
        <v>27</v>
      </c>
      <c r="C567" s="95"/>
      <c r="D567" s="915" t="s">
        <v>646</v>
      </c>
      <c r="E567" s="893"/>
      <c r="F567" s="893"/>
      <c r="G567" s="1"/>
      <c r="H567" s="1"/>
      <c r="I567" s="10"/>
      <c r="J567" s="1"/>
      <c r="K567" s="1"/>
      <c r="L567" s="1"/>
      <c r="M567" s="1"/>
      <c r="N567" s="1"/>
      <c r="O567" s="1"/>
      <c r="P567" s="1"/>
      <c r="Q567" s="1"/>
      <c r="R567" s="1"/>
      <c r="S567" s="1"/>
      <c r="T567" s="1"/>
      <c r="U567" s="1"/>
      <c r="V567" s="1"/>
      <c r="W567" s="1"/>
      <c r="X567" s="1"/>
      <c r="Y567" s="1"/>
      <c r="Z567" s="1"/>
    </row>
    <row r="568" spans="1:26" ht="13.5" customHeight="1">
      <c r="A568" s="95"/>
      <c r="B568" s="95"/>
      <c r="C568" s="95"/>
      <c r="D568" s="17"/>
      <c r="E568" s="1"/>
      <c r="F568" s="1"/>
      <c r="G568" s="1"/>
      <c r="H568" s="1"/>
      <c r="I568" s="10"/>
      <c r="J568" s="1"/>
      <c r="K568" s="1"/>
      <c r="L568" s="1"/>
      <c r="M568" s="1"/>
      <c r="N568" s="1"/>
      <c r="O568" s="1"/>
      <c r="P568" s="1"/>
      <c r="Q568" s="1"/>
      <c r="R568" s="1"/>
      <c r="S568" s="1"/>
      <c r="T568" s="1"/>
      <c r="U568" s="1"/>
      <c r="V568" s="1"/>
      <c r="W568" s="1"/>
      <c r="X568" s="1"/>
      <c r="Y568" s="1"/>
      <c r="Z568" s="1"/>
    </row>
    <row r="569" spans="1:26" ht="12.75" customHeight="1">
      <c r="A569" s="20"/>
      <c r="B569" s="21" t="s">
        <v>27</v>
      </c>
      <c r="C569" s="95"/>
      <c r="D569" s="895" t="s">
        <v>648</v>
      </c>
      <c r="E569" s="893"/>
      <c r="F569" s="893"/>
      <c r="G569" s="1"/>
      <c r="H569" s="1"/>
      <c r="I569" s="10"/>
      <c r="J569" s="1"/>
      <c r="K569" s="1"/>
      <c r="L569" s="1"/>
      <c r="M569" s="1"/>
      <c r="N569" s="1"/>
      <c r="O569" s="1"/>
      <c r="P569" s="1"/>
      <c r="Q569" s="1"/>
      <c r="R569" s="1"/>
      <c r="S569" s="1"/>
      <c r="T569" s="1"/>
      <c r="U569" s="1"/>
      <c r="V569" s="1"/>
      <c r="W569" s="1"/>
      <c r="X569" s="1"/>
      <c r="Y569" s="1"/>
      <c r="Z569" s="1"/>
    </row>
    <row r="570" spans="1:26" ht="12.75" customHeight="1">
      <c r="A570" s="95"/>
      <c r="B570" s="95"/>
      <c r="C570" s="95"/>
      <c r="D570" s="893"/>
      <c r="E570" s="893"/>
      <c r="F570" s="893"/>
      <c r="G570" s="1"/>
      <c r="H570" s="1"/>
      <c r="I570" s="10"/>
      <c r="J570" s="1"/>
      <c r="K570" s="1"/>
      <c r="L570" s="1"/>
      <c r="M570" s="1"/>
      <c r="N570" s="1"/>
      <c r="O570" s="1"/>
      <c r="P570" s="1"/>
      <c r="Q570" s="1"/>
      <c r="R570" s="1"/>
      <c r="S570" s="1"/>
      <c r="T570" s="1"/>
      <c r="U570" s="1"/>
      <c r="V570" s="1"/>
      <c r="W570" s="1"/>
      <c r="X570" s="1"/>
      <c r="Y570" s="1"/>
      <c r="Z570" s="1"/>
    </row>
    <row r="571" spans="1:26" ht="12.75" customHeight="1">
      <c r="A571" s="95"/>
      <c r="B571" s="95"/>
      <c r="C571" s="95"/>
      <c r="D571" s="17"/>
      <c r="E571" s="17"/>
      <c r="F571" s="17"/>
      <c r="G571" s="1"/>
      <c r="H571" s="1"/>
      <c r="I571" s="10"/>
      <c r="J571" s="1"/>
      <c r="K571" s="1"/>
      <c r="L571" s="1"/>
      <c r="M571" s="1"/>
      <c r="N571" s="1"/>
      <c r="O571" s="1"/>
      <c r="P571" s="1"/>
      <c r="Q571" s="1"/>
      <c r="R571" s="1"/>
      <c r="S571" s="1"/>
      <c r="T571" s="1"/>
      <c r="U571" s="1"/>
      <c r="V571" s="1"/>
      <c r="W571" s="1"/>
      <c r="X571" s="1"/>
      <c r="Y571" s="1"/>
      <c r="Z571" s="1"/>
    </row>
    <row r="572" spans="1:26" ht="12.75" customHeight="1">
      <c r="A572" s="20"/>
      <c r="B572" s="21" t="s">
        <v>27</v>
      </c>
      <c r="C572" s="95"/>
      <c r="D572" s="895" t="s">
        <v>651</v>
      </c>
      <c r="E572" s="893"/>
      <c r="F572" s="893"/>
      <c r="G572" s="1"/>
      <c r="H572" s="1"/>
      <c r="I572" s="10"/>
      <c r="J572" s="1"/>
      <c r="K572" s="1"/>
      <c r="L572" s="1"/>
      <c r="M572" s="1"/>
      <c r="N572" s="1"/>
      <c r="O572" s="1"/>
      <c r="P572" s="1"/>
      <c r="Q572" s="1"/>
      <c r="R572" s="1"/>
      <c r="S572" s="1"/>
      <c r="T572" s="1"/>
      <c r="U572" s="1"/>
      <c r="V572" s="1"/>
      <c r="W572" s="1"/>
      <c r="X572" s="1"/>
      <c r="Y572" s="1"/>
      <c r="Z572" s="1"/>
    </row>
    <row r="573" spans="1:26" ht="12.75" customHeight="1">
      <c r="A573" s="95"/>
      <c r="B573" s="95"/>
      <c r="C573" s="95"/>
      <c r="D573" s="893"/>
      <c r="E573" s="893"/>
      <c r="F573" s="893"/>
      <c r="G573" s="1"/>
      <c r="H573" s="1"/>
      <c r="I573" s="10"/>
      <c r="J573" s="1"/>
      <c r="K573" s="1"/>
      <c r="L573" s="1"/>
      <c r="M573" s="1"/>
      <c r="N573" s="1"/>
      <c r="O573" s="1"/>
      <c r="P573" s="1"/>
      <c r="Q573" s="1"/>
      <c r="R573" s="1"/>
      <c r="S573" s="1"/>
      <c r="T573" s="1"/>
      <c r="U573" s="1"/>
      <c r="V573" s="1"/>
      <c r="W573" s="1"/>
      <c r="X573" s="1"/>
      <c r="Y573" s="1"/>
      <c r="Z573" s="1"/>
    </row>
    <row r="574" spans="1:26" ht="12.75" customHeight="1">
      <c r="A574" s="95"/>
      <c r="B574" s="95"/>
      <c r="C574" s="95"/>
      <c r="D574" s="17"/>
      <c r="E574" s="17"/>
      <c r="F574" s="17"/>
      <c r="G574" s="1"/>
      <c r="H574" s="1"/>
      <c r="I574" s="10"/>
      <c r="J574" s="1"/>
      <c r="K574" s="1"/>
      <c r="L574" s="1"/>
      <c r="M574" s="1"/>
      <c r="N574" s="1"/>
      <c r="O574" s="1"/>
      <c r="P574" s="1"/>
      <c r="Q574" s="1"/>
      <c r="R574" s="1"/>
      <c r="S574" s="1"/>
      <c r="T574" s="1"/>
      <c r="U574" s="1"/>
      <c r="V574" s="1"/>
      <c r="W574" s="1"/>
      <c r="X574" s="1"/>
      <c r="Y574" s="1"/>
      <c r="Z574" s="1"/>
    </row>
    <row r="575" spans="1:26" ht="12.75" customHeight="1">
      <c r="A575" s="20"/>
      <c r="B575" s="21" t="s">
        <v>27</v>
      </c>
      <c r="C575" s="95"/>
      <c r="D575" s="895" t="s">
        <v>654</v>
      </c>
      <c r="E575" s="893"/>
      <c r="F575" s="893"/>
      <c r="G575" s="1"/>
      <c r="H575" s="1"/>
      <c r="I575" s="10"/>
      <c r="J575" s="1"/>
      <c r="K575" s="1"/>
      <c r="L575" s="1"/>
      <c r="M575" s="1"/>
      <c r="N575" s="1"/>
      <c r="O575" s="1"/>
      <c r="P575" s="1"/>
      <c r="Q575" s="1"/>
      <c r="R575" s="1"/>
      <c r="S575" s="1"/>
      <c r="T575" s="1"/>
      <c r="U575" s="1"/>
      <c r="V575" s="1"/>
      <c r="W575" s="1"/>
      <c r="X575" s="1"/>
      <c r="Y575" s="1"/>
      <c r="Z575" s="1"/>
    </row>
    <row r="576" spans="1:26" ht="12.75" customHeight="1">
      <c r="A576" s="95"/>
      <c r="B576" s="95"/>
      <c r="C576" s="95"/>
      <c r="D576" s="893"/>
      <c r="E576" s="893"/>
      <c r="F576" s="893"/>
      <c r="G576" s="1"/>
      <c r="H576" s="1"/>
      <c r="I576" s="10"/>
      <c r="J576" s="1"/>
      <c r="K576" s="1"/>
      <c r="L576" s="1"/>
      <c r="M576" s="1"/>
      <c r="N576" s="1"/>
      <c r="O576" s="1"/>
      <c r="P576" s="1"/>
      <c r="Q576" s="1"/>
      <c r="R576" s="1"/>
      <c r="S576" s="1"/>
      <c r="T576" s="1"/>
      <c r="U576" s="1"/>
      <c r="V576" s="1"/>
      <c r="W576" s="1"/>
      <c r="X576" s="1"/>
      <c r="Y576" s="1"/>
      <c r="Z576" s="1"/>
    </row>
    <row r="577" spans="1:26" ht="12.75" customHeight="1">
      <c r="A577" s="95"/>
      <c r="B577" s="95"/>
      <c r="C577" s="95"/>
      <c r="D577" s="17"/>
      <c r="E577" s="17"/>
      <c r="F577" s="17"/>
      <c r="G577" s="1"/>
      <c r="H577" s="1"/>
      <c r="I577" s="10"/>
      <c r="J577" s="1"/>
      <c r="K577" s="1"/>
      <c r="L577" s="1"/>
      <c r="M577" s="1"/>
      <c r="N577" s="1"/>
      <c r="O577" s="1"/>
      <c r="P577" s="1"/>
      <c r="Q577" s="1"/>
      <c r="R577" s="1"/>
      <c r="S577" s="1"/>
      <c r="T577" s="1"/>
      <c r="U577" s="1"/>
      <c r="V577" s="1"/>
      <c r="W577" s="1"/>
      <c r="X577" s="1"/>
      <c r="Y577" s="1"/>
      <c r="Z577" s="1"/>
    </row>
    <row r="578" spans="1:26" ht="12.75" customHeight="1">
      <c r="A578" s="20"/>
      <c r="B578" s="21" t="s">
        <v>27</v>
      </c>
      <c r="C578" s="95"/>
      <c r="D578" s="895" t="s">
        <v>656</v>
      </c>
      <c r="E578" s="893"/>
      <c r="F578" s="893"/>
      <c r="G578" s="1"/>
      <c r="H578" s="1"/>
      <c r="I578" s="10"/>
      <c r="J578" s="1"/>
      <c r="K578" s="1"/>
      <c r="L578" s="1"/>
      <c r="M578" s="1"/>
      <c r="N578" s="1"/>
      <c r="O578" s="1"/>
      <c r="P578" s="1"/>
      <c r="Q578" s="1"/>
      <c r="R578" s="1"/>
      <c r="S578" s="1"/>
      <c r="T578" s="1"/>
      <c r="U578" s="1"/>
      <c r="V578" s="1"/>
      <c r="W578" s="1"/>
      <c r="X578" s="1"/>
      <c r="Y578" s="1"/>
      <c r="Z578" s="1"/>
    </row>
    <row r="579" spans="1:26" ht="12.75" customHeight="1">
      <c r="A579" s="95"/>
      <c r="B579" s="95"/>
      <c r="C579" s="95"/>
      <c r="D579" s="893"/>
      <c r="E579" s="893"/>
      <c r="F579" s="893"/>
      <c r="G579" s="1"/>
      <c r="H579" s="1"/>
      <c r="I579" s="10"/>
      <c r="J579" s="1"/>
      <c r="K579" s="1"/>
      <c r="L579" s="1"/>
      <c r="M579" s="1"/>
      <c r="N579" s="1"/>
      <c r="O579" s="1"/>
      <c r="P579" s="1"/>
      <c r="Q579" s="1"/>
      <c r="R579" s="1"/>
      <c r="S579" s="1"/>
      <c r="T579" s="1"/>
      <c r="U579" s="1"/>
      <c r="V579" s="1"/>
      <c r="W579" s="1"/>
      <c r="X579" s="1"/>
      <c r="Y579" s="1"/>
      <c r="Z579" s="1"/>
    </row>
    <row r="580" spans="1:26" ht="12.75" customHeight="1">
      <c r="A580" s="95"/>
      <c r="B580" s="95"/>
      <c r="C580" s="95"/>
      <c r="D580" s="893"/>
      <c r="E580" s="893"/>
      <c r="F580" s="893"/>
      <c r="G580" s="1"/>
      <c r="H580" s="1"/>
      <c r="I580" s="10"/>
      <c r="J580" s="1"/>
      <c r="K580" s="1"/>
      <c r="L580" s="1"/>
      <c r="M580" s="1"/>
      <c r="N580" s="1"/>
      <c r="O580" s="1"/>
      <c r="P580" s="1"/>
      <c r="Q580" s="1"/>
      <c r="R580" s="1"/>
      <c r="S580" s="1"/>
      <c r="T580" s="1"/>
      <c r="U580" s="1"/>
      <c r="V580" s="1"/>
      <c r="W580" s="1"/>
      <c r="X580" s="1"/>
      <c r="Y580" s="1"/>
      <c r="Z580" s="1"/>
    </row>
    <row r="581" spans="1:26" ht="12.75" customHeight="1">
      <c r="A581" s="95"/>
      <c r="B581" s="95"/>
      <c r="C581" s="95"/>
      <c r="D581" s="17"/>
      <c r="E581" s="17"/>
      <c r="F581" s="17"/>
      <c r="G581" s="1"/>
      <c r="H581" s="1"/>
      <c r="I581" s="10"/>
      <c r="J581" s="1"/>
      <c r="K581" s="1"/>
      <c r="L581" s="1"/>
      <c r="M581" s="1"/>
      <c r="N581" s="1"/>
      <c r="O581" s="1"/>
      <c r="P581" s="1"/>
      <c r="Q581" s="1"/>
      <c r="R581" s="1"/>
      <c r="S581" s="1"/>
      <c r="T581" s="1"/>
      <c r="U581" s="1"/>
      <c r="V581" s="1"/>
      <c r="W581" s="1"/>
      <c r="X581" s="1"/>
      <c r="Y581" s="1"/>
      <c r="Z581" s="1"/>
    </row>
    <row r="582" spans="1:26" ht="12.75" customHeight="1">
      <c r="A582" s="20"/>
      <c r="B582" s="21" t="s">
        <v>27</v>
      </c>
      <c r="C582" s="95"/>
      <c r="D582" s="895" t="s">
        <v>659</v>
      </c>
      <c r="E582" s="893"/>
      <c r="F582" s="893"/>
      <c r="G582" s="1"/>
      <c r="H582" s="1"/>
      <c r="I582" s="10"/>
      <c r="J582" s="1"/>
      <c r="K582" s="1"/>
      <c r="L582" s="1"/>
      <c r="M582" s="1"/>
      <c r="N582" s="1"/>
      <c r="O582" s="1"/>
      <c r="P582" s="1"/>
      <c r="Q582" s="1"/>
      <c r="R582" s="1"/>
      <c r="S582" s="1"/>
      <c r="T582" s="1"/>
      <c r="U582" s="1"/>
      <c r="V582" s="1"/>
      <c r="W582" s="1"/>
      <c r="X582" s="1"/>
      <c r="Y582" s="1"/>
      <c r="Z582" s="1"/>
    </row>
    <row r="583" spans="1:26" ht="12.75" customHeight="1">
      <c r="A583" s="95"/>
      <c r="B583" s="95"/>
      <c r="C583" s="95"/>
      <c r="D583" s="893"/>
      <c r="E583" s="893"/>
      <c r="F583" s="893"/>
      <c r="G583" s="1"/>
      <c r="H583" s="1"/>
      <c r="I583" s="10"/>
      <c r="J583" s="1"/>
      <c r="K583" s="1"/>
      <c r="L583" s="1"/>
      <c r="M583" s="1"/>
      <c r="N583" s="1"/>
      <c r="O583" s="1"/>
      <c r="P583" s="1"/>
      <c r="Q583" s="1"/>
      <c r="R583" s="1"/>
      <c r="S583" s="1"/>
      <c r="T583" s="1"/>
      <c r="U583" s="1"/>
      <c r="V583" s="1"/>
      <c r="W583" s="1"/>
      <c r="X583" s="1"/>
      <c r="Y583" s="1"/>
      <c r="Z583" s="1"/>
    </row>
    <row r="584" spans="1:26" ht="12.75" customHeight="1">
      <c r="A584" s="95"/>
      <c r="B584" s="95"/>
      <c r="C584" s="95"/>
      <c r="D584" s="17"/>
      <c r="E584" s="17"/>
      <c r="F584" s="17"/>
      <c r="G584" s="1"/>
      <c r="H584" s="1"/>
      <c r="I584" s="10"/>
      <c r="J584" s="1"/>
      <c r="K584" s="1"/>
      <c r="L584" s="1"/>
      <c r="M584" s="1"/>
      <c r="N584" s="1"/>
      <c r="O584" s="1"/>
      <c r="P584" s="1"/>
      <c r="Q584" s="1"/>
      <c r="R584" s="1"/>
      <c r="S584" s="1"/>
      <c r="T584" s="1"/>
      <c r="U584" s="1"/>
      <c r="V584" s="1"/>
      <c r="W584" s="1"/>
      <c r="X584" s="1"/>
      <c r="Y584" s="1"/>
      <c r="Z584" s="1"/>
    </row>
    <row r="585" spans="1:26" ht="12.75" customHeight="1">
      <c r="A585" s="20"/>
      <c r="B585" s="21" t="s">
        <v>27</v>
      </c>
      <c r="C585" s="95"/>
      <c r="D585" s="895" t="s">
        <v>662</v>
      </c>
      <c r="E585" s="893"/>
      <c r="F585" s="893"/>
      <c r="G585" s="1"/>
      <c r="H585" s="1"/>
      <c r="I585" s="10"/>
      <c r="J585" s="1"/>
      <c r="K585" s="1"/>
      <c r="L585" s="1"/>
      <c r="M585" s="1"/>
      <c r="N585" s="1"/>
      <c r="O585" s="1"/>
      <c r="P585" s="1"/>
      <c r="Q585" s="1"/>
      <c r="R585" s="1"/>
      <c r="S585" s="1"/>
      <c r="T585" s="1"/>
      <c r="U585" s="1"/>
      <c r="V585" s="1"/>
      <c r="W585" s="1"/>
      <c r="X585" s="1"/>
      <c r="Y585" s="1"/>
      <c r="Z585" s="1"/>
    </row>
    <row r="586" spans="1:26" ht="12.75" customHeight="1">
      <c r="A586" s="95"/>
      <c r="B586" s="95"/>
      <c r="C586" s="95"/>
      <c r="D586" s="893"/>
      <c r="E586" s="893"/>
      <c r="F586" s="893"/>
      <c r="G586" s="1"/>
      <c r="H586" s="1"/>
      <c r="I586" s="10"/>
      <c r="J586" s="1"/>
      <c r="K586" s="1"/>
      <c r="L586" s="1"/>
      <c r="M586" s="1"/>
      <c r="N586" s="1"/>
      <c r="O586" s="1"/>
      <c r="P586" s="1"/>
      <c r="Q586" s="1"/>
      <c r="R586" s="1"/>
      <c r="S586" s="1"/>
      <c r="T586" s="1"/>
      <c r="U586" s="1"/>
      <c r="V586" s="1"/>
      <c r="W586" s="1"/>
      <c r="X586" s="1"/>
      <c r="Y586" s="1"/>
      <c r="Z586" s="1"/>
    </row>
    <row r="587" spans="1:26" ht="12.75" customHeight="1">
      <c r="A587" s="95"/>
      <c r="B587" s="95"/>
      <c r="C587" s="95"/>
      <c r="D587" s="17"/>
      <c r="E587" s="17"/>
      <c r="F587" s="17"/>
      <c r="G587" s="1"/>
      <c r="H587" s="1"/>
      <c r="I587" s="10"/>
      <c r="J587" s="1"/>
      <c r="K587" s="1"/>
      <c r="L587" s="1"/>
      <c r="M587" s="1"/>
      <c r="N587" s="1"/>
      <c r="O587" s="1"/>
      <c r="P587" s="1"/>
      <c r="Q587" s="1"/>
      <c r="R587" s="1"/>
      <c r="S587" s="1"/>
      <c r="T587" s="1"/>
      <c r="U587" s="1"/>
      <c r="V587" s="1"/>
      <c r="W587" s="1"/>
      <c r="X587" s="1"/>
      <c r="Y587" s="1"/>
      <c r="Z587" s="1"/>
    </row>
    <row r="588" spans="1:26" ht="12.75" customHeight="1">
      <c r="A588" s="20"/>
      <c r="B588" s="21" t="s">
        <v>27</v>
      </c>
      <c r="C588" s="95"/>
      <c r="D588" s="915" t="s">
        <v>665</v>
      </c>
      <c r="E588" s="893"/>
      <c r="F588" s="893"/>
      <c r="G588" s="1"/>
      <c r="H588" s="1"/>
      <c r="I588" s="10"/>
      <c r="J588" s="1"/>
      <c r="K588" s="1"/>
      <c r="L588" s="1"/>
      <c r="M588" s="1"/>
      <c r="N588" s="1"/>
      <c r="O588" s="1"/>
      <c r="P588" s="1"/>
      <c r="Q588" s="1"/>
      <c r="R588" s="1"/>
      <c r="S588" s="1"/>
      <c r="T588" s="1"/>
      <c r="U588" s="1"/>
      <c r="V588" s="1"/>
      <c r="W588" s="1"/>
      <c r="X588" s="1"/>
      <c r="Y588" s="1"/>
      <c r="Z588" s="1"/>
    </row>
    <row r="589" spans="1:26" ht="12.75" customHeight="1">
      <c r="A589" s="10"/>
      <c r="B589" s="10"/>
      <c r="C589" s="95"/>
      <c r="D589" s="915" t="s">
        <v>667</v>
      </c>
      <c r="E589" s="893"/>
      <c r="F589" s="893"/>
      <c r="G589" s="1"/>
      <c r="H589" s="1"/>
      <c r="I589" s="10"/>
      <c r="J589" s="1"/>
      <c r="K589" s="1"/>
      <c r="L589" s="1"/>
      <c r="M589" s="1"/>
      <c r="N589" s="1"/>
      <c r="O589" s="1"/>
      <c r="P589" s="1"/>
      <c r="Q589" s="1"/>
      <c r="R589" s="1"/>
      <c r="S589" s="1"/>
      <c r="T589" s="1"/>
      <c r="U589" s="1"/>
      <c r="V589" s="1"/>
      <c r="W589" s="1"/>
      <c r="X589" s="1"/>
      <c r="Y589" s="1"/>
      <c r="Z589" s="1"/>
    </row>
    <row r="590" spans="1:26" ht="12.75" customHeight="1">
      <c r="A590" s="10"/>
      <c r="B590" s="10"/>
      <c r="C590" s="95"/>
      <c r="D590" s="1"/>
      <c r="E590" s="18" t="s">
        <v>668</v>
      </c>
      <c r="F590" s="8"/>
      <c r="G590" s="1"/>
      <c r="H590" s="1"/>
      <c r="I590" s="10"/>
      <c r="J590" s="1"/>
      <c r="K590" s="1"/>
      <c r="L590" s="1"/>
      <c r="M590" s="1"/>
      <c r="N590" s="1"/>
      <c r="O590" s="1"/>
      <c r="P590" s="1"/>
      <c r="Q590" s="1"/>
      <c r="R590" s="1"/>
      <c r="S590" s="1"/>
      <c r="T590" s="1"/>
      <c r="U590" s="1"/>
      <c r="V590" s="1"/>
      <c r="W590" s="1"/>
      <c r="X590" s="1"/>
      <c r="Y590" s="1"/>
      <c r="Z590" s="1"/>
    </row>
    <row r="591" spans="1:26" ht="12.75" customHeight="1">
      <c r="A591" s="20"/>
      <c r="B591" s="20"/>
      <c r="C591" s="95"/>
      <c r="D591" s="1"/>
      <c r="E591" s="17"/>
      <c r="F591" s="17"/>
      <c r="G591" s="1"/>
      <c r="H591" s="1"/>
      <c r="I591" s="10"/>
      <c r="J591" s="1"/>
      <c r="K591" s="1"/>
      <c r="L591" s="1"/>
      <c r="M591" s="1"/>
      <c r="N591" s="1"/>
      <c r="O591" s="1"/>
      <c r="P591" s="1"/>
      <c r="Q591" s="1"/>
      <c r="R591" s="1"/>
      <c r="S591" s="1"/>
      <c r="T591" s="1"/>
      <c r="U591" s="1"/>
      <c r="V591" s="1"/>
      <c r="W591" s="1"/>
      <c r="X591" s="1"/>
      <c r="Y591" s="1"/>
      <c r="Z591" s="1"/>
    </row>
    <row r="592" spans="1:26" ht="12.75" customHeight="1">
      <c r="A592" s="20"/>
      <c r="B592" s="21" t="s">
        <v>27</v>
      </c>
      <c r="C592" s="95"/>
      <c r="D592" s="915" t="s">
        <v>671</v>
      </c>
      <c r="E592" s="893"/>
      <c r="F592" s="893"/>
      <c r="G592" s="1"/>
      <c r="H592" s="1"/>
      <c r="I592" s="10"/>
      <c r="J592" s="1"/>
      <c r="K592" s="1"/>
      <c r="L592" s="1"/>
      <c r="M592" s="1"/>
      <c r="N592" s="1"/>
      <c r="O592" s="1"/>
      <c r="P592" s="1"/>
      <c r="Q592" s="1"/>
      <c r="R592" s="1"/>
      <c r="S592" s="1"/>
      <c r="T592" s="1"/>
      <c r="U592" s="1"/>
      <c r="V592" s="1"/>
      <c r="W592" s="1"/>
      <c r="X592" s="1"/>
      <c r="Y592" s="1"/>
      <c r="Z592" s="1"/>
    </row>
    <row r="593" spans="1:26" ht="12.75" customHeight="1">
      <c r="A593" s="7"/>
      <c r="B593" s="7"/>
      <c r="C593" s="95"/>
      <c r="D593" s="895" t="s">
        <v>672</v>
      </c>
      <c r="E593" s="893"/>
      <c r="F593" s="893"/>
      <c r="G593" s="1"/>
      <c r="H593" s="1"/>
      <c r="I593" s="10"/>
      <c r="J593" s="1"/>
      <c r="K593" s="1"/>
      <c r="L593" s="1"/>
      <c r="M593" s="1"/>
      <c r="N593" s="1"/>
      <c r="O593" s="1"/>
      <c r="P593" s="1"/>
      <c r="Q593" s="1"/>
      <c r="R593" s="1"/>
      <c r="S593" s="1"/>
      <c r="T593" s="1"/>
      <c r="U593" s="1"/>
      <c r="V593" s="1"/>
      <c r="W593" s="1"/>
      <c r="X593" s="1"/>
      <c r="Y593" s="1"/>
      <c r="Z593" s="1"/>
    </row>
    <row r="594" spans="1:26" ht="12.75" customHeight="1">
      <c r="A594" s="95"/>
      <c r="B594" s="95"/>
      <c r="C594" s="95"/>
      <c r="D594" s="893"/>
      <c r="E594" s="893"/>
      <c r="F594" s="893"/>
      <c r="G594" s="1"/>
      <c r="H594" s="1"/>
      <c r="I594" s="10"/>
      <c r="J594" s="1"/>
      <c r="K594" s="1"/>
      <c r="L594" s="1"/>
      <c r="M594" s="1"/>
      <c r="N594" s="1"/>
      <c r="O594" s="1"/>
      <c r="P594" s="1"/>
      <c r="Q594" s="1"/>
      <c r="R594" s="1"/>
      <c r="S594" s="1"/>
      <c r="T594" s="1"/>
      <c r="U594" s="1"/>
      <c r="V594" s="1"/>
      <c r="W594" s="1"/>
      <c r="X594" s="1"/>
      <c r="Y594" s="1"/>
      <c r="Z594" s="1"/>
    </row>
    <row r="595" spans="1:26" ht="12.75" customHeight="1">
      <c r="A595" s="95"/>
      <c r="B595" s="95"/>
      <c r="C595" s="95"/>
      <c r="D595" s="893"/>
      <c r="E595" s="893"/>
      <c r="F595" s="893"/>
      <c r="G595" s="1"/>
      <c r="H595" s="1"/>
      <c r="I595" s="10"/>
      <c r="J595" s="1"/>
      <c r="K595" s="1"/>
      <c r="L595" s="1"/>
      <c r="M595" s="1"/>
      <c r="N595" s="1"/>
      <c r="O595" s="1"/>
      <c r="P595" s="1"/>
      <c r="Q595" s="1"/>
      <c r="R595" s="1"/>
      <c r="S595" s="1"/>
      <c r="T595" s="1"/>
      <c r="U595" s="1"/>
      <c r="V595" s="1"/>
      <c r="W595" s="1"/>
      <c r="X595" s="1"/>
      <c r="Y595" s="1"/>
      <c r="Z595" s="1"/>
    </row>
    <row r="596" spans="1:26" ht="12.75" customHeight="1">
      <c r="A596" s="95"/>
      <c r="B596" s="95"/>
      <c r="C596" s="95"/>
      <c r="D596" s="17"/>
      <c r="E596" s="17"/>
      <c r="F596" s="17"/>
      <c r="G596" s="1"/>
      <c r="H596" s="1"/>
      <c r="I596" s="10"/>
      <c r="J596" s="1"/>
      <c r="K596" s="1"/>
      <c r="L596" s="1"/>
      <c r="M596" s="1"/>
      <c r="N596" s="1"/>
      <c r="O596" s="1"/>
      <c r="P596" s="1"/>
      <c r="Q596" s="1"/>
      <c r="R596" s="1"/>
      <c r="S596" s="1"/>
      <c r="T596" s="1"/>
      <c r="U596" s="1"/>
      <c r="V596" s="1"/>
      <c r="W596" s="1"/>
      <c r="X596" s="1"/>
      <c r="Y596" s="1"/>
      <c r="Z596" s="1"/>
    </row>
    <row r="597" spans="1:26" ht="12.75" customHeight="1">
      <c r="A597" s="20"/>
      <c r="B597" s="21" t="s">
        <v>27</v>
      </c>
      <c r="C597" s="95"/>
      <c r="D597" s="895" t="s">
        <v>675</v>
      </c>
      <c r="E597" s="893"/>
      <c r="F597" s="893"/>
      <c r="G597" s="1"/>
      <c r="H597" s="1"/>
      <c r="I597" s="10"/>
      <c r="J597" s="1"/>
      <c r="K597" s="1"/>
      <c r="L597" s="1"/>
      <c r="M597" s="1"/>
      <c r="N597" s="1"/>
      <c r="O597" s="1"/>
      <c r="P597" s="1"/>
      <c r="Q597" s="1"/>
      <c r="R597" s="1"/>
      <c r="S597" s="1"/>
      <c r="T597" s="1"/>
      <c r="U597" s="1"/>
      <c r="V597" s="1"/>
      <c r="W597" s="1"/>
      <c r="X597" s="1"/>
      <c r="Y597" s="1"/>
      <c r="Z597" s="1"/>
    </row>
    <row r="598" spans="1:26" ht="12.75" customHeight="1">
      <c r="A598" s="20"/>
      <c r="B598" s="20"/>
      <c r="C598" s="95"/>
      <c r="D598" s="893"/>
      <c r="E598" s="893"/>
      <c r="F598" s="893"/>
      <c r="G598" s="1"/>
      <c r="H598" s="1"/>
      <c r="I598" s="10"/>
      <c r="J598" s="1"/>
      <c r="K598" s="1"/>
      <c r="L598" s="1"/>
      <c r="M598" s="1"/>
      <c r="N598" s="1"/>
      <c r="O598" s="1"/>
      <c r="P598" s="1"/>
      <c r="Q598" s="1"/>
      <c r="R598" s="1"/>
      <c r="S598" s="1"/>
      <c r="T598" s="1"/>
      <c r="U598" s="1"/>
      <c r="V598" s="1"/>
      <c r="W598" s="1"/>
      <c r="X598" s="1"/>
      <c r="Y598" s="1"/>
      <c r="Z598" s="1"/>
    </row>
    <row r="599" spans="1:26" ht="12.75" customHeight="1">
      <c r="A599" s="20"/>
      <c r="B599" s="20"/>
      <c r="C599" s="95"/>
      <c r="D599" s="893"/>
      <c r="E599" s="893"/>
      <c r="F599" s="893"/>
      <c r="G599" s="1"/>
      <c r="H599" s="1"/>
      <c r="I599" s="10"/>
      <c r="J599" s="1"/>
      <c r="K599" s="1"/>
      <c r="L599" s="1"/>
      <c r="M599" s="1"/>
      <c r="N599" s="1"/>
      <c r="O599" s="1"/>
      <c r="P599" s="1"/>
      <c r="Q599" s="1"/>
      <c r="R599" s="1"/>
      <c r="S599" s="1"/>
      <c r="T599" s="1"/>
      <c r="U599" s="1"/>
      <c r="V599" s="1"/>
      <c r="W599" s="1"/>
      <c r="X599" s="1"/>
      <c r="Y599" s="1"/>
      <c r="Z599" s="1"/>
    </row>
    <row r="600" spans="1:26" ht="12.75" customHeight="1">
      <c r="A600" s="20"/>
      <c r="B600" s="20"/>
      <c r="C600" s="95"/>
      <c r="D600" s="893"/>
      <c r="E600" s="893"/>
      <c r="F600" s="893"/>
      <c r="G600" s="1"/>
      <c r="H600" s="1"/>
      <c r="I600" s="10"/>
      <c r="J600" s="1"/>
      <c r="K600" s="1"/>
      <c r="L600" s="1"/>
      <c r="M600" s="1"/>
      <c r="N600" s="1"/>
      <c r="O600" s="1"/>
      <c r="P600" s="1"/>
      <c r="Q600" s="1"/>
      <c r="R600" s="1"/>
      <c r="S600" s="1"/>
      <c r="T600" s="1"/>
      <c r="U600" s="1"/>
      <c r="V600" s="1"/>
      <c r="W600" s="1"/>
      <c r="X600" s="1"/>
      <c r="Y600" s="1"/>
      <c r="Z600" s="1"/>
    </row>
    <row r="601" spans="1:26" ht="12.75" customHeight="1">
      <c r="A601" s="20"/>
      <c r="B601" s="20"/>
      <c r="C601" s="95"/>
      <c r="D601" s="17"/>
      <c r="E601" s="17"/>
      <c r="F601" s="17"/>
      <c r="G601" s="1"/>
      <c r="H601" s="1"/>
      <c r="I601" s="10"/>
      <c r="J601" s="1"/>
      <c r="K601" s="1"/>
      <c r="L601" s="1"/>
      <c r="M601" s="1"/>
      <c r="N601" s="1"/>
      <c r="O601" s="1"/>
      <c r="P601" s="1"/>
      <c r="Q601" s="1"/>
      <c r="R601" s="1"/>
      <c r="S601" s="1"/>
      <c r="T601" s="1"/>
      <c r="U601" s="1"/>
      <c r="V601" s="1"/>
      <c r="W601" s="1"/>
      <c r="X601" s="1"/>
      <c r="Y601" s="1"/>
      <c r="Z601" s="1"/>
    </row>
    <row r="602" spans="1:26" ht="12.75" customHeight="1">
      <c r="A602" s="920" t="s">
        <v>678</v>
      </c>
      <c r="B602" s="921"/>
      <c r="C602" s="921"/>
      <c r="D602" s="921"/>
      <c r="E602" s="921"/>
      <c r="F602" s="921"/>
      <c r="G602" s="921"/>
      <c r="H602" s="5"/>
      <c r="I602" s="39"/>
      <c r="J602" s="1"/>
      <c r="K602" s="1"/>
      <c r="L602" s="1"/>
      <c r="M602" s="1"/>
      <c r="N602" s="1"/>
      <c r="O602" s="1"/>
      <c r="P602" s="1"/>
      <c r="Q602" s="1"/>
      <c r="R602" s="1"/>
      <c r="S602" s="1"/>
      <c r="T602" s="1"/>
      <c r="U602" s="1"/>
      <c r="V602" s="1"/>
      <c r="W602" s="1"/>
      <c r="X602" s="1"/>
      <c r="Y602" s="1"/>
      <c r="Z602" s="1"/>
    </row>
    <row r="603" spans="1:26" ht="12.75" customHeight="1">
      <c r="A603" s="95"/>
      <c r="B603" s="95"/>
      <c r="C603" s="95"/>
      <c r="D603" s="1"/>
      <c r="E603" s="17"/>
      <c r="F603" s="17"/>
      <c r="G603" s="1"/>
      <c r="H603" s="1"/>
      <c r="I603" s="10"/>
      <c r="J603" s="1"/>
      <c r="K603" s="1"/>
      <c r="L603" s="1"/>
      <c r="M603" s="1"/>
      <c r="N603" s="1"/>
      <c r="O603" s="1"/>
      <c r="P603" s="1"/>
      <c r="Q603" s="1"/>
      <c r="R603" s="1"/>
      <c r="S603" s="1"/>
      <c r="T603" s="1"/>
      <c r="U603" s="1"/>
      <c r="V603" s="1"/>
      <c r="W603" s="1"/>
      <c r="X603" s="1"/>
      <c r="Y603" s="1"/>
      <c r="Z603" s="1"/>
    </row>
    <row r="604" spans="1:26" ht="12.75" customHeight="1">
      <c r="A604" s="7"/>
      <c r="B604" s="7"/>
      <c r="C604" s="9"/>
      <c r="D604" s="918" t="s">
        <v>682</v>
      </c>
      <c r="E604" s="893"/>
      <c r="F604" s="893"/>
      <c r="G604" s="1"/>
      <c r="H604" s="1"/>
      <c r="I604" s="10"/>
      <c r="J604" s="1"/>
      <c r="K604" s="1"/>
      <c r="L604" s="1"/>
      <c r="M604" s="1"/>
      <c r="N604" s="1"/>
      <c r="O604" s="1"/>
      <c r="P604" s="1"/>
      <c r="Q604" s="1"/>
      <c r="R604" s="1"/>
      <c r="S604" s="1"/>
      <c r="T604" s="1"/>
      <c r="U604" s="1"/>
      <c r="V604" s="1"/>
      <c r="W604" s="1"/>
      <c r="X604" s="1"/>
      <c r="Y604" s="1"/>
      <c r="Z604" s="1"/>
    </row>
    <row r="605" spans="1:26" ht="12.75" customHeight="1">
      <c r="A605" s="16"/>
      <c r="B605" s="16"/>
      <c r="C605" s="16"/>
      <c r="D605" s="927" t="s">
        <v>683</v>
      </c>
      <c r="E605" s="893"/>
      <c r="F605" s="893"/>
      <c r="G605" s="1"/>
      <c r="H605" s="1"/>
      <c r="I605" s="10"/>
      <c r="J605" s="1"/>
      <c r="K605" s="1"/>
      <c r="L605" s="1"/>
      <c r="M605" s="1"/>
      <c r="N605" s="1"/>
      <c r="O605" s="1"/>
      <c r="P605" s="1"/>
      <c r="Q605" s="1"/>
      <c r="R605" s="1"/>
      <c r="S605" s="1"/>
      <c r="T605" s="1"/>
      <c r="U605" s="1"/>
      <c r="V605" s="1"/>
      <c r="W605" s="1"/>
      <c r="X605" s="1"/>
      <c r="Y605" s="1"/>
      <c r="Z605" s="1"/>
    </row>
    <row r="606" spans="1:26" ht="12.75" customHeight="1">
      <c r="A606" s="1"/>
      <c r="B606" s="1"/>
      <c r="C606" s="16"/>
      <c r="D606" s="113"/>
      <c r="E606" s="1"/>
      <c r="F606" s="1"/>
      <c r="G606" s="1"/>
      <c r="H606" s="1"/>
      <c r="I606" s="10"/>
      <c r="J606" s="1"/>
      <c r="K606" s="1"/>
      <c r="L606" s="1"/>
      <c r="M606" s="1"/>
      <c r="N606" s="1"/>
      <c r="O606" s="1"/>
      <c r="P606" s="1"/>
      <c r="Q606" s="1"/>
      <c r="R606" s="1"/>
      <c r="S606" s="1"/>
      <c r="T606" s="1"/>
      <c r="U606" s="1"/>
      <c r="V606" s="1"/>
      <c r="W606" s="1"/>
      <c r="X606" s="1"/>
      <c r="Y606" s="1"/>
      <c r="Z606" s="1"/>
    </row>
    <row r="607" spans="1:26" ht="12.75" customHeight="1">
      <c r="A607" s="16"/>
      <c r="B607" s="21" t="s">
        <v>27</v>
      </c>
      <c r="C607" s="7"/>
      <c r="D607" s="927" t="s">
        <v>686</v>
      </c>
      <c r="E607" s="893"/>
      <c r="F607" s="893"/>
      <c r="G607" s="1"/>
      <c r="H607" s="1"/>
      <c r="I607" s="10"/>
      <c r="J607" s="1"/>
      <c r="K607" s="1"/>
      <c r="L607" s="1"/>
      <c r="M607" s="1"/>
      <c r="N607" s="1"/>
      <c r="O607" s="1"/>
      <c r="P607" s="1"/>
      <c r="Q607" s="1"/>
      <c r="R607" s="1"/>
      <c r="S607" s="1"/>
      <c r="T607" s="1"/>
      <c r="U607" s="1"/>
      <c r="V607" s="1"/>
      <c r="W607" s="1"/>
      <c r="X607" s="1"/>
      <c r="Y607" s="1"/>
      <c r="Z607" s="1"/>
    </row>
    <row r="608" spans="1:26" ht="12.75" customHeight="1">
      <c r="A608" s="10"/>
      <c r="B608" s="10"/>
      <c r="C608" s="7"/>
      <c r="D608" s="1"/>
      <c r="E608" s="1"/>
      <c r="F608" s="1"/>
      <c r="G608" s="1"/>
      <c r="H608" s="1"/>
      <c r="I608" s="10"/>
      <c r="J608" s="1"/>
      <c r="K608" s="1"/>
      <c r="L608" s="1"/>
      <c r="M608" s="1"/>
      <c r="N608" s="1"/>
      <c r="O608" s="1"/>
      <c r="P608" s="1"/>
      <c r="Q608" s="1"/>
      <c r="R608" s="1"/>
      <c r="S608" s="1"/>
      <c r="T608" s="1"/>
      <c r="U608" s="1"/>
      <c r="V608" s="1"/>
      <c r="W608" s="1"/>
      <c r="X608" s="1"/>
      <c r="Y608" s="1"/>
      <c r="Z608" s="1"/>
    </row>
    <row r="609" spans="1:26" ht="12.75" customHeight="1">
      <c r="A609" s="10"/>
      <c r="B609" s="21" t="s">
        <v>27</v>
      </c>
      <c r="C609" s="7"/>
      <c r="D609" s="927" t="s">
        <v>687</v>
      </c>
      <c r="E609" s="893"/>
      <c r="F609" s="893"/>
      <c r="G609" s="1"/>
      <c r="H609" s="1"/>
      <c r="I609" s="10"/>
      <c r="J609" s="1"/>
      <c r="K609" s="1"/>
      <c r="L609" s="1"/>
      <c r="M609" s="1"/>
      <c r="N609" s="1"/>
      <c r="O609" s="1"/>
      <c r="P609" s="1"/>
      <c r="Q609" s="1"/>
      <c r="R609" s="1"/>
      <c r="S609" s="1"/>
      <c r="T609" s="1"/>
      <c r="U609" s="1"/>
      <c r="V609" s="1"/>
      <c r="W609" s="1"/>
      <c r="X609" s="1"/>
      <c r="Y609" s="1"/>
      <c r="Z609" s="1"/>
    </row>
    <row r="610" spans="1:26" ht="12.75" customHeight="1">
      <c r="A610" s="10"/>
      <c r="B610" s="10"/>
      <c r="C610" s="7"/>
      <c r="D610" s="893"/>
      <c r="E610" s="893"/>
      <c r="F610" s="893"/>
      <c r="G610" s="1"/>
      <c r="H610" s="1"/>
      <c r="I610" s="10"/>
      <c r="J610" s="1"/>
      <c r="K610" s="1"/>
      <c r="L610" s="1"/>
      <c r="M610" s="1"/>
      <c r="N610" s="1"/>
      <c r="O610" s="1"/>
      <c r="P610" s="1"/>
      <c r="Q610" s="1"/>
      <c r="R610" s="1"/>
      <c r="S610" s="1"/>
      <c r="T610" s="1"/>
      <c r="U610" s="1"/>
      <c r="V610" s="1"/>
      <c r="W610" s="1"/>
      <c r="X610" s="1"/>
      <c r="Y610" s="1"/>
      <c r="Z610" s="1"/>
    </row>
    <row r="611" spans="1:26" ht="12.75" customHeight="1">
      <c r="A611" s="10"/>
      <c r="B611" s="10"/>
      <c r="C611" s="7"/>
      <c r="D611" s="893"/>
      <c r="E611" s="893"/>
      <c r="F611" s="893"/>
      <c r="G611" s="1"/>
      <c r="H611" s="1"/>
      <c r="I611" s="10"/>
      <c r="J611" s="1"/>
      <c r="K611" s="1"/>
      <c r="L611" s="1"/>
      <c r="M611" s="1"/>
      <c r="N611" s="1"/>
      <c r="O611" s="1"/>
      <c r="P611" s="1"/>
      <c r="Q611" s="1"/>
      <c r="R611" s="1"/>
      <c r="S611" s="1"/>
      <c r="T611" s="1"/>
      <c r="U611" s="1"/>
      <c r="V611" s="1"/>
      <c r="W611" s="1"/>
      <c r="X611" s="1"/>
      <c r="Y611" s="1"/>
      <c r="Z611" s="1"/>
    </row>
    <row r="612" spans="1:26" ht="12.75" customHeight="1">
      <c r="A612" s="10"/>
      <c r="B612" s="10"/>
      <c r="C612" s="7"/>
      <c r="D612" s="893"/>
      <c r="E612" s="893"/>
      <c r="F612" s="893"/>
      <c r="G612" s="1"/>
      <c r="H612" s="1"/>
      <c r="I612" s="10"/>
      <c r="J612" s="1"/>
      <c r="K612" s="1"/>
      <c r="L612" s="1"/>
      <c r="M612" s="1"/>
      <c r="N612" s="1"/>
      <c r="O612" s="1"/>
      <c r="P612" s="1"/>
      <c r="Q612" s="1"/>
      <c r="R612" s="1"/>
      <c r="S612" s="1"/>
      <c r="T612" s="1"/>
      <c r="U612" s="1"/>
      <c r="V612" s="1"/>
      <c r="W612" s="1"/>
      <c r="X612" s="1"/>
      <c r="Y612" s="1"/>
      <c r="Z612" s="1"/>
    </row>
    <row r="613" spans="1:26" ht="12.75" customHeight="1">
      <c r="A613" s="10"/>
      <c r="B613" s="21" t="s">
        <v>27</v>
      </c>
      <c r="C613" s="7"/>
      <c r="D613" s="927" t="s">
        <v>689</v>
      </c>
      <c r="E613" s="893"/>
      <c r="F613" s="893"/>
      <c r="G613" s="1"/>
      <c r="H613" s="1"/>
      <c r="I613" s="10"/>
      <c r="J613" s="1"/>
      <c r="K613" s="1"/>
      <c r="L613" s="1"/>
      <c r="M613" s="1"/>
      <c r="N613" s="1"/>
      <c r="O613" s="1"/>
      <c r="P613" s="1"/>
      <c r="Q613" s="1"/>
      <c r="R613" s="1"/>
      <c r="S613" s="1"/>
      <c r="T613" s="1"/>
      <c r="U613" s="1"/>
      <c r="V613" s="1"/>
      <c r="W613" s="1"/>
      <c r="X613" s="1"/>
      <c r="Y613" s="1"/>
      <c r="Z613" s="1"/>
    </row>
    <row r="614" spans="1:26" ht="12.75" customHeight="1">
      <c r="A614" s="10"/>
      <c r="B614" s="10"/>
      <c r="C614" s="7"/>
      <c r="D614" s="893"/>
      <c r="E614" s="893"/>
      <c r="F614" s="893"/>
      <c r="G614" s="1"/>
      <c r="H614" s="1"/>
      <c r="I614" s="10"/>
      <c r="J614" s="1"/>
      <c r="K614" s="1"/>
      <c r="L614" s="1"/>
      <c r="M614" s="1"/>
      <c r="N614" s="1"/>
      <c r="O614" s="1"/>
      <c r="P614" s="1"/>
      <c r="Q614" s="1"/>
      <c r="R614" s="1"/>
      <c r="S614" s="1"/>
      <c r="T614" s="1"/>
      <c r="U614" s="1"/>
      <c r="V614" s="1"/>
      <c r="W614" s="1"/>
      <c r="X614" s="1"/>
      <c r="Y614" s="1"/>
      <c r="Z614" s="1"/>
    </row>
    <row r="615" spans="1:26" ht="12.75" customHeight="1">
      <c r="A615" s="10"/>
      <c r="B615" s="10"/>
      <c r="C615" s="7"/>
      <c r="D615" s="893"/>
      <c r="E615" s="893"/>
      <c r="F615" s="893"/>
      <c r="G615" s="1"/>
      <c r="H615" s="1"/>
      <c r="I615" s="10"/>
      <c r="J615" s="1"/>
      <c r="K615" s="1"/>
      <c r="L615" s="1"/>
      <c r="M615" s="1"/>
      <c r="N615" s="1"/>
      <c r="O615" s="1"/>
      <c r="P615" s="1"/>
      <c r="Q615" s="1"/>
      <c r="R615" s="1"/>
      <c r="S615" s="1"/>
      <c r="T615" s="1"/>
      <c r="U615" s="1"/>
      <c r="V615" s="1"/>
      <c r="W615" s="1"/>
      <c r="X615" s="1"/>
      <c r="Y615" s="1"/>
      <c r="Z615" s="1"/>
    </row>
    <row r="616" spans="1:26" ht="12.75" customHeight="1">
      <c r="A616" s="10"/>
      <c r="B616" s="10"/>
      <c r="C616" s="7"/>
      <c r="D616" s="893"/>
      <c r="E616" s="893"/>
      <c r="F616" s="893"/>
      <c r="G616" s="1"/>
      <c r="H616" s="1"/>
      <c r="I616" s="10"/>
      <c r="J616" s="1"/>
      <c r="K616" s="1"/>
      <c r="L616" s="1"/>
      <c r="M616" s="1"/>
      <c r="N616" s="1"/>
      <c r="O616" s="1"/>
      <c r="P616" s="1"/>
      <c r="Q616" s="1"/>
      <c r="R616" s="1"/>
      <c r="S616" s="1"/>
      <c r="T616" s="1"/>
      <c r="U616" s="1"/>
      <c r="V616" s="1"/>
      <c r="W616" s="1"/>
      <c r="X616" s="1"/>
      <c r="Y616" s="1"/>
      <c r="Z616" s="1"/>
    </row>
    <row r="617" spans="1:26" ht="12.75" customHeight="1">
      <c r="A617" s="10"/>
      <c r="B617" s="10"/>
      <c r="C617" s="7"/>
      <c r="D617" s="60"/>
      <c r="E617" s="60"/>
      <c r="F617" s="60"/>
      <c r="G617" s="1"/>
      <c r="H617" s="1"/>
      <c r="I617" s="10"/>
      <c r="J617" s="1"/>
      <c r="K617" s="1"/>
      <c r="L617" s="1"/>
      <c r="M617" s="1"/>
      <c r="N617" s="1"/>
      <c r="O617" s="1"/>
      <c r="P617" s="1"/>
      <c r="Q617" s="1"/>
      <c r="R617" s="1"/>
      <c r="S617" s="1"/>
      <c r="T617" s="1"/>
      <c r="U617" s="1"/>
      <c r="V617" s="1"/>
      <c r="W617" s="1"/>
      <c r="X617" s="1"/>
      <c r="Y617" s="1"/>
      <c r="Z617" s="1"/>
    </row>
    <row r="618" spans="1:26" ht="12.75" customHeight="1">
      <c r="A618" s="10"/>
      <c r="B618" s="21" t="s">
        <v>27</v>
      </c>
      <c r="C618" s="7"/>
      <c r="D618" s="927" t="s">
        <v>693</v>
      </c>
      <c r="E618" s="893"/>
      <c r="F618" s="893"/>
      <c r="G618" s="1"/>
      <c r="H618" s="1"/>
      <c r="I618" s="10"/>
      <c r="J618" s="1"/>
      <c r="K618" s="1"/>
      <c r="L618" s="1"/>
      <c r="M618" s="1"/>
      <c r="N618" s="1"/>
      <c r="O618" s="1"/>
      <c r="P618" s="1"/>
      <c r="Q618" s="1"/>
      <c r="R618" s="1"/>
      <c r="S618" s="1"/>
      <c r="T618" s="1"/>
      <c r="U618" s="1"/>
      <c r="V618" s="1"/>
      <c r="W618" s="1"/>
      <c r="X618" s="1"/>
      <c r="Y618" s="1"/>
      <c r="Z618" s="1"/>
    </row>
    <row r="619" spans="1:26" ht="12.75" customHeight="1">
      <c r="A619" s="10"/>
      <c r="B619" s="10"/>
      <c r="C619" s="7"/>
      <c r="D619" s="893"/>
      <c r="E619" s="893"/>
      <c r="F619" s="893"/>
      <c r="G619" s="1"/>
      <c r="H619" s="1"/>
      <c r="I619" s="10"/>
      <c r="J619" s="1"/>
      <c r="K619" s="1"/>
      <c r="L619" s="1"/>
      <c r="M619" s="1"/>
      <c r="N619" s="1"/>
      <c r="O619" s="1"/>
      <c r="P619" s="1"/>
      <c r="Q619" s="1"/>
      <c r="R619" s="1"/>
      <c r="S619" s="1"/>
      <c r="T619" s="1"/>
      <c r="U619" s="1"/>
      <c r="V619" s="1"/>
      <c r="W619" s="1"/>
      <c r="X619" s="1"/>
      <c r="Y619" s="1"/>
      <c r="Z619" s="1"/>
    </row>
    <row r="620" spans="1:26" ht="12.75" customHeight="1">
      <c r="A620" s="10"/>
      <c r="B620" s="10"/>
      <c r="C620" s="7"/>
      <c r="D620" s="113"/>
      <c r="E620" s="1"/>
      <c r="F620" s="1"/>
      <c r="G620" s="1"/>
      <c r="H620" s="1"/>
      <c r="I620" s="10"/>
      <c r="J620" s="1"/>
      <c r="K620" s="1"/>
      <c r="L620" s="1"/>
      <c r="M620" s="1"/>
      <c r="N620" s="1"/>
      <c r="O620" s="1"/>
      <c r="P620" s="1"/>
      <c r="Q620" s="1"/>
      <c r="R620" s="1"/>
      <c r="S620" s="1"/>
      <c r="T620" s="1"/>
      <c r="U620" s="1"/>
      <c r="V620" s="1"/>
      <c r="W620" s="1"/>
      <c r="X620" s="1"/>
      <c r="Y620" s="1"/>
      <c r="Z620" s="1"/>
    </row>
    <row r="621" spans="1:26" ht="12.75" customHeight="1">
      <c r="A621" s="10"/>
      <c r="B621" s="21" t="s">
        <v>27</v>
      </c>
      <c r="C621" s="7"/>
      <c r="D621" s="927" t="s">
        <v>694</v>
      </c>
      <c r="E621" s="893"/>
      <c r="F621" s="893"/>
      <c r="G621" s="1"/>
      <c r="H621" s="1"/>
      <c r="I621" s="10"/>
      <c r="J621" s="1"/>
      <c r="K621" s="1"/>
      <c r="L621" s="1"/>
      <c r="M621" s="1"/>
      <c r="N621" s="1"/>
      <c r="O621" s="1"/>
      <c r="P621" s="1"/>
      <c r="Q621" s="1"/>
      <c r="R621" s="1"/>
      <c r="S621" s="1"/>
      <c r="T621" s="1"/>
      <c r="U621" s="1"/>
      <c r="V621" s="1"/>
      <c r="W621" s="1"/>
      <c r="X621" s="1"/>
      <c r="Y621" s="1"/>
      <c r="Z621" s="1"/>
    </row>
    <row r="622" spans="1:26" ht="12.75" customHeight="1">
      <c r="A622" s="10"/>
      <c r="B622" s="10"/>
      <c r="C622" s="7"/>
      <c r="D622" s="893"/>
      <c r="E622" s="893"/>
      <c r="F622" s="893"/>
      <c r="G622" s="1"/>
      <c r="H622" s="1"/>
      <c r="I622" s="10"/>
      <c r="J622" s="1"/>
      <c r="K622" s="1"/>
      <c r="L622" s="1"/>
      <c r="M622" s="1"/>
      <c r="N622" s="1"/>
      <c r="O622" s="1"/>
      <c r="P622" s="1"/>
      <c r="Q622" s="1"/>
      <c r="R622" s="1"/>
      <c r="S622" s="1"/>
      <c r="T622" s="1"/>
      <c r="U622" s="1"/>
      <c r="V622" s="1"/>
      <c r="W622" s="1"/>
      <c r="X622" s="1"/>
      <c r="Y622" s="1"/>
      <c r="Z622" s="1"/>
    </row>
    <row r="623" spans="1:26" ht="12.75" customHeight="1">
      <c r="A623" s="20"/>
      <c r="B623" s="20"/>
      <c r="C623" s="7"/>
      <c r="D623" s="113"/>
      <c r="E623" s="1"/>
      <c r="F623" s="1"/>
      <c r="G623" s="1"/>
      <c r="H623" s="1"/>
      <c r="I623" s="10"/>
      <c r="J623" s="1"/>
      <c r="K623" s="1"/>
      <c r="L623" s="1"/>
      <c r="M623" s="1"/>
      <c r="N623" s="1"/>
      <c r="O623" s="1"/>
      <c r="P623" s="1"/>
      <c r="Q623" s="1"/>
      <c r="R623" s="1"/>
      <c r="S623" s="1"/>
      <c r="T623" s="1"/>
      <c r="U623" s="1"/>
      <c r="V623" s="1"/>
      <c r="W623" s="1"/>
      <c r="X623" s="1"/>
      <c r="Y623" s="1"/>
      <c r="Z623" s="1"/>
    </row>
    <row r="624" spans="1:26" ht="12.75" customHeight="1">
      <c r="A624" s="920" t="s">
        <v>698</v>
      </c>
      <c r="B624" s="921"/>
      <c r="C624" s="921"/>
      <c r="D624" s="921"/>
      <c r="E624" s="921"/>
      <c r="F624" s="921"/>
      <c r="G624" s="921"/>
      <c r="H624" s="5"/>
      <c r="I624" s="39"/>
      <c r="J624" s="1"/>
      <c r="K624" s="1"/>
      <c r="L624" s="1"/>
      <c r="M624" s="1"/>
      <c r="N624" s="1"/>
      <c r="O624" s="1"/>
      <c r="P624" s="1"/>
      <c r="Q624" s="1"/>
      <c r="R624" s="1"/>
      <c r="S624" s="1"/>
      <c r="T624" s="1"/>
      <c r="U624" s="1"/>
      <c r="V624" s="1"/>
      <c r="W624" s="1"/>
      <c r="X624" s="1"/>
      <c r="Y624" s="1"/>
      <c r="Z624" s="1"/>
    </row>
    <row r="625" spans="1:26" ht="12.75" customHeight="1">
      <c r="A625" s="7"/>
      <c r="B625" s="7"/>
      <c r="C625" s="7"/>
      <c r="D625" s="1"/>
      <c r="E625" s="1"/>
      <c r="F625" s="1"/>
      <c r="G625" s="1"/>
      <c r="H625" s="1"/>
      <c r="I625" s="10"/>
      <c r="J625" s="1"/>
      <c r="K625" s="1"/>
      <c r="L625" s="1"/>
      <c r="M625" s="1"/>
      <c r="N625" s="1"/>
      <c r="O625" s="1"/>
      <c r="P625" s="1"/>
      <c r="Q625" s="1"/>
      <c r="R625" s="1"/>
      <c r="S625" s="1"/>
      <c r="T625" s="1"/>
      <c r="U625" s="1"/>
      <c r="V625" s="1"/>
      <c r="W625" s="1"/>
      <c r="X625" s="1"/>
      <c r="Y625" s="1"/>
      <c r="Z625" s="1"/>
    </row>
    <row r="626" spans="1:26" ht="12.75" customHeight="1">
      <c r="A626" s="7"/>
      <c r="B626" s="7"/>
      <c r="C626" s="7"/>
      <c r="D626" s="914" t="s">
        <v>700</v>
      </c>
      <c r="E626" s="893"/>
      <c r="F626" s="893"/>
      <c r="G626" s="1"/>
      <c r="H626" s="1"/>
      <c r="I626" s="10"/>
      <c r="J626" s="1"/>
      <c r="K626" s="1"/>
      <c r="L626" s="1"/>
      <c r="M626" s="1"/>
      <c r="N626" s="1"/>
      <c r="O626" s="1"/>
      <c r="P626" s="1"/>
      <c r="Q626" s="1"/>
      <c r="R626" s="1"/>
      <c r="S626" s="1"/>
      <c r="T626" s="1"/>
      <c r="U626" s="1"/>
      <c r="V626" s="1"/>
      <c r="W626" s="1"/>
      <c r="X626" s="1"/>
      <c r="Y626" s="1"/>
      <c r="Z626" s="1"/>
    </row>
    <row r="627" spans="1:26" ht="12.75" customHeight="1">
      <c r="A627" s="7"/>
      <c r="B627" s="7"/>
      <c r="C627" s="7"/>
      <c r="D627" s="926" t="s">
        <v>702</v>
      </c>
      <c r="E627" s="893"/>
      <c r="F627" s="893"/>
      <c r="G627" s="1"/>
      <c r="H627" s="1"/>
      <c r="I627" s="10"/>
      <c r="J627" s="1"/>
      <c r="K627" s="1"/>
      <c r="L627" s="1"/>
      <c r="M627" s="1"/>
      <c r="N627" s="1"/>
      <c r="O627" s="1"/>
      <c r="P627" s="1"/>
      <c r="Q627" s="1"/>
      <c r="R627" s="1"/>
      <c r="S627" s="1"/>
      <c r="T627" s="1"/>
      <c r="U627" s="1"/>
      <c r="V627" s="1"/>
      <c r="W627" s="1"/>
      <c r="X627" s="1"/>
      <c r="Y627" s="1"/>
      <c r="Z627" s="1"/>
    </row>
    <row r="628" spans="1:26" ht="12.75" customHeight="1">
      <c r="A628" s="7"/>
      <c r="B628" s="7"/>
      <c r="C628" s="7"/>
      <c r="D628" s="113"/>
      <c r="E628" s="1"/>
      <c r="F628" s="1"/>
      <c r="G628" s="1"/>
      <c r="H628" s="1"/>
      <c r="I628" s="10"/>
      <c r="J628" s="1"/>
      <c r="K628" s="1"/>
      <c r="L628" s="1"/>
      <c r="M628" s="1"/>
      <c r="N628" s="1"/>
      <c r="O628" s="1"/>
      <c r="P628" s="1"/>
      <c r="Q628" s="1"/>
      <c r="R628" s="1"/>
      <c r="S628" s="1"/>
      <c r="T628" s="1"/>
      <c r="U628" s="1"/>
      <c r="V628" s="1"/>
      <c r="W628" s="1"/>
      <c r="X628" s="1"/>
      <c r="Y628" s="1"/>
      <c r="Z628" s="1"/>
    </row>
    <row r="629" spans="1:26" ht="14.25" customHeight="1">
      <c r="A629" s="20"/>
      <c r="B629" s="21" t="s">
        <v>27</v>
      </c>
      <c r="C629" s="7"/>
      <c r="D629" s="910" t="s">
        <v>705</v>
      </c>
      <c r="E629" s="893"/>
      <c r="F629" s="893"/>
      <c r="G629" s="1"/>
      <c r="H629" s="1"/>
      <c r="I629" s="10"/>
      <c r="J629" s="1"/>
      <c r="K629" s="1"/>
      <c r="L629" s="1"/>
      <c r="M629" s="1"/>
      <c r="N629" s="1"/>
      <c r="O629" s="1"/>
      <c r="P629" s="1"/>
      <c r="Q629" s="1"/>
      <c r="R629" s="1"/>
      <c r="S629" s="1"/>
      <c r="T629" s="1"/>
      <c r="U629" s="1"/>
      <c r="V629" s="1"/>
      <c r="W629" s="1"/>
      <c r="X629" s="1"/>
      <c r="Y629" s="1"/>
      <c r="Z629" s="1"/>
    </row>
    <row r="630" spans="1:26" ht="12.75" customHeight="1">
      <c r="A630" s="7"/>
      <c r="B630" s="7"/>
      <c r="C630" s="7"/>
      <c r="D630" s="893"/>
      <c r="E630" s="893"/>
      <c r="F630" s="893"/>
      <c r="G630" s="1"/>
      <c r="H630" s="1"/>
      <c r="I630" s="10"/>
      <c r="J630" s="1"/>
      <c r="K630" s="1"/>
      <c r="L630" s="1"/>
      <c r="M630" s="1"/>
      <c r="N630" s="1"/>
      <c r="O630" s="1"/>
      <c r="P630" s="1"/>
      <c r="Q630" s="1"/>
      <c r="R630" s="1"/>
      <c r="S630" s="1"/>
      <c r="T630" s="1"/>
      <c r="U630" s="1"/>
      <c r="V630" s="1"/>
      <c r="W630" s="1"/>
      <c r="X630" s="1"/>
      <c r="Y630" s="1"/>
      <c r="Z630" s="1"/>
    </row>
    <row r="631" spans="1:26" ht="12.75" customHeight="1">
      <c r="A631" s="7"/>
      <c r="B631" s="7"/>
      <c r="C631" s="7"/>
      <c r="D631" s="4"/>
      <c r="E631" s="18" t="s">
        <v>706</v>
      </c>
      <c r="F631" s="4"/>
      <c r="G631" s="1"/>
      <c r="H631" s="1"/>
      <c r="I631" s="10"/>
      <c r="J631" s="1"/>
      <c r="K631" s="1"/>
      <c r="L631" s="1"/>
      <c r="M631" s="1"/>
      <c r="N631" s="1"/>
      <c r="O631" s="1"/>
      <c r="P631" s="1"/>
      <c r="Q631" s="1"/>
      <c r="R631" s="1"/>
      <c r="S631" s="1"/>
      <c r="T631" s="1"/>
      <c r="U631" s="1"/>
      <c r="V631" s="1"/>
      <c r="W631" s="1"/>
      <c r="X631" s="1"/>
      <c r="Y631" s="1"/>
      <c r="Z631" s="1"/>
    </row>
    <row r="632" spans="1:26" ht="12.75" customHeight="1">
      <c r="A632" s="7"/>
      <c r="B632" s="7"/>
      <c r="C632" s="7"/>
      <c r="D632" s="1"/>
      <c r="E632" s="1"/>
      <c r="F632" s="1"/>
      <c r="G632" s="1"/>
      <c r="H632" s="1"/>
      <c r="I632" s="10"/>
      <c r="J632" s="1"/>
      <c r="K632" s="1"/>
      <c r="L632" s="1"/>
      <c r="M632" s="1"/>
      <c r="N632" s="1"/>
      <c r="O632" s="1"/>
      <c r="P632" s="1"/>
      <c r="Q632" s="1"/>
      <c r="R632" s="1"/>
      <c r="S632" s="1"/>
      <c r="T632" s="1"/>
      <c r="U632" s="1"/>
      <c r="V632" s="1"/>
      <c r="W632" s="1"/>
      <c r="X632" s="1"/>
      <c r="Y632" s="1"/>
      <c r="Z632" s="1"/>
    </row>
    <row r="633" spans="1:26" ht="12.75" customHeight="1">
      <c r="A633" s="7"/>
      <c r="B633" s="21" t="s">
        <v>27</v>
      </c>
      <c r="C633" s="7"/>
      <c r="D633" s="910" t="s">
        <v>708</v>
      </c>
      <c r="E633" s="893"/>
      <c r="F633" s="893"/>
      <c r="G633" s="1"/>
      <c r="H633" s="1"/>
      <c r="I633" s="8"/>
      <c r="J633" s="1"/>
      <c r="K633" s="1"/>
      <c r="L633" s="1"/>
      <c r="M633" s="1"/>
      <c r="N633" s="1"/>
      <c r="O633" s="1"/>
      <c r="P633" s="1"/>
      <c r="Q633" s="1"/>
      <c r="R633" s="1"/>
      <c r="S633" s="1"/>
      <c r="T633" s="1"/>
      <c r="U633" s="1"/>
      <c r="V633" s="1"/>
      <c r="W633" s="1"/>
      <c r="X633" s="1"/>
      <c r="Y633" s="1"/>
      <c r="Z633" s="1"/>
    </row>
    <row r="634" spans="1:26" ht="12.75" customHeight="1">
      <c r="A634" s="7"/>
      <c r="B634" s="7"/>
      <c r="C634" s="7"/>
      <c r="D634" s="893"/>
      <c r="E634" s="893"/>
      <c r="F634" s="893"/>
      <c r="G634" s="1"/>
      <c r="H634" s="1"/>
      <c r="I634" s="8"/>
      <c r="J634" s="1"/>
      <c r="K634" s="1"/>
      <c r="L634" s="1"/>
      <c r="M634" s="1"/>
      <c r="N634" s="1"/>
      <c r="O634" s="1"/>
      <c r="P634" s="1"/>
      <c r="Q634" s="1"/>
      <c r="R634" s="1"/>
      <c r="S634" s="1"/>
      <c r="T634" s="1"/>
      <c r="U634" s="1"/>
      <c r="V634" s="1"/>
      <c r="W634" s="1"/>
      <c r="X634" s="1"/>
      <c r="Y634" s="1"/>
      <c r="Z634" s="1"/>
    </row>
    <row r="635" spans="1:26" ht="12.75" customHeight="1">
      <c r="A635" s="7"/>
      <c r="B635" s="7"/>
      <c r="C635" s="7"/>
      <c r="D635" s="893"/>
      <c r="E635" s="893"/>
      <c r="F635" s="893"/>
      <c r="G635" s="1"/>
      <c r="H635" s="1"/>
      <c r="I635" s="8"/>
      <c r="J635" s="1"/>
      <c r="K635" s="1"/>
      <c r="L635" s="1"/>
      <c r="M635" s="1"/>
      <c r="N635" s="1"/>
      <c r="O635" s="1"/>
      <c r="P635" s="1"/>
      <c r="Q635" s="1"/>
      <c r="R635" s="1"/>
      <c r="S635" s="1"/>
      <c r="T635" s="1"/>
      <c r="U635" s="1"/>
      <c r="V635" s="1"/>
      <c r="W635" s="1"/>
      <c r="X635" s="1"/>
      <c r="Y635" s="1"/>
      <c r="Z635" s="1"/>
    </row>
    <row r="636" spans="1:26" ht="12.75" customHeight="1">
      <c r="A636" s="7"/>
      <c r="B636" s="7"/>
      <c r="C636" s="7"/>
      <c r="D636" s="893"/>
      <c r="E636" s="893"/>
      <c r="F636" s="893"/>
      <c r="G636" s="1"/>
      <c r="H636" s="1"/>
      <c r="I636" s="8"/>
      <c r="J636" s="1"/>
      <c r="K636" s="1"/>
      <c r="L636" s="1"/>
      <c r="M636" s="1"/>
      <c r="N636" s="1"/>
      <c r="O636" s="1"/>
      <c r="P636" s="1"/>
      <c r="Q636" s="1"/>
      <c r="R636" s="1"/>
      <c r="S636" s="1"/>
      <c r="T636" s="1"/>
      <c r="U636" s="1"/>
      <c r="V636" s="1"/>
      <c r="W636" s="1"/>
      <c r="X636" s="1"/>
      <c r="Y636" s="1"/>
      <c r="Z636" s="1"/>
    </row>
    <row r="637" spans="1:26" ht="12.75" customHeight="1">
      <c r="A637" s="7"/>
      <c r="B637" s="7"/>
      <c r="C637" s="7"/>
      <c r="D637" s="4"/>
      <c r="E637" s="18"/>
      <c r="F637" s="4"/>
      <c r="G637" s="1"/>
      <c r="H637" s="1"/>
      <c r="I637" s="8"/>
      <c r="J637" s="1"/>
      <c r="K637" s="1"/>
      <c r="L637" s="1"/>
      <c r="M637" s="1"/>
      <c r="N637" s="1"/>
      <c r="O637" s="1"/>
      <c r="P637" s="1"/>
      <c r="Q637" s="1"/>
      <c r="R637" s="1"/>
      <c r="S637" s="1"/>
      <c r="T637" s="1"/>
      <c r="U637" s="1"/>
      <c r="V637" s="1"/>
      <c r="W637" s="1"/>
      <c r="X637" s="1"/>
      <c r="Y637" s="1"/>
      <c r="Z637" s="1"/>
    </row>
    <row r="638" spans="1:26" ht="12.75" customHeight="1">
      <c r="A638" s="920" t="s">
        <v>712</v>
      </c>
      <c r="B638" s="921"/>
      <c r="C638" s="921"/>
      <c r="D638" s="921"/>
      <c r="E638" s="921"/>
      <c r="F638" s="921"/>
      <c r="G638" s="921"/>
      <c r="H638" s="5"/>
      <c r="I638" s="39"/>
      <c r="J638" s="1"/>
      <c r="K638" s="1"/>
      <c r="L638" s="1"/>
      <c r="M638" s="1"/>
      <c r="N638" s="1"/>
      <c r="O638" s="1"/>
      <c r="P638" s="1"/>
      <c r="Q638" s="1"/>
      <c r="R638" s="1"/>
      <c r="S638" s="1"/>
      <c r="T638" s="1"/>
      <c r="U638" s="1"/>
      <c r="V638" s="1"/>
      <c r="W638" s="1"/>
      <c r="X638" s="1"/>
      <c r="Y638" s="1"/>
      <c r="Z638" s="1"/>
    </row>
    <row r="639" spans="1:26" ht="12.75" customHeight="1">
      <c r="A639" s="17"/>
      <c r="B639" s="17"/>
      <c r="C639" s="7"/>
      <c r="D639" s="1"/>
      <c r="E639" s="1"/>
      <c r="F639" s="1"/>
      <c r="G639" s="1"/>
      <c r="H639" s="1"/>
      <c r="I639" s="10"/>
      <c r="J639" s="1"/>
      <c r="K639" s="1"/>
      <c r="L639" s="1"/>
      <c r="M639" s="1"/>
      <c r="N639" s="1"/>
      <c r="O639" s="1"/>
      <c r="P639" s="1"/>
      <c r="Q639" s="1"/>
      <c r="R639" s="1"/>
      <c r="S639" s="1"/>
      <c r="T639" s="1"/>
      <c r="U639" s="1"/>
      <c r="V639" s="1"/>
      <c r="W639" s="1"/>
      <c r="X639" s="1"/>
      <c r="Y639" s="1"/>
      <c r="Z639" s="1"/>
    </row>
    <row r="640" spans="1:26" ht="12.75" customHeight="1">
      <c r="A640" s="9"/>
      <c r="B640" s="9"/>
      <c r="C640" s="9"/>
      <c r="D640" s="930" t="s">
        <v>715</v>
      </c>
      <c r="E640" s="893"/>
      <c r="F640" s="893"/>
      <c r="G640" s="1"/>
      <c r="H640" s="1"/>
      <c r="I640" s="10"/>
      <c r="J640" s="1"/>
      <c r="K640" s="1"/>
      <c r="L640" s="1"/>
      <c r="M640" s="1"/>
      <c r="N640" s="1"/>
      <c r="O640" s="1"/>
      <c r="P640" s="1"/>
      <c r="Q640" s="1"/>
      <c r="R640" s="1"/>
      <c r="S640" s="1"/>
      <c r="T640" s="1"/>
      <c r="U640" s="1"/>
      <c r="V640" s="1"/>
      <c r="W640" s="1"/>
      <c r="X640" s="1"/>
      <c r="Y640" s="1"/>
      <c r="Z640" s="1"/>
    </row>
    <row r="641" spans="1:26" ht="12.75" customHeight="1">
      <c r="A641" s="9"/>
      <c r="B641" s="9"/>
      <c r="C641" s="9"/>
      <c r="D641" s="893"/>
      <c r="E641" s="893"/>
      <c r="F641" s="893"/>
      <c r="G641" s="1"/>
      <c r="H641" s="1"/>
      <c r="I641" s="10"/>
      <c r="J641" s="1"/>
      <c r="K641" s="1"/>
      <c r="L641" s="1"/>
      <c r="M641" s="1"/>
      <c r="N641" s="1"/>
      <c r="O641" s="1"/>
      <c r="P641" s="1"/>
      <c r="Q641" s="1"/>
      <c r="R641" s="1"/>
      <c r="S641" s="1"/>
      <c r="T641" s="1"/>
      <c r="U641" s="1"/>
      <c r="V641" s="1"/>
      <c r="W641" s="1"/>
      <c r="X641" s="1"/>
      <c r="Y641" s="1"/>
      <c r="Z641" s="1"/>
    </row>
    <row r="642" spans="1:26" ht="12.75" customHeight="1">
      <c r="A642" s="7"/>
      <c r="B642" s="7"/>
      <c r="C642" s="16"/>
      <c r="D642" s="926" t="s">
        <v>718</v>
      </c>
      <c r="E642" s="893"/>
      <c r="F642" s="893"/>
      <c r="G642" s="1"/>
      <c r="H642" s="1"/>
      <c r="I642" s="10"/>
      <c r="J642" s="1"/>
      <c r="K642" s="1"/>
      <c r="L642" s="1"/>
      <c r="M642" s="1"/>
      <c r="N642" s="1"/>
      <c r="O642" s="1"/>
      <c r="P642" s="1"/>
      <c r="Q642" s="1"/>
      <c r="R642" s="1"/>
      <c r="S642" s="1"/>
      <c r="T642" s="1"/>
      <c r="U642" s="1"/>
      <c r="V642" s="1"/>
      <c r="W642" s="1"/>
      <c r="X642" s="1"/>
      <c r="Y642" s="1"/>
      <c r="Z642" s="1"/>
    </row>
    <row r="643" spans="1:26" ht="12.75" customHeight="1">
      <c r="A643" s="7"/>
      <c r="B643" s="7"/>
      <c r="C643" s="16"/>
      <c r="D643" s="113"/>
      <c r="E643" s="113"/>
      <c r="F643" s="113"/>
      <c r="G643" s="1"/>
      <c r="H643" s="1"/>
      <c r="I643" s="10"/>
      <c r="J643" s="1"/>
      <c r="K643" s="1"/>
      <c r="L643" s="1"/>
      <c r="M643" s="1"/>
      <c r="N643" s="1"/>
      <c r="O643" s="1"/>
      <c r="P643" s="1"/>
      <c r="Q643" s="1"/>
      <c r="R643" s="1"/>
      <c r="S643" s="1"/>
      <c r="T643" s="1"/>
      <c r="U643" s="1"/>
      <c r="V643" s="1"/>
      <c r="W643" s="1"/>
      <c r="X643" s="1"/>
      <c r="Y643" s="1"/>
      <c r="Z643" s="1"/>
    </row>
    <row r="644" spans="1:26" ht="12.75" customHeight="1">
      <c r="A644" s="7"/>
      <c r="B644" s="21" t="s">
        <v>27</v>
      </c>
      <c r="C644" s="16"/>
      <c r="D644" s="919" t="s">
        <v>719</v>
      </c>
      <c r="E644" s="893"/>
      <c r="F644" s="893"/>
      <c r="G644" s="1"/>
      <c r="H644" s="1"/>
      <c r="I644" s="10"/>
      <c r="J644" s="1"/>
      <c r="K644" s="1"/>
      <c r="L644" s="1"/>
      <c r="M644" s="1"/>
      <c r="N644" s="1"/>
      <c r="O644" s="1"/>
      <c r="P644" s="1"/>
      <c r="Q644" s="1"/>
      <c r="R644" s="1"/>
      <c r="S644" s="1"/>
      <c r="T644" s="1"/>
      <c r="U644" s="1"/>
      <c r="V644" s="1"/>
      <c r="W644" s="1"/>
      <c r="X644" s="1"/>
      <c r="Y644" s="1"/>
      <c r="Z644" s="1"/>
    </row>
    <row r="645" spans="1:26" ht="12.75" customHeight="1">
      <c r="A645" s="7"/>
      <c r="B645" s="7"/>
      <c r="C645" s="16"/>
      <c r="D645" s="113"/>
      <c r="E645" s="113"/>
      <c r="F645" s="113"/>
      <c r="G645" s="1"/>
      <c r="H645" s="1"/>
      <c r="I645" s="10"/>
      <c r="J645" s="1"/>
      <c r="K645" s="1"/>
      <c r="L645" s="1"/>
      <c r="M645" s="1"/>
      <c r="N645" s="1"/>
      <c r="O645" s="1"/>
      <c r="P645" s="1"/>
      <c r="Q645" s="1"/>
      <c r="R645" s="1"/>
      <c r="S645" s="1"/>
      <c r="T645" s="1"/>
      <c r="U645" s="1"/>
      <c r="V645" s="1"/>
      <c r="W645" s="1"/>
      <c r="X645" s="1"/>
      <c r="Y645" s="1"/>
      <c r="Z645" s="1"/>
    </row>
    <row r="646" spans="1:26" ht="12.75" customHeight="1">
      <c r="A646" s="10"/>
      <c r="B646" s="21" t="s">
        <v>27</v>
      </c>
      <c r="C646" s="7"/>
      <c r="D646" s="927" t="s">
        <v>721</v>
      </c>
      <c r="E646" s="893"/>
      <c r="F646" s="893"/>
      <c r="G646" s="1"/>
      <c r="H646" s="1"/>
      <c r="I646" s="10"/>
      <c r="J646" s="1"/>
      <c r="K646" s="1"/>
      <c r="L646" s="1"/>
      <c r="M646" s="1"/>
      <c r="N646" s="1"/>
      <c r="O646" s="1"/>
      <c r="P646" s="1"/>
      <c r="Q646" s="1"/>
      <c r="R646" s="1"/>
      <c r="S646" s="1"/>
      <c r="T646" s="1"/>
      <c r="U646" s="1"/>
      <c r="V646" s="1"/>
      <c r="W646" s="1"/>
      <c r="X646" s="1"/>
      <c r="Y646" s="1"/>
      <c r="Z646" s="1"/>
    </row>
    <row r="647" spans="1:26" ht="12.75" customHeight="1">
      <c r="A647" s="7"/>
      <c r="B647" s="7"/>
      <c r="C647" s="7"/>
      <c r="D647" s="893"/>
      <c r="E647" s="893"/>
      <c r="F647" s="893"/>
      <c r="G647" s="1"/>
      <c r="H647" s="1"/>
      <c r="I647" s="10"/>
      <c r="J647" s="1"/>
      <c r="K647" s="1"/>
      <c r="L647" s="1"/>
      <c r="M647" s="1"/>
      <c r="N647" s="1"/>
      <c r="O647" s="1"/>
      <c r="P647" s="1"/>
      <c r="Q647" s="1"/>
      <c r="R647" s="1"/>
      <c r="S647" s="1"/>
      <c r="T647" s="1"/>
      <c r="U647" s="1"/>
      <c r="V647" s="1"/>
      <c r="W647" s="1"/>
      <c r="X647" s="1"/>
      <c r="Y647" s="1"/>
      <c r="Z647" s="1"/>
    </row>
    <row r="648" spans="1:26" ht="12.75" customHeight="1">
      <c r="A648" s="7"/>
      <c r="B648" s="7"/>
      <c r="C648" s="7"/>
      <c r="D648" s="1"/>
      <c r="E648" s="1"/>
      <c r="F648" s="1"/>
      <c r="G648" s="1"/>
      <c r="H648" s="1"/>
      <c r="I648" s="10"/>
      <c r="J648" s="1"/>
      <c r="K648" s="1"/>
      <c r="L648" s="1"/>
      <c r="M648" s="1"/>
      <c r="N648" s="1"/>
      <c r="O648" s="1"/>
      <c r="P648" s="1"/>
      <c r="Q648" s="1"/>
      <c r="R648" s="1"/>
      <c r="S648" s="1"/>
      <c r="T648" s="1"/>
      <c r="U648" s="1"/>
      <c r="V648" s="1"/>
      <c r="W648" s="1"/>
      <c r="X648" s="1"/>
      <c r="Y648" s="1"/>
      <c r="Z648" s="1"/>
    </row>
    <row r="649" spans="1:26" ht="12.75" customHeight="1">
      <c r="A649" s="7"/>
      <c r="B649" s="21" t="s">
        <v>27</v>
      </c>
      <c r="C649" s="7"/>
      <c r="D649" s="927" t="s">
        <v>723</v>
      </c>
      <c r="E649" s="893"/>
      <c r="F649" s="893"/>
      <c r="G649" s="1"/>
      <c r="H649" s="1"/>
      <c r="I649" s="10"/>
      <c r="J649" s="1"/>
      <c r="K649" s="1"/>
      <c r="L649" s="1"/>
      <c r="M649" s="1"/>
      <c r="N649" s="1"/>
      <c r="O649" s="1"/>
      <c r="P649" s="1"/>
      <c r="Q649" s="1"/>
      <c r="R649" s="1"/>
      <c r="S649" s="1"/>
      <c r="T649" s="1"/>
      <c r="U649" s="1"/>
      <c r="V649" s="1"/>
      <c r="W649" s="1"/>
      <c r="X649" s="1"/>
      <c r="Y649" s="1"/>
      <c r="Z649" s="1"/>
    </row>
    <row r="650" spans="1:26" ht="12.75" customHeight="1">
      <c r="A650" s="7"/>
      <c r="B650" s="7"/>
      <c r="C650" s="10"/>
      <c r="D650" s="893"/>
      <c r="E650" s="893"/>
      <c r="F650" s="893"/>
      <c r="G650" s="1"/>
      <c r="H650" s="1"/>
      <c r="I650" s="10"/>
      <c r="J650" s="1"/>
      <c r="K650" s="1"/>
      <c r="L650" s="1"/>
      <c r="M650" s="1"/>
      <c r="N650" s="1"/>
      <c r="O650" s="1"/>
      <c r="P650" s="1"/>
      <c r="Q650" s="1"/>
      <c r="R650" s="1"/>
      <c r="S650" s="1"/>
      <c r="T650" s="1"/>
      <c r="U650" s="1"/>
      <c r="V650" s="1"/>
      <c r="W650" s="1"/>
      <c r="X650" s="1"/>
      <c r="Y650" s="1"/>
      <c r="Z650" s="1"/>
    </row>
    <row r="651" spans="1:26" ht="12.75" customHeight="1">
      <c r="A651" s="7"/>
      <c r="B651" s="7"/>
      <c r="C651" s="10"/>
      <c r="D651" s="1"/>
      <c r="E651" s="1"/>
      <c r="F651" s="1"/>
      <c r="G651" s="1"/>
      <c r="H651" s="1"/>
      <c r="I651" s="10"/>
      <c r="J651" s="1"/>
      <c r="K651" s="1"/>
      <c r="L651" s="1"/>
      <c r="M651" s="1"/>
      <c r="N651" s="1"/>
      <c r="O651" s="1"/>
      <c r="P651" s="1"/>
      <c r="Q651" s="1"/>
      <c r="R651" s="1"/>
      <c r="S651" s="1"/>
      <c r="T651" s="1"/>
      <c r="U651" s="1"/>
      <c r="V651" s="1"/>
      <c r="W651" s="1"/>
      <c r="X651" s="1"/>
      <c r="Y651" s="1"/>
      <c r="Z651" s="1"/>
    </row>
    <row r="652" spans="1:26" ht="12.75" customHeight="1">
      <c r="A652" s="7"/>
      <c r="B652" s="21" t="s">
        <v>27</v>
      </c>
      <c r="C652" s="10"/>
      <c r="D652" s="927" t="s">
        <v>725</v>
      </c>
      <c r="E652" s="893"/>
      <c r="F652" s="893"/>
      <c r="G652" s="1"/>
      <c r="H652" s="1"/>
      <c r="I652" s="10"/>
      <c r="J652" s="1"/>
      <c r="K652" s="1"/>
      <c r="L652" s="1"/>
      <c r="M652" s="1"/>
      <c r="N652" s="1"/>
      <c r="O652" s="1"/>
      <c r="P652" s="1"/>
      <c r="Q652" s="1"/>
      <c r="R652" s="1"/>
      <c r="S652" s="1"/>
      <c r="T652" s="1"/>
      <c r="U652" s="1"/>
      <c r="V652" s="1"/>
      <c r="W652" s="1"/>
      <c r="X652" s="1"/>
      <c r="Y652" s="1"/>
      <c r="Z652" s="1"/>
    </row>
    <row r="653" spans="1:26" ht="12.75" customHeight="1">
      <c r="A653" s="7"/>
      <c r="B653" s="7"/>
      <c r="C653" s="10"/>
      <c r="D653" s="893"/>
      <c r="E653" s="893"/>
      <c r="F653" s="893"/>
      <c r="G653" s="1"/>
      <c r="H653" s="1"/>
      <c r="I653" s="10"/>
      <c r="J653" s="1"/>
      <c r="K653" s="1"/>
      <c r="L653" s="1"/>
      <c r="M653" s="1"/>
      <c r="N653" s="1"/>
      <c r="O653" s="1"/>
      <c r="P653" s="1"/>
      <c r="Q653" s="1"/>
      <c r="R653" s="1"/>
      <c r="S653" s="1"/>
      <c r="T653" s="1"/>
      <c r="U653" s="1"/>
      <c r="V653" s="1"/>
      <c r="W653" s="1"/>
      <c r="X653" s="1"/>
      <c r="Y653" s="1"/>
      <c r="Z653" s="1"/>
    </row>
    <row r="654" spans="1:26" ht="12.75" customHeight="1">
      <c r="A654" s="7"/>
      <c r="B654" s="7"/>
      <c r="C654" s="10"/>
      <c r="D654" s="1"/>
      <c r="E654" s="1"/>
      <c r="F654" s="1"/>
      <c r="G654" s="1"/>
      <c r="H654" s="1"/>
      <c r="I654" s="10"/>
      <c r="J654" s="1"/>
      <c r="K654" s="1"/>
      <c r="L654" s="1"/>
      <c r="M654" s="1"/>
      <c r="N654" s="1"/>
      <c r="O654" s="1"/>
      <c r="P654" s="1"/>
      <c r="Q654" s="1"/>
      <c r="R654" s="1"/>
      <c r="S654" s="1"/>
      <c r="T654" s="1"/>
      <c r="U654" s="1"/>
      <c r="V654" s="1"/>
      <c r="W654" s="1"/>
      <c r="X654" s="1"/>
      <c r="Y654" s="1"/>
      <c r="Z654" s="1"/>
    </row>
    <row r="655" spans="1:26" ht="12.75" customHeight="1">
      <c r="A655" s="7"/>
      <c r="B655" s="21" t="s">
        <v>27</v>
      </c>
      <c r="C655" s="10"/>
      <c r="D655" s="919" t="s">
        <v>726</v>
      </c>
      <c r="E655" s="893"/>
      <c r="F655" s="893"/>
      <c r="G655" s="1"/>
      <c r="H655" s="1"/>
      <c r="I655" s="10"/>
      <c r="J655" s="1"/>
      <c r="K655" s="1"/>
      <c r="L655" s="1"/>
      <c r="M655" s="1"/>
      <c r="N655" s="1"/>
      <c r="O655" s="1"/>
      <c r="P655" s="1"/>
      <c r="Q655" s="1"/>
      <c r="R655" s="1"/>
      <c r="S655" s="1"/>
      <c r="T655" s="1"/>
      <c r="U655" s="1"/>
      <c r="V655" s="1"/>
      <c r="W655" s="1"/>
      <c r="X655" s="1"/>
      <c r="Y655" s="1"/>
      <c r="Z655" s="1"/>
    </row>
    <row r="656" spans="1:26" ht="12.75" customHeight="1">
      <c r="A656" s="7"/>
      <c r="B656" s="7"/>
      <c r="C656" s="10"/>
      <c r="D656" s="1"/>
      <c r="E656" s="1"/>
      <c r="F656" s="1"/>
      <c r="G656" s="1"/>
      <c r="H656" s="1"/>
      <c r="I656" s="10"/>
      <c r="J656" s="1"/>
      <c r="K656" s="1"/>
      <c r="L656" s="1"/>
      <c r="M656" s="1"/>
      <c r="N656" s="1"/>
      <c r="O656" s="1"/>
      <c r="P656" s="1"/>
      <c r="Q656" s="1"/>
      <c r="R656" s="1"/>
      <c r="S656" s="1"/>
      <c r="T656" s="1"/>
      <c r="U656" s="1"/>
      <c r="V656" s="1"/>
      <c r="W656" s="1"/>
      <c r="X656" s="1"/>
      <c r="Y656" s="1"/>
      <c r="Z656" s="1"/>
    </row>
    <row r="657" spans="1:26" ht="12.75" customHeight="1">
      <c r="A657" s="20"/>
      <c r="B657" s="21" t="s">
        <v>27</v>
      </c>
      <c r="C657" s="7"/>
      <c r="D657" s="919" t="s">
        <v>730</v>
      </c>
      <c r="E657" s="893"/>
      <c r="F657" s="893"/>
      <c r="G657" s="1"/>
      <c r="H657" s="1"/>
      <c r="I657" s="8"/>
      <c r="J657" s="1"/>
      <c r="K657" s="1"/>
      <c r="L657" s="1"/>
      <c r="M657" s="1"/>
      <c r="N657" s="1"/>
      <c r="O657" s="1"/>
      <c r="P657" s="1"/>
      <c r="Q657" s="1"/>
      <c r="R657" s="1"/>
      <c r="S657" s="1"/>
      <c r="T657" s="1"/>
      <c r="U657" s="1"/>
      <c r="V657" s="1"/>
      <c r="W657" s="1"/>
      <c r="X657" s="1"/>
      <c r="Y657" s="1"/>
      <c r="Z657" s="1"/>
    </row>
    <row r="658" spans="1:26" ht="12.75" customHeight="1">
      <c r="A658" s="9"/>
      <c r="B658" s="9"/>
      <c r="C658" s="9"/>
      <c r="D658" s="1"/>
      <c r="E658" s="1"/>
      <c r="F658" s="1"/>
      <c r="G658" s="1"/>
      <c r="H658" s="1"/>
      <c r="I658" s="8"/>
      <c r="J658" s="1"/>
      <c r="K658" s="1"/>
      <c r="L658" s="1"/>
      <c r="M658" s="1"/>
      <c r="N658" s="1"/>
      <c r="O658" s="1"/>
      <c r="P658" s="1"/>
      <c r="Q658" s="1"/>
      <c r="R658" s="1"/>
      <c r="S658" s="1"/>
      <c r="T658" s="1"/>
      <c r="U658" s="1"/>
      <c r="V658" s="1"/>
      <c r="W658" s="1"/>
      <c r="X658" s="1"/>
      <c r="Y658" s="1"/>
      <c r="Z658" s="1"/>
    </row>
    <row r="659" spans="1:26" ht="12.75" customHeight="1">
      <c r="A659" s="920" t="s">
        <v>731</v>
      </c>
      <c r="B659" s="921"/>
      <c r="C659" s="921"/>
      <c r="D659" s="921"/>
      <c r="E659" s="921"/>
      <c r="F659" s="921"/>
      <c r="G659" s="921"/>
      <c r="H659" s="5"/>
      <c r="I659" s="39"/>
      <c r="J659" s="1"/>
      <c r="K659" s="1"/>
      <c r="L659" s="1"/>
      <c r="M659" s="1"/>
      <c r="N659" s="1"/>
      <c r="O659" s="1"/>
      <c r="P659" s="1"/>
      <c r="Q659" s="1"/>
      <c r="R659" s="1"/>
      <c r="S659" s="1"/>
      <c r="T659" s="1"/>
      <c r="U659" s="1"/>
      <c r="V659" s="1"/>
      <c r="W659" s="1"/>
      <c r="X659" s="1"/>
      <c r="Y659" s="1"/>
      <c r="Z659" s="1"/>
    </row>
    <row r="660" spans="1:26" ht="12.75" customHeight="1">
      <c r="A660" s="9"/>
      <c r="B660" s="9"/>
      <c r="C660" s="9"/>
      <c r="D660" s="1"/>
      <c r="E660" s="1"/>
      <c r="F660" s="1"/>
      <c r="G660" s="1"/>
      <c r="H660" s="1"/>
      <c r="I660" s="10"/>
      <c r="J660" s="1"/>
      <c r="K660" s="1"/>
      <c r="L660" s="1"/>
      <c r="M660" s="1"/>
      <c r="N660" s="1"/>
      <c r="O660" s="1"/>
      <c r="P660" s="1"/>
      <c r="Q660" s="1"/>
      <c r="R660" s="1"/>
      <c r="S660" s="1"/>
      <c r="T660" s="1"/>
      <c r="U660" s="1"/>
      <c r="V660" s="1"/>
      <c r="W660" s="1"/>
      <c r="X660" s="1"/>
      <c r="Y660" s="1"/>
      <c r="Z660" s="1"/>
    </row>
    <row r="661" spans="1:26" ht="12.75" customHeight="1">
      <c r="A661" s="7"/>
      <c r="B661" s="7"/>
      <c r="C661" s="10"/>
      <c r="D661" s="914" t="s">
        <v>733</v>
      </c>
      <c r="E661" s="893"/>
      <c r="F661" s="893"/>
      <c r="G661" s="1"/>
      <c r="H661" s="1"/>
      <c r="I661" s="10"/>
      <c r="J661" s="1"/>
      <c r="K661" s="1"/>
      <c r="L661" s="1"/>
      <c r="M661" s="1"/>
      <c r="N661" s="1"/>
      <c r="O661" s="1"/>
      <c r="P661" s="1"/>
      <c r="Q661" s="1"/>
      <c r="R661" s="1"/>
      <c r="S661" s="1"/>
      <c r="T661" s="1"/>
      <c r="U661" s="1"/>
      <c r="V661" s="1"/>
      <c r="W661" s="1"/>
      <c r="X661" s="1"/>
      <c r="Y661" s="1"/>
      <c r="Z661" s="1"/>
    </row>
    <row r="662" spans="1:26" ht="12.75" customHeight="1">
      <c r="A662" s="10"/>
      <c r="B662" s="10"/>
      <c r="C662" s="7"/>
      <c r="D662" s="8"/>
      <c r="E662" s="1"/>
      <c r="F662" s="1"/>
      <c r="G662" s="1"/>
      <c r="H662" s="1"/>
      <c r="I662" s="10"/>
      <c r="J662" s="1"/>
      <c r="K662" s="1"/>
      <c r="L662" s="1"/>
      <c r="M662" s="1"/>
      <c r="N662" s="1"/>
      <c r="O662" s="1"/>
      <c r="P662" s="1"/>
      <c r="Q662" s="1"/>
      <c r="R662" s="1"/>
      <c r="S662" s="1"/>
      <c r="T662" s="1"/>
      <c r="U662" s="1"/>
      <c r="V662" s="1"/>
      <c r="W662" s="1"/>
      <c r="X662" s="1"/>
      <c r="Y662" s="1"/>
      <c r="Z662" s="1"/>
    </row>
    <row r="663" spans="1:26" ht="14.25" customHeight="1">
      <c r="A663" s="20"/>
      <c r="B663" s="21" t="s">
        <v>27</v>
      </c>
      <c r="C663" s="7"/>
      <c r="D663" s="910" t="s">
        <v>734</v>
      </c>
      <c r="E663" s="893"/>
      <c r="F663" s="893"/>
      <c r="G663" s="1"/>
      <c r="H663" s="1"/>
      <c r="I663" s="10"/>
      <c r="J663" s="1"/>
      <c r="K663" s="1"/>
      <c r="L663" s="1"/>
      <c r="M663" s="1"/>
      <c r="N663" s="1"/>
      <c r="O663" s="1"/>
      <c r="P663" s="1"/>
      <c r="Q663" s="1"/>
      <c r="R663" s="1"/>
      <c r="S663" s="1"/>
      <c r="T663" s="1"/>
      <c r="U663" s="1"/>
      <c r="V663" s="1"/>
      <c r="W663" s="1"/>
      <c r="X663" s="1"/>
      <c r="Y663" s="1"/>
      <c r="Z663" s="1"/>
    </row>
    <row r="664" spans="1:26" ht="12.75" customHeight="1">
      <c r="A664" s="7"/>
      <c r="B664" s="7"/>
      <c r="C664" s="7"/>
      <c r="D664" s="893"/>
      <c r="E664" s="893"/>
      <c r="F664" s="893"/>
      <c r="G664" s="1"/>
      <c r="H664" s="1"/>
      <c r="I664" s="10"/>
      <c r="J664" s="1"/>
      <c r="K664" s="1"/>
      <c r="L664" s="1"/>
      <c r="M664" s="1"/>
      <c r="N664" s="1"/>
      <c r="O664" s="1"/>
      <c r="P664" s="1"/>
      <c r="Q664" s="1"/>
      <c r="R664" s="1"/>
      <c r="S664" s="1"/>
      <c r="T664" s="1"/>
      <c r="U664" s="1"/>
      <c r="V664" s="1"/>
      <c r="W664" s="1"/>
      <c r="X664" s="1"/>
      <c r="Y664" s="1"/>
      <c r="Z664" s="1"/>
    </row>
    <row r="665" spans="1:26" ht="12.75" customHeight="1">
      <c r="A665" s="7"/>
      <c r="B665" s="7"/>
      <c r="C665" s="7"/>
      <c r="D665" s="4"/>
      <c r="E665" s="18" t="s">
        <v>736</v>
      </c>
      <c r="F665" s="4"/>
      <c r="G665" s="1"/>
      <c r="H665" s="1"/>
      <c r="I665" s="10"/>
      <c r="J665" s="1"/>
      <c r="K665" s="1"/>
      <c r="L665" s="1"/>
      <c r="M665" s="1"/>
      <c r="N665" s="1"/>
      <c r="O665" s="1"/>
      <c r="P665" s="1"/>
      <c r="Q665" s="1"/>
      <c r="R665" s="1"/>
      <c r="S665" s="1"/>
      <c r="T665" s="1"/>
      <c r="U665" s="1"/>
      <c r="V665" s="1"/>
      <c r="W665" s="1"/>
      <c r="X665" s="1"/>
      <c r="Y665" s="1"/>
      <c r="Z665" s="1"/>
    </row>
    <row r="666" spans="1:26" ht="12.75" customHeight="1">
      <c r="A666" s="7"/>
      <c r="B666" s="7"/>
      <c r="C666" s="7"/>
      <c r="D666" s="895" t="s">
        <v>737</v>
      </c>
      <c r="E666" s="893"/>
      <c r="F666" s="893"/>
      <c r="G666" s="1"/>
      <c r="H666" s="1"/>
      <c r="I666" s="10"/>
      <c r="J666" s="1"/>
      <c r="K666" s="1"/>
      <c r="L666" s="1"/>
      <c r="M666" s="1"/>
      <c r="N666" s="1"/>
      <c r="O666" s="1"/>
      <c r="P666" s="1"/>
      <c r="Q666" s="1"/>
      <c r="R666" s="1"/>
      <c r="S666" s="1"/>
      <c r="T666" s="1"/>
      <c r="U666" s="1"/>
      <c r="V666" s="1"/>
      <c r="W666" s="1"/>
      <c r="X666" s="1"/>
      <c r="Y666" s="1"/>
      <c r="Z666" s="1"/>
    </row>
    <row r="667" spans="1:26" ht="12.75" customHeight="1">
      <c r="A667" s="7"/>
      <c r="B667" s="7"/>
      <c r="C667" s="7"/>
      <c r="D667" s="893"/>
      <c r="E667" s="893"/>
      <c r="F667" s="893"/>
      <c r="G667" s="1"/>
      <c r="H667" s="1"/>
      <c r="I667" s="10"/>
      <c r="J667" s="1"/>
      <c r="K667" s="1"/>
      <c r="L667" s="1"/>
      <c r="M667" s="1"/>
      <c r="N667" s="1"/>
      <c r="O667" s="1"/>
      <c r="P667" s="1"/>
      <c r="Q667" s="1"/>
      <c r="R667" s="1"/>
      <c r="S667" s="1"/>
      <c r="T667" s="1"/>
      <c r="U667" s="1"/>
      <c r="V667" s="1"/>
      <c r="W667" s="1"/>
      <c r="X667" s="1"/>
      <c r="Y667" s="1"/>
      <c r="Z667" s="1"/>
    </row>
    <row r="668" spans="1:26" ht="12.75" customHeight="1">
      <c r="A668" s="7"/>
      <c r="B668" s="7"/>
      <c r="C668" s="7"/>
      <c r="D668" s="893"/>
      <c r="E668" s="893"/>
      <c r="F668" s="893"/>
      <c r="G668" s="1"/>
      <c r="H668" s="1"/>
      <c r="I668" s="10"/>
      <c r="J668" s="1"/>
      <c r="K668" s="1"/>
      <c r="L668" s="1"/>
      <c r="M668" s="1"/>
      <c r="N668" s="1"/>
      <c r="O668" s="1"/>
      <c r="P668" s="1"/>
      <c r="Q668" s="1"/>
      <c r="R668" s="1"/>
      <c r="S668" s="1"/>
      <c r="T668" s="1"/>
      <c r="U668" s="1"/>
      <c r="V668" s="1"/>
      <c r="W668" s="1"/>
      <c r="X668" s="1"/>
      <c r="Y668" s="1"/>
      <c r="Z668" s="1"/>
    </row>
    <row r="669" spans="1:26" ht="12.75" customHeight="1">
      <c r="A669" s="7"/>
      <c r="B669" s="7"/>
      <c r="C669" s="7"/>
      <c r="D669" s="11"/>
      <c r="E669" s="11"/>
      <c r="F669" s="11"/>
      <c r="G669" s="1"/>
      <c r="H669" s="1"/>
      <c r="I669" s="10"/>
      <c r="J669" s="1"/>
      <c r="K669" s="1"/>
      <c r="L669" s="1"/>
      <c r="M669" s="1"/>
      <c r="N669" s="1"/>
      <c r="O669" s="1"/>
      <c r="P669" s="1"/>
      <c r="Q669" s="1"/>
      <c r="R669" s="1"/>
      <c r="S669" s="1"/>
      <c r="T669" s="1"/>
      <c r="U669" s="1"/>
      <c r="V669" s="1"/>
      <c r="W669" s="1"/>
      <c r="X669" s="1"/>
      <c r="Y669" s="1"/>
      <c r="Z669" s="1"/>
    </row>
    <row r="670" spans="1:26" ht="12.75" customHeight="1">
      <c r="A670" s="20"/>
      <c r="B670" s="21" t="s">
        <v>27</v>
      </c>
      <c r="C670" s="7"/>
      <c r="D670" s="895" t="s">
        <v>739</v>
      </c>
      <c r="E670" s="893"/>
      <c r="F670" s="893"/>
      <c r="G670" s="1"/>
      <c r="H670" s="1"/>
      <c r="I670" s="10"/>
      <c r="J670" s="1"/>
      <c r="K670" s="1"/>
      <c r="L670" s="1"/>
      <c r="M670" s="1"/>
      <c r="N670" s="1"/>
      <c r="O670" s="1"/>
      <c r="P670" s="1"/>
      <c r="Q670" s="1"/>
      <c r="R670" s="1"/>
      <c r="S670" s="1"/>
      <c r="T670" s="1"/>
      <c r="U670" s="1"/>
      <c r="V670" s="1"/>
      <c r="W670" s="1"/>
      <c r="X670" s="1"/>
      <c r="Y670" s="1"/>
      <c r="Z670" s="1"/>
    </row>
    <row r="671" spans="1:26" ht="12.75" customHeight="1">
      <c r="A671" s="95"/>
      <c r="B671" s="95"/>
      <c r="C671" s="95"/>
      <c r="D671" s="893"/>
      <c r="E671" s="893"/>
      <c r="F671" s="893"/>
      <c r="G671" s="1"/>
      <c r="H671" s="1"/>
      <c r="I671" s="10"/>
      <c r="J671" s="1"/>
      <c r="K671" s="1"/>
      <c r="L671" s="1"/>
      <c r="M671" s="1"/>
      <c r="N671" s="1"/>
      <c r="O671" s="1"/>
      <c r="P671" s="1"/>
      <c r="Q671" s="1"/>
      <c r="R671" s="1"/>
      <c r="S671" s="1"/>
      <c r="T671" s="1"/>
      <c r="U671" s="1"/>
      <c r="V671" s="1"/>
      <c r="W671" s="1"/>
      <c r="X671" s="1"/>
      <c r="Y671" s="1"/>
      <c r="Z671" s="1"/>
    </row>
    <row r="672" spans="1:26" ht="12.75" customHeight="1">
      <c r="A672" s="95"/>
      <c r="B672" s="95"/>
      <c r="C672" s="95"/>
      <c r="D672" s="17"/>
      <c r="E672" s="17"/>
      <c r="F672" s="17"/>
      <c r="G672" s="1"/>
      <c r="H672" s="1"/>
      <c r="I672" s="10"/>
      <c r="J672" s="1"/>
      <c r="K672" s="1"/>
      <c r="L672" s="1"/>
      <c r="M672" s="1"/>
      <c r="N672" s="1"/>
      <c r="O672" s="1"/>
      <c r="P672" s="1"/>
      <c r="Q672" s="1"/>
      <c r="R672" s="1"/>
      <c r="S672" s="1"/>
      <c r="T672" s="1"/>
      <c r="U672" s="1"/>
      <c r="V672" s="1"/>
      <c r="W672" s="1"/>
      <c r="X672" s="1"/>
      <c r="Y672" s="1"/>
      <c r="Z672" s="1"/>
    </row>
    <row r="673" spans="1:26" ht="12.75" customHeight="1">
      <c r="A673" s="20"/>
      <c r="B673" s="21" t="s">
        <v>27</v>
      </c>
      <c r="C673" s="95"/>
      <c r="D673" s="895" t="s">
        <v>741</v>
      </c>
      <c r="E673" s="893"/>
      <c r="F673" s="893"/>
      <c r="G673" s="1"/>
      <c r="H673" s="1"/>
      <c r="I673" s="10"/>
      <c r="J673" s="1"/>
      <c r="K673" s="1"/>
      <c r="L673" s="1"/>
      <c r="M673" s="1"/>
      <c r="N673" s="1"/>
      <c r="O673" s="1"/>
      <c r="P673" s="1"/>
      <c r="Q673" s="1"/>
      <c r="R673" s="1"/>
      <c r="S673" s="1"/>
      <c r="T673" s="1"/>
      <c r="U673" s="1"/>
      <c r="V673" s="1"/>
      <c r="W673" s="1"/>
      <c r="X673" s="1"/>
      <c r="Y673" s="1"/>
      <c r="Z673" s="1"/>
    </row>
    <row r="674" spans="1:26" ht="12.75" customHeight="1">
      <c r="A674" s="20"/>
      <c r="B674" s="20"/>
      <c r="C674" s="95"/>
      <c r="D674" s="893"/>
      <c r="E674" s="893"/>
      <c r="F674" s="893"/>
      <c r="G674" s="1"/>
      <c r="H674" s="1"/>
      <c r="I674" s="10"/>
      <c r="J674" s="1"/>
      <c r="K674" s="1"/>
      <c r="L674" s="1"/>
      <c r="M674" s="1"/>
      <c r="N674" s="1"/>
      <c r="O674" s="1"/>
      <c r="P674" s="1"/>
      <c r="Q674" s="1"/>
      <c r="R674" s="1"/>
      <c r="S674" s="1"/>
      <c r="T674" s="1"/>
      <c r="U674" s="1"/>
      <c r="V674" s="1"/>
      <c r="W674" s="1"/>
      <c r="X674" s="1"/>
      <c r="Y674" s="1"/>
      <c r="Z674" s="1"/>
    </row>
    <row r="675" spans="1:26" ht="12.75" customHeight="1">
      <c r="A675" s="20"/>
      <c r="B675" s="20"/>
      <c r="C675" s="95"/>
      <c r="D675" s="893"/>
      <c r="E675" s="893"/>
      <c r="F675" s="893"/>
      <c r="G675" s="1"/>
      <c r="H675" s="1"/>
      <c r="I675" s="10"/>
      <c r="J675" s="1"/>
      <c r="K675" s="1"/>
      <c r="L675" s="1"/>
      <c r="M675" s="1"/>
      <c r="N675" s="1"/>
      <c r="O675" s="1"/>
      <c r="P675" s="1"/>
      <c r="Q675" s="1"/>
      <c r="R675" s="1"/>
      <c r="S675" s="1"/>
      <c r="T675" s="1"/>
      <c r="U675" s="1"/>
      <c r="V675" s="1"/>
      <c r="W675" s="1"/>
      <c r="X675" s="1"/>
      <c r="Y675" s="1"/>
      <c r="Z675" s="1"/>
    </row>
    <row r="676" spans="1:26" ht="12.75" customHeight="1">
      <c r="A676" s="95"/>
      <c r="B676" s="21" t="s">
        <v>27</v>
      </c>
      <c r="C676" s="95"/>
      <c r="D676" s="915" t="s">
        <v>745</v>
      </c>
      <c r="E676" s="893"/>
      <c r="F676" s="893"/>
      <c r="G676" s="1"/>
      <c r="H676" s="1"/>
      <c r="I676" s="10"/>
      <c r="J676" s="1"/>
      <c r="K676" s="1"/>
      <c r="L676" s="1"/>
      <c r="M676" s="1"/>
      <c r="N676" s="1"/>
      <c r="O676" s="1"/>
      <c r="P676" s="1"/>
      <c r="Q676" s="1"/>
      <c r="R676" s="1"/>
      <c r="S676" s="1"/>
      <c r="T676" s="1"/>
      <c r="U676" s="1"/>
      <c r="V676" s="1"/>
      <c r="W676" s="1"/>
      <c r="X676" s="1"/>
      <c r="Y676" s="1"/>
      <c r="Z676" s="1"/>
    </row>
    <row r="677" spans="1:26" ht="12.75" customHeight="1">
      <c r="A677" s="95"/>
      <c r="B677" s="95"/>
      <c r="C677" s="95"/>
      <c r="D677" s="17"/>
      <c r="E677" s="17"/>
      <c r="F677" s="17"/>
      <c r="G677" s="1"/>
      <c r="H677" s="1"/>
      <c r="I677" s="10"/>
      <c r="J677" s="1"/>
      <c r="K677" s="1"/>
      <c r="L677" s="1"/>
      <c r="M677" s="1"/>
      <c r="N677" s="1"/>
      <c r="O677" s="1"/>
      <c r="P677" s="1"/>
      <c r="Q677" s="1"/>
      <c r="R677" s="1"/>
      <c r="S677" s="1"/>
      <c r="T677" s="1"/>
      <c r="U677" s="1"/>
      <c r="V677" s="1"/>
      <c r="W677" s="1"/>
      <c r="X677" s="1"/>
      <c r="Y677" s="1"/>
      <c r="Z677" s="1"/>
    </row>
    <row r="678" spans="1:26" ht="12.75" customHeight="1">
      <c r="A678" s="920" t="s">
        <v>746</v>
      </c>
      <c r="B678" s="921"/>
      <c r="C678" s="921"/>
      <c r="D678" s="921"/>
      <c r="E678" s="921"/>
      <c r="F678" s="921"/>
      <c r="G678" s="921"/>
      <c r="H678" s="5"/>
      <c r="I678" s="39"/>
      <c r="J678" s="1"/>
      <c r="K678" s="1"/>
      <c r="L678" s="1"/>
      <c r="M678" s="1"/>
      <c r="N678" s="1"/>
      <c r="O678" s="1"/>
      <c r="P678" s="1"/>
      <c r="Q678" s="1"/>
      <c r="R678" s="1"/>
      <c r="S678" s="1"/>
      <c r="T678" s="1"/>
      <c r="U678" s="1"/>
      <c r="V678" s="1"/>
      <c r="W678" s="1"/>
      <c r="X678" s="1"/>
      <c r="Y678" s="1"/>
      <c r="Z678" s="1"/>
    </row>
    <row r="679" spans="1:26" ht="12.75" customHeight="1">
      <c r="A679" s="17"/>
      <c r="B679" s="17"/>
      <c r="C679" s="95"/>
      <c r="D679" s="17"/>
      <c r="E679" s="17"/>
      <c r="F679" s="17"/>
      <c r="G679" s="1"/>
      <c r="H679" s="1"/>
      <c r="I679" s="10"/>
      <c r="J679" s="1"/>
      <c r="K679" s="1"/>
      <c r="L679" s="1"/>
      <c r="M679" s="1"/>
      <c r="N679" s="1"/>
      <c r="O679" s="1"/>
      <c r="P679" s="1"/>
      <c r="Q679" s="1"/>
      <c r="R679" s="1"/>
      <c r="S679" s="1"/>
      <c r="T679" s="1"/>
      <c r="U679" s="1"/>
      <c r="V679" s="1"/>
      <c r="W679" s="1"/>
      <c r="X679" s="1"/>
      <c r="Y679" s="1"/>
      <c r="Z679" s="1"/>
    </row>
    <row r="680" spans="1:26" ht="12.75" customHeight="1">
      <c r="A680" s="7"/>
      <c r="B680" s="7"/>
      <c r="C680" s="9"/>
      <c r="D680" s="914" t="s">
        <v>747</v>
      </c>
      <c r="E680" s="893"/>
      <c r="F680" s="893"/>
      <c r="G680" s="1"/>
      <c r="H680" s="1"/>
      <c r="I680" s="10"/>
      <c r="J680" s="1"/>
      <c r="K680" s="1"/>
      <c r="L680" s="1"/>
      <c r="M680" s="1"/>
      <c r="N680" s="1"/>
      <c r="O680" s="1"/>
      <c r="P680" s="1"/>
      <c r="Q680" s="1"/>
      <c r="R680" s="1"/>
      <c r="S680" s="1"/>
      <c r="T680" s="1"/>
      <c r="U680" s="1"/>
      <c r="V680" s="1"/>
      <c r="W680" s="1"/>
      <c r="X680" s="1"/>
      <c r="Y680" s="1"/>
      <c r="Z680" s="1"/>
    </row>
    <row r="681" spans="1:26" ht="12.75" customHeight="1">
      <c r="A681" s="16"/>
      <c r="B681" s="16"/>
      <c r="C681" s="16"/>
      <c r="D681" s="915" t="s">
        <v>749</v>
      </c>
      <c r="E681" s="893"/>
      <c r="F681" s="893"/>
      <c r="G681" s="1"/>
      <c r="H681" s="1"/>
      <c r="I681" s="10"/>
      <c r="J681" s="1"/>
      <c r="K681" s="1"/>
      <c r="L681" s="1"/>
      <c r="M681" s="1"/>
      <c r="N681" s="1"/>
      <c r="O681" s="1"/>
      <c r="P681" s="1"/>
      <c r="Q681" s="1"/>
      <c r="R681" s="1"/>
      <c r="S681" s="1"/>
      <c r="T681" s="1"/>
      <c r="U681" s="1"/>
      <c r="V681" s="1"/>
      <c r="W681" s="1"/>
      <c r="X681" s="1"/>
      <c r="Y681" s="1"/>
      <c r="Z681" s="1"/>
    </row>
    <row r="682" spans="1:26" ht="12.75" customHeight="1">
      <c r="A682" s="16"/>
      <c r="B682" s="16"/>
      <c r="C682" s="16"/>
      <c r="D682" s="17"/>
      <c r="E682" s="17"/>
      <c r="F682" s="17"/>
      <c r="G682" s="1"/>
      <c r="H682" s="1"/>
      <c r="I682" s="10"/>
      <c r="J682" s="1"/>
      <c r="K682" s="1"/>
      <c r="L682" s="1"/>
      <c r="M682" s="1"/>
      <c r="N682" s="1"/>
      <c r="O682" s="1"/>
      <c r="P682" s="1"/>
      <c r="Q682" s="1"/>
      <c r="R682" s="1"/>
      <c r="S682" s="1"/>
      <c r="T682" s="1"/>
      <c r="U682" s="1"/>
      <c r="V682" s="1"/>
      <c r="W682" s="1"/>
      <c r="X682" s="1"/>
      <c r="Y682" s="1"/>
      <c r="Z682" s="1"/>
    </row>
    <row r="683" spans="1:26" ht="12.75" customHeight="1">
      <c r="A683" s="7"/>
      <c r="B683" s="21" t="s">
        <v>27</v>
      </c>
      <c r="C683" s="95"/>
      <c r="D683" s="895" t="s">
        <v>752</v>
      </c>
      <c r="E683" s="893"/>
      <c r="F683" s="893"/>
      <c r="G683" s="1"/>
      <c r="H683" s="1"/>
      <c r="I683" s="10"/>
      <c r="J683" s="1"/>
      <c r="K683" s="1"/>
      <c r="L683" s="1"/>
      <c r="M683" s="1"/>
      <c r="N683" s="1"/>
      <c r="O683" s="1"/>
      <c r="P683" s="1"/>
      <c r="Q683" s="1"/>
      <c r="R683" s="1"/>
      <c r="S683" s="1"/>
      <c r="T683" s="1"/>
      <c r="U683" s="1"/>
      <c r="V683" s="1"/>
      <c r="W683" s="1"/>
      <c r="X683" s="1"/>
      <c r="Y683" s="1"/>
      <c r="Z683" s="1"/>
    </row>
    <row r="684" spans="1:26" ht="12.75" customHeight="1">
      <c r="A684" s="7"/>
      <c r="B684" s="7"/>
      <c r="C684" s="7"/>
      <c r="D684" s="893"/>
      <c r="E684" s="893"/>
      <c r="F684" s="893"/>
      <c r="G684" s="1"/>
      <c r="H684" s="1"/>
      <c r="I684" s="10"/>
      <c r="J684" s="1"/>
      <c r="K684" s="1"/>
      <c r="L684" s="1"/>
      <c r="M684" s="1"/>
      <c r="N684" s="1"/>
      <c r="O684" s="1"/>
      <c r="P684" s="1"/>
      <c r="Q684" s="1"/>
      <c r="R684" s="1"/>
      <c r="S684" s="1"/>
      <c r="T684" s="1"/>
      <c r="U684" s="1"/>
      <c r="V684" s="1"/>
      <c r="W684" s="1"/>
      <c r="X684" s="1"/>
      <c r="Y684" s="1"/>
      <c r="Z684" s="1"/>
    </row>
    <row r="685" spans="1:26" ht="12.75" customHeight="1">
      <c r="A685" s="7"/>
      <c r="B685" s="7"/>
      <c r="C685" s="7"/>
      <c r="D685" s="893"/>
      <c r="E685" s="893"/>
      <c r="F685" s="893"/>
      <c r="G685" s="1"/>
      <c r="H685" s="1"/>
      <c r="I685" s="10"/>
      <c r="J685" s="1"/>
      <c r="K685" s="1"/>
      <c r="L685" s="1"/>
      <c r="M685" s="1"/>
      <c r="N685" s="1"/>
      <c r="O685" s="1"/>
      <c r="P685" s="1"/>
      <c r="Q685" s="1"/>
      <c r="R685" s="1"/>
      <c r="S685" s="1"/>
      <c r="T685" s="1"/>
      <c r="U685" s="1"/>
      <c r="V685" s="1"/>
      <c r="W685" s="1"/>
      <c r="X685" s="1"/>
      <c r="Y685" s="1"/>
      <c r="Z685" s="1"/>
    </row>
    <row r="686" spans="1:26" ht="12.75" customHeight="1">
      <c r="A686" s="7"/>
      <c r="B686" s="7"/>
      <c r="C686" s="7"/>
      <c r="D686" s="893"/>
      <c r="E686" s="893"/>
      <c r="F686" s="893"/>
      <c r="G686" s="1"/>
      <c r="H686" s="1"/>
      <c r="I686" s="10"/>
      <c r="J686" s="1"/>
      <c r="K686" s="1"/>
      <c r="L686" s="1"/>
      <c r="M686" s="1"/>
      <c r="N686" s="1"/>
      <c r="O686" s="1"/>
      <c r="P686" s="1"/>
      <c r="Q686" s="1"/>
      <c r="R686" s="1"/>
      <c r="S686" s="1"/>
      <c r="T686" s="1"/>
      <c r="U686" s="1"/>
      <c r="V686" s="1"/>
      <c r="W686" s="1"/>
      <c r="X686" s="1"/>
      <c r="Y686" s="1"/>
      <c r="Z686" s="1"/>
    </row>
    <row r="687" spans="1:26" ht="14.25" customHeight="1">
      <c r="A687" s="20"/>
      <c r="B687" s="20"/>
      <c r="C687" s="95"/>
      <c r="D687" s="4"/>
      <c r="E687" s="4"/>
      <c r="F687" s="4"/>
      <c r="G687" s="1"/>
      <c r="H687" s="1"/>
      <c r="I687" s="10"/>
      <c r="J687" s="1"/>
      <c r="K687" s="1"/>
      <c r="L687" s="1"/>
      <c r="M687" s="1"/>
      <c r="N687" s="1"/>
      <c r="O687" s="1"/>
      <c r="P687" s="1"/>
      <c r="Q687" s="1"/>
      <c r="R687" s="1"/>
      <c r="S687" s="1"/>
      <c r="T687" s="1"/>
      <c r="U687" s="1"/>
      <c r="V687" s="1"/>
      <c r="W687" s="1"/>
      <c r="X687" s="1"/>
      <c r="Y687" s="1"/>
      <c r="Z687" s="1"/>
    </row>
    <row r="688" spans="1:26" ht="12.75" customHeight="1">
      <c r="A688" s="16"/>
      <c r="B688" s="21" t="s">
        <v>27</v>
      </c>
      <c r="C688" s="95"/>
      <c r="D688" s="895" t="s">
        <v>756</v>
      </c>
      <c r="E688" s="893"/>
      <c r="F688" s="893"/>
      <c r="G688" s="1"/>
      <c r="H688" s="1"/>
      <c r="I688" s="10"/>
      <c r="J688" s="1"/>
      <c r="K688" s="1"/>
      <c r="L688" s="1"/>
      <c r="M688" s="1"/>
      <c r="N688" s="1"/>
      <c r="O688" s="1"/>
      <c r="P688" s="1"/>
      <c r="Q688" s="1"/>
      <c r="R688" s="1"/>
      <c r="S688" s="1"/>
      <c r="T688" s="1"/>
      <c r="U688" s="1"/>
      <c r="V688" s="1"/>
      <c r="W688" s="1"/>
      <c r="X688" s="1"/>
      <c r="Y688" s="1"/>
      <c r="Z688" s="1"/>
    </row>
    <row r="689" spans="1:26" ht="12.75" customHeight="1">
      <c r="A689" s="16"/>
      <c r="B689" s="20"/>
      <c r="C689" s="95"/>
      <c r="D689" s="893"/>
      <c r="E689" s="893"/>
      <c r="F689" s="893"/>
      <c r="G689" s="1"/>
      <c r="H689" s="1"/>
      <c r="I689" s="10"/>
      <c r="J689" s="1"/>
      <c r="K689" s="1"/>
      <c r="L689" s="1"/>
      <c r="M689" s="1"/>
      <c r="N689" s="1"/>
      <c r="O689" s="1"/>
      <c r="P689" s="1"/>
      <c r="Q689" s="1"/>
      <c r="R689" s="1"/>
      <c r="S689" s="1"/>
      <c r="T689" s="1"/>
      <c r="U689" s="1"/>
      <c r="V689" s="1"/>
      <c r="W689" s="1"/>
      <c r="X689" s="1"/>
      <c r="Y689" s="1"/>
      <c r="Z689" s="1"/>
    </row>
    <row r="690" spans="1:26" ht="12.75" customHeight="1">
      <c r="A690" s="16"/>
      <c r="B690" s="20"/>
      <c r="C690" s="95"/>
      <c r="D690" s="893"/>
      <c r="E690" s="893"/>
      <c r="F690" s="893"/>
      <c r="G690" s="1"/>
      <c r="H690" s="1"/>
      <c r="I690" s="10"/>
      <c r="J690" s="1"/>
      <c r="K690" s="1"/>
      <c r="L690" s="1"/>
      <c r="M690" s="1"/>
      <c r="N690" s="1"/>
      <c r="O690" s="1"/>
      <c r="P690" s="1"/>
      <c r="Q690" s="1"/>
      <c r="R690" s="1"/>
      <c r="S690" s="1"/>
      <c r="T690" s="1"/>
      <c r="U690" s="1"/>
      <c r="V690" s="1"/>
      <c r="W690" s="1"/>
      <c r="X690" s="1"/>
      <c r="Y690" s="1"/>
      <c r="Z690" s="1"/>
    </row>
    <row r="691" spans="1:26" ht="12.75" customHeight="1">
      <c r="A691" s="16"/>
      <c r="B691" s="20"/>
      <c r="C691" s="95"/>
      <c r="D691" s="893"/>
      <c r="E691" s="893"/>
      <c r="F691" s="893"/>
      <c r="G691" s="1"/>
      <c r="H691" s="1"/>
      <c r="I691" s="10"/>
      <c r="J691" s="1"/>
      <c r="K691" s="1"/>
      <c r="L691" s="1"/>
      <c r="M691" s="1"/>
      <c r="N691" s="1"/>
      <c r="O691" s="1"/>
      <c r="P691" s="1"/>
      <c r="Q691" s="1"/>
      <c r="R691" s="1"/>
      <c r="S691" s="1"/>
      <c r="T691" s="1"/>
      <c r="U691" s="1"/>
      <c r="V691" s="1"/>
      <c r="W691" s="1"/>
      <c r="X691" s="1"/>
      <c r="Y691" s="1"/>
      <c r="Z691" s="1"/>
    </row>
    <row r="692" spans="1:26" ht="12.75" customHeight="1">
      <c r="A692" s="16"/>
      <c r="B692" s="20"/>
      <c r="C692" s="95"/>
      <c r="D692" s="893"/>
      <c r="E692" s="893"/>
      <c r="F692" s="893"/>
      <c r="G692" s="1"/>
      <c r="H692" s="1"/>
      <c r="I692" s="10"/>
      <c r="J692" s="1"/>
      <c r="K692" s="1"/>
      <c r="L692" s="1"/>
      <c r="M692" s="1"/>
      <c r="N692" s="1"/>
      <c r="O692" s="1"/>
      <c r="P692" s="1"/>
      <c r="Q692" s="1"/>
      <c r="R692" s="1"/>
      <c r="S692" s="1"/>
      <c r="T692" s="1"/>
      <c r="U692" s="1"/>
      <c r="V692" s="1"/>
      <c r="W692" s="1"/>
      <c r="X692" s="1"/>
      <c r="Y692" s="1"/>
      <c r="Z692" s="1"/>
    </row>
    <row r="693" spans="1:26" ht="14.25" customHeight="1">
      <c r="A693" s="16"/>
      <c r="B693" s="20"/>
      <c r="C693" s="95"/>
      <c r="D693" s="1"/>
      <c r="E693" s="1"/>
      <c r="F693" s="41"/>
      <c r="G693" s="1"/>
      <c r="H693" s="1"/>
      <c r="I693" s="10"/>
      <c r="J693" s="1"/>
      <c r="K693" s="1"/>
      <c r="L693" s="1"/>
      <c r="M693" s="1"/>
      <c r="N693" s="1"/>
      <c r="O693" s="1"/>
      <c r="P693" s="1"/>
      <c r="Q693" s="1"/>
      <c r="R693" s="1"/>
      <c r="S693" s="1"/>
      <c r="T693" s="1"/>
      <c r="U693" s="1"/>
      <c r="V693" s="1"/>
      <c r="W693" s="1"/>
      <c r="X693" s="1"/>
      <c r="Y693" s="1"/>
      <c r="Z693" s="1"/>
    </row>
    <row r="694" spans="1:26" ht="12.75" customHeight="1">
      <c r="A694" s="16"/>
      <c r="B694" s="21" t="s">
        <v>27</v>
      </c>
      <c r="C694" s="95"/>
      <c r="D694" s="895" t="s">
        <v>760</v>
      </c>
      <c r="E694" s="893"/>
      <c r="F694" s="893"/>
      <c r="G694" s="1"/>
      <c r="H694" s="1"/>
      <c r="I694" s="10"/>
      <c r="J694" s="1"/>
      <c r="K694" s="1"/>
      <c r="L694" s="1"/>
      <c r="M694" s="1"/>
      <c r="N694" s="1"/>
      <c r="O694" s="1"/>
      <c r="P694" s="1"/>
      <c r="Q694" s="1"/>
      <c r="R694" s="1"/>
      <c r="S694" s="1"/>
      <c r="T694" s="1"/>
      <c r="U694" s="1"/>
      <c r="V694" s="1"/>
      <c r="W694" s="1"/>
      <c r="X694" s="1"/>
      <c r="Y694" s="1"/>
      <c r="Z694" s="1"/>
    </row>
    <row r="695" spans="1:26" ht="12.75" customHeight="1">
      <c r="A695" s="16"/>
      <c r="B695" s="20"/>
      <c r="C695" s="95"/>
      <c r="D695" s="893"/>
      <c r="E695" s="893"/>
      <c r="F695" s="893"/>
      <c r="G695" s="1"/>
      <c r="H695" s="1"/>
      <c r="I695" s="10"/>
      <c r="J695" s="1"/>
      <c r="K695" s="1"/>
      <c r="L695" s="1"/>
      <c r="M695" s="1"/>
      <c r="N695" s="1"/>
      <c r="O695" s="1"/>
      <c r="P695" s="1"/>
      <c r="Q695" s="1"/>
      <c r="R695" s="1"/>
      <c r="S695" s="1"/>
      <c r="T695" s="1"/>
      <c r="U695" s="1"/>
      <c r="V695" s="1"/>
      <c r="W695" s="1"/>
      <c r="X695" s="1"/>
      <c r="Y695" s="1"/>
      <c r="Z695" s="1"/>
    </row>
    <row r="696" spans="1:26" ht="12.75" customHeight="1">
      <c r="A696" s="20"/>
      <c r="B696" s="20"/>
      <c r="C696" s="95"/>
      <c r="D696" s="893"/>
      <c r="E696" s="893"/>
      <c r="F696" s="893"/>
      <c r="G696" s="1"/>
      <c r="H696" s="1"/>
      <c r="I696" s="10"/>
      <c r="J696" s="1"/>
      <c r="K696" s="1"/>
      <c r="L696" s="1"/>
      <c r="M696" s="1"/>
      <c r="N696" s="1"/>
      <c r="O696" s="1"/>
      <c r="P696" s="1"/>
      <c r="Q696" s="1"/>
      <c r="R696" s="1"/>
      <c r="S696" s="1"/>
      <c r="T696" s="1"/>
      <c r="U696" s="1"/>
      <c r="V696" s="1"/>
      <c r="W696" s="1"/>
      <c r="X696" s="1"/>
      <c r="Y696" s="1"/>
      <c r="Z696" s="1"/>
    </row>
    <row r="697" spans="1:26" ht="12.75" customHeight="1">
      <c r="A697" s="20"/>
      <c r="B697" s="20"/>
      <c r="C697" s="95"/>
      <c r="D697" s="893"/>
      <c r="E697" s="893"/>
      <c r="F697" s="893"/>
      <c r="G697" s="1"/>
      <c r="H697" s="1"/>
      <c r="I697" s="10"/>
      <c r="J697" s="1"/>
      <c r="K697" s="1"/>
      <c r="L697" s="1"/>
      <c r="M697" s="1"/>
      <c r="N697" s="1"/>
      <c r="O697" s="1"/>
      <c r="P697" s="1"/>
      <c r="Q697" s="1"/>
      <c r="R697" s="1"/>
      <c r="S697" s="1"/>
      <c r="T697" s="1"/>
      <c r="U697" s="1"/>
      <c r="V697" s="1"/>
      <c r="W697" s="1"/>
      <c r="X697" s="1"/>
      <c r="Y697" s="1"/>
      <c r="Z697" s="1"/>
    </row>
    <row r="698" spans="1:26" ht="12.75" customHeight="1">
      <c r="A698" s="20"/>
      <c r="B698" s="20"/>
      <c r="C698" s="95"/>
      <c r="D698" s="11"/>
      <c r="E698" s="11"/>
      <c r="F698" s="11"/>
      <c r="G698" s="1"/>
      <c r="H698" s="1"/>
      <c r="I698" s="10"/>
      <c r="J698" s="1"/>
      <c r="K698" s="1"/>
      <c r="L698" s="1"/>
      <c r="M698" s="1"/>
      <c r="N698" s="1"/>
      <c r="O698" s="1"/>
      <c r="P698" s="1"/>
      <c r="Q698" s="1"/>
      <c r="R698" s="1"/>
      <c r="S698" s="1"/>
      <c r="T698" s="1"/>
      <c r="U698" s="1"/>
      <c r="V698" s="1"/>
      <c r="W698" s="1"/>
      <c r="X698" s="1"/>
      <c r="Y698" s="1"/>
      <c r="Z698" s="1"/>
    </row>
    <row r="699" spans="1:26" ht="12.75" customHeight="1">
      <c r="A699" s="16"/>
      <c r="B699" s="21" t="s">
        <v>27</v>
      </c>
      <c r="C699" s="95"/>
      <c r="D699" s="895" t="s">
        <v>764</v>
      </c>
      <c r="E699" s="893"/>
      <c r="F699" s="893"/>
      <c r="G699" s="1"/>
      <c r="H699" s="1"/>
      <c r="I699" s="10"/>
      <c r="J699" s="1"/>
      <c r="K699" s="1"/>
      <c r="L699" s="1"/>
      <c r="M699" s="1"/>
      <c r="N699" s="1"/>
      <c r="O699" s="1"/>
      <c r="P699" s="1"/>
      <c r="Q699" s="1"/>
      <c r="R699" s="1"/>
      <c r="S699" s="1"/>
      <c r="T699" s="1"/>
      <c r="U699" s="1"/>
      <c r="V699" s="1"/>
      <c r="W699" s="1"/>
      <c r="X699" s="1"/>
      <c r="Y699" s="1"/>
      <c r="Z699" s="1"/>
    </row>
    <row r="700" spans="1:26" ht="12.75" customHeight="1">
      <c r="A700" s="16"/>
      <c r="B700" s="20"/>
      <c r="C700" s="95"/>
      <c r="D700" s="893"/>
      <c r="E700" s="893"/>
      <c r="F700" s="893"/>
      <c r="G700" s="1"/>
      <c r="H700" s="1"/>
      <c r="I700" s="10"/>
      <c r="J700" s="1"/>
      <c r="K700" s="1"/>
      <c r="L700" s="1"/>
      <c r="M700" s="1"/>
      <c r="N700" s="1"/>
      <c r="O700" s="1"/>
      <c r="P700" s="1"/>
      <c r="Q700" s="1"/>
      <c r="R700" s="1"/>
      <c r="S700" s="1"/>
      <c r="T700" s="1"/>
      <c r="U700" s="1"/>
      <c r="V700" s="1"/>
      <c r="W700" s="1"/>
      <c r="X700" s="1"/>
      <c r="Y700" s="1"/>
      <c r="Z700" s="1"/>
    </row>
    <row r="701" spans="1:26" ht="12.75" customHeight="1">
      <c r="A701" s="16"/>
      <c r="B701" s="20"/>
      <c r="C701" s="95"/>
      <c r="D701" s="893"/>
      <c r="E701" s="893"/>
      <c r="F701" s="893"/>
      <c r="G701" s="1"/>
      <c r="H701" s="1"/>
      <c r="I701" s="10"/>
      <c r="J701" s="1"/>
      <c r="K701" s="1"/>
      <c r="L701" s="1"/>
      <c r="M701" s="1"/>
      <c r="N701" s="1"/>
      <c r="O701" s="1"/>
      <c r="P701" s="1"/>
      <c r="Q701" s="1"/>
      <c r="R701" s="1"/>
      <c r="S701" s="1"/>
      <c r="T701" s="1"/>
      <c r="U701" s="1"/>
      <c r="V701" s="1"/>
      <c r="W701" s="1"/>
      <c r="X701" s="1"/>
      <c r="Y701" s="1"/>
      <c r="Z701" s="1"/>
    </row>
    <row r="702" spans="1:26" ht="12.75" customHeight="1">
      <c r="A702" s="16"/>
      <c r="B702" s="20"/>
      <c r="C702" s="95"/>
      <c r="D702" s="893"/>
      <c r="E702" s="893"/>
      <c r="F702" s="893"/>
      <c r="G702" s="1"/>
      <c r="H702" s="1"/>
      <c r="I702" s="10"/>
      <c r="J702" s="1"/>
      <c r="K702" s="1"/>
      <c r="L702" s="1"/>
      <c r="M702" s="1"/>
      <c r="N702" s="1"/>
      <c r="O702" s="1"/>
      <c r="P702" s="1"/>
      <c r="Q702" s="1"/>
      <c r="R702" s="1"/>
      <c r="S702" s="1"/>
      <c r="T702" s="1"/>
      <c r="U702" s="1"/>
      <c r="V702" s="1"/>
      <c r="W702" s="1"/>
      <c r="X702" s="1"/>
      <c r="Y702" s="1"/>
      <c r="Z702" s="1"/>
    </row>
    <row r="703" spans="1:26" ht="12.75" customHeight="1">
      <c r="A703" s="16"/>
      <c r="B703" s="20"/>
      <c r="C703" s="95"/>
      <c r="D703" s="893"/>
      <c r="E703" s="893"/>
      <c r="F703" s="893"/>
      <c r="G703" s="1"/>
      <c r="H703" s="1"/>
      <c r="I703" s="10"/>
      <c r="J703" s="1"/>
      <c r="K703" s="1"/>
      <c r="L703" s="1"/>
      <c r="M703" s="1"/>
      <c r="N703" s="1"/>
      <c r="O703" s="1"/>
      <c r="P703" s="1"/>
      <c r="Q703" s="1"/>
      <c r="R703" s="1"/>
      <c r="S703" s="1"/>
      <c r="T703" s="1"/>
      <c r="U703" s="1"/>
      <c r="V703" s="1"/>
      <c r="W703" s="1"/>
      <c r="X703" s="1"/>
      <c r="Y703" s="1"/>
      <c r="Z703" s="1"/>
    </row>
    <row r="704" spans="1:26" ht="12.75" customHeight="1">
      <c r="A704" s="16"/>
      <c r="B704" s="20"/>
      <c r="C704" s="95"/>
      <c r="D704" s="893"/>
      <c r="E704" s="893"/>
      <c r="F704" s="893"/>
      <c r="G704" s="1"/>
      <c r="H704" s="1"/>
      <c r="I704" s="10"/>
      <c r="J704" s="1"/>
      <c r="K704" s="1"/>
      <c r="L704" s="1"/>
      <c r="M704" s="1"/>
      <c r="N704" s="1"/>
      <c r="O704" s="1"/>
      <c r="P704" s="1"/>
      <c r="Q704" s="1"/>
      <c r="R704" s="1"/>
      <c r="S704" s="1"/>
      <c r="T704" s="1"/>
      <c r="U704" s="1"/>
      <c r="V704" s="1"/>
      <c r="W704" s="1"/>
      <c r="X704" s="1"/>
      <c r="Y704" s="1"/>
      <c r="Z704" s="1"/>
    </row>
    <row r="705" spans="1:26" ht="12.75" customHeight="1">
      <c r="A705" s="16"/>
      <c r="B705" s="20"/>
      <c r="C705" s="95"/>
      <c r="D705" s="893"/>
      <c r="E705" s="893"/>
      <c r="F705" s="893"/>
      <c r="G705" s="1"/>
      <c r="H705" s="1"/>
      <c r="I705" s="10"/>
      <c r="J705" s="1"/>
      <c r="K705" s="1"/>
      <c r="L705" s="1"/>
      <c r="M705" s="1"/>
      <c r="N705" s="1"/>
      <c r="O705" s="1"/>
      <c r="P705" s="1"/>
      <c r="Q705" s="1"/>
      <c r="R705" s="1"/>
      <c r="S705" s="1"/>
      <c r="T705" s="1"/>
      <c r="U705" s="1"/>
      <c r="V705" s="1"/>
      <c r="W705" s="1"/>
      <c r="X705" s="1"/>
      <c r="Y705" s="1"/>
      <c r="Z705" s="1"/>
    </row>
    <row r="706" spans="1:26" ht="12.75" customHeight="1">
      <c r="A706" s="16"/>
      <c r="B706" s="20"/>
      <c r="C706" s="95"/>
      <c r="D706" s="893"/>
      <c r="E706" s="893"/>
      <c r="F706" s="893"/>
      <c r="G706" s="1"/>
      <c r="H706" s="1"/>
      <c r="I706" s="10"/>
      <c r="J706" s="1"/>
      <c r="K706" s="1"/>
      <c r="L706" s="1"/>
      <c r="M706" s="1"/>
      <c r="N706" s="1"/>
      <c r="O706" s="1"/>
      <c r="P706" s="1"/>
      <c r="Q706" s="1"/>
      <c r="R706" s="1"/>
      <c r="S706" s="1"/>
      <c r="T706" s="1"/>
      <c r="U706" s="1"/>
      <c r="V706" s="1"/>
      <c r="W706" s="1"/>
      <c r="X706" s="1"/>
      <c r="Y706" s="1"/>
      <c r="Z706" s="1"/>
    </row>
    <row r="707" spans="1:26" ht="12.75" customHeight="1">
      <c r="A707" s="16"/>
      <c r="B707" s="20"/>
      <c r="C707" s="95"/>
      <c r="D707" s="893"/>
      <c r="E707" s="893"/>
      <c r="F707" s="893"/>
      <c r="G707" s="1"/>
      <c r="H707" s="1"/>
      <c r="I707" s="10"/>
      <c r="J707" s="1"/>
      <c r="K707" s="1"/>
      <c r="L707" s="1"/>
      <c r="M707" s="1"/>
      <c r="N707" s="1"/>
      <c r="O707" s="1"/>
      <c r="P707" s="1"/>
      <c r="Q707" s="1"/>
      <c r="R707" s="1"/>
      <c r="S707" s="1"/>
      <c r="T707" s="1"/>
      <c r="U707" s="1"/>
      <c r="V707" s="1"/>
      <c r="W707" s="1"/>
      <c r="X707" s="1"/>
      <c r="Y707" s="1"/>
      <c r="Z707" s="1"/>
    </row>
    <row r="708" spans="1:26" ht="12.75" customHeight="1">
      <c r="A708" s="95"/>
      <c r="B708" s="95"/>
      <c r="C708" s="95"/>
      <c r="D708" s="17"/>
      <c r="E708" s="17"/>
      <c r="F708" s="17"/>
      <c r="G708" s="1"/>
      <c r="H708" s="1"/>
      <c r="I708" s="10"/>
      <c r="J708" s="1"/>
      <c r="K708" s="1"/>
      <c r="L708" s="1"/>
      <c r="M708" s="1"/>
      <c r="N708" s="1"/>
      <c r="O708" s="1"/>
      <c r="P708" s="1"/>
      <c r="Q708" s="1"/>
      <c r="R708" s="1"/>
      <c r="S708" s="1"/>
      <c r="T708" s="1"/>
      <c r="U708" s="1"/>
      <c r="V708" s="1"/>
      <c r="W708" s="1"/>
      <c r="X708" s="1"/>
      <c r="Y708" s="1"/>
      <c r="Z708" s="1"/>
    </row>
    <row r="709" spans="1:26" ht="12.75" customHeight="1">
      <c r="A709" s="920" t="s">
        <v>771</v>
      </c>
      <c r="B709" s="921"/>
      <c r="C709" s="921"/>
      <c r="D709" s="921"/>
      <c r="E709" s="921"/>
      <c r="F709" s="921"/>
      <c r="G709" s="921"/>
      <c r="H709" s="128"/>
      <c r="I709" s="129"/>
      <c r="J709" s="125"/>
      <c r="K709" s="125"/>
      <c r="L709" s="1"/>
      <c r="M709" s="1"/>
      <c r="N709" s="1"/>
      <c r="O709" s="1"/>
      <c r="P709" s="1"/>
      <c r="Q709" s="1"/>
      <c r="R709" s="1"/>
      <c r="S709" s="1"/>
      <c r="T709" s="1"/>
      <c r="U709" s="1"/>
      <c r="V709" s="1"/>
      <c r="W709" s="1"/>
      <c r="X709" s="1"/>
      <c r="Y709" s="1"/>
      <c r="Z709" s="1"/>
    </row>
    <row r="710" spans="1:26" ht="12.75" customHeight="1">
      <c r="A710" s="62"/>
      <c r="B710" s="62"/>
      <c r="C710" s="62"/>
      <c r="D710" s="62"/>
      <c r="E710" s="62"/>
      <c r="F710" s="62"/>
      <c r="G710" s="62"/>
      <c r="H710" s="125"/>
      <c r="I710" s="16"/>
      <c r="J710" s="125"/>
      <c r="K710" s="125"/>
      <c r="L710" s="1"/>
      <c r="M710" s="1"/>
      <c r="N710" s="1"/>
      <c r="O710" s="1"/>
      <c r="P710" s="1"/>
      <c r="Q710" s="1"/>
      <c r="R710" s="1"/>
      <c r="S710" s="1"/>
      <c r="T710" s="1"/>
      <c r="U710" s="1"/>
      <c r="V710" s="1"/>
      <c r="W710" s="1"/>
      <c r="X710" s="1"/>
      <c r="Y710" s="1"/>
      <c r="Z710" s="1"/>
    </row>
    <row r="711" spans="1:26" ht="12.75" customHeight="1">
      <c r="A711" s="7"/>
      <c r="B711" s="7"/>
      <c r="C711" s="9"/>
      <c r="D711" s="914" t="s">
        <v>772</v>
      </c>
      <c r="E711" s="893"/>
      <c r="F711" s="893"/>
      <c r="G711" s="1"/>
      <c r="H711" s="125"/>
      <c r="I711" s="16"/>
      <c r="J711" s="125"/>
      <c r="K711" s="125"/>
      <c r="L711" s="1"/>
      <c r="M711" s="1"/>
      <c r="N711" s="1"/>
      <c r="O711" s="1"/>
      <c r="P711" s="1"/>
      <c r="Q711" s="1"/>
      <c r="R711" s="1"/>
      <c r="S711" s="1"/>
      <c r="T711" s="1"/>
      <c r="U711" s="1"/>
      <c r="V711" s="1"/>
      <c r="W711" s="1"/>
      <c r="X711" s="1"/>
      <c r="Y711" s="1"/>
      <c r="Z711" s="1"/>
    </row>
    <row r="712" spans="1:26" ht="12.75" customHeight="1">
      <c r="A712" s="9"/>
      <c r="B712" s="9"/>
      <c r="C712" s="9"/>
      <c r="D712" s="914" t="s">
        <v>773</v>
      </c>
      <c r="E712" s="893"/>
      <c r="F712" s="893"/>
      <c r="G712" s="1"/>
      <c r="H712" s="125"/>
      <c r="I712" s="16"/>
      <c r="J712" s="125"/>
      <c r="K712" s="125"/>
      <c r="L712" s="1"/>
      <c r="M712" s="1"/>
      <c r="N712" s="1"/>
      <c r="O712" s="1"/>
      <c r="P712" s="1"/>
      <c r="Q712" s="1"/>
      <c r="R712" s="1"/>
      <c r="S712" s="1"/>
      <c r="T712" s="1"/>
      <c r="U712" s="1"/>
      <c r="V712" s="1"/>
      <c r="W712" s="1"/>
      <c r="X712" s="1"/>
      <c r="Y712" s="1"/>
      <c r="Z712" s="1"/>
    </row>
    <row r="713" spans="1:26" ht="12.75" customHeight="1">
      <c r="A713" s="16"/>
      <c r="B713" s="16"/>
      <c r="C713" s="16"/>
      <c r="D713" s="915" t="s">
        <v>774</v>
      </c>
      <c r="E713" s="893"/>
      <c r="F713" s="893"/>
      <c r="G713" s="1"/>
      <c r="H713" s="125"/>
      <c r="I713" s="16"/>
      <c r="J713" s="125"/>
      <c r="K713" s="125"/>
      <c r="L713" s="1"/>
      <c r="M713" s="1"/>
      <c r="N713" s="1"/>
      <c r="O713" s="1"/>
      <c r="P713" s="1"/>
      <c r="Q713" s="1"/>
      <c r="R713" s="1"/>
      <c r="S713" s="1"/>
      <c r="T713" s="1"/>
      <c r="U713" s="1"/>
      <c r="V713" s="1"/>
      <c r="W713" s="1"/>
      <c r="X713" s="1"/>
      <c r="Y713" s="1"/>
      <c r="Z713" s="1"/>
    </row>
    <row r="714" spans="1:26" ht="12.75" customHeight="1">
      <c r="A714" s="16"/>
      <c r="B714" s="16"/>
      <c r="C714" s="16"/>
      <c r="D714" s="1"/>
      <c r="E714" s="1"/>
      <c r="F714" s="1"/>
      <c r="G714" s="1"/>
      <c r="H714" s="125"/>
      <c r="I714" s="16"/>
      <c r="J714" s="125"/>
      <c r="K714" s="125"/>
      <c r="L714" s="1"/>
      <c r="M714" s="1"/>
      <c r="N714" s="1"/>
      <c r="O714" s="1"/>
      <c r="P714" s="1"/>
      <c r="Q714" s="1"/>
      <c r="R714" s="1"/>
      <c r="S714" s="1"/>
      <c r="T714" s="1"/>
      <c r="U714" s="1"/>
      <c r="V714" s="1"/>
      <c r="W714" s="1"/>
      <c r="X714" s="1"/>
      <c r="Y714" s="1"/>
      <c r="Z714" s="1"/>
    </row>
    <row r="715" spans="1:26" ht="12.75" customHeight="1">
      <c r="A715" s="20"/>
      <c r="B715" s="21" t="s">
        <v>27</v>
      </c>
      <c r="C715" s="16"/>
      <c r="D715" s="915" t="s">
        <v>776</v>
      </c>
      <c r="E715" s="893"/>
      <c r="F715" s="893"/>
      <c r="G715" s="1"/>
      <c r="H715" s="125"/>
      <c r="I715" s="16"/>
      <c r="J715" s="125"/>
      <c r="K715" s="125"/>
      <c r="L715" s="1"/>
      <c r="M715" s="1"/>
      <c r="N715" s="1"/>
      <c r="O715" s="1"/>
      <c r="P715" s="1"/>
      <c r="Q715" s="1"/>
      <c r="R715" s="1"/>
      <c r="S715" s="1"/>
      <c r="T715" s="1"/>
      <c r="U715" s="1"/>
      <c r="V715" s="1"/>
      <c r="W715" s="1"/>
      <c r="X715" s="1"/>
      <c r="Y715" s="1"/>
      <c r="Z715" s="1"/>
    </row>
    <row r="716" spans="1:26" ht="12.75" customHeight="1">
      <c r="A716" s="16"/>
      <c r="B716" s="16"/>
      <c r="C716" s="16"/>
      <c r="D716" s="915" t="s">
        <v>777</v>
      </c>
      <c r="E716" s="893"/>
      <c r="F716" s="893"/>
      <c r="G716" s="1"/>
      <c r="H716" s="125"/>
      <c r="I716" s="16"/>
      <c r="J716" s="125"/>
      <c r="K716" s="125"/>
      <c r="L716" s="1"/>
      <c r="M716" s="1"/>
      <c r="N716" s="1"/>
      <c r="O716" s="1"/>
      <c r="P716" s="1"/>
      <c r="Q716" s="1"/>
      <c r="R716" s="1"/>
      <c r="S716" s="1"/>
      <c r="T716" s="1"/>
      <c r="U716" s="1"/>
      <c r="V716" s="1"/>
      <c r="W716" s="1"/>
      <c r="X716" s="1"/>
      <c r="Y716" s="1"/>
      <c r="Z716" s="1"/>
    </row>
    <row r="717" spans="1:26" ht="12.75" customHeight="1">
      <c r="A717" s="16"/>
      <c r="B717" s="16"/>
      <c r="C717" s="16"/>
      <c r="D717" s="1"/>
      <c r="E717" s="18" t="s">
        <v>778</v>
      </c>
      <c r="F717" s="132"/>
      <c r="G717" s="1"/>
      <c r="H717" s="125"/>
      <c r="I717" s="16"/>
      <c r="J717" s="125"/>
      <c r="K717" s="125"/>
      <c r="L717" s="1"/>
      <c r="M717" s="1"/>
      <c r="N717" s="1"/>
      <c r="O717" s="1"/>
      <c r="P717" s="1"/>
      <c r="Q717" s="1"/>
      <c r="R717" s="1"/>
      <c r="S717" s="1"/>
      <c r="T717" s="1"/>
      <c r="U717" s="1"/>
      <c r="V717" s="1"/>
      <c r="W717" s="1"/>
      <c r="X717" s="1"/>
      <c r="Y717" s="1"/>
      <c r="Z717" s="1"/>
    </row>
    <row r="718" spans="1:26" ht="12.75" customHeight="1">
      <c r="A718" s="16"/>
      <c r="B718" s="16"/>
      <c r="C718" s="16"/>
      <c r="D718" s="1"/>
      <c r="E718" s="125" t="s">
        <v>780</v>
      </c>
      <c r="F718" s="132"/>
      <c r="G718" s="1"/>
      <c r="H718" s="1"/>
      <c r="I718" s="16"/>
      <c r="J718" s="125"/>
      <c r="K718" s="125"/>
      <c r="L718" s="1"/>
      <c r="M718" s="1"/>
      <c r="N718" s="1"/>
      <c r="O718" s="1"/>
      <c r="P718" s="1"/>
      <c r="Q718" s="1"/>
      <c r="R718" s="1"/>
      <c r="S718" s="1"/>
      <c r="T718" s="1"/>
      <c r="U718" s="1"/>
      <c r="V718" s="1"/>
      <c r="W718" s="1"/>
      <c r="X718" s="1"/>
      <c r="Y718" s="1"/>
      <c r="Z718" s="1"/>
    </row>
    <row r="719" spans="1:26" ht="12.75" customHeight="1">
      <c r="A719" s="16"/>
      <c r="B719" s="16"/>
      <c r="C719" s="16"/>
      <c r="D719" s="134"/>
      <c r="E719" s="17"/>
      <c r="F719" s="1"/>
      <c r="G719" s="1"/>
      <c r="H719" s="125"/>
      <c r="I719" s="16"/>
      <c r="J719" s="125"/>
      <c r="K719" s="125"/>
      <c r="L719" s="1"/>
      <c r="M719" s="1"/>
      <c r="N719" s="1"/>
      <c r="O719" s="1"/>
      <c r="P719" s="1"/>
      <c r="Q719" s="1"/>
      <c r="R719" s="1"/>
      <c r="S719" s="1"/>
      <c r="T719" s="1"/>
      <c r="U719" s="1"/>
      <c r="V719" s="1"/>
      <c r="W719" s="1"/>
      <c r="X719" s="1"/>
      <c r="Y719" s="1"/>
      <c r="Z719" s="1"/>
    </row>
    <row r="720" spans="1:26" ht="12.75" customHeight="1">
      <c r="A720" s="20"/>
      <c r="B720" s="21" t="s">
        <v>27</v>
      </c>
      <c r="C720" s="16"/>
      <c r="D720" s="895" t="s">
        <v>781</v>
      </c>
      <c r="E720" s="893"/>
      <c r="F720" s="893"/>
      <c r="G720" s="1"/>
      <c r="H720" s="125"/>
      <c r="I720" s="16"/>
      <c r="J720" s="125"/>
      <c r="K720" s="125"/>
      <c r="L720" s="1"/>
      <c r="M720" s="1"/>
      <c r="N720" s="1"/>
      <c r="O720" s="1"/>
      <c r="P720" s="1"/>
      <c r="Q720" s="1"/>
      <c r="R720" s="1"/>
      <c r="S720" s="1"/>
      <c r="T720" s="1"/>
      <c r="U720" s="1"/>
      <c r="V720" s="1"/>
      <c r="W720" s="1"/>
      <c r="X720" s="1"/>
      <c r="Y720" s="1"/>
      <c r="Z720" s="1"/>
    </row>
    <row r="721" spans="1:26" ht="12.75" customHeight="1">
      <c r="A721" s="10"/>
      <c r="B721" s="10"/>
      <c r="C721" s="16"/>
      <c r="D721" s="893"/>
      <c r="E721" s="893"/>
      <c r="F721" s="893"/>
      <c r="G721" s="1"/>
      <c r="H721" s="125"/>
      <c r="I721" s="16"/>
      <c r="J721" s="125"/>
      <c r="K721" s="125"/>
      <c r="L721" s="1"/>
      <c r="M721" s="1"/>
      <c r="N721" s="1"/>
      <c r="O721" s="1"/>
      <c r="P721" s="1"/>
      <c r="Q721" s="1"/>
      <c r="R721" s="1"/>
      <c r="S721" s="1"/>
      <c r="T721" s="1"/>
      <c r="U721" s="1"/>
      <c r="V721" s="1"/>
      <c r="W721" s="1"/>
      <c r="X721" s="1"/>
      <c r="Y721" s="1"/>
      <c r="Z721" s="1"/>
    </row>
    <row r="722" spans="1:26" ht="12.75" customHeight="1">
      <c r="A722" s="16"/>
      <c r="B722" s="16"/>
      <c r="C722" s="16"/>
      <c r="D722" s="893"/>
      <c r="E722" s="893"/>
      <c r="F722" s="893"/>
      <c r="G722" s="1"/>
      <c r="H722" s="125"/>
      <c r="I722" s="16"/>
      <c r="J722" s="125"/>
      <c r="K722" s="125"/>
      <c r="L722" s="1"/>
      <c r="M722" s="1"/>
      <c r="N722" s="1"/>
      <c r="O722" s="1"/>
      <c r="P722" s="1"/>
      <c r="Q722" s="1"/>
      <c r="R722" s="1"/>
      <c r="S722" s="1"/>
      <c r="T722" s="1"/>
      <c r="U722" s="1"/>
      <c r="V722" s="1"/>
      <c r="W722" s="1"/>
      <c r="X722" s="1"/>
      <c r="Y722" s="1"/>
      <c r="Z722" s="1"/>
    </row>
    <row r="723" spans="1:26" ht="12.75" customHeight="1">
      <c r="A723" s="16"/>
      <c r="B723" s="16"/>
      <c r="C723" s="16"/>
      <c r="D723" s="1"/>
      <c r="E723" s="1"/>
      <c r="F723" s="1"/>
      <c r="G723" s="1"/>
      <c r="H723" s="125"/>
      <c r="I723" s="8"/>
      <c r="J723" s="125"/>
      <c r="K723" s="125"/>
      <c r="L723" s="1"/>
      <c r="M723" s="1"/>
      <c r="N723" s="1"/>
      <c r="O723" s="1"/>
      <c r="P723" s="1"/>
      <c r="Q723" s="1"/>
      <c r="R723" s="1"/>
      <c r="S723" s="1"/>
      <c r="T723" s="1"/>
      <c r="U723" s="1"/>
      <c r="V723" s="1"/>
      <c r="W723" s="1"/>
      <c r="X723" s="1"/>
      <c r="Y723" s="1"/>
      <c r="Z723" s="1"/>
    </row>
    <row r="724" spans="1:26" ht="12.75" customHeight="1">
      <c r="A724" s="20"/>
      <c r="B724" s="21" t="s">
        <v>27</v>
      </c>
      <c r="C724" s="16"/>
      <c r="D724" s="915" t="s">
        <v>784</v>
      </c>
      <c r="E724" s="893"/>
      <c r="F724" s="893"/>
      <c r="G724" s="1"/>
      <c r="H724" s="125"/>
      <c r="I724" s="16"/>
      <c r="J724" s="125"/>
      <c r="K724" s="125"/>
      <c r="L724" s="1"/>
      <c r="M724" s="1"/>
      <c r="N724" s="1"/>
      <c r="O724" s="1"/>
      <c r="P724" s="1"/>
      <c r="Q724" s="1"/>
      <c r="R724" s="1"/>
      <c r="S724" s="1"/>
      <c r="T724" s="1"/>
      <c r="U724" s="1"/>
      <c r="V724" s="1"/>
      <c r="W724" s="1"/>
      <c r="X724" s="1"/>
      <c r="Y724" s="1"/>
      <c r="Z724" s="1"/>
    </row>
    <row r="725" spans="1:26" ht="12.75" customHeight="1">
      <c r="A725" s="20"/>
      <c r="B725" s="20"/>
      <c r="C725" s="16"/>
      <c r="D725" s="915" t="s">
        <v>785</v>
      </c>
      <c r="E725" s="893"/>
      <c r="F725" s="893"/>
      <c r="G725" s="1"/>
      <c r="H725" s="125"/>
      <c r="I725" s="16"/>
      <c r="J725" s="125"/>
      <c r="K725" s="125"/>
      <c r="L725" s="1"/>
      <c r="M725" s="1"/>
      <c r="N725" s="1"/>
      <c r="O725" s="1"/>
      <c r="P725" s="1"/>
      <c r="Q725" s="1"/>
      <c r="R725" s="1"/>
      <c r="S725" s="1"/>
      <c r="T725" s="1"/>
      <c r="U725" s="1"/>
      <c r="V725" s="1"/>
      <c r="W725" s="1"/>
      <c r="X725" s="1"/>
      <c r="Y725" s="1"/>
      <c r="Z725" s="1"/>
    </row>
    <row r="726" spans="1:26" ht="12.75" customHeight="1">
      <c r="A726" s="16"/>
      <c r="B726" s="16"/>
      <c r="C726" s="16"/>
      <c r="D726" s="1"/>
      <c r="E726" s="18" t="s">
        <v>787</v>
      </c>
      <c r="F726" s="8"/>
      <c r="G726" s="1"/>
      <c r="H726" s="125"/>
      <c r="I726" s="16"/>
      <c r="J726" s="125"/>
      <c r="K726" s="125"/>
      <c r="L726" s="1"/>
      <c r="M726" s="1"/>
      <c r="N726" s="1"/>
      <c r="O726" s="1"/>
      <c r="P726" s="1"/>
      <c r="Q726" s="1"/>
      <c r="R726" s="1"/>
      <c r="S726" s="1"/>
      <c r="T726" s="1"/>
      <c r="U726" s="1"/>
      <c r="V726" s="1"/>
      <c r="W726" s="1"/>
      <c r="X726" s="1"/>
      <c r="Y726" s="1"/>
      <c r="Z726" s="1"/>
    </row>
    <row r="727" spans="1:26" ht="12.75" customHeight="1">
      <c r="A727" s="16"/>
      <c r="B727" s="16"/>
      <c r="C727" s="16"/>
      <c r="D727" s="8"/>
      <c r="E727" s="1"/>
      <c r="F727" s="1"/>
      <c r="G727" s="1"/>
      <c r="H727" s="125"/>
      <c r="I727" s="16"/>
      <c r="J727" s="125"/>
      <c r="K727" s="125"/>
      <c r="L727" s="1"/>
      <c r="M727" s="1"/>
      <c r="N727" s="1"/>
      <c r="O727" s="1"/>
      <c r="P727" s="1"/>
      <c r="Q727" s="1"/>
      <c r="R727" s="1"/>
      <c r="S727" s="1"/>
      <c r="T727" s="1"/>
      <c r="U727" s="1"/>
      <c r="V727" s="1"/>
      <c r="W727" s="1"/>
      <c r="X727" s="1"/>
      <c r="Y727" s="1"/>
      <c r="Z727" s="1"/>
    </row>
    <row r="728" spans="1:26" ht="12.75" customHeight="1">
      <c r="A728" s="20"/>
      <c r="B728" s="21" t="s">
        <v>27</v>
      </c>
      <c r="C728" s="16"/>
      <c r="D728" s="915" t="s">
        <v>789</v>
      </c>
      <c r="E728" s="893"/>
      <c r="F728" s="893"/>
      <c r="G728" s="1"/>
      <c r="H728" s="125"/>
      <c r="I728" s="16"/>
      <c r="J728" s="125"/>
      <c r="K728" s="125"/>
      <c r="L728" s="1"/>
      <c r="M728" s="1"/>
      <c r="N728" s="1"/>
      <c r="O728" s="1"/>
      <c r="P728" s="1"/>
      <c r="Q728" s="1"/>
      <c r="R728" s="1"/>
      <c r="S728" s="1"/>
      <c r="T728" s="1"/>
      <c r="U728" s="1"/>
      <c r="V728" s="1"/>
      <c r="W728" s="1"/>
      <c r="X728" s="1"/>
      <c r="Y728" s="1"/>
      <c r="Z728" s="1"/>
    </row>
    <row r="729" spans="1:26" ht="12.75" customHeight="1">
      <c r="A729" s="20"/>
      <c r="B729" s="20"/>
      <c r="C729" s="16"/>
      <c r="D729" s="915" t="s">
        <v>791</v>
      </c>
      <c r="E729" s="893"/>
      <c r="F729" s="893"/>
      <c r="G729" s="1"/>
      <c r="H729" s="125"/>
      <c r="I729" s="16"/>
      <c r="J729" s="125"/>
      <c r="K729" s="125"/>
      <c r="L729" s="1"/>
      <c r="M729" s="1"/>
      <c r="N729" s="1"/>
      <c r="O729" s="1"/>
      <c r="P729" s="1"/>
      <c r="Q729" s="1"/>
      <c r="R729" s="1"/>
      <c r="S729" s="1"/>
      <c r="T729" s="1"/>
      <c r="U729" s="1"/>
      <c r="V729" s="1"/>
      <c r="W729" s="1"/>
      <c r="X729" s="1"/>
      <c r="Y729" s="1"/>
      <c r="Z729" s="1"/>
    </row>
    <row r="730" spans="1:26" ht="12.75" customHeight="1">
      <c r="A730" s="16"/>
      <c r="B730" s="16"/>
      <c r="C730" s="16"/>
      <c r="D730" s="1"/>
      <c r="E730" s="18" t="s">
        <v>792</v>
      </c>
      <c r="F730" s="8"/>
      <c r="G730" s="1"/>
      <c r="H730" s="125"/>
      <c r="I730" s="16"/>
      <c r="J730" s="125"/>
      <c r="K730" s="125"/>
      <c r="L730" s="1"/>
      <c r="M730" s="1"/>
      <c r="N730" s="1"/>
      <c r="O730" s="1"/>
      <c r="P730" s="1"/>
      <c r="Q730" s="1"/>
      <c r="R730" s="1"/>
      <c r="S730" s="1"/>
      <c r="T730" s="1"/>
      <c r="U730" s="1"/>
      <c r="V730" s="1"/>
      <c r="W730" s="1"/>
      <c r="X730" s="1"/>
      <c r="Y730" s="1"/>
      <c r="Z730" s="1"/>
    </row>
    <row r="731" spans="1:26" ht="12.75" customHeight="1">
      <c r="A731" s="16"/>
      <c r="B731" s="16"/>
      <c r="C731" s="16"/>
      <c r="D731" s="8"/>
      <c r="E731" s="1"/>
      <c r="F731" s="1"/>
      <c r="G731" s="1"/>
      <c r="H731" s="125"/>
      <c r="I731" s="16"/>
      <c r="J731" s="125"/>
      <c r="K731" s="125"/>
      <c r="L731" s="1"/>
      <c r="M731" s="1"/>
      <c r="N731" s="1"/>
      <c r="O731" s="1"/>
      <c r="P731" s="1"/>
      <c r="Q731" s="1"/>
      <c r="R731" s="1"/>
      <c r="S731" s="1"/>
      <c r="T731" s="1"/>
      <c r="U731" s="1"/>
      <c r="V731" s="1"/>
      <c r="W731" s="1"/>
      <c r="X731" s="1"/>
      <c r="Y731" s="1"/>
      <c r="Z731" s="1"/>
    </row>
    <row r="732" spans="1:26" ht="12.75" customHeight="1">
      <c r="A732" s="20"/>
      <c r="B732" s="21" t="s">
        <v>27</v>
      </c>
      <c r="C732" s="16"/>
      <c r="D732" s="895" t="s">
        <v>794</v>
      </c>
      <c r="E732" s="893"/>
      <c r="F732" s="893"/>
      <c r="G732" s="1"/>
      <c r="H732" s="125"/>
      <c r="I732" s="16"/>
      <c r="J732" s="125"/>
      <c r="K732" s="125"/>
      <c r="L732" s="1"/>
      <c r="M732" s="1"/>
      <c r="N732" s="1"/>
      <c r="O732" s="1"/>
      <c r="P732" s="1"/>
      <c r="Q732" s="1"/>
      <c r="R732" s="1"/>
      <c r="S732" s="1"/>
      <c r="T732" s="1"/>
      <c r="U732" s="1"/>
      <c r="V732" s="1"/>
      <c r="W732" s="1"/>
      <c r="X732" s="1"/>
      <c r="Y732" s="1"/>
      <c r="Z732" s="1"/>
    </row>
    <row r="733" spans="1:26" ht="12.75" customHeight="1">
      <c r="A733" s="16"/>
      <c r="B733" s="16"/>
      <c r="C733" s="16"/>
      <c r="D733" s="893"/>
      <c r="E733" s="893"/>
      <c r="F733" s="893"/>
      <c r="G733" s="1"/>
      <c r="H733" s="125"/>
      <c r="I733" s="16"/>
      <c r="J733" s="125"/>
      <c r="K733" s="125"/>
      <c r="L733" s="1"/>
      <c r="M733" s="1"/>
      <c r="N733" s="1"/>
      <c r="O733" s="1"/>
      <c r="P733" s="1"/>
      <c r="Q733" s="1"/>
      <c r="R733" s="1"/>
      <c r="S733" s="1"/>
      <c r="T733" s="1"/>
      <c r="U733" s="1"/>
      <c r="V733" s="1"/>
      <c r="W733" s="1"/>
      <c r="X733" s="1"/>
      <c r="Y733" s="1"/>
      <c r="Z733" s="1"/>
    </row>
    <row r="734" spans="1:26" ht="12.75" customHeight="1">
      <c r="A734" s="16"/>
      <c r="B734" s="16"/>
      <c r="C734" s="16"/>
      <c r="D734" s="893"/>
      <c r="E734" s="893"/>
      <c r="F734" s="893"/>
      <c r="G734" s="1"/>
      <c r="H734" s="125"/>
      <c r="I734" s="16"/>
      <c r="J734" s="125"/>
      <c r="K734" s="125"/>
      <c r="L734" s="1"/>
      <c r="M734" s="1"/>
      <c r="N734" s="1"/>
      <c r="O734" s="1"/>
      <c r="P734" s="1"/>
      <c r="Q734" s="1"/>
      <c r="R734" s="1"/>
      <c r="S734" s="1"/>
      <c r="T734" s="1"/>
      <c r="U734" s="1"/>
      <c r="V734" s="1"/>
      <c r="W734" s="1"/>
      <c r="X734" s="1"/>
      <c r="Y734" s="1"/>
      <c r="Z734" s="1"/>
    </row>
    <row r="735" spans="1:26" ht="12.75" customHeight="1">
      <c r="A735" s="16"/>
      <c r="B735" s="16"/>
      <c r="C735" s="16"/>
      <c r="D735" s="893"/>
      <c r="E735" s="893"/>
      <c r="F735" s="893"/>
      <c r="G735" s="1"/>
      <c r="H735" s="125"/>
      <c r="I735" s="16"/>
      <c r="J735" s="125"/>
      <c r="K735" s="125"/>
      <c r="L735" s="1"/>
      <c r="M735" s="1"/>
      <c r="N735" s="1"/>
      <c r="O735" s="1"/>
      <c r="P735" s="1"/>
      <c r="Q735" s="1"/>
      <c r="R735" s="1"/>
      <c r="S735" s="1"/>
      <c r="T735" s="1"/>
      <c r="U735" s="1"/>
      <c r="V735" s="1"/>
      <c r="W735" s="1"/>
      <c r="X735" s="1"/>
      <c r="Y735" s="1"/>
      <c r="Z735" s="1"/>
    </row>
    <row r="736" spans="1:26" ht="12.75" customHeight="1">
      <c r="A736" s="16"/>
      <c r="B736" s="16"/>
      <c r="C736" s="16"/>
      <c r="D736" s="893"/>
      <c r="E736" s="893"/>
      <c r="F736" s="893"/>
      <c r="G736" s="1"/>
      <c r="H736" s="125"/>
      <c r="I736" s="16"/>
      <c r="J736" s="125"/>
      <c r="K736" s="125"/>
      <c r="L736" s="1"/>
      <c r="M736" s="1"/>
      <c r="N736" s="1"/>
      <c r="O736" s="1"/>
      <c r="P736" s="1"/>
      <c r="Q736" s="1"/>
      <c r="R736" s="1"/>
      <c r="S736" s="1"/>
      <c r="T736" s="1"/>
      <c r="U736" s="1"/>
      <c r="V736" s="1"/>
      <c r="W736" s="1"/>
      <c r="X736" s="1"/>
      <c r="Y736" s="1"/>
      <c r="Z736" s="1"/>
    </row>
    <row r="737" spans="1:26" ht="12.75" customHeight="1">
      <c r="A737" s="16"/>
      <c r="B737" s="16"/>
      <c r="C737" s="16"/>
      <c r="D737" s="893"/>
      <c r="E737" s="893"/>
      <c r="F737" s="893"/>
      <c r="G737" s="1"/>
      <c r="H737" s="125"/>
      <c r="I737" s="16"/>
      <c r="J737" s="125"/>
      <c r="K737" s="125"/>
      <c r="L737" s="1"/>
      <c r="M737" s="1"/>
      <c r="N737" s="1"/>
      <c r="O737" s="1"/>
      <c r="P737" s="1"/>
      <c r="Q737" s="1"/>
      <c r="R737" s="1"/>
      <c r="S737" s="1"/>
      <c r="T737" s="1"/>
      <c r="U737" s="1"/>
      <c r="V737" s="1"/>
      <c r="W737" s="1"/>
      <c r="X737" s="1"/>
      <c r="Y737" s="1"/>
      <c r="Z737" s="1"/>
    </row>
    <row r="738" spans="1:26" ht="12.75" customHeight="1">
      <c r="A738" s="16"/>
      <c r="B738" s="16"/>
      <c r="C738" s="16"/>
      <c r="D738" s="11"/>
      <c r="E738" s="11"/>
      <c r="F738" s="11"/>
      <c r="G738" s="1"/>
      <c r="H738" s="125"/>
      <c r="I738" s="16"/>
      <c r="J738" s="125"/>
      <c r="K738" s="125"/>
      <c r="L738" s="1"/>
      <c r="M738" s="1"/>
      <c r="N738" s="1"/>
      <c r="O738" s="1"/>
      <c r="P738" s="1"/>
      <c r="Q738" s="1"/>
      <c r="R738" s="1"/>
      <c r="S738" s="1"/>
      <c r="T738" s="1"/>
      <c r="U738" s="1"/>
      <c r="V738" s="1"/>
      <c r="W738" s="1"/>
      <c r="X738" s="1"/>
      <c r="Y738" s="1"/>
      <c r="Z738" s="1"/>
    </row>
    <row r="739" spans="1:26" ht="12.75" customHeight="1">
      <c r="A739" s="16"/>
      <c r="B739" s="21" t="s">
        <v>27</v>
      </c>
      <c r="C739" s="16"/>
      <c r="D739" s="895" t="s">
        <v>800</v>
      </c>
      <c r="E739" s="893"/>
      <c r="F739" s="893"/>
      <c r="G739" s="1"/>
      <c r="H739" s="125"/>
      <c r="I739" s="16"/>
      <c r="J739" s="125"/>
      <c r="K739" s="125"/>
      <c r="L739" s="1"/>
      <c r="M739" s="1"/>
      <c r="N739" s="1"/>
      <c r="O739" s="1"/>
      <c r="P739" s="1"/>
      <c r="Q739" s="1"/>
      <c r="R739" s="1"/>
      <c r="S739" s="1"/>
      <c r="T739" s="1"/>
      <c r="U739" s="1"/>
      <c r="V739" s="1"/>
      <c r="W739" s="1"/>
      <c r="X739" s="1"/>
      <c r="Y739" s="1"/>
      <c r="Z739" s="1"/>
    </row>
    <row r="740" spans="1:26" ht="12.75" customHeight="1">
      <c r="A740" s="16"/>
      <c r="B740" s="16"/>
      <c r="C740" s="16"/>
      <c r="D740" s="893"/>
      <c r="E740" s="893"/>
      <c r="F740" s="893"/>
      <c r="G740" s="1"/>
      <c r="H740" s="125"/>
      <c r="I740" s="16"/>
      <c r="J740" s="125"/>
      <c r="K740" s="125"/>
      <c r="L740" s="1"/>
      <c r="M740" s="1"/>
      <c r="N740" s="1"/>
      <c r="O740" s="1"/>
      <c r="P740" s="1"/>
      <c r="Q740" s="1"/>
      <c r="R740" s="1"/>
      <c r="S740" s="1"/>
      <c r="T740" s="1"/>
      <c r="U740" s="1"/>
      <c r="V740" s="1"/>
      <c r="W740" s="1"/>
      <c r="X740" s="1"/>
      <c r="Y740" s="1"/>
      <c r="Z740" s="1"/>
    </row>
    <row r="741" spans="1:26" ht="12.75" customHeight="1">
      <c r="A741" s="16"/>
      <c r="B741" s="16"/>
      <c r="C741" s="16"/>
      <c r="D741" s="11"/>
      <c r="E741" s="11"/>
      <c r="F741" s="11"/>
      <c r="G741" s="1"/>
      <c r="H741" s="125"/>
      <c r="I741" s="16"/>
      <c r="J741" s="125"/>
      <c r="K741" s="125"/>
      <c r="L741" s="1"/>
      <c r="M741" s="1"/>
      <c r="N741" s="1"/>
      <c r="O741" s="1"/>
      <c r="P741" s="1"/>
      <c r="Q741" s="1"/>
      <c r="R741" s="1"/>
      <c r="S741" s="1"/>
      <c r="T741" s="1"/>
      <c r="U741" s="1"/>
      <c r="V741" s="1"/>
      <c r="W741" s="1"/>
      <c r="X741" s="1"/>
      <c r="Y741" s="1"/>
      <c r="Z741" s="1"/>
    </row>
    <row r="742" spans="1:26" ht="12.75" customHeight="1">
      <c r="A742" s="20"/>
      <c r="B742" s="21" t="s">
        <v>27</v>
      </c>
      <c r="C742" s="16"/>
      <c r="D742" s="895" t="s">
        <v>804</v>
      </c>
      <c r="E742" s="893"/>
      <c r="F742" s="893"/>
      <c r="G742" s="1"/>
      <c r="H742" s="125"/>
      <c r="I742" s="16"/>
      <c r="J742" s="125"/>
      <c r="K742" s="125"/>
      <c r="L742" s="1"/>
      <c r="M742" s="1"/>
      <c r="N742" s="1"/>
      <c r="O742" s="1"/>
      <c r="P742" s="1"/>
      <c r="Q742" s="1"/>
      <c r="R742" s="1"/>
      <c r="S742" s="1"/>
      <c r="T742" s="1"/>
      <c r="U742" s="1"/>
      <c r="V742" s="1"/>
      <c r="W742" s="1"/>
      <c r="X742" s="1"/>
      <c r="Y742" s="1"/>
      <c r="Z742" s="1"/>
    </row>
    <row r="743" spans="1:26" ht="12.75" customHeight="1">
      <c r="A743" s="16"/>
      <c r="B743" s="16"/>
      <c r="C743" s="16"/>
      <c r="D743" s="893"/>
      <c r="E743" s="893"/>
      <c r="F743" s="893"/>
      <c r="G743" s="1"/>
      <c r="H743" s="125"/>
      <c r="I743" s="16"/>
      <c r="J743" s="125"/>
      <c r="K743" s="125"/>
      <c r="L743" s="1"/>
      <c r="M743" s="1"/>
      <c r="N743" s="1"/>
      <c r="O743" s="1"/>
      <c r="P743" s="1"/>
      <c r="Q743" s="1"/>
      <c r="R743" s="1"/>
      <c r="S743" s="1"/>
      <c r="T743" s="1"/>
      <c r="U743" s="1"/>
      <c r="V743" s="1"/>
      <c r="W743" s="1"/>
      <c r="X743" s="1"/>
      <c r="Y743" s="1"/>
      <c r="Z743" s="1"/>
    </row>
    <row r="744" spans="1:26" ht="12.75" customHeight="1">
      <c r="A744" s="16"/>
      <c r="B744" s="16"/>
      <c r="C744" s="16"/>
      <c r="D744" s="893"/>
      <c r="E744" s="893"/>
      <c r="F744" s="893"/>
      <c r="G744" s="1"/>
      <c r="H744" s="125"/>
      <c r="I744" s="16"/>
      <c r="J744" s="125"/>
      <c r="K744" s="125"/>
      <c r="L744" s="1"/>
      <c r="M744" s="1"/>
      <c r="N744" s="1"/>
      <c r="O744" s="1"/>
      <c r="P744" s="1"/>
      <c r="Q744" s="1"/>
      <c r="R744" s="1"/>
      <c r="S744" s="1"/>
      <c r="T744" s="1"/>
      <c r="U744" s="1"/>
      <c r="V744" s="1"/>
      <c r="W744" s="1"/>
      <c r="X744" s="1"/>
      <c r="Y744" s="1"/>
      <c r="Z744" s="1"/>
    </row>
    <row r="745" spans="1:26" ht="15" customHeight="1">
      <c r="A745" s="16"/>
      <c r="B745" s="16"/>
      <c r="C745" s="16"/>
      <c r="D745" s="893"/>
      <c r="E745" s="893"/>
      <c r="F745" s="893"/>
      <c r="G745" s="1"/>
      <c r="H745" s="125"/>
      <c r="I745" s="16"/>
      <c r="J745" s="125"/>
      <c r="K745" s="125"/>
      <c r="L745" s="1"/>
      <c r="M745" s="1"/>
      <c r="N745" s="1"/>
      <c r="O745" s="1"/>
      <c r="P745" s="1"/>
      <c r="Q745" s="1"/>
      <c r="R745" s="1"/>
      <c r="S745" s="1"/>
      <c r="T745" s="1"/>
      <c r="U745" s="1"/>
      <c r="V745" s="1"/>
      <c r="W745" s="1"/>
      <c r="X745" s="1"/>
      <c r="Y745" s="1"/>
      <c r="Z745" s="1"/>
    </row>
    <row r="746" spans="1:26" ht="15" customHeight="1">
      <c r="A746" s="16"/>
      <c r="B746" s="16"/>
      <c r="C746" s="16"/>
      <c r="D746" s="893"/>
      <c r="E746" s="893"/>
      <c r="F746" s="893"/>
      <c r="G746" s="1"/>
      <c r="H746" s="125"/>
      <c r="I746" s="16"/>
      <c r="J746" s="125"/>
      <c r="K746" s="125"/>
      <c r="L746" s="1"/>
      <c r="M746" s="1"/>
      <c r="N746" s="1"/>
      <c r="O746" s="1"/>
      <c r="P746" s="1"/>
      <c r="Q746" s="1"/>
      <c r="R746" s="1"/>
      <c r="S746" s="1"/>
      <c r="T746" s="1"/>
      <c r="U746" s="1"/>
      <c r="V746" s="1"/>
      <c r="W746" s="1"/>
      <c r="X746" s="1"/>
      <c r="Y746" s="1"/>
      <c r="Z746" s="1"/>
    </row>
    <row r="747" spans="1:26" ht="12.75" customHeight="1">
      <c r="A747" s="16"/>
      <c r="B747" s="16"/>
      <c r="C747" s="16"/>
      <c r="D747" s="893"/>
      <c r="E747" s="893"/>
      <c r="F747" s="893"/>
      <c r="G747" s="1"/>
      <c r="H747" s="125"/>
      <c r="I747" s="16"/>
      <c r="J747" s="125"/>
      <c r="K747" s="125"/>
      <c r="L747" s="1"/>
      <c r="M747" s="1"/>
      <c r="N747" s="1"/>
      <c r="O747" s="1"/>
      <c r="P747" s="1"/>
      <c r="Q747" s="1"/>
      <c r="R747" s="1"/>
      <c r="S747" s="1"/>
      <c r="T747" s="1"/>
      <c r="U747" s="1"/>
      <c r="V747" s="1"/>
      <c r="W747" s="1"/>
      <c r="X747" s="1"/>
      <c r="Y747" s="1"/>
      <c r="Z747" s="1"/>
    </row>
    <row r="748" spans="1:26" ht="12.75" customHeight="1">
      <c r="A748" s="16"/>
      <c r="B748" s="16"/>
      <c r="C748" s="16"/>
      <c r="D748" s="893"/>
      <c r="E748" s="893"/>
      <c r="F748" s="893"/>
      <c r="G748" s="1"/>
      <c r="H748" s="125"/>
      <c r="I748" s="16"/>
      <c r="J748" s="125"/>
      <c r="K748" s="125"/>
      <c r="L748" s="1"/>
      <c r="M748" s="1"/>
      <c r="N748" s="1"/>
      <c r="O748" s="1"/>
      <c r="P748" s="1"/>
      <c r="Q748" s="1"/>
      <c r="R748" s="1"/>
      <c r="S748" s="1"/>
      <c r="T748" s="1"/>
      <c r="U748" s="1"/>
      <c r="V748" s="1"/>
      <c r="W748" s="1"/>
      <c r="X748" s="1"/>
      <c r="Y748" s="1"/>
      <c r="Z748" s="1"/>
    </row>
    <row r="749" spans="1:26" ht="12.75" customHeight="1">
      <c r="A749" s="16"/>
      <c r="B749" s="16"/>
      <c r="C749" s="16"/>
      <c r="D749" s="893"/>
      <c r="E749" s="893"/>
      <c r="F749" s="893"/>
      <c r="G749" s="1"/>
      <c r="H749" s="125"/>
      <c r="I749" s="16"/>
      <c r="J749" s="125"/>
      <c r="K749" s="125"/>
      <c r="L749" s="1"/>
      <c r="M749" s="1"/>
      <c r="N749" s="1"/>
      <c r="O749" s="1"/>
      <c r="P749" s="1"/>
      <c r="Q749" s="1"/>
      <c r="R749" s="1"/>
      <c r="S749" s="1"/>
      <c r="T749" s="1"/>
      <c r="U749" s="1"/>
      <c r="V749" s="1"/>
      <c r="W749" s="1"/>
      <c r="X749" s="1"/>
      <c r="Y749" s="1"/>
      <c r="Z749" s="1"/>
    </row>
    <row r="750" spans="1:26" ht="15" customHeight="1">
      <c r="A750" s="16"/>
      <c r="B750" s="16"/>
      <c r="C750" s="16"/>
      <c r="D750" s="893"/>
      <c r="E750" s="893"/>
      <c r="F750" s="893"/>
      <c r="G750" s="1"/>
      <c r="H750" s="125"/>
      <c r="I750" s="16"/>
      <c r="J750" s="125"/>
      <c r="K750" s="125"/>
      <c r="L750" s="1"/>
      <c r="M750" s="1"/>
      <c r="N750" s="1"/>
      <c r="O750" s="1"/>
      <c r="P750" s="1"/>
      <c r="Q750" s="1"/>
      <c r="R750" s="1"/>
      <c r="S750" s="1"/>
      <c r="T750" s="1"/>
      <c r="U750" s="1"/>
      <c r="V750" s="1"/>
      <c r="W750" s="1"/>
      <c r="X750" s="1"/>
      <c r="Y750" s="1"/>
      <c r="Z750" s="1"/>
    </row>
    <row r="751" spans="1:26" ht="12.75" customHeight="1">
      <c r="A751" s="16"/>
      <c r="B751" s="16"/>
      <c r="C751" s="16"/>
      <c r="D751" s="893"/>
      <c r="E751" s="893"/>
      <c r="F751" s="893"/>
      <c r="G751" s="1"/>
      <c r="H751" s="125"/>
      <c r="I751" s="16"/>
      <c r="J751" s="125"/>
      <c r="K751" s="125"/>
      <c r="L751" s="1"/>
      <c r="M751" s="1"/>
      <c r="N751" s="1"/>
      <c r="O751" s="1"/>
      <c r="P751" s="1"/>
      <c r="Q751" s="1"/>
      <c r="R751" s="1"/>
      <c r="S751" s="1"/>
      <c r="T751" s="1"/>
      <c r="U751" s="1"/>
      <c r="V751" s="1"/>
      <c r="W751" s="1"/>
      <c r="X751" s="1"/>
      <c r="Y751" s="1"/>
      <c r="Z751" s="1"/>
    </row>
    <row r="752" spans="1:26" ht="12.75" customHeight="1">
      <c r="A752" s="16"/>
      <c r="B752" s="16"/>
      <c r="C752" s="16"/>
      <c r="D752" s="893"/>
      <c r="E752" s="893"/>
      <c r="F752" s="893"/>
      <c r="G752" s="1"/>
      <c r="H752" s="125"/>
      <c r="I752" s="16"/>
      <c r="J752" s="125"/>
      <c r="K752" s="125"/>
      <c r="L752" s="1"/>
      <c r="M752" s="1"/>
      <c r="N752" s="1"/>
      <c r="O752" s="1"/>
      <c r="P752" s="1"/>
      <c r="Q752" s="1"/>
      <c r="R752" s="1"/>
      <c r="S752" s="1"/>
      <c r="T752" s="1"/>
      <c r="U752" s="1"/>
      <c r="V752" s="1"/>
      <c r="W752" s="1"/>
      <c r="X752" s="1"/>
      <c r="Y752" s="1"/>
      <c r="Z752" s="1"/>
    </row>
    <row r="753" spans="1:26" ht="12.75" customHeight="1">
      <c r="A753" s="16"/>
      <c r="B753" s="16"/>
      <c r="C753" s="16"/>
      <c r="D753" s="893"/>
      <c r="E753" s="893"/>
      <c r="F753" s="893"/>
      <c r="G753" s="1"/>
      <c r="H753" s="125"/>
      <c r="I753" s="16"/>
      <c r="J753" s="125"/>
      <c r="K753" s="125"/>
      <c r="L753" s="1"/>
      <c r="M753" s="1"/>
      <c r="N753" s="1"/>
      <c r="O753" s="1"/>
      <c r="P753" s="1"/>
      <c r="Q753" s="1"/>
      <c r="R753" s="1"/>
      <c r="S753" s="1"/>
      <c r="T753" s="1"/>
      <c r="U753" s="1"/>
      <c r="V753" s="1"/>
      <c r="W753" s="1"/>
      <c r="X753" s="1"/>
      <c r="Y753" s="1"/>
      <c r="Z753" s="1"/>
    </row>
    <row r="754" spans="1:26" ht="12.75" customHeight="1">
      <c r="A754" s="16"/>
      <c r="B754" s="16"/>
      <c r="C754" s="16"/>
      <c r="D754" s="893"/>
      <c r="E754" s="893"/>
      <c r="F754" s="893"/>
      <c r="G754" s="1"/>
      <c r="H754" s="125"/>
      <c r="I754" s="16"/>
      <c r="J754" s="125"/>
      <c r="K754" s="125"/>
      <c r="L754" s="1"/>
      <c r="M754" s="1"/>
      <c r="N754" s="1"/>
      <c r="O754" s="1"/>
      <c r="P754" s="1"/>
      <c r="Q754" s="1"/>
      <c r="R754" s="1"/>
      <c r="S754" s="1"/>
      <c r="T754" s="1"/>
      <c r="U754" s="1"/>
      <c r="V754" s="1"/>
      <c r="W754" s="1"/>
      <c r="X754" s="1"/>
      <c r="Y754" s="1"/>
      <c r="Z754" s="1"/>
    </row>
    <row r="755" spans="1:26" ht="12.75" customHeight="1">
      <c r="A755" s="16"/>
      <c r="B755" s="21" t="s">
        <v>27</v>
      </c>
      <c r="C755" s="16"/>
      <c r="D755" s="895" t="s">
        <v>807</v>
      </c>
      <c r="E755" s="893"/>
      <c r="F755" s="893"/>
      <c r="G755" s="1"/>
      <c r="H755" s="125"/>
      <c r="I755" s="16"/>
      <c r="J755" s="125"/>
      <c r="K755" s="125"/>
      <c r="L755" s="1"/>
      <c r="M755" s="1"/>
      <c r="N755" s="1"/>
      <c r="O755" s="1"/>
      <c r="P755" s="1"/>
      <c r="Q755" s="1"/>
      <c r="R755" s="1"/>
      <c r="S755" s="1"/>
      <c r="T755" s="1"/>
      <c r="U755" s="1"/>
      <c r="V755" s="1"/>
      <c r="W755" s="1"/>
      <c r="X755" s="1"/>
      <c r="Y755" s="1"/>
      <c r="Z755" s="1"/>
    </row>
    <row r="756" spans="1:26" ht="12.75" customHeight="1">
      <c r="A756" s="16"/>
      <c r="B756" s="16"/>
      <c r="C756" s="16"/>
      <c r="D756" s="893"/>
      <c r="E756" s="893"/>
      <c r="F756" s="893"/>
      <c r="G756" s="1"/>
      <c r="H756" s="125"/>
      <c r="I756" s="16"/>
      <c r="J756" s="125"/>
      <c r="K756" s="125"/>
      <c r="L756" s="1"/>
      <c r="M756" s="1"/>
      <c r="N756" s="1"/>
      <c r="O756" s="1"/>
      <c r="P756" s="1"/>
      <c r="Q756" s="1"/>
      <c r="R756" s="1"/>
      <c r="S756" s="1"/>
      <c r="T756" s="1"/>
      <c r="U756" s="1"/>
      <c r="V756" s="1"/>
      <c r="W756" s="1"/>
      <c r="X756" s="1"/>
      <c r="Y756" s="1"/>
      <c r="Z756" s="1"/>
    </row>
    <row r="757" spans="1:26" ht="12.75" customHeight="1">
      <c r="A757" s="16"/>
      <c r="B757" s="16"/>
      <c r="C757" s="16"/>
      <c r="D757" s="893"/>
      <c r="E757" s="893"/>
      <c r="F757" s="893"/>
      <c r="G757" s="1"/>
      <c r="H757" s="125"/>
      <c r="I757" s="16"/>
      <c r="J757" s="125"/>
      <c r="K757" s="125"/>
      <c r="L757" s="1"/>
      <c r="M757" s="1"/>
      <c r="N757" s="1"/>
      <c r="O757" s="1"/>
      <c r="P757" s="1"/>
      <c r="Q757" s="1"/>
      <c r="R757" s="1"/>
      <c r="S757" s="1"/>
      <c r="T757" s="1"/>
      <c r="U757" s="1"/>
      <c r="V757" s="1"/>
      <c r="W757" s="1"/>
      <c r="X757" s="1"/>
      <c r="Y757" s="1"/>
      <c r="Z757" s="1"/>
    </row>
    <row r="758" spans="1:26" ht="12.75" customHeight="1">
      <c r="A758" s="16"/>
      <c r="B758" s="16"/>
      <c r="C758" s="16"/>
      <c r="D758" s="11"/>
      <c r="E758" s="11"/>
      <c r="F758" s="11"/>
      <c r="G758" s="1"/>
      <c r="H758" s="125"/>
      <c r="I758" s="16"/>
      <c r="J758" s="125"/>
      <c r="K758" s="125"/>
      <c r="L758" s="1"/>
      <c r="M758" s="1"/>
      <c r="N758" s="1"/>
      <c r="O758" s="1"/>
      <c r="P758" s="1"/>
      <c r="Q758" s="1"/>
      <c r="R758" s="1"/>
      <c r="S758" s="1"/>
      <c r="T758" s="1"/>
      <c r="U758" s="1"/>
      <c r="V758" s="1"/>
      <c r="W758" s="1"/>
      <c r="X758" s="1"/>
      <c r="Y758" s="1"/>
      <c r="Z758" s="1"/>
    </row>
    <row r="759" spans="1:26" ht="12.75" customHeight="1">
      <c r="A759" s="16"/>
      <c r="B759" s="21" t="s">
        <v>27</v>
      </c>
      <c r="C759" s="16"/>
      <c r="D759" s="895" t="s">
        <v>811</v>
      </c>
      <c r="E759" s="893"/>
      <c r="F759" s="893"/>
      <c r="G759" s="1"/>
      <c r="H759" s="125"/>
      <c r="I759" s="16"/>
      <c r="J759" s="125"/>
      <c r="K759" s="125"/>
      <c r="L759" s="1"/>
      <c r="M759" s="1"/>
      <c r="N759" s="1"/>
      <c r="O759" s="1"/>
      <c r="P759" s="1"/>
      <c r="Q759" s="1"/>
      <c r="R759" s="1"/>
      <c r="S759" s="1"/>
      <c r="T759" s="1"/>
      <c r="U759" s="1"/>
      <c r="V759" s="1"/>
      <c r="W759" s="1"/>
      <c r="X759" s="1"/>
      <c r="Y759" s="1"/>
      <c r="Z759" s="1"/>
    </row>
    <row r="760" spans="1:26" ht="12.75" customHeight="1">
      <c r="A760" s="16"/>
      <c r="B760" s="16"/>
      <c r="C760" s="16"/>
      <c r="D760" s="893"/>
      <c r="E760" s="893"/>
      <c r="F760" s="893"/>
      <c r="G760" s="1"/>
      <c r="H760" s="125"/>
      <c r="I760" s="16"/>
      <c r="J760" s="125"/>
      <c r="K760" s="125"/>
      <c r="L760" s="1"/>
      <c r="M760" s="1"/>
      <c r="N760" s="1"/>
      <c r="O760" s="1"/>
      <c r="P760" s="1"/>
      <c r="Q760" s="1"/>
      <c r="R760" s="1"/>
      <c r="S760" s="1"/>
      <c r="T760" s="1"/>
      <c r="U760" s="1"/>
      <c r="V760" s="1"/>
      <c r="W760" s="1"/>
      <c r="X760" s="1"/>
      <c r="Y760" s="1"/>
      <c r="Z760" s="1"/>
    </row>
    <row r="761" spans="1:26" ht="12.75" customHeight="1">
      <c r="A761" s="16"/>
      <c r="B761" s="16"/>
      <c r="C761" s="16"/>
      <c r="D761" s="893"/>
      <c r="E761" s="893"/>
      <c r="F761" s="893"/>
      <c r="G761" s="1"/>
      <c r="H761" s="125"/>
      <c r="I761" s="16"/>
      <c r="J761" s="125"/>
      <c r="K761" s="125"/>
      <c r="L761" s="1"/>
      <c r="M761" s="1"/>
      <c r="N761" s="1"/>
      <c r="O761" s="1"/>
      <c r="P761" s="1"/>
      <c r="Q761" s="1"/>
      <c r="R761" s="1"/>
      <c r="S761" s="1"/>
      <c r="T761" s="1"/>
      <c r="U761" s="1"/>
      <c r="V761" s="1"/>
      <c r="W761" s="1"/>
      <c r="X761" s="1"/>
      <c r="Y761" s="1"/>
      <c r="Z761" s="1"/>
    </row>
    <row r="762" spans="1:26" ht="12.75" customHeight="1">
      <c r="A762" s="16"/>
      <c r="B762" s="16"/>
      <c r="C762" s="16"/>
      <c r="D762" s="1"/>
      <c r="E762" s="1"/>
      <c r="F762" s="1"/>
      <c r="G762" s="1"/>
      <c r="H762" s="125"/>
      <c r="I762" s="16"/>
      <c r="J762" s="125"/>
      <c r="K762" s="125"/>
      <c r="L762" s="1"/>
      <c r="M762" s="1"/>
      <c r="N762" s="1"/>
      <c r="O762" s="1"/>
      <c r="P762" s="1"/>
      <c r="Q762" s="1"/>
      <c r="R762" s="1"/>
      <c r="S762" s="1"/>
      <c r="T762" s="1"/>
      <c r="U762" s="1"/>
      <c r="V762" s="1"/>
      <c r="W762" s="1"/>
      <c r="X762" s="1"/>
      <c r="Y762" s="1"/>
      <c r="Z762" s="1"/>
    </row>
    <row r="763" spans="1:26" ht="12.75" customHeight="1">
      <c r="A763" s="16"/>
      <c r="B763" s="21" t="s">
        <v>27</v>
      </c>
      <c r="C763" s="16"/>
      <c r="D763" s="895" t="s">
        <v>814</v>
      </c>
      <c r="E763" s="893"/>
      <c r="F763" s="893"/>
      <c r="G763" s="1"/>
      <c r="H763" s="125"/>
      <c r="I763" s="16"/>
      <c r="J763" s="125"/>
      <c r="K763" s="125"/>
      <c r="L763" s="1"/>
      <c r="M763" s="1"/>
      <c r="N763" s="1"/>
      <c r="O763" s="1"/>
      <c r="P763" s="1"/>
      <c r="Q763" s="1"/>
      <c r="R763" s="1"/>
      <c r="S763" s="1"/>
      <c r="T763" s="1"/>
      <c r="U763" s="1"/>
      <c r="V763" s="1"/>
      <c r="W763" s="1"/>
      <c r="X763" s="1"/>
      <c r="Y763" s="1"/>
      <c r="Z763" s="1"/>
    </row>
    <row r="764" spans="1:26" ht="12.75" customHeight="1">
      <c r="A764" s="16"/>
      <c r="B764" s="16"/>
      <c r="C764" s="16"/>
      <c r="D764" s="893"/>
      <c r="E764" s="893"/>
      <c r="F764" s="893"/>
      <c r="G764" s="1"/>
      <c r="H764" s="125"/>
      <c r="I764" s="16"/>
      <c r="J764" s="125"/>
      <c r="K764" s="125"/>
      <c r="L764" s="1"/>
      <c r="M764" s="1"/>
      <c r="N764" s="1"/>
      <c r="O764" s="1"/>
      <c r="P764" s="1"/>
      <c r="Q764" s="1"/>
      <c r="R764" s="1"/>
      <c r="S764" s="1"/>
      <c r="T764" s="1"/>
      <c r="U764" s="1"/>
      <c r="V764" s="1"/>
      <c r="W764" s="1"/>
      <c r="X764" s="1"/>
      <c r="Y764" s="1"/>
      <c r="Z764" s="1"/>
    </row>
    <row r="765" spans="1:26" ht="12.75" customHeight="1">
      <c r="A765" s="16"/>
      <c r="B765" s="16"/>
      <c r="C765" s="16"/>
      <c r="D765" s="893"/>
      <c r="E765" s="893"/>
      <c r="F765" s="893"/>
      <c r="G765" s="1"/>
      <c r="H765" s="125"/>
      <c r="I765" s="16"/>
      <c r="J765" s="125"/>
      <c r="K765" s="125"/>
      <c r="L765" s="1"/>
      <c r="M765" s="1"/>
      <c r="N765" s="1"/>
      <c r="O765" s="1"/>
      <c r="P765" s="1"/>
      <c r="Q765" s="1"/>
      <c r="R765" s="1"/>
      <c r="S765" s="1"/>
      <c r="T765" s="1"/>
      <c r="U765" s="1"/>
      <c r="V765" s="1"/>
      <c r="W765" s="1"/>
      <c r="X765" s="1"/>
      <c r="Y765" s="1"/>
      <c r="Z765" s="1"/>
    </row>
    <row r="766" spans="1:26" ht="12.75" customHeight="1">
      <c r="A766" s="16"/>
      <c r="B766" s="16"/>
      <c r="C766" s="16"/>
      <c r="D766" s="893"/>
      <c r="E766" s="893"/>
      <c r="F766" s="893"/>
      <c r="G766" s="1"/>
      <c r="H766" s="125"/>
      <c r="I766" s="16"/>
      <c r="J766" s="125"/>
      <c r="K766" s="125"/>
      <c r="L766" s="1"/>
      <c r="M766" s="1"/>
      <c r="N766" s="1"/>
      <c r="O766" s="1"/>
      <c r="P766" s="1"/>
      <c r="Q766" s="1"/>
      <c r="R766" s="1"/>
      <c r="S766" s="1"/>
      <c r="T766" s="1"/>
      <c r="U766" s="1"/>
      <c r="V766" s="1"/>
      <c r="W766" s="1"/>
      <c r="X766" s="1"/>
      <c r="Y766" s="1"/>
      <c r="Z766" s="1"/>
    </row>
    <row r="767" spans="1:26" ht="12.75" customHeight="1">
      <c r="A767" s="16"/>
      <c r="B767" s="16"/>
      <c r="C767" s="16"/>
      <c r="D767" s="1"/>
      <c r="E767" s="1"/>
      <c r="F767" s="1"/>
      <c r="G767" s="1"/>
      <c r="H767" s="125"/>
      <c r="I767" s="16"/>
      <c r="J767" s="125"/>
      <c r="K767" s="125"/>
      <c r="L767" s="1"/>
      <c r="M767" s="1"/>
      <c r="N767" s="1"/>
      <c r="O767" s="1"/>
      <c r="P767" s="1"/>
      <c r="Q767" s="1"/>
      <c r="R767" s="1"/>
      <c r="S767" s="1"/>
      <c r="T767" s="1"/>
      <c r="U767" s="1"/>
      <c r="V767" s="1"/>
      <c r="W767" s="1"/>
      <c r="X767" s="1"/>
      <c r="Y767" s="1"/>
      <c r="Z767" s="1"/>
    </row>
    <row r="768" spans="1:26" ht="12.75" customHeight="1">
      <c r="A768" s="20"/>
      <c r="B768" s="21" t="s">
        <v>27</v>
      </c>
      <c r="C768" s="16"/>
      <c r="D768" s="895" t="s">
        <v>822</v>
      </c>
      <c r="E768" s="893"/>
      <c r="F768" s="893"/>
      <c r="G768" s="1"/>
      <c r="H768" s="125"/>
      <c r="I768" s="16"/>
      <c r="J768" s="125"/>
      <c r="K768" s="125"/>
      <c r="L768" s="1"/>
      <c r="M768" s="1"/>
      <c r="N768" s="1"/>
      <c r="O768" s="1"/>
      <c r="P768" s="1"/>
      <c r="Q768" s="1"/>
      <c r="R768" s="1"/>
      <c r="S768" s="1"/>
      <c r="T768" s="1"/>
      <c r="U768" s="1"/>
      <c r="V768" s="1"/>
      <c r="W768" s="1"/>
      <c r="X768" s="1"/>
      <c r="Y768" s="1"/>
      <c r="Z768" s="1"/>
    </row>
    <row r="769" spans="1:26" ht="12.75" customHeight="1">
      <c r="A769" s="16"/>
      <c r="B769" s="16"/>
      <c r="C769" s="16"/>
      <c r="D769" s="893"/>
      <c r="E769" s="893"/>
      <c r="F769" s="893"/>
      <c r="G769" s="1"/>
      <c r="H769" s="125"/>
      <c r="I769" s="16"/>
      <c r="J769" s="125"/>
      <c r="K769" s="125"/>
      <c r="L769" s="1"/>
      <c r="M769" s="1"/>
      <c r="N769" s="1"/>
      <c r="O769" s="1"/>
      <c r="P769" s="1"/>
      <c r="Q769" s="1"/>
      <c r="R769" s="1"/>
      <c r="S769" s="1"/>
      <c r="T769" s="1"/>
      <c r="U769" s="1"/>
      <c r="V769" s="1"/>
      <c r="W769" s="1"/>
      <c r="X769" s="1"/>
      <c r="Y769" s="1"/>
      <c r="Z769" s="1"/>
    </row>
    <row r="770" spans="1:26" ht="12.75" customHeight="1">
      <c r="A770" s="16"/>
      <c r="B770" s="16"/>
      <c r="C770" s="16"/>
      <c r="D770" s="893"/>
      <c r="E770" s="893"/>
      <c r="F770" s="893"/>
      <c r="G770" s="1"/>
      <c r="H770" s="125"/>
      <c r="I770" s="16"/>
      <c r="J770" s="125"/>
      <c r="K770" s="125"/>
      <c r="L770" s="1"/>
      <c r="M770" s="1"/>
      <c r="N770" s="1"/>
      <c r="O770" s="1"/>
      <c r="P770" s="1"/>
      <c r="Q770" s="1"/>
      <c r="R770" s="1"/>
      <c r="S770" s="1"/>
      <c r="T770" s="1"/>
      <c r="U770" s="1"/>
      <c r="V770" s="1"/>
      <c r="W770" s="1"/>
      <c r="X770" s="1"/>
      <c r="Y770" s="1"/>
      <c r="Z770" s="1"/>
    </row>
    <row r="771" spans="1:26" ht="12.75" customHeight="1">
      <c r="A771" s="16"/>
      <c r="B771" s="16"/>
      <c r="C771" s="16"/>
      <c r="D771" s="893"/>
      <c r="E771" s="893"/>
      <c r="F771" s="893"/>
      <c r="G771" s="1"/>
      <c r="H771" s="125"/>
      <c r="I771" s="16"/>
      <c r="J771" s="125"/>
      <c r="K771" s="125"/>
      <c r="L771" s="1"/>
      <c r="M771" s="1"/>
      <c r="N771" s="1"/>
      <c r="O771" s="1"/>
      <c r="P771" s="1"/>
      <c r="Q771" s="1"/>
      <c r="R771" s="1"/>
      <c r="S771" s="1"/>
      <c r="T771" s="1"/>
      <c r="U771" s="1"/>
      <c r="V771" s="1"/>
      <c r="W771" s="1"/>
      <c r="X771" s="1"/>
      <c r="Y771" s="1"/>
      <c r="Z771" s="1"/>
    </row>
    <row r="772" spans="1:26" ht="12.75" customHeight="1">
      <c r="A772" s="16"/>
      <c r="B772" s="16"/>
      <c r="C772" s="16"/>
      <c r="D772" s="893"/>
      <c r="E772" s="893"/>
      <c r="F772" s="893"/>
      <c r="G772" s="1"/>
      <c r="H772" s="125"/>
      <c r="I772" s="16"/>
      <c r="J772" s="125"/>
      <c r="K772" s="125"/>
      <c r="L772" s="1"/>
      <c r="M772" s="1"/>
      <c r="N772" s="1"/>
      <c r="O772" s="1"/>
      <c r="P772" s="1"/>
      <c r="Q772" s="1"/>
      <c r="R772" s="1"/>
      <c r="S772" s="1"/>
      <c r="T772" s="1"/>
      <c r="U772" s="1"/>
      <c r="V772" s="1"/>
      <c r="W772" s="1"/>
      <c r="X772" s="1"/>
      <c r="Y772" s="1"/>
      <c r="Z772" s="1"/>
    </row>
    <row r="773" spans="1:26" ht="12.75" customHeight="1">
      <c r="A773" s="16"/>
      <c r="B773" s="16"/>
      <c r="C773" s="16"/>
      <c r="D773" s="17"/>
      <c r="E773" s="1"/>
      <c r="F773" s="1"/>
      <c r="G773" s="1"/>
      <c r="H773" s="125"/>
      <c r="I773" s="16"/>
      <c r="J773" s="125"/>
      <c r="K773" s="125"/>
      <c r="L773" s="1"/>
      <c r="M773" s="1"/>
      <c r="N773" s="1"/>
      <c r="O773" s="1"/>
      <c r="P773" s="1"/>
      <c r="Q773" s="1"/>
      <c r="R773" s="1"/>
      <c r="S773" s="1"/>
      <c r="T773" s="1"/>
      <c r="U773" s="1"/>
      <c r="V773" s="1"/>
      <c r="W773" s="1"/>
      <c r="X773" s="1"/>
      <c r="Y773" s="1"/>
      <c r="Z773" s="1"/>
    </row>
    <row r="774" spans="1:26" ht="12.75" customHeight="1">
      <c r="A774" s="20"/>
      <c r="B774" s="21" t="s">
        <v>27</v>
      </c>
      <c r="C774" s="16"/>
      <c r="D774" s="895" t="s">
        <v>827</v>
      </c>
      <c r="E774" s="893"/>
      <c r="F774" s="893"/>
      <c r="G774" s="1"/>
      <c r="H774" s="125"/>
      <c r="I774" s="16"/>
      <c r="J774" s="125"/>
      <c r="K774" s="125"/>
      <c r="L774" s="1"/>
      <c r="M774" s="1"/>
      <c r="N774" s="1"/>
      <c r="O774" s="1"/>
      <c r="P774" s="1"/>
      <c r="Q774" s="1"/>
      <c r="R774" s="1"/>
      <c r="S774" s="1"/>
      <c r="T774" s="1"/>
      <c r="U774" s="1"/>
      <c r="V774" s="1"/>
      <c r="W774" s="1"/>
      <c r="X774" s="1"/>
      <c r="Y774" s="1"/>
      <c r="Z774" s="1"/>
    </row>
    <row r="775" spans="1:26" ht="12.75" customHeight="1">
      <c r="A775" s="16"/>
      <c r="B775" s="16"/>
      <c r="C775" s="16"/>
      <c r="D775" s="893"/>
      <c r="E775" s="893"/>
      <c r="F775" s="893"/>
      <c r="G775" s="1"/>
      <c r="H775" s="125"/>
      <c r="I775" s="16"/>
      <c r="J775" s="125"/>
      <c r="K775" s="125"/>
      <c r="L775" s="1"/>
      <c r="M775" s="1"/>
      <c r="N775" s="1"/>
      <c r="O775" s="1"/>
      <c r="P775" s="1"/>
      <c r="Q775" s="1"/>
      <c r="R775" s="1"/>
      <c r="S775" s="1"/>
      <c r="T775" s="1"/>
      <c r="U775" s="1"/>
      <c r="V775" s="1"/>
      <c r="W775" s="1"/>
      <c r="X775" s="1"/>
      <c r="Y775" s="1"/>
      <c r="Z775" s="1"/>
    </row>
    <row r="776" spans="1:26" ht="12.75" customHeight="1">
      <c r="A776" s="16"/>
      <c r="B776" s="16"/>
      <c r="C776" s="16"/>
      <c r="D776" s="893"/>
      <c r="E776" s="893"/>
      <c r="F776" s="893"/>
      <c r="G776" s="1"/>
      <c r="H776" s="125"/>
      <c r="I776" s="16"/>
      <c r="J776" s="125"/>
      <c r="K776" s="125"/>
      <c r="L776" s="1"/>
      <c r="M776" s="1"/>
      <c r="N776" s="1"/>
      <c r="O776" s="1"/>
      <c r="P776" s="1"/>
      <c r="Q776" s="1"/>
      <c r="R776" s="1"/>
      <c r="S776" s="1"/>
      <c r="T776" s="1"/>
      <c r="U776" s="1"/>
      <c r="V776" s="1"/>
      <c r="W776" s="1"/>
      <c r="X776" s="1"/>
      <c r="Y776" s="1"/>
      <c r="Z776" s="1"/>
    </row>
    <row r="777" spans="1:26" ht="12.75" customHeight="1">
      <c r="A777" s="16"/>
      <c r="B777" s="16"/>
      <c r="C777" s="16"/>
      <c r="D777" s="893"/>
      <c r="E777" s="893"/>
      <c r="F777" s="893"/>
      <c r="G777" s="1"/>
      <c r="H777" s="125"/>
      <c r="I777" s="16"/>
      <c r="J777" s="125"/>
      <c r="K777" s="125"/>
      <c r="L777" s="1"/>
      <c r="M777" s="1"/>
      <c r="N777" s="1"/>
      <c r="O777" s="1"/>
      <c r="P777" s="1"/>
      <c r="Q777" s="1"/>
      <c r="R777" s="1"/>
      <c r="S777" s="1"/>
      <c r="T777" s="1"/>
      <c r="U777" s="1"/>
      <c r="V777" s="1"/>
      <c r="W777" s="1"/>
      <c r="X777" s="1"/>
      <c r="Y777" s="1"/>
      <c r="Z777" s="1"/>
    </row>
    <row r="778" spans="1:26" ht="12.75" customHeight="1">
      <c r="A778" s="16"/>
      <c r="B778" s="16"/>
      <c r="C778" s="16"/>
      <c r="D778" s="893"/>
      <c r="E778" s="893"/>
      <c r="F778" s="893"/>
      <c r="G778" s="1"/>
      <c r="H778" s="125"/>
      <c r="I778" s="16"/>
      <c r="J778" s="125"/>
      <c r="K778" s="125"/>
      <c r="L778" s="1"/>
      <c r="M778" s="1"/>
      <c r="N778" s="1"/>
      <c r="O778" s="1"/>
      <c r="P778" s="1"/>
      <c r="Q778" s="1"/>
      <c r="R778" s="1"/>
      <c r="S778" s="1"/>
      <c r="T778" s="1"/>
      <c r="U778" s="1"/>
      <c r="V778" s="1"/>
      <c r="W778" s="1"/>
      <c r="X778" s="1"/>
      <c r="Y778" s="1"/>
      <c r="Z778" s="1"/>
    </row>
    <row r="779" spans="1:26" ht="12.75" customHeight="1">
      <c r="A779" s="16"/>
      <c r="B779" s="16"/>
      <c r="C779" s="16"/>
      <c r="D779" s="893"/>
      <c r="E779" s="893"/>
      <c r="F779" s="893"/>
      <c r="G779" s="1"/>
      <c r="H779" s="125"/>
      <c r="I779" s="16"/>
      <c r="J779" s="125"/>
      <c r="K779" s="125"/>
      <c r="L779" s="1"/>
      <c r="M779" s="1"/>
      <c r="N779" s="1"/>
      <c r="O779" s="1"/>
      <c r="P779" s="1"/>
      <c r="Q779" s="1"/>
      <c r="R779" s="1"/>
      <c r="S779" s="1"/>
      <c r="T779" s="1"/>
      <c r="U779" s="1"/>
      <c r="V779" s="1"/>
      <c r="W779" s="1"/>
      <c r="X779" s="1"/>
      <c r="Y779" s="1"/>
      <c r="Z779" s="1"/>
    </row>
    <row r="780" spans="1:26" ht="12.75" customHeight="1">
      <c r="A780" s="16"/>
      <c r="B780" s="16"/>
      <c r="C780" s="16"/>
      <c r="D780" s="893"/>
      <c r="E780" s="893"/>
      <c r="F780" s="893"/>
      <c r="G780" s="1"/>
      <c r="H780" s="125"/>
      <c r="I780" s="16"/>
      <c r="J780" s="125"/>
      <c r="K780" s="125"/>
      <c r="L780" s="1"/>
      <c r="M780" s="1"/>
      <c r="N780" s="1"/>
      <c r="O780" s="1"/>
      <c r="P780" s="1"/>
      <c r="Q780" s="1"/>
      <c r="R780" s="1"/>
      <c r="S780" s="1"/>
      <c r="T780" s="1"/>
      <c r="U780" s="1"/>
      <c r="V780" s="1"/>
      <c r="W780" s="1"/>
      <c r="X780" s="1"/>
      <c r="Y780" s="1"/>
      <c r="Z780" s="1"/>
    </row>
    <row r="781" spans="1:26" ht="12.75" customHeight="1">
      <c r="A781" s="16"/>
      <c r="B781" s="16"/>
      <c r="C781" s="16"/>
      <c r="D781" s="932" t="s">
        <v>830</v>
      </c>
      <c r="E781" s="893"/>
      <c r="F781" s="893"/>
      <c r="G781" s="1"/>
      <c r="H781" s="125"/>
      <c r="I781" s="16"/>
      <c r="J781" s="125"/>
      <c r="K781" s="125"/>
      <c r="L781" s="1"/>
      <c r="M781" s="1"/>
      <c r="N781" s="1"/>
      <c r="O781" s="1"/>
      <c r="P781" s="1"/>
      <c r="Q781" s="1"/>
      <c r="R781" s="1"/>
      <c r="S781" s="1"/>
      <c r="T781" s="1"/>
      <c r="U781" s="1"/>
      <c r="V781" s="1"/>
      <c r="W781" s="1"/>
      <c r="X781" s="1"/>
      <c r="Y781" s="1"/>
      <c r="Z781" s="1"/>
    </row>
    <row r="782" spans="1:26" ht="12.75" customHeight="1">
      <c r="A782" s="16"/>
      <c r="B782" s="16"/>
      <c r="C782" s="16"/>
      <c r="D782" s="25"/>
      <c r="E782" s="1"/>
      <c r="F782" s="1"/>
      <c r="G782" s="1"/>
      <c r="H782" s="125"/>
      <c r="I782" s="16"/>
      <c r="J782" s="125"/>
      <c r="K782" s="125"/>
      <c r="L782" s="1"/>
      <c r="M782" s="1"/>
      <c r="N782" s="1"/>
      <c r="O782" s="1"/>
      <c r="P782" s="1"/>
      <c r="Q782" s="1"/>
      <c r="R782" s="1"/>
      <c r="S782" s="1"/>
      <c r="T782" s="1"/>
      <c r="U782" s="1"/>
      <c r="V782" s="1"/>
      <c r="W782" s="1"/>
      <c r="X782" s="1"/>
      <c r="Y782" s="1"/>
      <c r="Z782" s="1"/>
    </row>
    <row r="783" spans="1:26" ht="12.75" customHeight="1">
      <c r="A783" s="931" t="s">
        <v>831</v>
      </c>
      <c r="B783" s="921"/>
      <c r="C783" s="921"/>
      <c r="D783" s="921"/>
      <c r="E783" s="921"/>
      <c r="F783" s="921"/>
      <c r="G783" s="921"/>
      <c r="H783" s="128"/>
      <c r="I783" s="129"/>
      <c r="J783" s="125"/>
      <c r="K783" s="125"/>
      <c r="L783" s="1"/>
      <c r="M783" s="1"/>
      <c r="N783" s="1"/>
      <c r="O783" s="1"/>
      <c r="P783" s="1"/>
      <c r="Q783" s="1"/>
      <c r="R783" s="1"/>
      <c r="S783" s="1"/>
      <c r="T783" s="1"/>
      <c r="U783" s="1"/>
      <c r="V783" s="1"/>
      <c r="W783" s="1"/>
      <c r="X783" s="1"/>
      <c r="Y783" s="1"/>
      <c r="Z783" s="1"/>
    </row>
    <row r="784" spans="1:26" ht="12.75" customHeight="1">
      <c r="A784" s="16"/>
      <c r="B784" s="16"/>
      <c r="C784" s="16"/>
      <c r="D784" s="17"/>
      <c r="E784" s="1"/>
      <c r="F784" s="1"/>
      <c r="G784" s="125"/>
      <c r="H784" s="125"/>
      <c r="I784" s="16"/>
      <c r="J784" s="125"/>
      <c r="K784" s="125"/>
      <c r="L784" s="1"/>
      <c r="M784" s="1"/>
      <c r="N784" s="1"/>
      <c r="O784" s="1"/>
      <c r="P784" s="1"/>
      <c r="Q784" s="1"/>
      <c r="R784" s="1"/>
      <c r="S784" s="1"/>
      <c r="T784" s="1"/>
      <c r="U784" s="1"/>
      <c r="V784" s="1"/>
      <c r="W784" s="1"/>
      <c r="X784" s="1"/>
      <c r="Y784" s="1"/>
      <c r="Z784" s="1"/>
    </row>
    <row r="785" spans="1:26" ht="13.5" customHeight="1">
      <c r="A785" s="7"/>
      <c r="B785" s="7"/>
      <c r="C785" s="16"/>
      <c r="D785" s="918" t="s">
        <v>832</v>
      </c>
      <c r="E785" s="893"/>
      <c r="F785" s="893"/>
      <c r="G785" s="125"/>
      <c r="H785" s="125"/>
      <c r="I785" s="16"/>
      <c r="J785" s="125"/>
      <c r="K785" s="125"/>
      <c r="L785" s="1"/>
      <c r="M785" s="1"/>
      <c r="N785" s="1"/>
      <c r="O785" s="1"/>
      <c r="P785" s="1"/>
      <c r="Q785" s="1"/>
      <c r="R785" s="1"/>
      <c r="S785" s="1"/>
      <c r="T785" s="1"/>
      <c r="U785" s="1"/>
      <c r="V785" s="1"/>
      <c r="W785" s="1"/>
      <c r="X785" s="1"/>
      <c r="Y785" s="1"/>
      <c r="Z785" s="1"/>
    </row>
    <row r="786" spans="1:26" ht="12.75" customHeight="1">
      <c r="A786" s="16"/>
      <c r="B786" s="16"/>
      <c r="C786" s="16"/>
      <c r="D786" s="919" t="s">
        <v>834</v>
      </c>
      <c r="E786" s="893"/>
      <c r="F786" s="893"/>
      <c r="G786" s="125"/>
      <c r="H786" s="125"/>
      <c r="I786" s="16"/>
      <c r="J786" s="125"/>
      <c r="K786" s="125"/>
      <c r="L786" s="1"/>
      <c r="M786" s="1"/>
      <c r="N786" s="1"/>
      <c r="O786" s="1"/>
      <c r="P786" s="1"/>
      <c r="Q786" s="1"/>
      <c r="R786" s="1"/>
      <c r="S786" s="1"/>
      <c r="T786" s="1"/>
      <c r="U786" s="1"/>
      <c r="V786" s="1"/>
      <c r="W786" s="1"/>
      <c r="X786" s="1"/>
      <c r="Y786" s="1"/>
      <c r="Z786" s="1"/>
    </row>
    <row r="787" spans="1:26" ht="12.75" customHeight="1">
      <c r="A787" s="16"/>
      <c r="B787" s="16"/>
      <c r="C787" s="16"/>
      <c r="D787" s="1"/>
      <c r="E787" s="1"/>
      <c r="F787" s="1"/>
      <c r="G787" s="125"/>
      <c r="H787" s="125"/>
      <c r="I787" s="16"/>
      <c r="J787" s="125"/>
      <c r="K787" s="125"/>
      <c r="L787" s="1"/>
      <c r="M787" s="1"/>
      <c r="N787" s="1"/>
      <c r="O787" s="1"/>
      <c r="P787" s="1"/>
      <c r="Q787" s="1"/>
      <c r="R787" s="1"/>
      <c r="S787" s="1"/>
      <c r="T787" s="1"/>
      <c r="U787" s="1"/>
      <c r="V787" s="1"/>
      <c r="W787" s="1"/>
      <c r="X787" s="1"/>
      <c r="Y787" s="1"/>
      <c r="Z787" s="1"/>
    </row>
    <row r="788" spans="1:26" ht="12.75" customHeight="1">
      <c r="A788" s="20"/>
      <c r="B788" s="21" t="s">
        <v>27</v>
      </c>
      <c r="C788" s="7"/>
      <c r="D788" s="895" t="s">
        <v>835</v>
      </c>
      <c r="E788" s="893"/>
      <c r="F788" s="893"/>
      <c r="G788" s="125"/>
      <c r="H788" s="125"/>
      <c r="I788" s="16"/>
      <c r="J788" s="125"/>
      <c r="K788" s="125"/>
      <c r="L788" s="1"/>
      <c r="M788" s="1"/>
      <c r="N788" s="1"/>
      <c r="O788" s="1"/>
      <c r="P788" s="1"/>
      <c r="Q788" s="1"/>
      <c r="R788" s="1"/>
      <c r="S788" s="1"/>
      <c r="T788" s="1"/>
      <c r="U788" s="1"/>
      <c r="V788" s="1"/>
      <c r="W788" s="1"/>
      <c r="X788" s="1"/>
      <c r="Y788" s="1"/>
      <c r="Z788" s="1"/>
    </row>
    <row r="789" spans="1:26" ht="10.5" customHeight="1">
      <c r="A789" s="7"/>
      <c r="B789" s="7"/>
      <c r="C789" s="7"/>
      <c r="D789" s="893"/>
      <c r="E789" s="893"/>
      <c r="F789" s="893"/>
      <c r="G789" s="125"/>
      <c r="H789" s="125"/>
      <c r="I789" s="16"/>
      <c r="J789" s="125"/>
      <c r="K789" s="125"/>
      <c r="L789" s="1"/>
      <c r="M789" s="1"/>
      <c r="N789" s="1"/>
      <c r="O789" s="1"/>
      <c r="P789" s="1"/>
      <c r="Q789" s="1"/>
      <c r="R789" s="1"/>
      <c r="S789" s="1"/>
      <c r="T789" s="1"/>
      <c r="U789" s="1"/>
      <c r="V789" s="1"/>
      <c r="W789" s="1"/>
      <c r="X789" s="1"/>
      <c r="Y789" s="1"/>
      <c r="Z789" s="1"/>
    </row>
    <row r="790" spans="1:26" ht="12.75" customHeight="1">
      <c r="A790" s="7"/>
      <c r="B790" s="7"/>
      <c r="C790" s="7"/>
      <c r="D790" s="893"/>
      <c r="E790" s="893"/>
      <c r="F790" s="893"/>
      <c r="G790" s="125"/>
      <c r="H790" s="125"/>
      <c r="I790" s="16"/>
      <c r="J790" s="125"/>
      <c r="K790" s="125"/>
      <c r="L790" s="1"/>
      <c r="M790" s="1"/>
      <c r="N790" s="1"/>
      <c r="O790" s="1"/>
      <c r="P790" s="1"/>
      <c r="Q790" s="1"/>
      <c r="R790" s="1"/>
      <c r="S790" s="1"/>
      <c r="T790" s="1"/>
      <c r="U790" s="1"/>
      <c r="V790" s="1"/>
      <c r="W790" s="1"/>
      <c r="X790" s="1"/>
      <c r="Y790" s="1"/>
      <c r="Z790" s="1"/>
    </row>
    <row r="791" spans="1:26" ht="12.75" customHeight="1">
      <c r="A791" s="7"/>
      <c r="B791" s="7"/>
      <c r="C791" s="7"/>
      <c r="D791" s="893"/>
      <c r="E791" s="893"/>
      <c r="F791" s="893"/>
      <c r="G791" s="125"/>
      <c r="H791" s="125"/>
      <c r="I791" s="16"/>
      <c r="J791" s="125"/>
      <c r="K791" s="125"/>
      <c r="L791" s="1"/>
      <c r="M791" s="1"/>
      <c r="N791" s="1"/>
      <c r="O791" s="1"/>
      <c r="P791" s="1"/>
      <c r="Q791" s="1"/>
      <c r="R791" s="1"/>
      <c r="S791" s="1"/>
      <c r="T791" s="1"/>
      <c r="U791" s="1"/>
      <c r="V791" s="1"/>
      <c r="W791" s="1"/>
      <c r="X791" s="1"/>
      <c r="Y791" s="1"/>
      <c r="Z791" s="1"/>
    </row>
    <row r="792" spans="1:26" ht="12.75" customHeight="1">
      <c r="A792" s="7"/>
      <c r="B792" s="7"/>
      <c r="C792" s="7"/>
      <c r="D792" s="893"/>
      <c r="E792" s="893"/>
      <c r="F792" s="893"/>
      <c r="G792" s="125"/>
      <c r="H792" s="125"/>
      <c r="I792" s="16"/>
      <c r="J792" s="125"/>
      <c r="K792" s="125"/>
      <c r="L792" s="1"/>
      <c r="M792" s="1"/>
      <c r="N792" s="1"/>
      <c r="O792" s="1"/>
      <c r="P792" s="1"/>
      <c r="Q792" s="1"/>
      <c r="R792" s="1"/>
      <c r="S792" s="1"/>
      <c r="T792" s="1"/>
      <c r="U792" s="1"/>
      <c r="V792" s="1"/>
      <c r="W792" s="1"/>
      <c r="X792" s="1"/>
      <c r="Y792" s="1"/>
      <c r="Z792" s="1"/>
    </row>
    <row r="793" spans="1:26" ht="15" customHeight="1">
      <c r="A793" s="7"/>
      <c r="B793" s="7"/>
      <c r="C793" s="7"/>
      <c r="D793" s="893"/>
      <c r="E793" s="893"/>
      <c r="F793" s="893"/>
      <c r="G793" s="125"/>
      <c r="H793" s="125"/>
      <c r="I793" s="16"/>
      <c r="J793" s="125"/>
      <c r="K793" s="125"/>
      <c r="L793" s="1"/>
      <c r="M793" s="1"/>
      <c r="N793" s="1"/>
      <c r="O793" s="1"/>
      <c r="P793" s="1"/>
      <c r="Q793" s="1"/>
      <c r="R793" s="1"/>
      <c r="S793" s="1"/>
      <c r="T793" s="1"/>
      <c r="U793" s="1"/>
      <c r="V793" s="1"/>
      <c r="W793" s="1"/>
      <c r="X793" s="1"/>
      <c r="Y793" s="1"/>
      <c r="Z793" s="1"/>
    </row>
    <row r="794" spans="1:26" ht="12.75" customHeight="1">
      <c r="A794" s="7"/>
      <c r="B794" s="7"/>
      <c r="C794" s="7"/>
      <c r="D794" s="113"/>
      <c r="E794" s="17"/>
      <c r="F794" s="17"/>
      <c r="G794" s="125"/>
      <c r="H794" s="125"/>
      <c r="I794" s="16"/>
      <c r="J794" s="125"/>
      <c r="K794" s="125"/>
      <c r="L794" s="1"/>
      <c r="M794" s="1"/>
      <c r="N794" s="1"/>
      <c r="O794" s="1"/>
      <c r="P794" s="1"/>
      <c r="Q794" s="1"/>
      <c r="R794" s="1"/>
      <c r="S794" s="1"/>
      <c r="T794" s="1"/>
      <c r="U794" s="1"/>
      <c r="V794" s="1"/>
      <c r="W794" s="1"/>
      <c r="X794" s="1"/>
      <c r="Y794" s="1"/>
      <c r="Z794" s="1"/>
    </row>
    <row r="795" spans="1:26" ht="12.75" customHeight="1">
      <c r="A795" s="156"/>
      <c r="B795" s="21" t="s">
        <v>27</v>
      </c>
      <c r="C795" s="157"/>
      <c r="D795" s="895" t="s">
        <v>837</v>
      </c>
      <c r="E795" s="893"/>
      <c r="F795" s="893"/>
      <c r="G795" s="158"/>
      <c r="H795" s="158"/>
      <c r="I795" s="159"/>
      <c r="J795" s="158"/>
      <c r="K795" s="158"/>
      <c r="L795" s="158"/>
      <c r="M795" s="158"/>
      <c r="N795" s="158"/>
      <c r="O795" s="158"/>
      <c r="P795" s="158"/>
      <c r="Q795" s="158"/>
      <c r="R795" s="158"/>
      <c r="S795" s="158"/>
      <c r="T795" s="158"/>
      <c r="U795" s="158"/>
      <c r="V795" s="158"/>
      <c r="W795" s="158"/>
      <c r="X795" s="158"/>
      <c r="Y795" s="158"/>
      <c r="Z795" s="158"/>
    </row>
    <row r="796" spans="1:26" ht="12.75" customHeight="1">
      <c r="A796" s="157"/>
      <c r="B796" s="157"/>
      <c r="C796" s="157"/>
      <c r="D796" s="893"/>
      <c r="E796" s="893"/>
      <c r="F796" s="893"/>
      <c r="G796" s="158"/>
      <c r="H796" s="158"/>
      <c r="I796" s="159"/>
      <c r="J796" s="158"/>
      <c r="K796" s="158"/>
      <c r="L796" s="158"/>
      <c r="M796" s="158"/>
      <c r="N796" s="158"/>
      <c r="O796" s="158"/>
      <c r="P796" s="158"/>
      <c r="Q796" s="158"/>
      <c r="R796" s="158"/>
      <c r="S796" s="158"/>
      <c r="T796" s="158"/>
      <c r="U796" s="158"/>
      <c r="V796" s="158"/>
      <c r="W796" s="158"/>
      <c r="X796" s="158"/>
      <c r="Y796" s="158"/>
      <c r="Z796" s="158"/>
    </row>
    <row r="797" spans="1:26" ht="12.75" customHeight="1">
      <c r="A797" s="157"/>
      <c r="B797" s="157"/>
      <c r="C797" s="157"/>
      <c r="D797" s="893"/>
      <c r="E797" s="893"/>
      <c r="F797" s="893"/>
      <c r="G797" s="158"/>
      <c r="H797" s="158"/>
      <c r="I797" s="159"/>
      <c r="J797" s="158"/>
      <c r="K797" s="158"/>
      <c r="L797" s="158"/>
      <c r="M797" s="158"/>
      <c r="N797" s="158"/>
      <c r="O797" s="158"/>
      <c r="P797" s="158"/>
      <c r="Q797" s="158"/>
      <c r="R797" s="158"/>
      <c r="S797" s="158"/>
      <c r="T797" s="158"/>
      <c r="U797" s="158"/>
      <c r="V797" s="158"/>
      <c r="W797" s="158"/>
      <c r="X797" s="158"/>
      <c r="Y797" s="158"/>
      <c r="Z797" s="158"/>
    </row>
    <row r="798" spans="1:26" ht="12.75" customHeight="1">
      <c r="A798" s="157"/>
      <c r="B798" s="157"/>
      <c r="C798" s="157"/>
      <c r="D798" s="893"/>
      <c r="E798" s="893"/>
      <c r="F798" s="893"/>
      <c r="G798" s="158"/>
      <c r="H798" s="158"/>
      <c r="I798" s="159"/>
      <c r="J798" s="158"/>
      <c r="K798" s="158"/>
      <c r="L798" s="158"/>
      <c r="M798" s="158"/>
      <c r="N798" s="158"/>
      <c r="O798" s="158"/>
      <c r="P798" s="158"/>
      <c r="Q798" s="158"/>
      <c r="R798" s="158"/>
      <c r="S798" s="158"/>
      <c r="T798" s="158"/>
      <c r="U798" s="158"/>
      <c r="V798" s="158"/>
      <c r="W798" s="158"/>
      <c r="X798" s="158"/>
      <c r="Y798" s="158"/>
      <c r="Z798" s="158"/>
    </row>
    <row r="799" spans="1:26" ht="12.75" customHeight="1">
      <c r="A799" s="157"/>
      <c r="B799" s="157"/>
      <c r="C799" s="157"/>
      <c r="D799" s="113"/>
      <c r="E799" s="158"/>
      <c r="F799" s="158"/>
      <c r="G799" s="158"/>
      <c r="H799" s="158"/>
      <c r="I799" s="159"/>
      <c r="J799" s="158"/>
      <c r="K799" s="158"/>
      <c r="L799" s="158"/>
      <c r="M799" s="158"/>
      <c r="N799" s="158"/>
      <c r="O799" s="158"/>
      <c r="P799" s="158"/>
      <c r="Q799" s="158"/>
      <c r="R799" s="158"/>
      <c r="S799" s="158"/>
      <c r="T799" s="158"/>
      <c r="U799" s="158"/>
      <c r="V799" s="158"/>
      <c r="W799" s="158"/>
      <c r="X799" s="158"/>
      <c r="Y799" s="158"/>
      <c r="Z799" s="158"/>
    </row>
    <row r="800" spans="1:26" ht="12.75" customHeight="1">
      <c r="A800" s="20"/>
      <c r="B800" s="21" t="s">
        <v>27</v>
      </c>
      <c r="C800" s="157"/>
      <c r="D800" s="927" t="s">
        <v>842</v>
      </c>
      <c r="E800" s="893"/>
      <c r="F800" s="893"/>
      <c r="G800" s="158"/>
      <c r="H800" s="158"/>
      <c r="I800" s="159"/>
      <c r="J800" s="158"/>
      <c r="K800" s="158"/>
      <c r="L800" s="158"/>
      <c r="M800" s="158"/>
      <c r="N800" s="158"/>
      <c r="O800" s="158"/>
      <c r="P800" s="158"/>
      <c r="Q800" s="158"/>
      <c r="R800" s="158"/>
      <c r="S800" s="158"/>
      <c r="T800" s="158"/>
      <c r="U800" s="158"/>
      <c r="V800" s="158"/>
      <c r="W800" s="158"/>
      <c r="X800" s="158"/>
      <c r="Y800" s="158"/>
      <c r="Z800" s="158"/>
    </row>
    <row r="801" spans="1:26" ht="12.75" customHeight="1">
      <c r="A801" s="157"/>
      <c r="B801" s="157"/>
      <c r="C801" s="157"/>
      <c r="D801" s="893"/>
      <c r="E801" s="893"/>
      <c r="F801" s="893"/>
      <c r="G801" s="158"/>
      <c r="H801" s="158"/>
      <c r="I801" s="159"/>
      <c r="J801" s="158"/>
      <c r="K801" s="158"/>
      <c r="L801" s="158"/>
      <c r="M801" s="158"/>
      <c r="N801" s="158"/>
      <c r="O801" s="158"/>
      <c r="P801" s="158"/>
      <c r="Q801" s="158"/>
      <c r="R801" s="158"/>
      <c r="S801" s="158"/>
      <c r="T801" s="158"/>
      <c r="U801" s="158"/>
      <c r="V801" s="158"/>
      <c r="W801" s="158"/>
      <c r="X801" s="158"/>
      <c r="Y801" s="158"/>
      <c r="Z801" s="158"/>
    </row>
    <row r="802" spans="1:26" ht="12.75" customHeight="1">
      <c r="A802" s="157"/>
      <c r="B802" s="157"/>
      <c r="C802" s="157"/>
      <c r="D802" s="893"/>
      <c r="E802" s="893"/>
      <c r="F802" s="893"/>
      <c r="G802" s="158"/>
      <c r="H802" s="158"/>
      <c r="I802" s="159"/>
      <c r="J802" s="158"/>
      <c r="K802" s="158"/>
      <c r="L802" s="158"/>
      <c r="M802" s="158"/>
      <c r="N802" s="158"/>
      <c r="O802" s="158"/>
      <c r="P802" s="158"/>
      <c r="Q802" s="158"/>
      <c r="R802" s="158"/>
      <c r="S802" s="158"/>
      <c r="T802" s="158"/>
      <c r="U802" s="158"/>
      <c r="V802" s="158"/>
      <c r="W802" s="158"/>
      <c r="X802" s="158"/>
      <c r="Y802" s="158"/>
      <c r="Z802" s="158"/>
    </row>
    <row r="803" spans="1:26" ht="12.75" customHeight="1">
      <c r="A803" s="7"/>
      <c r="B803" s="7"/>
      <c r="C803" s="7"/>
      <c r="D803" s="113"/>
      <c r="E803" s="17"/>
      <c r="F803" s="17"/>
      <c r="G803" s="125"/>
      <c r="H803" s="125"/>
      <c r="I803" s="16"/>
      <c r="J803" s="125"/>
      <c r="K803" s="125"/>
      <c r="L803" s="1"/>
      <c r="M803" s="1"/>
      <c r="N803" s="1"/>
      <c r="O803" s="1"/>
      <c r="P803" s="1"/>
      <c r="Q803" s="1"/>
      <c r="R803" s="1"/>
      <c r="S803" s="1"/>
      <c r="T803" s="1"/>
      <c r="U803" s="1"/>
      <c r="V803" s="1"/>
      <c r="W803" s="1"/>
      <c r="X803" s="1"/>
      <c r="Y803" s="1"/>
      <c r="Z803" s="1"/>
    </row>
    <row r="804" spans="1:26" ht="12.75" customHeight="1">
      <c r="A804" s="20"/>
      <c r="B804" s="21" t="s">
        <v>27</v>
      </c>
      <c r="C804" s="7"/>
      <c r="D804" s="895" t="s">
        <v>848</v>
      </c>
      <c r="E804" s="893"/>
      <c r="F804" s="893"/>
      <c r="G804" s="125"/>
      <c r="H804" s="125"/>
      <c r="I804" s="16"/>
      <c r="J804" s="125"/>
      <c r="K804" s="125"/>
      <c r="L804" s="1"/>
      <c r="M804" s="1"/>
      <c r="N804" s="1"/>
      <c r="O804" s="1"/>
      <c r="P804" s="1"/>
      <c r="Q804" s="1"/>
      <c r="R804" s="1"/>
      <c r="S804" s="1"/>
      <c r="T804" s="1"/>
      <c r="U804" s="1"/>
      <c r="V804" s="1"/>
      <c r="W804" s="1"/>
      <c r="X804" s="1"/>
      <c r="Y804" s="1"/>
      <c r="Z804" s="1"/>
    </row>
    <row r="805" spans="1:26" ht="12.75" customHeight="1">
      <c r="A805" s="7"/>
      <c r="B805" s="7"/>
      <c r="C805" s="7"/>
      <c r="D805" s="893"/>
      <c r="E805" s="893"/>
      <c r="F805" s="893"/>
      <c r="G805" s="125"/>
      <c r="H805" s="125"/>
      <c r="I805" s="16"/>
      <c r="J805" s="125"/>
      <c r="K805" s="125"/>
      <c r="L805" s="1"/>
      <c r="M805" s="1"/>
      <c r="N805" s="1"/>
      <c r="O805" s="1"/>
      <c r="P805" s="1"/>
      <c r="Q805" s="1"/>
      <c r="R805" s="1"/>
      <c r="S805" s="1"/>
      <c r="T805" s="1"/>
      <c r="U805" s="1"/>
      <c r="V805" s="1"/>
      <c r="W805" s="1"/>
      <c r="X805" s="1"/>
      <c r="Y805" s="1"/>
      <c r="Z805" s="1"/>
    </row>
    <row r="806" spans="1:26" ht="12.75" customHeight="1">
      <c r="A806" s="7"/>
      <c r="B806" s="7"/>
      <c r="C806" s="7"/>
      <c r="D806" s="11"/>
      <c r="E806" s="11"/>
      <c r="F806" s="11"/>
      <c r="G806" s="125"/>
      <c r="H806" s="125"/>
      <c r="I806" s="16"/>
      <c r="J806" s="125"/>
      <c r="K806" s="125"/>
      <c r="L806" s="1"/>
      <c r="M806" s="1"/>
      <c r="N806" s="1"/>
      <c r="O806" s="1"/>
      <c r="P806" s="1"/>
      <c r="Q806" s="1"/>
      <c r="R806" s="1"/>
      <c r="S806" s="1"/>
      <c r="T806" s="1"/>
      <c r="U806" s="1"/>
      <c r="V806" s="1"/>
      <c r="W806" s="1"/>
      <c r="X806" s="1"/>
      <c r="Y806" s="1"/>
      <c r="Z806" s="1"/>
    </row>
    <row r="807" spans="1:26" ht="12.75" customHeight="1">
      <c r="A807" s="7"/>
      <c r="B807" s="21" t="s">
        <v>27</v>
      </c>
      <c r="C807" s="7"/>
      <c r="D807" s="895" t="s">
        <v>850</v>
      </c>
      <c r="E807" s="893"/>
      <c r="F807" s="893"/>
      <c r="G807" s="125"/>
      <c r="H807" s="125"/>
      <c r="I807" s="16"/>
      <c r="J807" s="125"/>
      <c r="K807" s="125"/>
      <c r="L807" s="1"/>
      <c r="M807" s="1"/>
      <c r="N807" s="1"/>
      <c r="O807" s="1"/>
      <c r="P807" s="1"/>
      <c r="Q807" s="1"/>
      <c r="R807" s="1"/>
      <c r="S807" s="1"/>
      <c r="T807" s="1"/>
      <c r="U807" s="1"/>
      <c r="V807" s="1"/>
      <c r="W807" s="1"/>
      <c r="X807" s="1"/>
      <c r="Y807" s="1"/>
      <c r="Z807" s="1"/>
    </row>
    <row r="808" spans="1:26" ht="12.75" customHeight="1">
      <c r="A808" s="7"/>
      <c r="B808" s="7"/>
      <c r="C808" s="7"/>
      <c r="D808" s="893"/>
      <c r="E808" s="893"/>
      <c r="F808" s="893"/>
      <c r="G808" s="125"/>
      <c r="H808" s="125"/>
      <c r="I808" s="16"/>
      <c r="J808" s="125"/>
      <c r="K808" s="125"/>
      <c r="L808" s="1"/>
      <c r="M808" s="1"/>
      <c r="N808" s="1"/>
      <c r="O808" s="1"/>
      <c r="P808" s="1"/>
      <c r="Q808" s="1"/>
      <c r="R808" s="1"/>
      <c r="S808" s="1"/>
      <c r="T808" s="1"/>
      <c r="U808" s="1"/>
      <c r="V808" s="1"/>
      <c r="W808" s="1"/>
      <c r="X808" s="1"/>
      <c r="Y808" s="1"/>
      <c r="Z808" s="1"/>
    </row>
    <row r="809" spans="1:26" ht="12.75" customHeight="1">
      <c r="A809" s="7"/>
      <c r="B809" s="7"/>
      <c r="C809" s="7"/>
      <c r="D809" s="893"/>
      <c r="E809" s="893"/>
      <c r="F809" s="893"/>
      <c r="G809" s="125"/>
      <c r="H809" s="125"/>
      <c r="I809" s="16"/>
      <c r="J809" s="125"/>
      <c r="K809" s="125"/>
      <c r="L809" s="1"/>
      <c r="M809" s="1"/>
      <c r="N809" s="1"/>
      <c r="O809" s="1"/>
      <c r="P809" s="1"/>
      <c r="Q809" s="1"/>
      <c r="R809" s="1"/>
      <c r="S809" s="1"/>
      <c r="T809" s="1"/>
      <c r="U809" s="1"/>
      <c r="V809" s="1"/>
      <c r="W809" s="1"/>
      <c r="X809" s="1"/>
      <c r="Y809" s="1"/>
      <c r="Z809" s="1"/>
    </row>
    <row r="810" spans="1:26" ht="12.75" customHeight="1">
      <c r="A810" s="7"/>
      <c r="B810" s="7"/>
      <c r="C810" s="7"/>
      <c r="D810" s="11"/>
      <c r="E810" s="11"/>
      <c r="F810" s="11"/>
      <c r="G810" s="125"/>
      <c r="H810" s="125"/>
      <c r="I810" s="16"/>
      <c r="J810" s="125"/>
      <c r="K810" s="125"/>
      <c r="L810" s="1"/>
      <c r="M810" s="1"/>
      <c r="N810" s="1"/>
      <c r="O810" s="1"/>
      <c r="P810" s="1"/>
      <c r="Q810" s="1"/>
      <c r="R810" s="1"/>
      <c r="S810" s="1"/>
      <c r="T810" s="1"/>
      <c r="U810" s="1"/>
      <c r="V810" s="1"/>
      <c r="W810" s="1"/>
      <c r="X810" s="1"/>
      <c r="Y810" s="1"/>
      <c r="Z810" s="1"/>
    </row>
    <row r="811" spans="1:26" ht="12.75" hidden="1" customHeight="1">
      <c r="A811" s="931" t="s">
        <v>854</v>
      </c>
      <c r="B811" s="921"/>
      <c r="C811" s="921"/>
      <c r="D811" s="921"/>
      <c r="E811" s="921"/>
      <c r="F811" s="921"/>
      <c r="G811" s="921"/>
      <c r="H811" s="5"/>
      <c r="I811" s="39"/>
      <c r="J811" s="1"/>
      <c r="K811" s="1"/>
      <c r="L811" s="1"/>
      <c r="M811" s="1"/>
      <c r="N811" s="1"/>
      <c r="O811" s="1"/>
      <c r="P811" s="1"/>
      <c r="Q811" s="1"/>
      <c r="R811" s="1"/>
      <c r="S811" s="1"/>
      <c r="T811" s="1"/>
      <c r="U811" s="1"/>
      <c r="V811" s="1"/>
      <c r="W811" s="1"/>
      <c r="X811" s="1"/>
      <c r="Y811" s="1"/>
      <c r="Z811" s="1"/>
    </row>
    <row r="812" spans="1:26" ht="12.75" hidden="1" customHeight="1">
      <c r="A812" s="62"/>
      <c r="B812" s="62"/>
      <c r="C812" s="7"/>
      <c r="D812" s="1"/>
      <c r="E812" s="1"/>
      <c r="F812" s="1"/>
      <c r="G812" s="1"/>
      <c r="H812" s="1"/>
      <c r="I812" s="10"/>
      <c r="J812" s="1"/>
      <c r="K812" s="1"/>
      <c r="L812" s="1"/>
      <c r="M812" s="1"/>
      <c r="N812" s="1"/>
      <c r="O812" s="1"/>
      <c r="P812" s="1"/>
      <c r="Q812" s="1"/>
      <c r="R812" s="1"/>
      <c r="S812" s="1"/>
      <c r="T812" s="1"/>
      <c r="U812" s="1"/>
      <c r="V812" s="1"/>
      <c r="W812" s="1"/>
      <c r="X812" s="1"/>
      <c r="Y812" s="1"/>
      <c r="Z812" s="1"/>
    </row>
    <row r="813" spans="1:26" ht="12.75" hidden="1" customHeight="1">
      <c r="A813" s="62"/>
      <c r="B813" s="62"/>
      <c r="C813" s="7"/>
      <c r="D813" s="930" t="s">
        <v>858</v>
      </c>
      <c r="E813" s="893"/>
      <c r="F813" s="893"/>
      <c r="G813" s="1"/>
      <c r="H813" s="1"/>
      <c r="I813" s="10"/>
      <c r="J813" s="1"/>
      <c r="K813" s="1"/>
      <c r="L813" s="1"/>
      <c r="M813" s="1"/>
      <c r="N813" s="1"/>
      <c r="O813" s="1"/>
      <c r="P813" s="1"/>
      <c r="Q813" s="1"/>
      <c r="R813" s="1"/>
      <c r="S813" s="1"/>
      <c r="T813" s="1"/>
      <c r="U813" s="1"/>
      <c r="V813" s="1"/>
      <c r="W813" s="1"/>
      <c r="X813" s="1"/>
      <c r="Y813" s="1"/>
      <c r="Z813" s="1"/>
    </row>
    <row r="814" spans="1:26" ht="12.75" hidden="1" customHeight="1">
      <c r="A814" s="62"/>
      <c r="B814" s="62"/>
      <c r="C814" s="7"/>
      <c r="D814" s="915" t="s">
        <v>859</v>
      </c>
      <c r="E814" s="893"/>
      <c r="F814" s="893"/>
      <c r="G814" s="1"/>
      <c r="H814" s="1"/>
      <c r="I814" s="10"/>
      <c r="J814" s="1"/>
      <c r="K814" s="1"/>
      <c r="L814" s="1"/>
      <c r="M814" s="1"/>
      <c r="N814" s="1"/>
      <c r="O814" s="1"/>
      <c r="P814" s="1"/>
      <c r="Q814" s="1"/>
      <c r="R814" s="1"/>
      <c r="S814" s="1"/>
      <c r="T814" s="1"/>
      <c r="U814" s="1"/>
      <c r="V814" s="1"/>
      <c r="W814" s="1"/>
      <c r="X814" s="1"/>
      <c r="Y814" s="1"/>
      <c r="Z814" s="1"/>
    </row>
    <row r="815" spans="1:26" ht="12.75" hidden="1" customHeight="1">
      <c r="A815" s="62"/>
      <c r="B815" s="62"/>
      <c r="C815" s="7"/>
      <c r="D815" s="17"/>
      <c r="E815" s="17"/>
      <c r="F815" s="17"/>
      <c r="G815" s="1"/>
      <c r="H815" s="1"/>
      <c r="I815" s="10"/>
      <c r="J815" s="1"/>
      <c r="K815" s="1"/>
      <c r="L815" s="1"/>
      <c r="M815" s="1"/>
      <c r="N815" s="1"/>
      <c r="O815" s="1"/>
      <c r="P815" s="1"/>
      <c r="Q815" s="1"/>
      <c r="R815" s="1"/>
      <c r="S815" s="1"/>
      <c r="T815" s="1"/>
      <c r="U815" s="1"/>
      <c r="V815" s="1"/>
      <c r="W815" s="1"/>
      <c r="X815" s="1"/>
      <c r="Y815" s="1"/>
      <c r="Z815" s="1"/>
    </row>
    <row r="816" spans="1:26" ht="12.75" hidden="1" customHeight="1">
      <c r="A816" s="62"/>
      <c r="B816" s="21" t="s">
        <v>27</v>
      </c>
      <c r="C816" s="7"/>
      <c r="D816" s="927" t="s">
        <v>862</v>
      </c>
      <c r="E816" s="893"/>
      <c r="F816" s="893"/>
      <c r="G816" s="1"/>
      <c r="H816" s="1"/>
      <c r="I816" s="16"/>
      <c r="J816" s="1"/>
      <c r="K816" s="1"/>
      <c r="L816" s="1"/>
      <c r="M816" s="1"/>
      <c r="N816" s="1"/>
      <c r="O816" s="1"/>
      <c r="P816" s="1"/>
      <c r="Q816" s="1"/>
      <c r="R816" s="1"/>
      <c r="S816" s="1"/>
      <c r="T816" s="1"/>
      <c r="U816" s="1"/>
      <c r="V816" s="1"/>
      <c r="W816" s="1"/>
      <c r="X816" s="1"/>
      <c r="Y816" s="1"/>
      <c r="Z816" s="1"/>
    </row>
    <row r="817" spans="1:26" ht="12.75" hidden="1" customHeight="1">
      <c r="A817" s="62"/>
      <c r="B817" s="62"/>
      <c r="C817" s="7"/>
      <c r="D817" s="893"/>
      <c r="E817" s="893"/>
      <c r="F817" s="893"/>
      <c r="G817" s="1"/>
      <c r="H817" s="1"/>
      <c r="I817" s="10"/>
      <c r="J817" s="1"/>
      <c r="K817" s="1"/>
      <c r="L817" s="1"/>
      <c r="M817" s="1"/>
      <c r="N817" s="1"/>
      <c r="O817" s="1"/>
      <c r="P817" s="1"/>
      <c r="Q817" s="1"/>
      <c r="R817" s="1"/>
      <c r="S817" s="1"/>
      <c r="T817" s="1"/>
      <c r="U817" s="1"/>
      <c r="V817" s="1"/>
      <c r="W817" s="1"/>
      <c r="X817" s="1"/>
      <c r="Y817" s="1"/>
      <c r="Z817" s="1"/>
    </row>
    <row r="818" spans="1:26" ht="12.75" hidden="1" customHeight="1">
      <c r="A818" s="16"/>
      <c r="B818" s="16"/>
      <c r="C818" s="16"/>
      <c r="D818" s="893"/>
      <c r="E818" s="893"/>
      <c r="F818" s="893"/>
      <c r="G818" s="17"/>
      <c r="H818" s="1"/>
      <c r="I818" s="10"/>
      <c r="J818" s="1"/>
      <c r="K818" s="1"/>
      <c r="L818" s="1"/>
      <c r="M818" s="1"/>
      <c r="N818" s="1"/>
      <c r="O818" s="1"/>
      <c r="P818" s="1"/>
      <c r="Q818" s="1"/>
      <c r="R818" s="1"/>
      <c r="S818" s="1"/>
      <c r="T818" s="1"/>
      <c r="U818" s="1"/>
      <c r="V818" s="1"/>
      <c r="W818" s="1"/>
      <c r="X818" s="1"/>
      <c r="Y818" s="1"/>
      <c r="Z818" s="1"/>
    </row>
    <row r="819" spans="1:26" ht="12.75" hidden="1" customHeight="1">
      <c r="A819" s="7"/>
      <c r="B819" s="7"/>
      <c r="C819" s="7"/>
      <c r="D819" s="12"/>
      <c r="E819" s="1"/>
      <c r="F819" s="1"/>
      <c r="G819" s="1"/>
      <c r="H819" s="1"/>
      <c r="I819" s="10"/>
      <c r="J819" s="1"/>
      <c r="K819" s="1"/>
      <c r="L819" s="1"/>
      <c r="M819" s="1"/>
      <c r="N819" s="1"/>
      <c r="O819" s="1"/>
      <c r="P819" s="1"/>
      <c r="Q819" s="1"/>
      <c r="R819" s="1"/>
      <c r="S819" s="1"/>
      <c r="T819" s="1"/>
      <c r="U819" s="1"/>
      <c r="V819" s="1"/>
      <c r="W819" s="1"/>
      <c r="X819" s="1"/>
      <c r="Y819" s="1"/>
      <c r="Z819" s="1"/>
    </row>
    <row r="820" spans="1:26" ht="12.75" hidden="1" customHeight="1">
      <c r="A820" s="9"/>
      <c r="B820" s="21" t="s">
        <v>27</v>
      </c>
      <c r="C820" s="9"/>
      <c r="D820" s="927" t="s">
        <v>865</v>
      </c>
      <c r="E820" s="893"/>
      <c r="F820" s="893"/>
      <c r="G820" s="1"/>
      <c r="H820" s="1"/>
      <c r="I820" s="16"/>
      <c r="J820" s="1"/>
      <c r="K820" s="1"/>
      <c r="L820" s="1"/>
      <c r="M820" s="1"/>
      <c r="N820" s="1"/>
      <c r="O820" s="1"/>
      <c r="P820" s="1"/>
      <c r="Q820" s="1"/>
      <c r="R820" s="1"/>
      <c r="S820" s="1"/>
      <c r="T820" s="1"/>
      <c r="U820" s="1"/>
      <c r="V820" s="1"/>
      <c r="W820" s="1"/>
      <c r="X820" s="1"/>
      <c r="Y820" s="1"/>
      <c r="Z820" s="1"/>
    </row>
    <row r="821" spans="1:26" ht="12.75" hidden="1" customHeight="1">
      <c r="A821" s="9"/>
      <c r="B821" s="9"/>
      <c r="C821" s="9"/>
      <c r="D821" s="893"/>
      <c r="E821" s="893"/>
      <c r="F821" s="893"/>
      <c r="G821" s="1"/>
      <c r="H821" s="1"/>
      <c r="I821" s="10"/>
      <c r="J821" s="1"/>
      <c r="K821" s="1"/>
      <c r="L821" s="1"/>
      <c r="M821" s="1"/>
      <c r="N821" s="1"/>
      <c r="O821" s="1"/>
      <c r="P821" s="1"/>
      <c r="Q821" s="1"/>
      <c r="R821" s="1"/>
      <c r="S821" s="1"/>
      <c r="T821" s="1"/>
      <c r="U821" s="1"/>
      <c r="V821" s="1"/>
      <c r="W821" s="1"/>
      <c r="X821" s="1"/>
      <c r="Y821" s="1"/>
      <c r="Z821" s="1"/>
    </row>
    <row r="822" spans="1:26" ht="12.75" hidden="1" customHeight="1">
      <c r="A822" s="9"/>
      <c r="B822" s="9"/>
      <c r="C822" s="9"/>
      <c r="D822" s="893"/>
      <c r="E822" s="893"/>
      <c r="F822" s="893"/>
      <c r="G822" s="1"/>
      <c r="H822" s="1"/>
      <c r="I822" s="10"/>
      <c r="J822" s="1"/>
      <c r="K822" s="1"/>
      <c r="L822" s="1"/>
      <c r="M822" s="1"/>
      <c r="N822" s="1"/>
      <c r="O822" s="1"/>
      <c r="P822" s="1"/>
      <c r="Q822" s="1"/>
      <c r="R822" s="1"/>
      <c r="S822" s="1"/>
      <c r="T822" s="1"/>
      <c r="U822" s="1"/>
      <c r="V822" s="1"/>
      <c r="W822" s="1"/>
      <c r="X822" s="1"/>
      <c r="Y822" s="1"/>
      <c r="Z822" s="1"/>
    </row>
    <row r="823" spans="1:26" ht="12.75" hidden="1" customHeight="1">
      <c r="A823" s="16"/>
      <c r="B823" s="16"/>
      <c r="C823" s="16"/>
      <c r="D823" s="1"/>
      <c r="E823" s="125"/>
      <c r="F823" s="125"/>
      <c r="G823" s="125"/>
      <c r="H823" s="1"/>
      <c r="I823" s="10"/>
      <c r="J823" s="1"/>
      <c r="K823" s="1"/>
      <c r="L823" s="1"/>
      <c r="M823" s="1"/>
      <c r="N823" s="1"/>
      <c r="O823" s="1"/>
      <c r="P823" s="1"/>
      <c r="Q823" s="1"/>
      <c r="R823" s="1"/>
      <c r="S823" s="1"/>
      <c r="T823" s="1"/>
      <c r="U823" s="1"/>
      <c r="V823" s="1"/>
      <c r="W823" s="1"/>
      <c r="X823" s="1"/>
      <c r="Y823" s="1"/>
      <c r="Z823" s="1"/>
    </row>
    <row r="824" spans="1:26" ht="12.75" hidden="1" customHeight="1">
      <c r="A824" s="20"/>
      <c r="B824" s="21" t="s">
        <v>27</v>
      </c>
      <c r="C824" s="95"/>
      <c r="D824" s="927" t="s">
        <v>870</v>
      </c>
      <c r="E824" s="893"/>
      <c r="F824" s="893"/>
      <c r="G824" s="125"/>
      <c r="H824" s="1"/>
      <c r="I824" s="16"/>
      <c r="J824" s="1"/>
      <c r="K824" s="1"/>
      <c r="L824" s="1"/>
      <c r="M824" s="1"/>
      <c r="N824" s="1"/>
      <c r="O824" s="1"/>
      <c r="P824" s="1"/>
      <c r="Q824" s="1"/>
      <c r="R824" s="1"/>
      <c r="S824" s="1"/>
      <c r="T824" s="1"/>
      <c r="U824" s="1"/>
      <c r="V824" s="1"/>
      <c r="W824" s="1"/>
      <c r="X824" s="1"/>
      <c r="Y824" s="1"/>
      <c r="Z824" s="1"/>
    </row>
    <row r="825" spans="1:26" ht="12.75" hidden="1" customHeight="1">
      <c r="A825" s="20"/>
      <c r="B825" s="20"/>
      <c r="C825" s="95"/>
      <c r="D825" s="893"/>
      <c r="E825" s="893"/>
      <c r="F825" s="893"/>
      <c r="G825" s="125"/>
      <c r="H825" s="1"/>
      <c r="I825" s="10"/>
      <c r="J825" s="1"/>
      <c r="K825" s="1"/>
      <c r="L825" s="1"/>
      <c r="M825" s="1"/>
      <c r="N825" s="1"/>
      <c r="O825" s="1"/>
      <c r="P825" s="1"/>
      <c r="Q825" s="1"/>
      <c r="R825" s="1"/>
      <c r="S825" s="1"/>
      <c r="T825" s="1"/>
      <c r="U825" s="1"/>
      <c r="V825" s="1"/>
      <c r="W825" s="1"/>
      <c r="X825" s="1"/>
      <c r="Y825" s="1"/>
      <c r="Z825" s="1"/>
    </row>
    <row r="826" spans="1:26" ht="12.75" hidden="1" customHeight="1">
      <c r="A826" s="20"/>
      <c r="B826" s="20"/>
      <c r="C826" s="95"/>
      <c r="D826" s="893"/>
      <c r="E826" s="893"/>
      <c r="F826" s="893"/>
      <c r="G826" s="125"/>
      <c r="H826" s="1"/>
      <c r="I826" s="10"/>
      <c r="J826" s="1"/>
      <c r="K826" s="1"/>
      <c r="L826" s="1"/>
      <c r="M826" s="1"/>
      <c r="N826" s="1"/>
      <c r="O826" s="1"/>
      <c r="P826" s="1"/>
      <c r="Q826" s="1"/>
      <c r="R826" s="1"/>
      <c r="S826" s="1"/>
      <c r="T826" s="1"/>
      <c r="U826" s="1"/>
      <c r="V826" s="1"/>
      <c r="W826" s="1"/>
      <c r="X826" s="1"/>
      <c r="Y826" s="1"/>
      <c r="Z826" s="1"/>
    </row>
    <row r="827" spans="1:26" ht="12.75" hidden="1" customHeight="1">
      <c r="A827" s="20"/>
      <c r="B827" s="20"/>
      <c r="C827" s="95"/>
      <c r="D827" s="17"/>
      <c r="E827" s="1"/>
      <c r="F827" s="1"/>
      <c r="G827" s="125"/>
      <c r="H827" s="1"/>
      <c r="I827" s="10"/>
      <c r="J827" s="1"/>
      <c r="K827" s="1"/>
      <c r="L827" s="1"/>
      <c r="M827" s="1"/>
      <c r="N827" s="1"/>
      <c r="O827" s="1"/>
      <c r="P827" s="1"/>
      <c r="Q827" s="1"/>
      <c r="R827" s="1"/>
      <c r="S827" s="1"/>
      <c r="T827" s="1"/>
      <c r="U827" s="1"/>
      <c r="V827" s="1"/>
      <c r="W827" s="1"/>
      <c r="X827" s="1"/>
      <c r="Y827" s="1"/>
      <c r="Z827" s="1"/>
    </row>
    <row r="828" spans="1:26" ht="12.75" hidden="1" customHeight="1">
      <c r="A828" s="20"/>
      <c r="B828" s="21" t="s">
        <v>27</v>
      </c>
      <c r="C828" s="95"/>
      <c r="D828" s="927" t="s">
        <v>874</v>
      </c>
      <c r="E828" s="893"/>
      <c r="F828" s="893"/>
      <c r="G828" s="125"/>
      <c r="H828" s="1"/>
      <c r="I828" s="16"/>
      <c r="J828" s="1"/>
      <c r="K828" s="1"/>
      <c r="L828" s="1"/>
      <c r="M828" s="1"/>
      <c r="N828" s="1"/>
      <c r="O828" s="1"/>
      <c r="P828" s="1"/>
      <c r="Q828" s="1"/>
      <c r="R828" s="1"/>
      <c r="S828" s="1"/>
      <c r="T828" s="1"/>
      <c r="U828" s="1"/>
      <c r="V828" s="1"/>
      <c r="W828" s="1"/>
      <c r="X828" s="1"/>
      <c r="Y828" s="1"/>
      <c r="Z828" s="1"/>
    </row>
    <row r="829" spans="1:26" ht="12.75" hidden="1" customHeight="1">
      <c r="A829" s="20"/>
      <c r="B829" s="20"/>
      <c r="C829" s="95"/>
      <c r="D829" s="893"/>
      <c r="E829" s="893"/>
      <c r="F829" s="893"/>
      <c r="G829" s="125"/>
      <c r="H829" s="1"/>
      <c r="I829" s="10"/>
      <c r="J829" s="1"/>
      <c r="K829" s="1"/>
      <c r="L829" s="1"/>
      <c r="M829" s="1"/>
      <c r="N829" s="1"/>
      <c r="O829" s="1"/>
      <c r="P829" s="1"/>
      <c r="Q829" s="1"/>
      <c r="R829" s="1"/>
      <c r="S829" s="1"/>
      <c r="T829" s="1"/>
      <c r="U829" s="1"/>
      <c r="V829" s="1"/>
      <c r="W829" s="1"/>
      <c r="X829" s="1"/>
      <c r="Y829" s="1"/>
      <c r="Z829" s="1"/>
    </row>
    <row r="830" spans="1:26" ht="12.75" hidden="1" customHeight="1">
      <c r="A830" s="20"/>
      <c r="B830" s="20"/>
      <c r="C830" s="95"/>
      <c r="D830" s="893"/>
      <c r="E830" s="893"/>
      <c r="F830" s="893"/>
      <c r="G830" s="125"/>
      <c r="H830" s="1"/>
      <c r="I830" s="10"/>
      <c r="J830" s="1"/>
      <c r="K830" s="1"/>
      <c r="L830" s="1"/>
      <c r="M830" s="1"/>
      <c r="N830" s="1"/>
      <c r="O830" s="1"/>
      <c r="P830" s="1"/>
      <c r="Q830" s="1"/>
      <c r="R830" s="1"/>
      <c r="S830" s="1"/>
      <c r="T830" s="1"/>
      <c r="U830" s="1"/>
      <c r="V830" s="1"/>
      <c r="W830" s="1"/>
      <c r="X830" s="1"/>
      <c r="Y830" s="1"/>
      <c r="Z830" s="1"/>
    </row>
    <row r="831" spans="1:26" ht="12.75" hidden="1" customHeight="1">
      <c r="A831" s="20"/>
      <c r="B831" s="20"/>
      <c r="C831" s="95"/>
      <c r="D831" s="893"/>
      <c r="E831" s="893"/>
      <c r="F831" s="893"/>
      <c r="G831" s="125"/>
      <c r="H831" s="1"/>
      <c r="I831" s="10"/>
      <c r="J831" s="1"/>
      <c r="K831" s="1"/>
      <c r="L831" s="1"/>
      <c r="M831" s="1"/>
      <c r="N831" s="1"/>
      <c r="O831" s="1"/>
      <c r="P831" s="1"/>
      <c r="Q831" s="1"/>
      <c r="R831" s="1"/>
      <c r="S831" s="1"/>
      <c r="T831" s="1"/>
      <c r="U831" s="1"/>
      <c r="V831" s="1"/>
      <c r="W831" s="1"/>
      <c r="X831" s="1"/>
      <c r="Y831" s="1"/>
      <c r="Z831" s="1"/>
    </row>
    <row r="832" spans="1:26" ht="12.75" hidden="1" customHeight="1">
      <c r="A832" s="20"/>
      <c r="B832" s="20"/>
      <c r="C832" s="95"/>
      <c r="D832" s="893"/>
      <c r="E832" s="893"/>
      <c r="F832" s="893"/>
      <c r="G832" s="125"/>
      <c r="H832" s="1"/>
      <c r="I832" s="10"/>
      <c r="J832" s="1"/>
      <c r="K832" s="1"/>
      <c r="L832" s="1"/>
      <c r="M832" s="1"/>
      <c r="N832" s="1"/>
      <c r="O832" s="1"/>
      <c r="P832" s="1"/>
      <c r="Q832" s="1"/>
      <c r="R832" s="1"/>
      <c r="S832" s="1"/>
      <c r="T832" s="1"/>
      <c r="U832" s="1"/>
      <c r="V832" s="1"/>
      <c r="W832" s="1"/>
      <c r="X832" s="1"/>
      <c r="Y832" s="1"/>
      <c r="Z832" s="1"/>
    </row>
    <row r="833" spans="1:26" ht="12.75" hidden="1" customHeight="1">
      <c r="A833" s="20"/>
      <c r="B833" s="20"/>
      <c r="C833" s="95"/>
      <c r="D833" s="893"/>
      <c r="E833" s="893"/>
      <c r="F833" s="893"/>
      <c r="G833" s="125"/>
      <c r="H833" s="1"/>
      <c r="I833" s="10"/>
      <c r="J833" s="1"/>
      <c r="K833" s="1"/>
      <c r="L833" s="1"/>
      <c r="M833" s="1"/>
      <c r="N833" s="1"/>
      <c r="O833" s="1"/>
      <c r="P833" s="1"/>
      <c r="Q833" s="1"/>
      <c r="R833" s="1"/>
      <c r="S833" s="1"/>
      <c r="T833" s="1"/>
      <c r="U833" s="1"/>
      <c r="V833" s="1"/>
      <c r="W833" s="1"/>
      <c r="X833" s="1"/>
      <c r="Y833" s="1"/>
      <c r="Z833" s="1"/>
    </row>
    <row r="834" spans="1:26" ht="12.75" hidden="1" customHeight="1">
      <c r="A834" s="20"/>
      <c r="B834" s="20"/>
      <c r="C834" s="95"/>
      <c r="D834" s="927" t="s">
        <v>878</v>
      </c>
      <c r="E834" s="893"/>
      <c r="F834" s="893"/>
      <c r="G834" s="125"/>
      <c r="H834" s="1"/>
      <c r="I834" s="10"/>
      <c r="J834" s="1"/>
      <c r="K834" s="1"/>
      <c r="L834" s="1"/>
      <c r="M834" s="1"/>
      <c r="N834" s="1"/>
      <c r="O834" s="1"/>
      <c r="P834" s="1"/>
      <c r="Q834" s="1"/>
      <c r="R834" s="1"/>
      <c r="S834" s="1"/>
      <c r="T834" s="1"/>
      <c r="U834" s="1"/>
      <c r="V834" s="1"/>
      <c r="W834" s="1"/>
      <c r="X834" s="1"/>
      <c r="Y834" s="1"/>
      <c r="Z834" s="1"/>
    </row>
    <row r="835" spans="1:26" ht="12.75" hidden="1" customHeight="1">
      <c r="A835" s="20"/>
      <c r="B835" s="20"/>
      <c r="C835" s="95"/>
      <c r="D835" s="893"/>
      <c r="E835" s="893"/>
      <c r="F835" s="893"/>
      <c r="G835" s="125"/>
      <c r="H835" s="1"/>
      <c r="I835" s="10"/>
      <c r="J835" s="1"/>
      <c r="K835" s="1"/>
      <c r="L835" s="1"/>
      <c r="M835" s="1"/>
      <c r="N835" s="1"/>
      <c r="O835" s="1"/>
      <c r="P835" s="1"/>
      <c r="Q835" s="1"/>
      <c r="R835" s="1"/>
      <c r="S835" s="1"/>
      <c r="T835" s="1"/>
      <c r="U835" s="1"/>
      <c r="V835" s="1"/>
      <c r="W835" s="1"/>
      <c r="X835" s="1"/>
      <c r="Y835" s="1"/>
      <c r="Z835" s="1"/>
    </row>
    <row r="836" spans="1:26" ht="12.75" hidden="1" customHeight="1">
      <c r="A836" s="20"/>
      <c r="B836" s="20"/>
      <c r="C836" s="95"/>
      <c r="D836" s="893"/>
      <c r="E836" s="893"/>
      <c r="F836" s="893"/>
      <c r="G836" s="125"/>
      <c r="H836" s="1"/>
      <c r="I836" s="10"/>
      <c r="J836" s="1"/>
      <c r="K836" s="1"/>
      <c r="L836" s="1"/>
      <c r="M836" s="1"/>
      <c r="N836" s="1"/>
      <c r="O836" s="1"/>
      <c r="P836" s="1"/>
      <c r="Q836" s="1"/>
      <c r="R836" s="1"/>
      <c r="S836" s="1"/>
      <c r="T836" s="1"/>
      <c r="U836" s="1"/>
      <c r="V836" s="1"/>
      <c r="W836" s="1"/>
      <c r="X836" s="1"/>
      <c r="Y836" s="1"/>
      <c r="Z836" s="1"/>
    </row>
    <row r="837" spans="1:26" ht="12.75" hidden="1" customHeight="1">
      <c r="A837" s="20"/>
      <c r="B837" s="7"/>
      <c r="C837" s="95"/>
      <c r="D837" s="108"/>
      <c r="E837" s="108"/>
      <c r="F837" s="108"/>
      <c r="G837" s="125"/>
      <c r="H837" s="1"/>
      <c r="I837" s="10"/>
      <c r="J837" s="1"/>
      <c r="K837" s="1"/>
      <c r="L837" s="1"/>
      <c r="M837" s="1"/>
      <c r="N837" s="1"/>
      <c r="O837" s="1"/>
      <c r="P837" s="1"/>
      <c r="Q837" s="1"/>
      <c r="R837" s="1"/>
      <c r="S837" s="1"/>
      <c r="T837" s="1"/>
      <c r="U837" s="1"/>
      <c r="V837" s="1"/>
      <c r="W837" s="1"/>
      <c r="X837" s="1"/>
      <c r="Y837" s="1"/>
      <c r="Z837" s="1"/>
    </row>
    <row r="838" spans="1:26" ht="12.75" hidden="1" customHeight="1">
      <c r="A838" s="20"/>
      <c r="B838" s="21" t="s">
        <v>27</v>
      </c>
      <c r="C838" s="95"/>
      <c r="D838" s="927" t="s">
        <v>889</v>
      </c>
      <c r="E838" s="893"/>
      <c r="F838" s="893"/>
      <c r="G838" s="125"/>
      <c r="H838" s="1"/>
      <c r="I838" s="16"/>
      <c r="J838" s="1"/>
      <c r="K838" s="1"/>
      <c r="L838" s="1"/>
      <c r="M838" s="1"/>
      <c r="N838" s="1"/>
      <c r="O838" s="1"/>
      <c r="P838" s="1"/>
      <c r="Q838" s="1"/>
      <c r="R838" s="1"/>
      <c r="S838" s="1"/>
      <c r="T838" s="1"/>
      <c r="U838" s="1"/>
      <c r="V838" s="1"/>
      <c r="W838" s="1"/>
      <c r="X838" s="1"/>
      <c r="Y838" s="1"/>
      <c r="Z838" s="1"/>
    </row>
    <row r="839" spans="1:26" ht="12.75" hidden="1" customHeight="1">
      <c r="A839" s="20"/>
      <c r="B839" s="20"/>
      <c r="C839" s="95"/>
      <c r="D839" s="893"/>
      <c r="E839" s="893"/>
      <c r="F839" s="893"/>
      <c r="G839" s="125"/>
      <c r="H839" s="1"/>
      <c r="I839" s="10"/>
      <c r="J839" s="1"/>
      <c r="K839" s="1"/>
      <c r="L839" s="1"/>
      <c r="M839" s="1"/>
      <c r="N839" s="1"/>
      <c r="O839" s="1"/>
      <c r="P839" s="1"/>
      <c r="Q839" s="1"/>
      <c r="R839" s="1"/>
      <c r="S839" s="1"/>
      <c r="T839" s="1"/>
      <c r="U839" s="1"/>
      <c r="V839" s="1"/>
      <c r="W839" s="1"/>
      <c r="X839" s="1"/>
      <c r="Y839" s="1"/>
      <c r="Z839" s="1"/>
    </row>
    <row r="840" spans="1:26" ht="12.75" hidden="1" customHeight="1">
      <c r="A840" s="20"/>
      <c r="B840" s="20"/>
      <c r="C840" s="95"/>
      <c r="D840" s="893"/>
      <c r="E840" s="893"/>
      <c r="F840" s="893"/>
      <c r="G840" s="125"/>
      <c r="H840" s="1"/>
      <c r="I840" s="10"/>
      <c r="J840" s="1"/>
      <c r="K840" s="1"/>
      <c r="L840" s="1"/>
      <c r="M840" s="1"/>
      <c r="N840" s="1"/>
      <c r="O840" s="1"/>
      <c r="P840" s="1"/>
      <c r="Q840" s="1"/>
      <c r="R840" s="1"/>
      <c r="S840" s="1"/>
      <c r="T840" s="1"/>
      <c r="U840" s="1"/>
      <c r="V840" s="1"/>
      <c r="W840" s="1"/>
      <c r="X840" s="1"/>
      <c r="Y840" s="1"/>
      <c r="Z840" s="1"/>
    </row>
    <row r="841" spans="1:26" ht="12.75" hidden="1" customHeight="1">
      <c r="A841" s="20"/>
      <c r="B841" s="20"/>
      <c r="C841" s="95"/>
      <c r="D841" s="893"/>
      <c r="E841" s="893"/>
      <c r="F841" s="893"/>
      <c r="G841" s="125"/>
      <c r="H841" s="1"/>
      <c r="I841" s="10"/>
      <c r="J841" s="1"/>
      <c r="K841" s="1"/>
      <c r="L841" s="1"/>
      <c r="M841" s="1"/>
      <c r="N841" s="1"/>
      <c r="O841" s="1"/>
      <c r="P841" s="1"/>
      <c r="Q841" s="1"/>
      <c r="R841" s="1"/>
      <c r="S841" s="1"/>
      <c r="T841" s="1"/>
      <c r="U841" s="1"/>
      <c r="V841" s="1"/>
      <c r="W841" s="1"/>
      <c r="X841" s="1"/>
      <c r="Y841" s="1"/>
      <c r="Z841" s="1"/>
    </row>
    <row r="842" spans="1:26" ht="12.75" hidden="1" customHeight="1">
      <c r="A842" s="20"/>
      <c r="B842" s="20"/>
      <c r="C842" s="95"/>
      <c r="D842" s="893"/>
      <c r="E842" s="893"/>
      <c r="F842" s="893"/>
      <c r="G842" s="125"/>
      <c r="H842" s="1"/>
      <c r="I842" s="10"/>
      <c r="J842" s="1"/>
      <c r="K842" s="1"/>
      <c r="L842" s="1"/>
      <c r="M842" s="1"/>
      <c r="N842" s="1"/>
      <c r="O842" s="1"/>
      <c r="P842" s="1"/>
      <c r="Q842" s="1"/>
      <c r="R842" s="1"/>
      <c r="S842" s="1"/>
      <c r="T842" s="1"/>
      <c r="U842" s="1"/>
      <c r="V842" s="1"/>
      <c r="W842" s="1"/>
      <c r="X842" s="1"/>
      <c r="Y842" s="1"/>
      <c r="Z842" s="1"/>
    </row>
    <row r="843" spans="1:26" ht="12.75" hidden="1" customHeight="1">
      <c r="A843" s="20"/>
      <c r="B843" s="20"/>
      <c r="C843" s="95"/>
      <c r="D843" s="893"/>
      <c r="E843" s="893"/>
      <c r="F843" s="893"/>
      <c r="G843" s="125"/>
      <c r="H843" s="1"/>
      <c r="I843" s="10"/>
      <c r="J843" s="1"/>
      <c r="K843" s="1"/>
      <c r="L843" s="1"/>
      <c r="M843" s="1"/>
      <c r="N843" s="1"/>
      <c r="O843" s="1"/>
      <c r="P843" s="1"/>
      <c r="Q843" s="1"/>
      <c r="R843" s="1"/>
      <c r="S843" s="1"/>
      <c r="T843" s="1"/>
      <c r="U843" s="1"/>
      <c r="V843" s="1"/>
      <c r="W843" s="1"/>
      <c r="X843" s="1"/>
      <c r="Y843" s="1"/>
      <c r="Z843" s="1"/>
    </row>
    <row r="844" spans="1:26" ht="12.75" hidden="1" customHeight="1">
      <c r="A844" s="20"/>
      <c r="B844" s="20"/>
      <c r="C844" s="95"/>
      <c r="D844" s="60"/>
      <c r="E844" s="60"/>
      <c r="F844" s="60"/>
      <c r="G844" s="125"/>
      <c r="H844" s="1"/>
      <c r="I844" s="10"/>
      <c r="J844" s="1"/>
      <c r="K844" s="1"/>
      <c r="L844" s="1"/>
      <c r="M844" s="1"/>
      <c r="N844" s="1"/>
      <c r="O844" s="1"/>
      <c r="P844" s="1"/>
      <c r="Q844" s="1"/>
      <c r="R844" s="1"/>
      <c r="S844" s="1"/>
      <c r="T844" s="1"/>
      <c r="U844" s="1"/>
      <c r="V844" s="1"/>
      <c r="W844" s="1"/>
      <c r="X844" s="1"/>
      <c r="Y844" s="1"/>
      <c r="Z844" s="1"/>
    </row>
    <row r="845" spans="1:26" ht="12.75" hidden="1" customHeight="1">
      <c r="A845" s="20"/>
      <c r="B845" s="21" t="s">
        <v>27</v>
      </c>
      <c r="C845" s="95"/>
      <c r="D845" s="927" t="s">
        <v>895</v>
      </c>
      <c r="E845" s="893"/>
      <c r="F845" s="893"/>
      <c r="G845" s="125"/>
      <c r="H845" s="1"/>
      <c r="I845" s="16"/>
      <c r="J845" s="1"/>
      <c r="K845" s="1"/>
      <c r="L845" s="1"/>
      <c r="M845" s="1"/>
      <c r="N845" s="1"/>
      <c r="O845" s="1"/>
      <c r="P845" s="1"/>
      <c r="Q845" s="1"/>
      <c r="R845" s="1"/>
      <c r="S845" s="1"/>
      <c r="T845" s="1"/>
      <c r="U845" s="1"/>
      <c r="V845" s="1"/>
      <c r="W845" s="1"/>
      <c r="X845" s="1"/>
      <c r="Y845" s="1"/>
      <c r="Z845" s="1"/>
    </row>
    <row r="846" spans="1:26" ht="12.75" hidden="1" customHeight="1">
      <c r="A846" s="20"/>
      <c r="B846" s="20"/>
      <c r="C846" s="95"/>
      <c r="D846" s="893"/>
      <c r="E846" s="893"/>
      <c r="F846" s="893"/>
      <c r="G846" s="125"/>
      <c r="H846" s="1"/>
      <c r="I846" s="10"/>
      <c r="J846" s="1"/>
      <c r="K846" s="1"/>
      <c r="L846" s="1"/>
      <c r="M846" s="1"/>
      <c r="N846" s="1"/>
      <c r="O846" s="1"/>
      <c r="P846" s="1"/>
      <c r="Q846" s="1"/>
      <c r="R846" s="1"/>
      <c r="S846" s="1"/>
      <c r="T846" s="1"/>
      <c r="U846" s="1"/>
      <c r="V846" s="1"/>
      <c r="W846" s="1"/>
      <c r="X846" s="1"/>
      <c r="Y846" s="1"/>
      <c r="Z846" s="1"/>
    </row>
    <row r="847" spans="1:26" ht="12.75" hidden="1" customHeight="1">
      <c r="A847" s="20"/>
      <c r="B847" s="20"/>
      <c r="C847" s="95"/>
      <c r="D847" s="893"/>
      <c r="E847" s="893"/>
      <c r="F847" s="893"/>
      <c r="G847" s="125"/>
      <c r="H847" s="1"/>
      <c r="I847" s="10"/>
      <c r="J847" s="1"/>
      <c r="K847" s="1"/>
      <c r="L847" s="1"/>
      <c r="M847" s="1"/>
      <c r="N847" s="1"/>
      <c r="O847" s="1"/>
      <c r="P847" s="1"/>
      <c r="Q847" s="1"/>
      <c r="R847" s="1"/>
      <c r="S847" s="1"/>
      <c r="T847" s="1"/>
      <c r="U847" s="1"/>
      <c r="V847" s="1"/>
      <c r="W847" s="1"/>
      <c r="X847" s="1"/>
      <c r="Y847" s="1"/>
      <c r="Z847" s="1"/>
    </row>
    <row r="848" spans="1:26" ht="12.75" hidden="1" customHeight="1">
      <c r="A848" s="20"/>
      <c r="B848" s="20"/>
      <c r="C848" s="95"/>
      <c r="D848" s="893"/>
      <c r="E848" s="893"/>
      <c r="F848" s="893"/>
      <c r="G848" s="125"/>
      <c r="H848" s="1"/>
      <c r="I848" s="10"/>
      <c r="J848" s="1"/>
      <c r="K848" s="1"/>
      <c r="L848" s="1"/>
      <c r="M848" s="1"/>
      <c r="N848" s="1"/>
      <c r="O848" s="1"/>
      <c r="P848" s="1"/>
      <c r="Q848" s="1"/>
      <c r="R848" s="1"/>
      <c r="S848" s="1"/>
      <c r="T848" s="1"/>
      <c r="U848" s="1"/>
      <c r="V848" s="1"/>
      <c r="W848" s="1"/>
      <c r="X848" s="1"/>
      <c r="Y848" s="1"/>
      <c r="Z848" s="1"/>
    </row>
    <row r="849" spans="1:26" ht="12.75" hidden="1" customHeight="1">
      <c r="A849" s="20"/>
      <c r="B849" s="20"/>
      <c r="C849" s="95"/>
      <c r="D849" s="893"/>
      <c r="E849" s="893"/>
      <c r="F849" s="893"/>
      <c r="G849" s="125"/>
      <c r="H849" s="1"/>
      <c r="I849" s="10"/>
      <c r="J849" s="1"/>
      <c r="K849" s="1"/>
      <c r="L849" s="1"/>
      <c r="M849" s="1"/>
      <c r="N849" s="1"/>
      <c r="O849" s="1"/>
      <c r="P849" s="1"/>
      <c r="Q849" s="1"/>
      <c r="R849" s="1"/>
      <c r="S849" s="1"/>
      <c r="T849" s="1"/>
      <c r="U849" s="1"/>
      <c r="V849" s="1"/>
      <c r="W849" s="1"/>
      <c r="X849" s="1"/>
      <c r="Y849" s="1"/>
      <c r="Z849" s="1"/>
    </row>
    <row r="850" spans="1:26" ht="12.75" hidden="1" customHeight="1">
      <c r="A850" s="20"/>
      <c r="B850" s="20"/>
      <c r="C850" s="95"/>
      <c r="D850" s="893"/>
      <c r="E850" s="893"/>
      <c r="F850" s="893"/>
      <c r="G850" s="125"/>
      <c r="H850" s="1"/>
      <c r="I850" s="10"/>
      <c r="J850" s="1"/>
      <c r="K850" s="1"/>
      <c r="L850" s="1"/>
      <c r="M850" s="1"/>
      <c r="N850" s="1"/>
      <c r="O850" s="1"/>
      <c r="P850" s="1"/>
      <c r="Q850" s="1"/>
      <c r="R850" s="1"/>
      <c r="S850" s="1"/>
      <c r="T850" s="1"/>
      <c r="U850" s="1"/>
      <c r="V850" s="1"/>
      <c r="W850" s="1"/>
      <c r="X850" s="1"/>
      <c r="Y850" s="1"/>
      <c r="Z850" s="1"/>
    </row>
    <row r="851" spans="1:26" ht="12.75" hidden="1" customHeight="1">
      <c r="A851" s="20"/>
      <c r="B851" s="20"/>
      <c r="C851" s="95"/>
      <c r="D851" s="60"/>
      <c r="E851" s="60"/>
      <c r="F851" s="60"/>
      <c r="G851" s="125"/>
      <c r="H851" s="1"/>
      <c r="I851" s="10"/>
      <c r="J851" s="1"/>
      <c r="K851" s="1"/>
      <c r="L851" s="1"/>
      <c r="M851" s="1"/>
      <c r="N851" s="1"/>
      <c r="O851" s="1"/>
      <c r="P851" s="1"/>
      <c r="Q851" s="1"/>
      <c r="R851" s="1"/>
      <c r="S851" s="1"/>
      <c r="T851" s="1"/>
      <c r="U851" s="1"/>
      <c r="V851" s="1"/>
      <c r="W851" s="1"/>
      <c r="X851" s="1"/>
      <c r="Y851" s="1"/>
      <c r="Z851" s="1"/>
    </row>
    <row r="852" spans="1:26" ht="12.75" hidden="1" customHeight="1">
      <c r="A852" s="20"/>
      <c r="B852" s="21" t="s">
        <v>27</v>
      </c>
      <c r="C852" s="95"/>
      <c r="D852" s="913" t="s">
        <v>900</v>
      </c>
      <c r="E852" s="893"/>
      <c r="F852" s="893"/>
      <c r="G852" s="125"/>
      <c r="H852" s="1"/>
      <c r="I852" s="16"/>
      <c r="J852" s="1"/>
      <c r="K852" s="1"/>
      <c r="L852" s="1"/>
      <c r="M852" s="1"/>
      <c r="N852" s="1"/>
      <c r="O852" s="1"/>
      <c r="P852" s="1"/>
      <c r="Q852" s="1"/>
      <c r="R852" s="1"/>
      <c r="S852" s="1"/>
      <c r="T852" s="1"/>
      <c r="U852" s="1"/>
      <c r="V852" s="1"/>
      <c r="W852" s="1"/>
      <c r="X852" s="1"/>
      <c r="Y852" s="1"/>
      <c r="Z852" s="1"/>
    </row>
    <row r="853" spans="1:26" ht="12.75" hidden="1" customHeight="1">
      <c r="A853" s="20"/>
      <c r="B853" s="20"/>
      <c r="C853" s="95"/>
      <c r="D853" s="893"/>
      <c r="E853" s="893"/>
      <c r="F853" s="893"/>
      <c r="G853" s="125"/>
      <c r="H853" s="1"/>
      <c r="I853" s="10"/>
      <c r="J853" s="1"/>
      <c r="K853" s="1"/>
      <c r="L853" s="1"/>
      <c r="M853" s="1"/>
      <c r="N853" s="1"/>
      <c r="O853" s="1"/>
      <c r="P853" s="1"/>
      <c r="Q853" s="1"/>
      <c r="R853" s="1"/>
      <c r="S853" s="1"/>
      <c r="T853" s="1"/>
      <c r="U853" s="1"/>
      <c r="V853" s="1"/>
      <c r="W853" s="1"/>
      <c r="X853" s="1"/>
      <c r="Y853" s="1"/>
      <c r="Z853" s="1"/>
    </row>
    <row r="854" spans="1:26" ht="12.75" hidden="1" customHeight="1">
      <c r="A854" s="10"/>
      <c r="B854" s="10"/>
      <c r="C854" s="95"/>
      <c r="D854" s="893"/>
      <c r="E854" s="893"/>
      <c r="F854" s="893"/>
      <c r="G854" s="125"/>
      <c r="H854" s="1"/>
      <c r="I854" s="10"/>
      <c r="J854" s="1"/>
      <c r="K854" s="1"/>
      <c r="L854" s="1"/>
      <c r="M854" s="1"/>
      <c r="N854" s="1"/>
      <c r="O854" s="1"/>
      <c r="P854" s="1"/>
      <c r="Q854" s="1"/>
      <c r="R854" s="1"/>
      <c r="S854" s="1"/>
      <c r="T854" s="1"/>
      <c r="U854" s="1"/>
      <c r="V854" s="1"/>
      <c r="W854" s="1"/>
      <c r="X854" s="1"/>
      <c r="Y854" s="1"/>
      <c r="Z854" s="1"/>
    </row>
    <row r="855" spans="1:26" ht="12.75" hidden="1" customHeight="1">
      <c r="A855" s="20"/>
      <c r="B855" s="10"/>
      <c r="C855" s="95"/>
      <c r="D855" s="893"/>
      <c r="E855" s="893"/>
      <c r="F855" s="893"/>
      <c r="G855" s="125"/>
      <c r="H855" s="1"/>
      <c r="I855" s="10"/>
      <c r="J855" s="1"/>
      <c r="K855" s="1"/>
      <c r="L855" s="1"/>
      <c r="M855" s="1"/>
      <c r="N855" s="1"/>
      <c r="O855" s="1"/>
      <c r="P855" s="1"/>
      <c r="Q855" s="1"/>
      <c r="R855" s="1"/>
      <c r="S855" s="1"/>
      <c r="T855" s="1"/>
      <c r="U855" s="1"/>
      <c r="V855" s="1"/>
      <c r="W855" s="1"/>
      <c r="X855" s="1"/>
      <c r="Y855" s="1"/>
      <c r="Z855" s="1"/>
    </row>
    <row r="856" spans="1:26" ht="12.75" hidden="1" customHeight="1">
      <c r="A856" s="20"/>
      <c r="B856" s="10"/>
      <c r="C856" s="95"/>
      <c r="D856" s="893"/>
      <c r="E856" s="893"/>
      <c r="F856" s="893"/>
      <c r="G856" s="125"/>
      <c r="H856" s="1"/>
      <c r="I856" s="10"/>
      <c r="J856" s="1"/>
      <c r="K856" s="1"/>
      <c r="L856" s="1"/>
      <c r="M856" s="1"/>
      <c r="N856" s="1"/>
      <c r="O856" s="1"/>
      <c r="P856" s="1"/>
      <c r="Q856" s="1"/>
      <c r="R856" s="1"/>
      <c r="S856" s="1"/>
      <c r="T856" s="1"/>
      <c r="U856" s="1"/>
      <c r="V856" s="1"/>
      <c r="W856" s="1"/>
      <c r="X856" s="1"/>
      <c r="Y856" s="1"/>
      <c r="Z856" s="1"/>
    </row>
    <row r="857" spans="1:26" ht="12.75" hidden="1" customHeight="1">
      <c r="A857" s="20"/>
      <c r="B857" s="10"/>
      <c r="C857" s="95"/>
      <c r="D857" s="893"/>
      <c r="E857" s="893"/>
      <c r="F857" s="893"/>
      <c r="G857" s="125"/>
      <c r="H857" s="1"/>
      <c r="I857" s="10"/>
      <c r="J857" s="1"/>
      <c r="K857" s="1"/>
      <c r="L857" s="1"/>
      <c r="M857" s="1"/>
      <c r="N857" s="1"/>
      <c r="O857" s="1"/>
      <c r="P857" s="1"/>
      <c r="Q857" s="1"/>
      <c r="R857" s="1"/>
      <c r="S857" s="1"/>
      <c r="T857" s="1"/>
      <c r="U857" s="1"/>
      <c r="V857" s="1"/>
      <c r="W857" s="1"/>
      <c r="X857" s="1"/>
      <c r="Y857" s="1"/>
      <c r="Z857" s="1"/>
    </row>
    <row r="858" spans="1:26" ht="12.75" hidden="1" customHeight="1">
      <c r="A858" s="10"/>
      <c r="B858" s="10"/>
      <c r="C858" s="95"/>
      <c r="D858" s="125"/>
      <c r="E858" s="1"/>
      <c r="F858" s="1"/>
      <c r="G858" s="125"/>
      <c r="H858" s="1"/>
      <c r="I858" s="10"/>
      <c r="J858" s="1"/>
      <c r="K858" s="1"/>
      <c r="L858" s="1"/>
      <c r="M858" s="1"/>
      <c r="N858" s="1"/>
      <c r="O858" s="1"/>
      <c r="P858" s="1"/>
      <c r="Q858" s="1"/>
      <c r="R858" s="1"/>
      <c r="S858" s="1"/>
      <c r="T858" s="1"/>
      <c r="U858" s="1"/>
      <c r="V858" s="1"/>
      <c r="W858" s="1"/>
      <c r="X858" s="1"/>
      <c r="Y858" s="1"/>
      <c r="Z858" s="1"/>
    </row>
    <row r="859" spans="1:26" ht="12.75" customHeight="1">
      <c r="A859" s="920" t="s">
        <v>904</v>
      </c>
      <c r="B859" s="921"/>
      <c r="C859" s="921"/>
      <c r="D859" s="921"/>
      <c r="E859" s="921"/>
      <c r="F859" s="921"/>
      <c r="G859" s="921"/>
      <c r="H859" s="5"/>
      <c r="I859" s="39"/>
      <c r="J859" s="1"/>
      <c r="K859" s="1"/>
      <c r="L859" s="1"/>
      <c r="M859" s="1"/>
      <c r="N859" s="1"/>
      <c r="O859" s="1"/>
      <c r="P859" s="1"/>
      <c r="Q859" s="1"/>
      <c r="R859" s="1"/>
      <c r="S859" s="1"/>
      <c r="T859" s="1"/>
      <c r="U859" s="1"/>
      <c r="V859" s="1"/>
      <c r="W859" s="1"/>
      <c r="X859" s="1"/>
      <c r="Y859" s="1"/>
      <c r="Z859" s="1"/>
    </row>
    <row r="860" spans="1:26" ht="12.75" customHeight="1">
      <c r="A860" s="9"/>
      <c r="B860" s="9"/>
      <c r="C860" s="95"/>
      <c r="D860" s="125"/>
      <c r="E860" s="125"/>
      <c r="F860" s="125"/>
      <c r="G860" s="125"/>
      <c r="H860" s="1"/>
      <c r="I860" s="10"/>
      <c r="J860" s="1"/>
      <c r="K860" s="1"/>
      <c r="L860" s="1"/>
      <c r="M860" s="1"/>
      <c r="N860" s="1"/>
      <c r="O860" s="1"/>
      <c r="P860" s="1"/>
      <c r="Q860" s="1"/>
      <c r="R860" s="1"/>
      <c r="S860" s="1"/>
      <c r="T860" s="1"/>
      <c r="U860" s="1"/>
      <c r="V860" s="1"/>
      <c r="W860" s="1"/>
      <c r="X860" s="1"/>
      <c r="Y860" s="1"/>
      <c r="Z860" s="1"/>
    </row>
    <row r="861" spans="1:26" ht="12.75" customHeight="1">
      <c r="A861" s="20"/>
      <c r="B861" s="20"/>
      <c r="C861" s="7"/>
      <c r="D861" s="918" t="s">
        <v>905</v>
      </c>
      <c r="E861" s="893"/>
      <c r="F861" s="893"/>
      <c r="G861" s="1"/>
      <c r="H861" s="1"/>
      <c r="I861" s="10"/>
      <c r="J861" s="1"/>
      <c r="K861" s="1"/>
      <c r="L861" s="1"/>
      <c r="M861" s="1"/>
      <c r="N861" s="1"/>
      <c r="O861" s="1"/>
      <c r="P861" s="1"/>
      <c r="Q861" s="1"/>
      <c r="R861" s="1"/>
      <c r="S861" s="1"/>
      <c r="T861" s="1"/>
      <c r="U861" s="1"/>
      <c r="V861" s="1"/>
      <c r="W861" s="1"/>
      <c r="X861" s="1"/>
      <c r="Y861" s="1"/>
      <c r="Z861" s="1"/>
    </row>
    <row r="862" spans="1:26" ht="14.25" customHeight="1">
      <c r="A862" s="20"/>
      <c r="B862" s="20"/>
      <c r="C862" s="7"/>
      <c r="D862" s="895" t="s">
        <v>908</v>
      </c>
      <c r="E862" s="893"/>
      <c r="F862" s="893"/>
      <c r="G862" s="1"/>
      <c r="H862" s="1"/>
      <c r="I862" s="10"/>
      <c r="J862" s="1"/>
      <c r="K862" s="1"/>
      <c r="L862" s="1"/>
      <c r="M862" s="1"/>
      <c r="N862" s="1"/>
      <c r="O862" s="1"/>
      <c r="P862" s="1"/>
      <c r="Q862" s="1"/>
      <c r="R862" s="1"/>
      <c r="S862" s="1"/>
      <c r="T862" s="1"/>
      <c r="U862" s="1"/>
      <c r="V862" s="1"/>
      <c r="W862" s="1"/>
      <c r="X862" s="1"/>
      <c r="Y862" s="1"/>
      <c r="Z862" s="1"/>
    </row>
    <row r="863" spans="1:26" ht="12.75" customHeight="1">
      <c r="A863" s="20"/>
      <c r="B863" s="20"/>
      <c r="C863" s="7"/>
      <c r="D863" s="11"/>
      <c r="E863" s="11"/>
      <c r="F863" s="11"/>
      <c r="G863" s="1"/>
      <c r="H863" s="1"/>
      <c r="I863" s="10"/>
      <c r="J863" s="1"/>
      <c r="K863" s="1"/>
      <c r="L863" s="1"/>
      <c r="M863" s="1"/>
      <c r="N863" s="1"/>
      <c r="O863" s="1"/>
      <c r="P863" s="1"/>
      <c r="Q863" s="1"/>
      <c r="R863" s="1"/>
      <c r="S863" s="1"/>
      <c r="T863" s="1"/>
      <c r="U863" s="1"/>
      <c r="V863" s="1"/>
      <c r="W863" s="1"/>
      <c r="X863" s="1"/>
      <c r="Y863" s="1"/>
      <c r="Z863" s="1"/>
    </row>
    <row r="864" spans="1:26" ht="12.75" customHeight="1">
      <c r="A864" s="7"/>
      <c r="B864" s="21" t="s">
        <v>27</v>
      </c>
      <c r="C864" s="95"/>
      <c r="D864" s="895" t="s">
        <v>911</v>
      </c>
      <c r="E864" s="893"/>
      <c r="F864" s="893"/>
      <c r="G864" s="1"/>
      <c r="H864" s="1"/>
      <c r="I864" s="10" t="s">
        <v>912</v>
      </c>
      <c r="J864" s="1"/>
      <c r="K864" s="1"/>
      <c r="L864" s="1"/>
      <c r="M864" s="1"/>
      <c r="N864" s="1"/>
      <c r="O864" s="1"/>
      <c r="P864" s="1"/>
      <c r="Q864" s="1"/>
      <c r="R864" s="1"/>
      <c r="S864" s="1"/>
      <c r="T864" s="1"/>
      <c r="U864" s="1"/>
      <c r="V864" s="1"/>
      <c r="W864" s="1"/>
      <c r="X864" s="1"/>
      <c r="Y864" s="1"/>
      <c r="Z864" s="1"/>
    </row>
    <row r="865" spans="1:26" ht="14.25" customHeight="1">
      <c r="A865" s="10"/>
      <c r="B865" s="10"/>
      <c r="C865" s="95"/>
      <c r="D865" s="1"/>
      <c r="E865" s="18" t="s">
        <v>420</v>
      </c>
      <c r="F865" s="132"/>
      <c r="G865" s="1"/>
      <c r="H865" s="1"/>
      <c r="I865" s="10"/>
      <c r="J865" s="1"/>
      <c r="K865" s="1"/>
      <c r="L865" s="1"/>
      <c r="M865" s="1"/>
      <c r="N865" s="1"/>
      <c r="O865" s="1"/>
      <c r="P865" s="1"/>
      <c r="Q865" s="1"/>
      <c r="R865" s="1"/>
      <c r="S865" s="1"/>
      <c r="T865" s="1"/>
      <c r="U865" s="1"/>
      <c r="V865" s="1"/>
      <c r="W865" s="1"/>
      <c r="X865" s="1"/>
      <c r="Y865" s="1"/>
      <c r="Z865" s="1"/>
    </row>
    <row r="866" spans="1:26" ht="12.75" customHeight="1">
      <c r="A866" s="10"/>
      <c r="B866" s="10"/>
      <c r="C866" s="95"/>
      <c r="D866" s="1"/>
      <c r="E866" s="1"/>
      <c r="F866" s="1"/>
      <c r="G866" s="1"/>
      <c r="H866" s="1"/>
      <c r="I866" s="10"/>
      <c r="J866" s="1"/>
      <c r="K866" s="1"/>
      <c r="L866" s="1"/>
      <c r="M866" s="1"/>
      <c r="N866" s="1"/>
      <c r="O866" s="1"/>
      <c r="P866" s="1"/>
      <c r="Q866" s="1"/>
      <c r="R866" s="1"/>
      <c r="S866" s="1"/>
      <c r="T866" s="1"/>
      <c r="U866" s="1"/>
      <c r="V866" s="1"/>
      <c r="W866" s="1"/>
      <c r="X866" s="1"/>
      <c r="Y866" s="1"/>
      <c r="Z866" s="1"/>
    </row>
    <row r="867" spans="1:26" ht="14.25" hidden="1" customHeight="1">
      <c r="A867" s="10"/>
      <c r="B867" s="21" t="s">
        <v>27</v>
      </c>
      <c r="C867" s="95"/>
      <c r="D867" s="929" t="s">
        <v>914</v>
      </c>
      <c r="E867" s="893"/>
      <c r="F867" s="893"/>
      <c r="G867" s="1"/>
      <c r="H867" s="1"/>
      <c r="I867" s="10"/>
      <c r="J867" s="1"/>
      <c r="K867" s="1"/>
      <c r="L867" s="1"/>
      <c r="M867" s="1"/>
      <c r="N867" s="1"/>
      <c r="O867" s="1"/>
      <c r="P867" s="1"/>
      <c r="Q867" s="1"/>
      <c r="R867" s="1"/>
      <c r="S867" s="1"/>
      <c r="T867" s="1"/>
      <c r="U867" s="1"/>
      <c r="V867" s="1"/>
      <c r="W867" s="1"/>
      <c r="X867" s="1"/>
      <c r="Y867" s="1"/>
      <c r="Z867" s="1"/>
    </row>
    <row r="868" spans="1:26" ht="12.75" hidden="1" customHeight="1">
      <c r="A868" s="10"/>
      <c r="B868" s="10"/>
      <c r="C868" s="95"/>
      <c r="D868" s="893"/>
      <c r="E868" s="893"/>
      <c r="F868" s="893"/>
      <c r="G868" s="1"/>
      <c r="H868" s="1"/>
      <c r="I868" s="10"/>
      <c r="J868" s="1"/>
      <c r="K868" s="1"/>
      <c r="L868" s="1"/>
      <c r="M868" s="1"/>
      <c r="N868" s="1"/>
      <c r="O868" s="1"/>
      <c r="P868" s="1"/>
      <c r="Q868" s="1"/>
      <c r="R868" s="1"/>
      <c r="S868" s="1"/>
      <c r="T868" s="1"/>
      <c r="U868" s="1"/>
      <c r="V868" s="1"/>
      <c r="W868" s="1"/>
      <c r="X868" s="1"/>
      <c r="Y868" s="1"/>
      <c r="Z868" s="1"/>
    </row>
    <row r="869" spans="1:26" ht="12.75" hidden="1" customHeight="1">
      <c r="A869" s="10"/>
      <c r="B869" s="10"/>
      <c r="C869" s="95"/>
      <c r="D869" s="893"/>
      <c r="E869" s="893"/>
      <c r="F869" s="893"/>
      <c r="G869" s="1"/>
      <c r="H869" s="1"/>
      <c r="I869" s="10"/>
      <c r="J869" s="1"/>
      <c r="K869" s="1"/>
      <c r="L869" s="1"/>
      <c r="M869" s="1"/>
      <c r="N869" s="1"/>
      <c r="O869" s="1"/>
      <c r="P869" s="1"/>
      <c r="Q869" s="1"/>
      <c r="R869" s="1"/>
      <c r="S869" s="1"/>
      <c r="T869" s="1"/>
      <c r="U869" s="1"/>
      <c r="V869" s="1"/>
      <c r="W869" s="1"/>
      <c r="X869" s="1"/>
      <c r="Y869" s="1"/>
      <c r="Z869" s="1"/>
    </row>
    <row r="870" spans="1:26" ht="12.75" hidden="1" customHeight="1">
      <c r="A870" s="10"/>
      <c r="B870" s="10"/>
      <c r="C870" s="95"/>
      <c r="D870" s="893"/>
      <c r="E870" s="893"/>
      <c r="F870" s="893"/>
      <c r="G870" s="1"/>
      <c r="H870" s="1"/>
      <c r="I870" s="10"/>
      <c r="J870" s="1"/>
      <c r="K870" s="1"/>
      <c r="L870" s="1"/>
      <c r="M870" s="1"/>
      <c r="N870" s="1"/>
      <c r="O870" s="1"/>
      <c r="P870" s="1"/>
      <c r="Q870" s="1"/>
      <c r="R870" s="1"/>
      <c r="S870" s="1"/>
      <c r="T870" s="1"/>
      <c r="U870" s="1"/>
      <c r="V870" s="1"/>
      <c r="W870" s="1"/>
      <c r="X870" s="1"/>
      <c r="Y870" s="1"/>
      <c r="Z870" s="1"/>
    </row>
    <row r="871" spans="1:26" ht="12.75" hidden="1" customHeight="1">
      <c r="A871" s="10"/>
      <c r="B871" s="10"/>
      <c r="C871" s="95"/>
      <c r="D871" s="893"/>
      <c r="E871" s="893"/>
      <c r="F871" s="893"/>
      <c r="G871" s="1"/>
      <c r="H871" s="1"/>
      <c r="I871" s="10"/>
      <c r="J871" s="1"/>
      <c r="K871" s="1"/>
      <c r="L871" s="1"/>
      <c r="M871" s="1"/>
      <c r="N871" s="1"/>
      <c r="O871" s="1"/>
      <c r="P871" s="1"/>
      <c r="Q871" s="1"/>
      <c r="R871" s="1"/>
      <c r="S871" s="1"/>
      <c r="T871" s="1"/>
      <c r="U871" s="1"/>
      <c r="V871" s="1"/>
      <c r="W871" s="1"/>
      <c r="X871" s="1"/>
      <c r="Y871" s="1"/>
      <c r="Z871" s="1"/>
    </row>
    <row r="872" spans="1:26" ht="12.75" hidden="1" customHeight="1">
      <c r="A872" s="10"/>
      <c r="B872" s="10"/>
      <c r="C872" s="95"/>
      <c r="D872" s="893"/>
      <c r="E872" s="893"/>
      <c r="F872" s="893"/>
      <c r="G872" s="1"/>
      <c r="H872" s="1"/>
      <c r="I872" s="10"/>
      <c r="J872" s="1"/>
      <c r="K872" s="1"/>
      <c r="L872" s="1"/>
      <c r="M872" s="1"/>
      <c r="N872" s="1"/>
      <c r="O872" s="1"/>
      <c r="P872" s="1"/>
      <c r="Q872" s="1"/>
      <c r="R872" s="1"/>
      <c r="S872" s="1"/>
      <c r="T872" s="1"/>
      <c r="U872" s="1"/>
      <c r="V872" s="1"/>
      <c r="W872" s="1"/>
      <c r="X872" s="1"/>
      <c r="Y872" s="1"/>
      <c r="Z872" s="1"/>
    </row>
    <row r="873" spans="1:26" ht="12.75" hidden="1" customHeight="1">
      <c r="A873" s="10"/>
      <c r="B873" s="10"/>
      <c r="C873" s="95"/>
      <c r="D873" s="893"/>
      <c r="E873" s="893"/>
      <c r="F873" s="893"/>
      <c r="G873" s="1"/>
      <c r="H873" s="1"/>
      <c r="I873" s="10"/>
      <c r="J873" s="1"/>
      <c r="K873" s="1"/>
      <c r="L873" s="1"/>
      <c r="M873" s="1"/>
      <c r="N873" s="1"/>
      <c r="O873" s="1"/>
      <c r="P873" s="1"/>
      <c r="Q873" s="1"/>
      <c r="R873" s="1"/>
      <c r="S873" s="1"/>
      <c r="T873" s="1"/>
      <c r="U873" s="1"/>
      <c r="V873" s="1"/>
      <c r="W873" s="1"/>
      <c r="X873" s="1"/>
      <c r="Y873" s="1"/>
      <c r="Z873" s="1"/>
    </row>
    <row r="874" spans="1:26" ht="12.75" hidden="1" customHeight="1">
      <c r="A874" s="10"/>
      <c r="B874" s="10"/>
      <c r="C874" s="95"/>
      <c r="D874" s="893"/>
      <c r="E874" s="893"/>
      <c r="F874" s="893"/>
      <c r="G874" s="1"/>
      <c r="H874" s="1"/>
      <c r="I874" s="10"/>
      <c r="J874" s="1"/>
      <c r="K874" s="1"/>
      <c r="L874" s="1"/>
      <c r="M874" s="1"/>
      <c r="N874" s="1"/>
      <c r="O874" s="1"/>
      <c r="P874" s="1"/>
      <c r="Q874" s="1"/>
      <c r="R874" s="1"/>
      <c r="S874" s="1"/>
      <c r="T874" s="1"/>
      <c r="U874" s="1"/>
      <c r="V874" s="1"/>
      <c r="W874" s="1"/>
      <c r="X874" s="1"/>
      <c r="Y874" s="1"/>
      <c r="Z874" s="1"/>
    </row>
    <row r="875" spans="1:26" ht="12.75" hidden="1" customHeight="1">
      <c r="A875" s="10"/>
      <c r="B875" s="10"/>
      <c r="C875" s="95"/>
      <c r="D875" s="893"/>
      <c r="E875" s="893"/>
      <c r="F875" s="893"/>
      <c r="G875" s="1"/>
      <c r="H875" s="1"/>
      <c r="I875" s="10"/>
      <c r="J875" s="1"/>
      <c r="K875" s="1"/>
      <c r="L875" s="1"/>
      <c r="M875" s="1"/>
      <c r="N875" s="1"/>
      <c r="O875" s="1"/>
      <c r="P875" s="1"/>
      <c r="Q875" s="1"/>
      <c r="R875" s="1"/>
      <c r="S875" s="1"/>
      <c r="T875" s="1"/>
      <c r="U875" s="1"/>
      <c r="V875" s="1"/>
      <c r="W875" s="1"/>
      <c r="X875" s="1"/>
      <c r="Y875" s="1"/>
      <c r="Z875" s="1"/>
    </row>
    <row r="876" spans="1:26" ht="12.75" hidden="1" customHeight="1">
      <c r="A876" s="10"/>
      <c r="B876" s="10"/>
      <c r="C876" s="95"/>
      <c r="D876" s="893"/>
      <c r="E876" s="893"/>
      <c r="F876" s="893"/>
      <c r="G876" s="1"/>
      <c r="H876" s="1"/>
      <c r="I876" s="10"/>
      <c r="J876" s="1"/>
      <c r="K876" s="1"/>
      <c r="L876" s="1"/>
      <c r="M876" s="1"/>
      <c r="N876" s="1"/>
      <c r="O876" s="1"/>
      <c r="P876" s="1"/>
      <c r="Q876" s="1"/>
      <c r="R876" s="1"/>
      <c r="S876" s="1"/>
      <c r="T876" s="1"/>
      <c r="U876" s="1"/>
      <c r="V876" s="1"/>
      <c r="W876" s="1"/>
      <c r="X876" s="1"/>
      <c r="Y876" s="1"/>
      <c r="Z876" s="1"/>
    </row>
    <row r="877" spans="1:26" ht="12.75" hidden="1" customHeight="1">
      <c r="A877" s="10"/>
      <c r="B877" s="10"/>
      <c r="C877" s="95"/>
      <c r="D877" s="1"/>
      <c r="E877" s="1"/>
      <c r="F877" s="1"/>
      <c r="G877" s="1"/>
      <c r="H877" s="1"/>
      <c r="I877" s="10"/>
      <c r="J877" s="1"/>
      <c r="K877" s="1"/>
      <c r="L877" s="1"/>
      <c r="M877" s="1"/>
      <c r="N877" s="1"/>
      <c r="O877" s="1"/>
      <c r="P877" s="1"/>
      <c r="Q877" s="1"/>
      <c r="R877" s="1"/>
      <c r="S877" s="1"/>
      <c r="T877" s="1"/>
      <c r="U877" s="1"/>
      <c r="V877" s="1"/>
      <c r="W877" s="1"/>
      <c r="X877" s="1"/>
      <c r="Y877" s="1"/>
      <c r="Z877" s="1"/>
    </row>
    <row r="878" spans="1:26" ht="12.75" customHeight="1">
      <c r="A878" s="20"/>
      <c r="B878" s="21" t="s">
        <v>27</v>
      </c>
      <c r="C878" s="95"/>
      <c r="D878" s="895" t="s">
        <v>919</v>
      </c>
      <c r="E878" s="893"/>
      <c r="F878" s="893"/>
      <c r="G878" s="1"/>
      <c r="H878" s="1"/>
      <c r="I878" s="10" t="s">
        <v>920</v>
      </c>
      <c r="J878" s="1"/>
      <c r="K878" s="1"/>
      <c r="L878" s="1"/>
      <c r="M878" s="1"/>
      <c r="N878" s="1"/>
      <c r="O878" s="1"/>
      <c r="P878" s="1"/>
      <c r="Q878" s="1"/>
      <c r="R878" s="1"/>
      <c r="S878" s="1"/>
      <c r="T878" s="1"/>
      <c r="U878" s="1"/>
      <c r="V878" s="1"/>
      <c r="W878" s="1"/>
      <c r="X878" s="1"/>
      <c r="Y878" s="1"/>
      <c r="Z878" s="1"/>
    </row>
    <row r="879" spans="1:26" ht="12.75" customHeight="1">
      <c r="A879" s="20"/>
      <c r="B879" s="20"/>
      <c r="C879" s="95"/>
      <c r="D879" s="893"/>
      <c r="E879" s="893"/>
      <c r="F879" s="893"/>
      <c r="G879" s="1"/>
      <c r="H879" s="1"/>
      <c r="I879" s="10"/>
      <c r="J879" s="1"/>
      <c r="K879" s="1"/>
      <c r="L879" s="1"/>
      <c r="M879" s="1"/>
      <c r="N879" s="1"/>
      <c r="O879" s="1"/>
      <c r="P879" s="1"/>
      <c r="Q879" s="1"/>
      <c r="R879" s="1"/>
      <c r="S879" s="1"/>
      <c r="T879" s="1"/>
      <c r="U879" s="1"/>
      <c r="V879" s="1"/>
      <c r="W879" s="1"/>
      <c r="X879" s="1"/>
      <c r="Y879" s="1"/>
      <c r="Z879" s="1"/>
    </row>
    <row r="880" spans="1:26" ht="12.75" customHeight="1">
      <c r="A880" s="20"/>
      <c r="B880" s="20"/>
      <c r="C880" s="95"/>
      <c r="D880" s="893"/>
      <c r="E880" s="893"/>
      <c r="F880" s="893"/>
      <c r="G880" s="1"/>
      <c r="H880" s="1"/>
      <c r="I880" s="10"/>
      <c r="J880" s="1"/>
      <c r="K880" s="1"/>
      <c r="L880" s="1"/>
      <c r="M880" s="1"/>
      <c r="N880" s="1"/>
      <c r="O880" s="1"/>
      <c r="P880" s="1"/>
      <c r="Q880" s="1"/>
      <c r="R880" s="1"/>
      <c r="S880" s="1"/>
      <c r="T880" s="1"/>
      <c r="U880" s="1"/>
      <c r="V880" s="1"/>
      <c r="W880" s="1"/>
      <c r="X880" s="1"/>
      <c r="Y880" s="1"/>
      <c r="Z880" s="1"/>
    </row>
    <row r="881" spans="1:26" ht="12.75" customHeight="1">
      <c r="A881" s="20"/>
      <c r="B881" s="20"/>
      <c r="C881" s="95"/>
      <c r="D881" s="17"/>
      <c r="E881" s="1"/>
      <c r="F881" s="1"/>
      <c r="G881" s="1"/>
      <c r="H881" s="1"/>
      <c r="I881" s="10"/>
      <c r="J881" s="1"/>
      <c r="K881" s="1"/>
      <c r="L881" s="1"/>
      <c r="M881" s="1"/>
      <c r="N881" s="1"/>
      <c r="O881" s="1"/>
      <c r="P881" s="1"/>
      <c r="Q881" s="1"/>
      <c r="R881" s="1"/>
      <c r="S881" s="1"/>
      <c r="T881" s="1"/>
      <c r="U881" s="1"/>
      <c r="V881" s="1"/>
      <c r="W881" s="1"/>
      <c r="X881" s="1"/>
      <c r="Y881" s="1"/>
      <c r="Z881" s="1"/>
    </row>
    <row r="882" spans="1:26" ht="12.75" customHeight="1">
      <c r="A882" s="111"/>
      <c r="B882" s="21" t="s">
        <v>27</v>
      </c>
      <c r="C882" s="95"/>
      <c r="D882" s="918" t="s">
        <v>922</v>
      </c>
      <c r="E882" s="893"/>
      <c r="F882" s="893"/>
      <c r="G882" s="1"/>
      <c r="H882" s="1"/>
      <c r="I882" s="10"/>
      <c r="J882" s="1"/>
      <c r="K882" s="1"/>
      <c r="L882" s="1"/>
      <c r="M882" s="1"/>
      <c r="N882" s="1"/>
      <c r="O882" s="1"/>
      <c r="P882" s="1"/>
      <c r="Q882" s="1"/>
      <c r="R882" s="1"/>
      <c r="S882" s="1"/>
      <c r="T882" s="1"/>
      <c r="U882" s="1"/>
      <c r="V882" s="1"/>
      <c r="W882" s="1"/>
      <c r="X882" s="1"/>
      <c r="Y882" s="1"/>
      <c r="Z882" s="1"/>
    </row>
    <row r="883" spans="1:26" ht="12.75" customHeight="1">
      <c r="A883" s="7"/>
      <c r="B883" s="111"/>
      <c r="C883" s="95"/>
      <c r="D883" s="893"/>
      <c r="E883" s="893"/>
      <c r="F883" s="893"/>
      <c r="G883" s="1"/>
      <c r="H883" s="1"/>
      <c r="I883" s="10"/>
      <c r="J883" s="1"/>
      <c r="K883" s="1"/>
      <c r="L883" s="1"/>
      <c r="M883" s="1"/>
      <c r="N883" s="1"/>
      <c r="O883" s="1"/>
      <c r="P883" s="1"/>
      <c r="Q883" s="1"/>
      <c r="R883" s="1"/>
      <c r="S883" s="1"/>
      <c r="T883" s="1"/>
      <c r="U883" s="1"/>
      <c r="V883" s="1"/>
      <c r="W883" s="1"/>
      <c r="X883" s="1"/>
      <c r="Y883" s="1"/>
      <c r="Z883" s="1"/>
    </row>
    <row r="884" spans="1:26" ht="12.75" customHeight="1">
      <c r="A884" s="20"/>
      <c r="B884" s="7"/>
      <c r="C884" s="95"/>
      <c r="D884" s="895" t="s">
        <v>924</v>
      </c>
      <c r="E884" s="893"/>
      <c r="F884" s="893"/>
      <c r="G884" s="1"/>
      <c r="H884" s="1"/>
      <c r="I884" s="10"/>
      <c r="J884" s="1"/>
      <c r="K884" s="1"/>
      <c r="L884" s="1"/>
      <c r="M884" s="1"/>
      <c r="N884" s="1"/>
      <c r="O884" s="1"/>
      <c r="P884" s="1"/>
      <c r="Q884" s="1"/>
      <c r="R884" s="1"/>
      <c r="S884" s="1"/>
      <c r="T884" s="1"/>
      <c r="U884" s="1"/>
      <c r="V884" s="1"/>
      <c r="W884" s="1"/>
      <c r="X884" s="1"/>
      <c r="Y884" s="1"/>
      <c r="Z884" s="1"/>
    </row>
    <row r="885" spans="1:26" ht="12.75" customHeight="1">
      <c r="A885" s="20"/>
      <c r="B885" s="20"/>
      <c r="C885" s="95"/>
      <c r="D885" s="893"/>
      <c r="E885" s="893"/>
      <c r="F885" s="893"/>
      <c r="G885" s="1"/>
      <c r="H885" s="1"/>
      <c r="I885" s="10"/>
      <c r="J885" s="1"/>
      <c r="K885" s="1"/>
      <c r="L885" s="1"/>
      <c r="M885" s="1"/>
      <c r="N885" s="1"/>
      <c r="O885" s="1"/>
      <c r="P885" s="1"/>
      <c r="Q885" s="1"/>
      <c r="R885" s="1"/>
      <c r="S885" s="1"/>
      <c r="T885" s="1"/>
      <c r="U885" s="1"/>
      <c r="V885" s="1"/>
      <c r="W885" s="1"/>
      <c r="X885" s="1"/>
      <c r="Y885" s="1"/>
      <c r="Z885" s="1"/>
    </row>
    <row r="886" spans="1:26" ht="12.75" customHeight="1">
      <c r="A886" s="20"/>
      <c r="B886" s="20"/>
      <c r="C886" s="95"/>
      <c r="D886" s="893"/>
      <c r="E886" s="893"/>
      <c r="F886" s="893"/>
      <c r="G886" s="1"/>
      <c r="H886" s="1"/>
      <c r="I886" s="10"/>
      <c r="J886" s="1"/>
      <c r="K886" s="1"/>
      <c r="L886" s="1"/>
      <c r="M886" s="1"/>
      <c r="N886" s="1"/>
      <c r="O886" s="1"/>
      <c r="P886" s="1"/>
      <c r="Q886" s="1"/>
      <c r="R886" s="1"/>
      <c r="S886" s="1"/>
      <c r="T886" s="1"/>
      <c r="U886" s="1"/>
      <c r="V886" s="1"/>
      <c r="W886" s="1"/>
      <c r="X886" s="1"/>
      <c r="Y886" s="1"/>
      <c r="Z886" s="1"/>
    </row>
    <row r="887" spans="1:26" ht="12.75" customHeight="1">
      <c r="A887" s="20"/>
      <c r="B887" s="20"/>
      <c r="C887" s="95"/>
      <c r="D887" s="893"/>
      <c r="E887" s="893"/>
      <c r="F887" s="893"/>
      <c r="G887" s="1"/>
      <c r="H887" s="1"/>
      <c r="I887" s="10"/>
      <c r="J887" s="1"/>
      <c r="K887" s="1"/>
      <c r="L887" s="1"/>
      <c r="M887" s="1"/>
      <c r="N887" s="1"/>
      <c r="O887" s="1"/>
      <c r="P887" s="1"/>
      <c r="Q887" s="1"/>
      <c r="R887" s="1"/>
      <c r="S887" s="1"/>
      <c r="T887" s="1"/>
      <c r="U887" s="1"/>
      <c r="V887" s="1"/>
      <c r="W887" s="1"/>
      <c r="X887" s="1"/>
      <c r="Y887" s="1"/>
      <c r="Z887" s="1"/>
    </row>
    <row r="888" spans="1:26" ht="12.75" customHeight="1">
      <c r="A888" s="20"/>
      <c r="B888" s="20"/>
      <c r="C888" s="95"/>
      <c r="D888" s="893"/>
      <c r="E888" s="893"/>
      <c r="F888" s="893"/>
      <c r="G888" s="1"/>
      <c r="H888" s="1"/>
      <c r="I888" s="10"/>
      <c r="J888" s="1"/>
      <c r="K888" s="1"/>
      <c r="L888" s="1"/>
      <c r="M888" s="1"/>
      <c r="N888" s="1"/>
      <c r="O888" s="1"/>
      <c r="P888" s="1"/>
      <c r="Q888" s="1"/>
      <c r="R888" s="1"/>
      <c r="S888" s="1"/>
      <c r="T888" s="1"/>
      <c r="U888" s="1"/>
      <c r="V888" s="1"/>
      <c r="W888" s="1"/>
      <c r="X888" s="1"/>
      <c r="Y888" s="1"/>
      <c r="Z888" s="1"/>
    </row>
    <row r="889" spans="1:26" ht="12.75" customHeight="1">
      <c r="A889" s="20"/>
      <c r="B889" s="20"/>
      <c r="C889" s="95"/>
      <c r="D889" s="893"/>
      <c r="E889" s="893"/>
      <c r="F889" s="893"/>
      <c r="G889" s="1"/>
      <c r="H889" s="1"/>
      <c r="I889" s="10"/>
      <c r="J889" s="1"/>
      <c r="K889" s="1"/>
      <c r="L889" s="1"/>
      <c r="M889" s="1"/>
      <c r="N889" s="1"/>
      <c r="O889" s="1"/>
      <c r="P889" s="1"/>
      <c r="Q889" s="1"/>
      <c r="R889" s="1"/>
      <c r="S889" s="1"/>
      <c r="T889" s="1"/>
      <c r="U889" s="1"/>
      <c r="V889" s="1"/>
      <c r="W889" s="1"/>
      <c r="X889" s="1"/>
      <c r="Y889" s="1"/>
      <c r="Z889" s="1"/>
    </row>
    <row r="890" spans="1:26" ht="12.75" customHeight="1">
      <c r="A890" s="20"/>
      <c r="B890" s="20"/>
      <c r="C890" s="95"/>
      <c r="D890" s="17"/>
      <c r="E890" s="1"/>
      <c r="F890" s="1"/>
      <c r="G890" s="1"/>
      <c r="H890" s="1"/>
      <c r="I890" s="10"/>
      <c r="J890" s="1"/>
      <c r="K890" s="1"/>
      <c r="L890" s="1"/>
      <c r="M890" s="1"/>
      <c r="N890" s="1"/>
      <c r="O890" s="1"/>
      <c r="P890" s="1"/>
      <c r="Q890" s="1"/>
      <c r="R890" s="1"/>
      <c r="S890" s="1"/>
      <c r="T890" s="1"/>
      <c r="U890" s="1"/>
      <c r="V890" s="1"/>
      <c r="W890" s="1"/>
      <c r="X890" s="1"/>
      <c r="Y890" s="1"/>
      <c r="Z890" s="1"/>
    </row>
    <row r="891" spans="1:26" ht="12.75" customHeight="1">
      <c r="A891" s="20"/>
      <c r="B891" s="21" t="s">
        <v>27</v>
      </c>
      <c r="C891" s="95"/>
      <c r="D891" s="895" t="s">
        <v>927</v>
      </c>
      <c r="E891" s="893"/>
      <c r="F891" s="893"/>
      <c r="G891" s="1"/>
      <c r="H891" s="1"/>
      <c r="I891" s="10" t="s">
        <v>928</v>
      </c>
      <c r="J891" s="1"/>
      <c r="K891" s="1"/>
      <c r="L891" s="1"/>
      <c r="M891" s="1"/>
      <c r="N891" s="1"/>
      <c r="O891" s="1"/>
      <c r="P891" s="1"/>
      <c r="Q891" s="1"/>
      <c r="R891" s="1"/>
      <c r="S891" s="1"/>
      <c r="T891" s="1"/>
      <c r="U891" s="1"/>
      <c r="V891" s="1"/>
      <c r="W891" s="1"/>
      <c r="X891" s="1"/>
      <c r="Y891" s="1"/>
      <c r="Z891" s="1"/>
    </row>
    <row r="892" spans="1:26" ht="12.75" customHeight="1">
      <c r="A892" s="20"/>
      <c r="B892" s="20"/>
      <c r="C892" s="95"/>
      <c r="D892" s="895" t="s">
        <v>931</v>
      </c>
      <c r="E892" s="893"/>
      <c r="F892" s="893"/>
      <c r="G892" s="1"/>
      <c r="H892" s="1"/>
      <c r="I892" s="10"/>
      <c r="J892" s="1"/>
      <c r="K892" s="1"/>
      <c r="L892" s="1"/>
      <c r="M892" s="1"/>
      <c r="N892" s="1"/>
      <c r="O892" s="1"/>
      <c r="P892" s="1"/>
      <c r="Q892" s="1"/>
      <c r="R892" s="1"/>
      <c r="S892" s="1"/>
      <c r="T892" s="1"/>
      <c r="U892" s="1"/>
      <c r="V892" s="1"/>
      <c r="W892" s="1"/>
      <c r="X892" s="1"/>
      <c r="Y892" s="1"/>
      <c r="Z892" s="1"/>
    </row>
    <row r="893" spans="1:26" ht="12.75" customHeight="1">
      <c r="A893" s="20"/>
      <c r="B893" s="20"/>
      <c r="C893" s="95"/>
      <c r="D893" s="1"/>
      <c r="E893" s="18" t="s">
        <v>440</v>
      </c>
      <c r="F893" s="132"/>
      <c r="G893" s="1"/>
      <c r="H893" s="1"/>
      <c r="I893" s="10"/>
      <c r="J893" s="1"/>
      <c r="K893" s="1"/>
      <c r="L893" s="1"/>
      <c r="M893" s="1"/>
      <c r="N893" s="1"/>
      <c r="O893" s="1"/>
      <c r="P893" s="1"/>
      <c r="Q893" s="1"/>
      <c r="R893" s="1"/>
      <c r="S893" s="1"/>
      <c r="T893" s="1"/>
      <c r="U893" s="1"/>
      <c r="V893" s="1"/>
      <c r="W893" s="1"/>
      <c r="X893" s="1"/>
      <c r="Y893" s="1"/>
      <c r="Z893" s="1"/>
    </row>
    <row r="894" spans="1:26" ht="12.75" customHeight="1">
      <c r="A894" s="20"/>
      <c r="B894" s="20"/>
      <c r="C894" s="95"/>
      <c r="D894" s="17"/>
      <c r="E894" s="1"/>
      <c r="F894" s="1"/>
      <c r="G894" s="1"/>
      <c r="H894" s="1"/>
      <c r="I894" s="10"/>
      <c r="J894" s="1"/>
      <c r="K894" s="1"/>
      <c r="L894" s="1"/>
      <c r="M894" s="1"/>
      <c r="N894" s="1"/>
      <c r="O894" s="1"/>
      <c r="P894" s="1"/>
      <c r="Q894" s="1"/>
      <c r="R894" s="1"/>
      <c r="S894" s="1"/>
      <c r="T894" s="1"/>
      <c r="U894" s="1"/>
      <c r="V894" s="1"/>
      <c r="W894" s="1"/>
      <c r="X894" s="1"/>
      <c r="Y894" s="1"/>
      <c r="Z894" s="1"/>
    </row>
    <row r="895" spans="1:26" ht="12.75" customHeight="1">
      <c r="A895" s="20"/>
      <c r="B895" s="21" t="s">
        <v>27</v>
      </c>
      <c r="C895" s="95"/>
      <c r="D895" s="895" t="s">
        <v>932</v>
      </c>
      <c r="E895" s="893"/>
      <c r="F895" s="893"/>
      <c r="G895" s="1"/>
      <c r="H895" s="1"/>
      <c r="I895" s="10" t="s">
        <v>934</v>
      </c>
      <c r="J895" s="1"/>
      <c r="K895" s="1"/>
      <c r="L895" s="1"/>
      <c r="M895" s="1"/>
      <c r="N895" s="1"/>
      <c r="O895" s="1"/>
      <c r="P895" s="1"/>
      <c r="Q895" s="1"/>
      <c r="R895" s="1"/>
      <c r="S895" s="1"/>
      <c r="T895" s="1"/>
      <c r="U895" s="1"/>
      <c r="V895" s="1"/>
      <c r="W895" s="1"/>
      <c r="X895" s="1"/>
      <c r="Y895" s="1"/>
      <c r="Z895" s="1"/>
    </row>
    <row r="896" spans="1:26" ht="12.75" customHeight="1">
      <c r="A896" s="20"/>
      <c r="B896" s="20"/>
      <c r="C896" s="95"/>
      <c r="D896" s="893"/>
      <c r="E896" s="893"/>
      <c r="F896" s="893"/>
      <c r="G896" s="1"/>
      <c r="H896" s="1"/>
      <c r="I896" s="10"/>
      <c r="J896" s="1"/>
      <c r="K896" s="1"/>
      <c r="L896" s="1"/>
      <c r="M896" s="1"/>
      <c r="N896" s="1"/>
      <c r="O896" s="1"/>
      <c r="P896" s="1"/>
      <c r="Q896" s="1"/>
      <c r="R896" s="1"/>
      <c r="S896" s="1"/>
      <c r="T896" s="1"/>
      <c r="U896" s="1"/>
      <c r="V896" s="1"/>
      <c r="W896" s="1"/>
      <c r="X896" s="1"/>
      <c r="Y896" s="1"/>
      <c r="Z896" s="1"/>
    </row>
    <row r="897" spans="1:26" ht="12.75" customHeight="1">
      <c r="A897" s="20"/>
      <c r="B897" s="20"/>
      <c r="C897" s="95"/>
      <c r="D897" s="893"/>
      <c r="E897" s="893"/>
      <c r="F897" s="893"/>
      <c r="G897" s="1"/>
      <c r="H897" s="1"/>
      <c r="I897" s="10"/>
      <c r="J897" s="1"/>
      <c r="K897" s="1"/>
      <c r="L897" s="1"/>
      <c r="M897" s="1"/>
      <c r="N897" s="1"/>
      <c r="O897" s="1"/>
      <c r="P897" s="1"/>
      <c r="Q897" s="1"/>
      <c r="R897" s="1"/>
      <c r="S897" s="1"/>
      <c r="T897" s="1"/>
      <c r="U897" s="1"/>
      <c r="V897" s="1"/>
      <c r="W897" s="1"/>
      <c r="X897" s="1"/>
      <c r="Y897" s="1"/>
      <c r="Z897" s="1"/>
    </row>
    <row r="898" spans="1:26" ht="12.75" customHeight="1">
      <c r="A898" s="20"/>
      <c r="B898" s="20"/>
      <c r="C898" s="95"/>
      <c r="D898" s="893"/>
      <c r="E898" s="893"/>
      <c r="F898" s="893"/>
      <c r="G898" s="1"/>
      <c r="H898" s="1"/>
      <c r="I898" s="10"/>
      <c r="J898" s="1"/>
      <c r="K898" s="1"/>
      <c r="L898" s="1"/>
      <c r="M898" s="1"/>
      <c r="N898" s="1"/>
      <c r="O898" s="1"/>
      <c r="P898" s="1"/>
      <c r="Q898" s="1"/>
      <c r="R898" s="1"/>
      <c r="S898" s="1"/>
      <c r="T898" s="1"/>
      <c r="U898" s="1"/>
      <c r="V898" s="1"/>
      <c r="W898" s="1"/>
      <c r="X898" s="1"/>
      <c r="Y898" s="1"/>
      <c r="Z898" s="1"/>
    </row>
    <row r="899" spans="1:26" ht="12.75" customHeight="1">
      <c r="A899" s="9"/>
      <c r="B899" s="9"/>
      <c r="C899" s="9"/>
      <c r="D899" s="17"/>
      <c r="E899" s="1"/>
      <c r="F899" s="1"/>
      <c r="G899" s="1"/>
      <c r="H899" s="1"/>
      <c r="I899" s="10"/>
      <c r="J899" s="1"/>
      <c r="K899" s="1"/>
      <c r="L899" s="1"/>
      <c r="M899" s="1"/>
      <c r="N899" s="1"/>
      <c r="O899" s="1"/>
      <c r="P899" s="1"/>
      <c r="Q899" s="1"/>
      <c r="R899" s="1"/>
      <c r="S899" s="1"/>
      <c r="T899" s="1"/>
      <c r="U899" s="1"/>
      <c r="V899" s="1"/>
      <c r="W899" s="1"/>
      <c r="X899" s="1"/>
      <c r="Y899" s="1"/>
      <c r="Z899" s="1"/>
    </row>
    <row r="900" spans="1:26" ht="12.75" customHeight="1">
      <c r="A900" s="13" t="s">
        <v>935</v>
      </c>
      <c r="B900" s="13"/>
      <c r="C900" s="163"/>
      <c r="D900" s="163"/>
      <c r="E900" s="163"/>
      <c r="F900" s="163"/>
      <c r="G900" s="163"/>
      <c r="H900" s="5"/>
      <c r="I900" s="39"/>
      <c r="J900" s="1"/>
      <c r="K900" s="1"/>
      <c r="L900" s="1"/>
      <c r="M900" s="1"/>
      <c r="N900" s="1"/>
      <c r="O900" s="1"/>
      <c r="P900" s="1"/>
      <c r="Q900" s="1"/>
      <c r="R900" s="1"/>
      <c r="S900" s="1"/>
      <c r="T900" s="1"/>
      <c r="U900" s="1"/>
      <c r="V900" s="1"/>
      <c r="W900" s="1"/>
      <c r="X900" s="1"/>
      <c r="Y900" s="1"/>
      <c r="Z900" s="1"/>
    </row>
    <row r="901" spans="1:26" ht="12.75" customHeight="1">
      <c r="A901" s="9"/>
      <c r="B901" s="9"/>
      <c r="C901" s="9"/>
      <c r="D901" s="17"/>
      <c r="E901" s="1"/>
      <c r="F901" s="1"/>
      <c r="G901" s="1"/>
      <c r="H901" s="1"/>
      <c r="I901" s="10"/>
      <c r="J901" s="1"/>
      <c r="K901" s="1"/>
      <c r="L901" s="1"/>
      <c r="M901" s="1"/>
      <c r="N901" s="1"/>
      <c r="O901" s="1"/>
      <c r="P901" s="1"/>
      <c r="Q901" s="1"/>
      <c r="R901" s="1"/>
      <c r="S901" s="1"/>
      <c r="T901" s="1"/>
      <c r="U901" s="1"/>
      <c r="V901" s="1"/>
      <c r="W901" s="1"/>
      <c r="X901" s="1"/>
      <c r="Y901" s="1"/>
      <c r="Z901" s="1"/>
    </row>
    <row r="902" spans="1:26" ht="12.75" customHeight="1">
      <c r="A902" s="7"/>
      <c r="B902" s="7"/>
      <c r="C902" s="16"/>
      <c r="D902" s="914" t="s">
        <v>938</v>
      </c>
      <c r="E902" s="893"/>
      <c r="F902" s="893"/>
      <c r="G902" s="125"/>
      <c r="H902" s="1"/>
      <c r="I902" s="10"/>
      <c r="J902" s="1"/>
      <c r="K902" s="1"/>
      <c r="L902" s="1"/>
      <c r="M902" s="1"/>
      <c r="N902" s="1"/>
      <c r="O902" s="1"/>
      <c r="P902" s="1"/>
      <c r="Q902" s="1"/>
      <c r="R902" s="1"/>
      <c r="S902" s="1"/>
      <c r="T902" s="1"/>
      <c r="U902" s="1"/>
      <c r="V902" s="1"/>
      <c r="W902" s="1"/>
      <c r="X902" s="1"/>
      <c r="Y902" s="1"/>
      <c r="Z902" s="1"/>
    </row>
    <row r="903" spans="1:26" ht="12.75" customHeight="1">
      <c r="A903" s="7"/>
      <c r="B903" s="7"/>
      <c r="C903" s="16"/>
      <c r="D903" s="917" t="s">
        <v>939</v>
      </c>
      <c r="E903" s="893"/>
      <c r="F903" s="893"/>
      <c r="G903" s="125"/>
      <c r="H903" s="1"/>
      <c r="I903" s="10"/>
      <c r="J903" s="1"/>
      <c r="K903" s="1"/>
      <c r="L903" s="1"/>
      <c r="M903" s="1"/>
      <c r="N903" s="1"/>
      <c r="O903" s="1"/>
      <c r="P903" s="1"/>
      <c r="Q903" s="1"/>
      <c r="R903" s="1"/>
      <c r="S903" s="1"/>
      <c r="T903" s="1"/>
      <c r="U903" s="1"/>
      <c r="V903" s="1"/>
      <c r="W903" s="1"/>
      <c r="X903" s="1"/>
      <c r="Y903" s="1"/>
      <c r="Z903" s="1"/>
    </row>
    <row r="904" spans="1:26" ht="12.75" customHeight="1">
      <c r="A904" s="7"/>
      <c r="B904" s="7"/>
      <c r="C904" s="16"/>
      <c r="D904" s="14"/>
      <c r="E904" s="14"/>
      <c r="F904" s="14"/>
      <c r="G904" s="125"/>
      <c r="H904" s="1"/>
      <c r="I904" s="10"/>
      <c r="J904" s="1"/>
      <c r="K904" s="1"/>
      <c r="L904" s="1"/>
      <c r="M904" s="1"/>
      <c r="N904" s="1"/>
      <c r="O904" s="1"/>
      <c r="P904" s="1"/>
      <c r="Q904" s="1"/>
      <c r="R904" s="1"/>
      <c r="S904" s="1"/>
      <c r="T904" s="1"/>
      <c r="U904" s="1"/>
      <c r="V904" s="1"/>
      <c r="W904" s="1"/>
      <c r="X904" s="1"/>
      <c r="Y904" s="1"/>
      <c r="Z904" s="1"/>
    </row>
    <row r="905" spans="1:26" ht="12.75" customHeight="1">
      <c r="A905" s="20"/>
      <c r="B905" s="21" t="s">
        <v>27</v>
      </c>
      <c r="C905" s="7"/>
      <c r="D905" s="915" t="s">
        <v>940</v>
      </c>
      <c r="E905" s="893"/>
      <c r="F905" s="893"/>
      <c r="G905" s="125"/>
      <c r="H905" s="1"/>
      <c r="I905" s="10" t="s">
        <v>928</v>
      </c>
      <c r="J905" s="1"/>
      <c r="K905" s="1"/>
      <c r="L905" s="1"/>
      <c r="M905" s="1"/>
      <c r="N905" s="1"/>
      <c r="O905" s="1"/>
      <c r="P905" s="1"/>
      <c r="Q905" s="1"/>
      <c r="R905" s="1"/>
      <c r="S905" s="1"/>
      <c r="T905" s="1"/>
      <c r="U905" s="1"/>
      <c r="V905" s="1"/>
      <c r="W905" s="1"/>
      <c r="X905" s="1"/>
      <c r="Y905" s="1"/>
      <c r="Z905" s="1"/>
    </row>
    <row r="906" spans="1:26" ht="12.75" customHeight="1">
      <c r="A906" s="7"/>
      <c r="B906" s="7"/>
      <c r="C906" s="7"/>
      <c r="D906" s="8" t="s">
        <v>380</v>
      </c>
      <c r="E906" s="18" t="s">
        <v>440</v>
      </c>
      <c r="F906" s="192"/>
      <c r="G906" s="125"/>
      <c r="H906" s="1"/>
      <c r="I906" s="10"/>
      <c r="J906" s="1"/>
      <c r="K906" s="1"/>
      <c r="L906" s="1"/>
      <c r="M906" s="1"/>
      <c r="N906" s="1"/>
      <c r="O906" s="1"/>
      <c r="P906" s="1"/>
      <c r="Q906" s="1"/>
      <c r="R906" s="1"/>
      <c r="S906" s="1"/>
      <c r="T906" s="1"/>
      <c r="U906" s="1"/>
      <c r="V906" s="1"/>
      <c r="W906" s="1"/>
      <c r="X906" s="1"/>
      <c r="Y906" s="1"/>
      <c r="Z906" s="1"/>
    </row>
    <row r="907" spans="1:26" ht="12.75" customHeight="1">
      <c r="A907" s="7"/>
      <c r="B907" s="7"/>
      <c r="C907" s="7"/>
      <c r="D907" s="17"/>
      <c r="E907" s="125"/>
      <c r="F907" s="125"/>
      <c r="G907" s="125"/>
      <c r="H907" s="1"/>
      <c r="I907" s="10"/>
      <c r="J907" s="1"/>
      <c r="K907" s="1"/>
      <c r="L907" s="1"/>
      <c r="M907" s="1"/>
      <c r="N907" s="1"/>
      <c r="O907" s="1"/>
      <c r="P907" s="1"/>
      <c r="Q907" s="1"/>
      <c r="R907" s="1"/>
      <c r="S907" s="1"/>
      <c r="T907" s="1"/>
      <c r="U907" s="1"/>
      <c r="V907" s="1"/>
      <c r="W907" s="1"/>
      <c r="X907" s="1"/>
      <c r="Y907" s="1"/>
      <c r="Z907" s="1"/>
    </row>
    <row r="908" spans="1:26" ht="12.75" customHeight="1">
      <c r="A908" s="20"/>
      <c r="B908" s="21" t="s">
        <v>27</v>
      </c>
      <c r="C908" s="7"/>
      <c r="D908" s="895" t="s">
        <v>943</v>
      </c>
      <c r="E908" s="893"/>
      <c r="F908" s="893"/>
      <c r="G908" s="1"/>
      <c r="H908" s="1"/>
      <c r="I908" s="10" t="s">
        <v>934</v>
      </c>
      <c r="J908" s="1"/>
      <c r="K908" s="1"/>
      <c r="L908" s="1"/>
      <c r="M908" s="1"/>
      <c r="N908" s="1"/>
      <c r="O908" s="1"/>
      <c r="P908" s="1"/>
      <c r="Q908" s="1"/>
      <c r="R908" s="1"/>
      <c r="S908" s="1"/>
      <c r="T908" s="1"/>
      <c r="U908" s="1"/>
      <c r="V908" s="1"/>
      <c r="W908" s="1"/>
      <c r="X908" s="1"/>
      <c r="Y908" s="1"/>
      <c r="Z908" s="1"/>
    </row>
    <row r="909" spans="1:26" ht="12.75" customHeight="1">
      <c r="A909" s="7"/>
      <c r="B909" s="7"/>
      <c r="C909" s="7"/>
      <c r="D909" s="893"/>
      <c r="E909" s="893"/>
      <c r="F909" s="893"/>
      <c r="G909" s="1"/>
      <c r="H909" s="1"/>
      <c r="I909" s="10"/>
      <c r="J909" s="1"/>
      <c r="K909" s="1"/>
      <c r="L909" s="1"/>
      <c r="M909" s="1"/>
      <c r="N909" s="1"/>
      <c r="O909" s="1"/>
      <c r="P909" s="1"/>
      <c r="Q909" s="1"/>
      <c r="R909" s="1"/>
      <c r="S909" s="1"/>
      <c r="T909" s="1"/>
      <c r="U909" s="1"/>
      <c r="V909" s="1"/>
      <c r="W909" s="1"/>
      <c r="X909" s="1"/>
      <c r="Y909" s="1"/>
      <c r="Z909" s="1"/>
    </row>
    <row r="910" spans="1:26" ht="12.75" customHeight="1">
      <c r="A910" s="7"/>
      <c r="B910" s="7"/>
      <c r="C910" s="7"/>
      <c r="D910" s="17"/>
      <c r="E910" s="1"/>
      <c r="F910" s="1"/>
      <c r="G910" s="1"/>
      <c r="H910" s="1"/>
      <c r="I910" s="10"/>
      <c r="J910" s="1"/>
      <c r="K910" s="1"/>
      <c r="L910" s="1"/>
      <c r="M910" s="1"/>
      <c r="N910" s="1"/>
      <c r="O910" s="1"/>
      <c r="P910" s="1"/>
      <c r="Q910" s="1"/>
      <c r="R910" s="1"/>
      <c r="S910" s="1"/>
      <c r="T910" s="1"/>
      <c r="U910" s="1"/>
      <c r="V910" s="1"/>
      <c r="W910" s="1"/>
      <c r="X910" s="1"/>
      <c r="Y910" s="1"/>
      <c r="Z910" s="1"/>
    </row>
    <row r="911" spans="1:26" ht="12.75" customHeight="1">
      <c r="A911" s="7"/>
      <c r="B911" s="21" t="s">
        <v>27</v>
      </c>
      <c r="C911" s="7"/>
      <c r="D911" s="918" t="s">
        <v>946</v>
      </c>
      <c r="E911" s="893"/>
      <c r="F911" s="893"/>
      <c r="G911" s="125"/>
      <c r="H911" s="1"/>
      <c r="I911" s="10"/>
      <c r="J911" s="1"/>
      <c r="K911" s="1"/>
      <c r="L911" s="1"/>
      <c r="M911" s="1"/>
      <c r="N911" s="1"/>
      <c r="O911" s="1"/>
      <c r="P911" s="1"/>
      <c r="Q911" s="1"/>
      <c r="R911" s="1"/>
      <c r="S911" s="1"/>
      <c r="T911" s="1"/>
      <c r="U911" s="1"/>
      <c r="V911" s="1"/>
      <c r="W911" s="1"/>
      <c r="X911" s="1"/>
      <c r="Y911" s="1"/>
      <c r="Z911" s="1"/>
    </row>
    <row r="912" spans="1:26" ht="12.75" customHeight="1">
      <c r="A912" s="7"/>
      <c r="B912" s="111"/>
      <c r="C912" s="7"/>
      <c r="D912" s="893"/>
      <c r="E912" s="893"/>
      <c r="F912" s="893"/>
      <c r="G912" s="125"/>
      <c r="H912" s="1"/>
      <c r="I912" s="10"/>
      <c r="J912" s="1"/>
      <c r="K912" s="1"/>
      <c r="L912" s="1"/>
      <c r="M912" s="1"/>
      <c r="N912" s="1"/>
      <c r="O912" s="1"/>
      <c r="P912" s="1"/>
      <c r="Q912" s="1"/>
      <c r="R912" s="1"/>
      <c r="S912" s="1"/>
      <c r="T912" s="1"/>
      <c r="U912" s="1"/>
      <c r="V912" s="1"/>
      <c r="W912" s="1"/>
      <c r="X912" s="1"/>
      <c r="Y912" s="1"/>
      <c r="Z912" s="1"/>
    </row>
    <row r="913" spans="1:26" ht="12.75" customHeight="1">
      <c r="A913" s="20"/>
      <c r="C913" s="7"/>
      <c r="D913" s="895" t="s">
        <v>924</v>
      </c>
      <c r="E913" s="893"/>
      <c r="F913" s="893"/>
      <c r="G913" s="125"/>
      <c r="H913" s="1"/>
      <c r="I913" s="10"/>
      <c r="J913" s="1"/>
      <c r="K913" s="1"/>
      <c r="L913" s="1"/>
      <c r="M913" s="1"/>
      <c r="N913" s="1"/>
      <c r="O913" s="1"/>
      <c r="P913" s="1"/>
      <c r="Q913" s="1"/>
      <c r="R913" s="1"/>
      <c r="S913" s="1"/>
      <c r="T913" s="1"/>
      <c r="U913" s="1"/>
      <c r="V913" s="1"/>
      <c r="W913" s="1"/>
      <c r="X913" s="1"/>
      <c r="Y913" s="1"/>
      <c r="Z913" s="1"/>
    </row>
    <row r="914" spans="1:26" ht="12.75" customHeight="1">
      <c r="A914" s="20"/>
      <c r="B914" s="20"/>
      <c r="C914" s="7"/>
      <c r="D914" s="893"/>
      <c r="E914" s="893"/>
      <c r="F914" s="893"/>
      <c r="G914" s="125"/>
      <c r="H914" s="1"/>
      <c r="I914" s="10"/>
      <c r="J914" s="1"/>
      <c r="K914" s="1"/>
      <c r="L914" s="1"/>
      <c r="M914" s="1"/>
      <c r="N914" s="1"/>
      <c r="O914" s="1"/>
      <c r="P914" s="1"/>
      <c r="Q914" s="1"/>
      <c r="R914" s="1"/>
      <c r="S914" s="1"/>
      <c r="T914" s="1"/>
      <c r="U914" s="1"/>
      <c r="V914" s="1"/>
      <c r="W914" s="1"/>
      <c r="X914" s="1"/>
      <c r="Y914" s="1"/>
      <c r="Z914" s="1"/>
    </row>
    <row r="915" spans="1:26" ht="12.75" customHeight="1">
      <c r="A915" s="20"/>
      <c r="B915" s="20"/>
      <c r="C915" s="7"/>
      <c r="D915" s="893"/>
      <c r="E915" s="893"/>
      <c r="F915" s="893"/>
      <c r="G915" s="125"/>
      <c r="H915" s="1"/>
      <c r="I915" s="10"/>
      <c r="J915" s="1"/>
      <c r="K915" s="1"/>
      <c r="L915" s="1"/>
      <c r="M915" s="1"/>
      <c r="N915" s="1"/>
      <c r="O915" s="1"/>
      <c r="P915" s="1"/>
      <c r="Q915" s="1"/>
      <c r="R915" s="1"/>
      <c r="S915" s="1"/>
      <c r="T915" s="1"/>
      <c r="U915" s="1"/>
      <c r="V915" s="1"/>
      <c r="W915" s="1"/>
      <c r="X915" s="1"/>
      <c r="Y915" s="1"/>
      <c r="Z915" s="1"/>
    </row>
    <row r="916" spans="1:26" ht="12.75" customHeight="1">
      <c r="A916" s="20"/>
      <c r="B916" s="20"/>
      <c r="C916" s="7"/>
      <c r="D916" s="893"/>
      <c r="E916" s="893"/>
      <c r="F916" s="893"/>
      <c r="G916" s="125"/>
      <c r="H916" s="1"/>
      <c r="I916" s="10"/>
      <c r="J916" s="1"/>
      <c r="K916" s="1"/>
      <c r="L916" s="1"/>
      <c r="M916" s="1"/>
      <c r="N916" s="1"/>
      <c r="O916" s="1"/>
      <c r="P916" s="1"/>
      <c r="Q916" s="1"/>
      <c r="R916" s="1"/>
      <c r="S916" s="1"/>
      <c r="T916" s="1"/>
      <c r="U916" s="1"/>
      <c r="V916" s="1"/>
      <c r="W916" s="1"/>
      <c r="X916" s="1"/>
      <c r="Y916" s="1"/>
      <c r="Z916" s="1"/>
    </row>
    <row r="917" spans="1:26" ht="12.75" customHeight="1">
      <c r="A917" s="20"/>
      <c r="B917" s="20"/>
      <c r="C917" s="7"/>
      <c r="D917" s="893"/>
      <c r="E917" s="893"/>
      <c r="F917" s="893"/>
      <c r="G917" s="125"/>
      <c r="H917" s="1"/>
      <c r="I917" s="10"/>
      <c r="J917" s="1"/>
      <c r="K917" s="1"/>
      <c r="L917" s="1"/>
      <c r="M917" s="1"/>
      <c r="N917" s="1"/>
      <c r="O917" s="1"/>
      <c r="P917" s="1"/>
      <c r="Q917" s="1"/>
      <c r="R917" s="1"/>
      <c r="S917" s="1"/>
      <c r="T917" s="1"/>
      <c r="U917" s="1"/>
      <c r="V917" s="1"/>
      <c r="W917" s="1"/>
      <c r="X917" s="1"/>
      <c r="Y917" s="1"/>
      <c r="Z917" s="1"/>
    </row>
    <row r="918" spans="1:26" ht="12.75" customHeight="1">
      <c r="A918" s="20"/>
      <c r="B918" s="20"/>
      <c r="C918" s="7"/>
      <c r="D918" s="893"/>
      <c r="E918" s="893"/>
      <c r="F918" s="893"/>
      <c r="G918" s="125"/>
      <c r="H918" s="1"/>
      <c r="I918" s="10"/>
      <c r="J918" s="1"/>
      <c r="K918" s="1"/>
      <c r="L918" s="1"/>
      <c r="M918" s="1"/>
      <c r="N918" s="1"/>
      <c r="O918" s="1"/>
      <c r="P918" s="1"/>
      <c r="Q918" s="1"/>
      <c r="R918" s="1"/>
      <c r="S918" s="1"/>
      <c r="T918" s="1"/>
      <c r="U918" s="1"/>
      <c r="V918" s="1"/>
      <c r="W918" s="1"/>
      <c r="X918" s="1"/>
      <c r="Y918" s="1"/>
      <c r="Z918" s="1"/>
    </row>
    <row r="919" spans="1:26" ht="12.75" customHeight="1">
      <c r="A919" s="20"/>
      <c r="B919" s="20"/>
      <c r="C919" s="7"/>
      <c r="D919" s="17"/>
      <c r="E919" s="125"/>
      <c r="F919" s="125"/>
      <c r="G919" s="125"/>
      <c r="H919" s="1"/>
      <c r="I919" s="10"/>
      <c r="J919" s="1"/>
      <c r="K919" s="1"/>
      <c r="L919" s="1"/>
      <c r="M919" s="1"/>
      <c r="N919" s="1"/>
      <c r="O919" s="1"/>
      <c r="P919" s="1"/>
      <c r="Q919" s="1"/>
      <c r="R919" s="1"/>
      <c r="S919" s="1"/>
      <c r="T919" s="1"/>
      <c r="U919" s="1"/>
      <c r="V919" s="1"/>
      <c r="W919" s="1"/>
      <c r="X919" s="1"/>
      <c r="Y919" s="1"/>
      <c r="Z919" s="1"/>
    </row>
    <row r="920" spans="1:26" ht="12.75" customHeight="1">
      <c r="A920" s="20"/>
      <c r="B920" s="21" t="s">
        <v>27</v>
      </c>
      <c r="C920" s="7"/>
      <c r="D920" s="919" t="s">
        <v>927</v>
      </c>
      <c r="E920" s="893"/>
      <c r="F920" s="893"/>
      <c r="G920" s="125"/>
      <c r="H920" s="1"/>
      <c r="I920" s="10"/>
      <c r="J920" s="1"/>
      <c r="K920" s="1"/>
      <c r="L920" s="1"/>
      <c r="M920" s="1"/>
      <c r="N920" s="1"/>
      <c r="O920" s="1"/>
      <c r="P920" s="1"/>
      <c r="Q920" s="1"/>
      <c r="R920" s="1"/>
      <c r="S920" s="1"/>
      <c r="T920" s="1"/>
      <c r="U920" s="1"/>
      <c r="V920" s="1"/>
      <c r="W920" s="1"/>
      <c r="X920" s="1"/>
      <c r="Y920" s="1"/>
      <c r="Z920" s="1"/>
    </row>
    <row r="921" spans="1:26" ht="12.75" customHeight="1">
      <c r="A921" s="20"/>
      <c r="B921" s="20"/>
      <c r="C921" s="7"/>
      <c r="D921" s="919" t="s">
        <v>953</v>
      </c>
      <c r="E921" s="893"/>
      <c r="F921" s="893"/>
      <c r="G921" s="125"/>
      <c r="H921" s="1"/>
      <c r="I921" s="10"/>
      <c r="J921" s="1"/>
      <c r="K921" s="1"/>
      <c r="L921" s="1"/>
      <c r="M921" s="1"/>
      <c r="N921" s="1"/>
      <c r="O921" s="1"/>
      <c r="P921" s="1"/>
      <c r="Q921" s="1"/>
      <c r="R921" s="1"/>
      <c r="S921" s="1"/>
      <c r="T921" s="1"/>
      <c r="U921" s="1"/>
      <c r="V921" s="1"/>
      <c r="W921" s="1"/>
      <c r="X921" s="1"/>
      <c r="Y921" s="1"/>
      <c r="Z921" s="1"/>
    </row>
    <row r="922" spans="1:26" ht="12.75" customHeight="1">
      <c r="A922" s="20"/>
      <c r="B922" s="20"/>
      <c r="C922" s="7"/>
      <c r="D922" s="8" t="s">
        <v>955</v>
      </c>
      <c r="E922" s="18" t="s">
        <v>440</v>
      </c>
      <c r="F922" s="195"/>
      <c r="G922" s="125"/>
      <c r="H922" s="1"/>
      <c r="I922" s="10"/>
      <c r="J922" s="1"/>
      <c r="K922" s="1"/>
      <c r="L922" s="1"/>
      <c r="M922" s="1"/>
      <c r="N922" s="1"/>
      <c r="O922" s="1"/>
      <c r="P922" s="1"/>
      <c r="Q922" s="1"/>
      <c r="R922" s="1"/>
      <c r="S922" s="1"/>
      <c r="T922" s="1"/>
      <c r="U922" s="1"/>
      <c r="V922" s="1"/>
      <c r="W922" s="1"/>
      <c r="X922" s="1"/>
      <c r="Y922" s="1"/>
      <c r="Z922" s="1"/>
    </row>
    <row r="923" spans="1:26" ht="12.75" customHeight="1">
      <c r="A923" s="20"/>
      <c r="B923" s="20"/>
      <c r="C923" s="7"/>
      <c r="D923" s="17"/>
      <c r="E923" s="125"/>
      <c r="F923" s="125"/>
      <c r="G923" s="125"/>
      <c r="H923" s="1"/>
      <c r="I923" s="10"/>
      <c r="J923" s="1"/>
      <c r="K923" s="1"/>
      <c r="L923" s="1"/>
      <c r="M923" s="1"/>
      <c r="N923" s="1"/>
      <c r="O923" s="1"/>
      <c r="P923" s="1"/>
      <c r="Q923" s="1"/>
      <c r="R923" s="1"/>
      <c r="S923" s="1"/>
      <c r="T923" s="1"/>
      <c r="U923" s="1"/>
      <c r="V923" s="1"/>
      <c r="W923" s="1"/>
      <c r="X923" s="1"/>
      <c r="Y923" s="1"/>
      <c r="Z923" s="1"/>
    </row>
    <row r="924" spans="1:26" ht="12.75" customHeight="1">
      <c r="A924" s="20"/>
      <c r="B924" s="21" t="s">
        <v>27</v>
      </c>
      <c r="C924" s="7"/>
      <c r="D924" s="895" t="s">
        <v>932</v>
      </c>
      <c r="E924" s="893"/>
      <c r="F924" s="893"/>
      <c r="G924" s="125"/>
      <c r="H924" s="1"/>
      <c r="I924" s="10"/>
      <c r="J924" s="1"/>
      <c r="K924" s="1"/>
      <c r="L924" s="1"/>
      <c r="M924" s="1"/>
      <c r="N924" s="1"/>
      <c r="O924" s="1"/>
      <c r="P924" s="1"/>
      <c r="Q924" s="1"/>
      <c r="R924" s="1"/>
      <c r="S924" s="1"/>
      <c r="T924" s="1"/>
      <c r="U924" s="1"/>
      <c r="V924" s="1"/>
      <c r="W924" s="1"/>
      <c r="X924" s="1"/>
      <c r="Y924" s="1"/>
      <c r="Z924" s="1"/>
    </row>
    <row r="925" spans="1:26" ht="12.75" customHeight="1">
      <c r="A925" s="20"/>
      <c r="B925" s="20"/>
      <c r="C925" s="7"/>
      <c r="D925" s="893"/>
      <c r="E925" s="893"/>
      <c r="F925" s="893"/>
      <c r="G925" s="125"/>
      <c r="H925" s="1"/>
      <c r="I925" s="10"/>
      <c r="J925" s="1"/>
      <c r="K925" s="1"/>
      <c r="L925" s="1"/>
      <c r="M925" s="1"/>
      <c r="N925" s="1"/>
      <c r="O925" s="1"/>
      <c r="P925" s="1"/>
      <c r="Q925" s="1"/>
      <c r="R925" s="1"/>
      <c r="S925" s="1"/>
      <c r="T925" s="1"/>
      <c r="U925" s="1"/>
      <c r="V925" s="1"/>
      <c r="W925" s="1"/>
      <c r="X925" s="1"/>
      <c r="Y925" s="1"/>
      <c r="Z925" s="1"/>
    </row>
    <row r="926" spans="1:26" ht="12.75" customHeight="1">
      <c r="A926" s="20"/>
      <c r="B926" s="20"/>
      <c r="C926" s="7"/>
      <c r="D926" s="893"/>
      <c r="E926" s="893"/>
      <c r="F926" s="893"/>
      <c r="G926" s="125"/>
      <c r="H926" s="1"/>
      <c r="I926" s="10"/>
      <c r="J926" s="1"/>
      <c r="K926" s="1"/>
      <c r="L926" s="1"/>
      <c r="M926" s="1"/>
      <c r="N926" s="1"/>
      <c r="O926" s="1"/>
      <c r="P926" s="1"/>
      <c r="Q926" s="1"/>
      <c r="R926" s="1"/>
      <c r="S926" s="1"/>
      <c r="T926" s="1"/>
      <c r="U926" s="1"/>
      <c r="V926" s="1"/>
      <c r="W926" s="1"/>
      <c r="X926" s="1"/>
      <c r="Y926" s="1"/>
      <c r="Z926" s="1"/>
    </row>
    <row r="927" spans="1:26" ht="12.75" customHeight="1">
      <c r="A927" s="20"/>
      <c r="B927" s="20"/>
      <c r="C927" s="7"/>
      <c r="D927" s="893"/>
      <c r="E927" s="893"/>
      <c r="F927" s="893"/>
      <c r="G927" s="125"/>
      <c r="H927" s="1"/>
      <c r="I927" s="10"/>
      <c r="J927" s="1"/>
      <c r="K927" s="1"/>
      <c r="L927" s="1"/>
      <c r="M927" s="1"/>
      <c r="N927" s="1"/>
      <c r="O927" s="1"/>
      <c r="P927" s="1"/>
      <c r="Q927" s="1"/>
      <c r="R927" s="1"/>
      <c r="S927" s="1"/>
      <c r="T927" s="1"/>
      <c r="U927" s="1"/>
      <c r="V927" s="1"/>
      <c r="W927" s="1"/>
      <c r="X927" s="1"/>
      <c r="Y927" s="1"/>
      <c r="Z927" s="1"/>
    </row>
    <row r="928" spans="1:26" ht="12.75" customHeight="1">
      <c r="A928" s="17"/>
      <c r="B928" s="17"/>
      <c r="C928" s="95"/>
      <c r="D928" s="125"/>
      <c r="E928" s="125"/>
      <c r="F928" s="125"/>
      <c r="G928" s="125"/>
      <c r="H928" s="1"/>
      <c r="I928" s="10"/>
      <c r="J928" s="1"/>
      <c r="K928" s="1"/>
      <c r="L928" s="1"/>
      <c r="M928" s="1"/>
      <c r="N928" s="1"/>
      <c r="O928" s="1"/>
      <c r="P928" s="1"/>
      <c r="Q928" s="1"/>
      <c r="R928" s="1"/>
      <c r="S928" s="1"/>
      <c r="T928" s="1"/>
      <c r="U928" s="1"/>
      <c r="V928" s="1"/>
      <c r="W928" s="1"/>
      <c r="X928" s="1"/>
      <c r="Y928" s="1"/>
      <c r="Z928" s="1"/>
    </row>
    <row r="929" spans="1:26" ht="12.75" customHeight="1">
      <c r="A929" s="920" t="s">
        <v>961</v>
      </c>
      <c r="B929" s="921"/>
      <c r="C929" s="921"/>
      <c r="D929" s="921"/>
      <c r="E929" s="921"/>
      <c r="F929" s="921"/>
      <c r="G929" s="921"/>
      <c r="H929" s="5"/>
      <c r="I929" s="39"/>
      <c r="J929" s="1"/>
      <c r="K929" s="1"/>
      <c r="L929" s="1"/>
      <c r="M929" s="1"/>
      <c r="N929" s="1"/>
      <c r="O929" s="1"/>
      <c r="P929" s="1"/>
      <c r="Q929" s="1"/>
      <c r="R929" s="1"/>
      <c r="S929" s="1"/>
      <c r="T929" s="1"/>
      <c r="U929" s="1"/>
      <c r="V929" s="1"/>
      <c r="W929" s="1"/>
      <c r="X929" s="1"/>
      <c r="Y929" s="1"/>
      <c r="Z929" s="1"/>
    </row>
    <row r="930" spans="1:26" ht="12.75" customHeight="1">
      <c r="A930" s="62"/>
      <c r="B930" s="62"/>
      <c r="C930" s="62"/>
      <c r="D930" s="62"/>
      <c r="E930" s="62"/>
      <c r="F930" s="62"/>
      <c r="G930" s="62"/>
      <c r="H930" s="1"/>
      <c r="I930" s="10"/>
      <c r="J930" s="1"/>
      <c r="K930" s="1"/>
      <c r="L930" s="1"/>
      <c r="M930" s="1"/>
      <c r="N930" s="1"/>
      <c r="O930" s="1"/>
      <c r="P930" s="1"/>
      <c r="Q930" s="1"/>
      <c r="R930" s="1"/>
      <c r="S930" s="1"/>
      <c r="T930" s="1"/>
      <c r="U930" s="1"/>
      <c r="V930" s="1"/>
      <c r="W930" s="1"/>
      <c r="X930" s="1"/>
      <c r="Y930" s="1"/>
      <c r="Z930" s="1"/>
    </row>
    <row r="931" spans="1:26" ht="12.75" customHeight="1">
      <c r="A931" s="62"/>
      <c r="B931" s="62"/>
      <c r="C931" s="62"/>
      <c r="D931" s="916" t="s">
        <v>963</v>
      </c>
      <c r="E931" s="893"/>
      <c r="F931" s="893"/>
      <c r="G931" s="62"/>
      <c r="H931" s="1"/>
      <c r="I931" s="10"/>
      <c r="J931" s="1"/>
      <c r="K931" s="1"/>
      <c r="L931" s="1"/>
      <c r="M931" s="1"/>
      <c r="N931" s="1"/>
      <c r="O931" s="1"/>
      <c r="P931" s="1"/>
      <c r="Q931" s="1"/>
      <c r="R931" s="1"/>
      <c r="S931" s="1"/>
      <c r="T931" s="1"/>
      <c r="U931" s="1"/>
      <c r="V931" s="1"/>
      <c r="W931" s="1"/>
      <c r="X931" s="1"/>
      <c r="Y931" s="1"/>
      <c r="Z931" s="1"/>
    </row>
    <row r="932" spans="1:26" ht="12.75" customHeight="1">
      <c r="A932" s="62"/>
      <c r="B932" s="62"/>
      <c r="C932" s="62"/>
      <c r="D932" s="196"/>
      <c r="E932" s="196"/>
      <c r="F932" s="196"/>
      <c r="G932" s="62"/>
      <c r="H932" s="1"/>
      <c r="I932" s="10"/>
      <c r="J932" s="1"/>
      <c r="K932" s="1"/>
      <c r="L932" s="1"/>
      <c r="M932" s="1"/>
      <c r="N932" s="1"/>
      <c r="O932" s="1"/>
      <c r="P932" s="1"/>
      <c r="Q932" s="1"/>
      <c r="R932" s="1"/>
      <c r="S932" s="1"/>
      <c r="T932" s="1"/>
      <c r="U932" s="1"/>
      <c r="V932" s="1"/>
      <c r="W932" s="1"/>
      <c r="X932" s="1"/>
      <c r="Y932" s="1"/>
      <c r="Z932" s="1"/>
    </row>
    <row r="933" spans="1:26" ht="12.75" customHeight="1">
      <c r="A933" s="62"/>
      <c r="B933" s="21" t="s">
        <v>27</v>
      </c>
      <c r="C933" s="62"/>
      <c r="D933" s="113" t="s">
        <v>967</v>
      </c>
      <c r="E933" s="196"/>
      <c r="F933" s="196"/>
      <c r="G933" s="62"/>
      <c r="H933" s="1"/>
      <c r="I933" s="10"/>
      <c r="J933" s="1"/>
      <c r="K933" s="1"/>
      <c r="L933" s="1"/>
      <c r="M933" s="1"/>
      <c r="N933" s="1"/>
      <c r="O933" s="1"/>
      <c r="P933" s="1"/>
      <c r="Q933" s="1"/>
      <c r="R933" s="1"/>
      <c r="S933" s="1"/>
      <c r="T933" s="1"/>
      <c r="U933" s="1"/>
      <c r="V933" s="1"/>
      <c r="W933" s="1"/>
      <c r="X933" s="1"/>
      <c r="Y933" s="1"/>
      <c r="Z933" s="1"/>
    </row>
    <row r="934" spans="1:26" ht="12.75" customHeight="1">
      <c r="A934" s="62"/>
      <c r="B934" s="62"/>
      <c r="C934" s="62"/>
      <c r="D934" s="196"/>
      <c r="E934" s="196"/>
      <c r="F934" s="196"/>
      <c r="G934" s="62"/>
      <c r="H934" s="1"/>
      <c r="I934" s="10"/>
      <c r="J934" s="1"/>
      <c r="K934" s="1"/>
      <c r="L934" s="1"/>
      <c r="M934" s="1"/>
      <c r="N934" s="1"/>
      <c r="O934" s="1"/>
      <c r="P934" s="1"/>
      <c r="Q934" s="1"/>
      <c r="R934" s="1"/>
      <c r="S934" s="1"/>
      <c r="T934" s="1"/>
      <c r="U934" s="1"/>
      <c r="V934" s="1"/>
      <c r="W934" s="1"/>
      <c r="X934" s="1"/>
      <c r="Y934" s="1"/>
      <c r="Z934" s="1"/>
    </row>
    <row r="935" spans="1:26" ht="12.75" customHeight="1">
      <c r="A935" s="7"/>
      <c r="B935" s="7"/>
      <c r="C935" s="95"/>
      <c r="D935" s="916" t="s">
        <v>969</v>
      </c>
      <c r="E935" s="893"/>
      <c r="F935" s="893"/>
      <c r="G935" s="125"/>
      <c r="H935" s="1"/>
      <c r="I935" s="10"/>
      <c r="J935" s="1"/>
      <c r="K935" s="1"/>
      <c r="L935" s="1"/>
      <c r="M935" s="1"/>
      <c r="N935" s="1"/>
      <c r="O935" s="1"/>
      <c r="P935" s="1"/>
      <c r="Q935" s="1"/>
      <c r="R935" s="1"/>
      <c r="S935" s="1"/>
      <c r="T935" s="1"/>
      <c r="U935" s="1"/>
      <c r="V935" s="1"/>
      <c r="W935" s="1"/>
      <c r="X935" s="1"/>
      <c r="Y935" s="1"/>
      <c r="Z935" s="1"/>
    </row>
    <row r="936" spans="1:26" ht="12.75" customHeight="1">
      <c r="A936" s="9"/>
      <c r="B936" s="9"/>
      <c r="C936" s="9"/>
      <c r="D936" s="915" t="s">
        <v>972</v>
      </c>
      <c r="E936" s="893"/>
      <c r="F936" s="893"/>
      <c r="G936" s="125"/>
      <c r="H936" s="1"/>
      <c r="I936" s="10"/>
      <c r="J936" s="1"/>
      <c r="K936" s="1"/>
      <c r="L936" s="1"/>
      <c r="M936" s="1"/>
      <c r="N936" s="1"/>
      <c r="O936" s="1"/>
      <c r="P936" s="1"/>
      <c r="Q936" s="1"/>
      <c r="R936" s="1"/>
      <c r="S936" s="1"/>
      <c r="T936" s="1"/>
      <c r="U936" s="1"/>
      <c r="V936" s="1"/>
      <c r="W936" s="1"/>
      <c r="X936" s="1"/>
      <c r="Y936" s="1"/>
      <c r="Z936" s="1"/>
    </row>
    <row r="937" spans="1:26" ht="12.75" customHeight="1">
      <c r="A937" s="95"/>
      <c r="B937" s="95"/>
      <c r="C937" s="95"/>
      <c r="D937" s="8"/>
      <c r="E937" s="125"/>
      <c r="F937" s="125"/>
      <c r="G937" s="125"/>
      <c r="H937" s="1"/>
      <c r="I937" s="10"/>
      <c r="J937" s="1"/>
      <c r="K937" s="1"/>
      <c r="L937" s="1"/>
      <c r="M937" s="1"/>
      <c r="N937" s="1"/>
      <c r="O937" s="1"/>
      <c r="P937" s="1"/>
      <c r="Q937" s="1"/>
      <c r="R937" s="1"/>
      <c r="S937" s="1"/>
      <c r="T937" s="1"/>
      <c r="U937" s="1"/>
      <c r="V937" s="1"/>
      <c r="W937" s="1"/>
      <c r="X937" s="1"/>
      <c r="Y937" s="1"/>
      <c r="Z937" s="1"/>
    </row>
    <row r="938" spans="1:26" ht="12.75" customHeight="1">
      <c r="A938" s="20"/>
      <c r="B938" s="21" t="s">
        <v>27</v>
      </c>
      <c r="C938" s="7"/>
      <c r="D938" s="895" t="s">
        <v>977</v>
      </c>
      <c r="E938" s="893"/>
      <c r="F938" s="893"/>
      <c r="G938" s="1"/>
      <c r="H938" s="1"/>
      <c r="I938" s="10"/>
      <c r="J938" s="1"/>
      <c r="K938" s="1"/>
      <c r="L938" s="1"/>
      <c r="M938" s="1"/>
      <c r="N938" s="1"/>
      <c r="O938" s="1"/>
      <c r="P938" s="1"/>
      <c r="Q938" s="1"/>
      <c r="R938" s="1"/>
      <c r="S938" s="1"/>
      <c r="T938" s="1"/>
      <c r="U938" s="1"/>
      <c r="V938" s="1"/>
      <c r="W938" s="1"/>
      <c r="X938" s="1"/>
      <c r="Y938" s="1"/>
      <c r="Z938" s="1"/>
    </row>
    <row r="939" spans="1:26" ht="12.75" customHeight="1">
      <c r="A939" s="7"/>
      <c r="B939" s="7"/>
      <c r="C939" s="7"/>
      <c r="D939" s="893"/>
      <c r="E939" s="893"/>
      <c r="F939" s="893"/>
      <c r="G939" s="1"/>
      <c r="H939" s="1"/>
      <c r="I939" s="10"/>
      <c r="J939" s="1"/>
      <c r="K939" s="1"/>
      <c r="L939" s="1"/>
      <c r="M939" s="1"/>
      <c r="N939" s="1"/>
      <c r="O939" s="1"/>
      <c r="P939" s="1"/>
      <c r="Q939" s="1"/>
      <c r="R939" s="1"/>
      <c r="S939" s="1"/>
      <c r="T939" s="1"/>
      <c r="U939" s="1"/>
      <c r="V939" s="1"/>
      <c r="W939" s="1"/>
      <c r="X939" s="1"/>
      <c r="Y939" s="1"/>
      <c r="Z939" s="1"/>
    </row>
    <row r="940" spans="1:26" ht="12.75" customHeight="1">
      <c r="A940" s="9"/>
      <c r="B940" s="9"/>
      <c r="C940" s="9"/>
      <c r="D940" s="895" t="s">
        <v>979</v>
      </c>
      <c r="E940" s="893"/>
      <c r="F940" s="893"/>
      <c r="G940" s="125"/>
      <c r="H940" s="1"/>
      <c r="I940" s="10"/>
      <c r="J940" s="1"/>
      <c r="K940" s="1"/>
      <c r="L940" s="1"/>
      <c r="M940" s="1"/>
      <c r="N940" s="1"/>
      <c r="O940" s="1"/>
      <c r="P940" s="1"/>
      <c r="Q940" s="1"/>
      <c r="R940" s="1"/>
      <c r="S940" s="1"/>
      <c r="T940" s="1"/>
      <c r="U940" s="1"/>
      <c r="V940" s="1"/>
      <c r="W940" s="1"/>
      <c r="X940" s="1"/>
      <c r="Y940" s="1"/>
      <c r="Z940" s="1"/>
    </row>
    <row r="941" spans="1:26" ht="12.75" customHeight="1">
      <c r="A941" s="9"/>
      <c r="B941" s="9"/>
      <c r="C941" s="9"/>
      <c r="D941" s="893"/>
      <c r="E941" s="893"/>
      <c r="F941" s="893"/>
      <c r="G941" s="125"/>
      <c r="H941" s="1"/>
      <c r="I941" s="10"/>
      <c r="J941" s="1"/>
      <c r="K941" s="1"/>
      <c r="L941" s="1"/>
      <c r="M941" s="1"/>
      <c r="N941" s="1"/>
      <c r="O941" s="1"/>
      <c r="P941" s="1"/>
      <c r="Q941" s="1"/>
      <c r="R941" s="1"/>
      <c r="S941" s="1"/>
      <c r="T941" s="1"/>
      <c r="U941" s="1"/>
      <c r="V941" s="1"/>
      <c r="W941" s="1"/>
      <c r="X941" s="1"/>
      <c r="Y941" s="1"/>
      <c r="Z941" s="1"/>
    </row>
    <row r="942" spans="1:26" ht="12.75" customHeight="1">
      <c r="A942" s="9"/>
      <c r="B942" s="9"/>
      <c r="C942" s="9"/>
      <c r="D942" s="1"/>
      <c r="E942" s="1"/>
      <c r="F942" s="125"/>
      <c r="G942" s="125"/>
      <c r="H942" s="1"/>
      <c r="I942" s="10"/>
      <c r="J942" s="1"/>
      <c r="K942" s="1"/>
      <c r="L942" s="1"/>
      <c r="M942" s="1"/>
      <c r="N942" s="1"/>
      <c r="O942" s="1"/>
      <c r="P942" s="1"/>
      <c r="Q942" s="1"/>
      <c r="R942" s="1"/>
      <c r="S942" s="1"/>
      <c r="T942" s="1"/>
      <c r="U942" s="1"/>
      <c r="V942" s="1"/>
      <c r="W942" s="1"/>
      <c r="X942" s="1"/>
      <c r="Y942" s="1"/>
      <c r="Z942" s="1"/>
    </row>
    <row r="943" spans="1:26" ht="12.75" customHeight="1">
      <c r="A943" s="20"/>
      <c r="B943" s="21" t="s">
        <v>27</v>
      </c>
      <c r="C943" s="16"/>
      <c r="D943" s="896" t="s">
        <v>983</v>
      </c>
      <c r="E943" s="893"/>
      <c r="F943" s="893"/>
      <c r="G943" s="125"/>
      <c r="H943" s="1"/>
      <c r="I943" s="10"/>
      <c r="J943" s="1"/>
      <c r="K943" s="1"/>
      <c r="L943" s="1"/>
      <c r="M943" s="1"/>
      <c r="N943" s="1"/>
      <c r="O943" s="1"/>
      <c r="P943" s="1"/>
      <c r="Q943" s="1"/>
      <c r="R943" s="1"/>
      <c r="S943" s="1"/>
      <c r="T943" s="1"/>
      <c r="U943" s="1"/>
      <c r="V943" s="1"/>
      <c r="W943" s="1"/>
      <c r="X943" s="1"/>
      <c r="Y943" s="1"/>
      <c r="Z943" s="1"/>
    </row>
    <row r="944" spans="1:26" ht="12.75" customHeight="1">
      <c r="A944" s="20"/>
      <c r="B944" s="20"/>
      <c r="C944" s="16"/>
      <c r="D944" s="893"/>
      <c r="E944" s="893"/>
      <c r="F944" s="893"/>
      <c r="G944" s="125"/>
      <c r="H944" s="1"/>
      <c r="I944" s="10"/>
      <c r="J944" s="1"/>
      <c r="K944" s="1"/>
      <c r="L944" s="1"/>
      <c r="M944" s="1"/>
      <c r="N944" s="1"/>
      <c r="O944" s="1"/>
      <c r="P944" s="1"/>
      <c r="Q944" s="1"/>
      <c r="R944" s="1"/>
      <c r="S944" s="1"/>
      <c r="T944" s="1"/>
      <c r="U944" s="1"/>
      <c r="V944" s="1"/>
      <c r="W944" s="1"/>
      <c r="X944" s="1"/>
      <c r="Y944" s="1"/>
      <c r="Z944" s="1"/>
    </row>
    <row r="945" spans="1:26" ht="12.75" customHeight="1">
      <c r="A945" s="20"/>
      <c r="B945" s="20"/>
      <c r="C945" s="16"/>
      <c r="D945" s="893"/>
      <c r="E945" s="893"/>
      <c r="F945" s="893"/>
      <c r="G945" s="125"/>
      <c r="H945" s="1"/>
      <c r="I945" s="10"/>
      <c r="J945" s="1"/>
      <c r="K945" s="1"/>
      <c r="L945" s="1"/>
      <c r="M945" s="1"/>
      <c r="N945" s="1"/>
      <c r="O945" s="1"/>
      <c r="P945" s="1"/>
      <c r="Q945" s="1"/>
      <c r="R945" s="1"/>
      <c r="S945" s="1"/>
      <c r="T945" s="1"/>
      <c r="U945" s="1"/>
      <c r="V945" s="1"/>
      <c r="W945" s="1"/>
      <c r="X945" s="1"/>
      <c r="Y945" s="1"/>
      <c r="Z945" s="1"/>
    </row>
    <row r="946" spans="1:26" ht="12.75" customHeight="1">
      <c r="A946" s="20"/>
      <c r="B946" s="20"/>
      <c r="C946" s="16"/>
      <c r="D946" s="893"/>
      <c r="E946" s="893"/>
      <c r="F946" s="893"/>
      <c r="G946" s="125"/>
      <c r="H946" s="1"/>
      <c r="I946" s="10"/>
      <c r="J946" s="1"/>
      <c r="K946" s="1"/>
      <c r="L946" s="1"/>
      <c r="M946" s="1"/>
      <c r="N946" s="1"/>
      <c r="O946" s="1"/>
      <c r="P946" s="1"/>
      <c r="Q946" s="1"/>
      <c r="R946" s="1"/>
      <c r="S946" s="1"/>
      <c r="T946" s="1"/>
      <c r="U946" s="1"/>
      <c r="V946" s="1"/>
      <c r="W946" s="1"/>
      <c r="X946" s="1"/>
      <c r="Y946" s="1"/>
      <c r="Z946" s="1"/>
    </row>
    <row r="947" spans="1:26" ht="12.75" customHeight="1">
      <c r="A947" s="20"/>
      <c r="B947" s="20"/>
      <c r="C947" s="16"/>
      <c r="D947" s="893"/>
      <c r="E947" s="893"/>
      <c r="F947" s="893"/>
      <c r="G947" s="125"/>
      <c r="H947" s="1"/>
      <c r="I947" s="10"/>
      <c r="J947" s="1"/>
      <c r="K947" s="1"/>
      <c r="L947" s="1"/>
      <c r="M947" s="1"/>
      <c r="N947" s="1"/>
      <c r="O947" s="1"/>
      <c r="P947" s="1"/>
      <c r="Q947" s="1"/>
      <c r="R947" s="1"/>
      <c r="S947" s="1"/>
      <c r="T947" s="1"/>
      <c r="U947" s="1"/>
      <c r="V947" s="1"/>
      <c r="W947" s="1"/>
      <c r="X947" s="1"/>
      <c r="Y947" s="1"/>
      <c r="Z947" s="1"/>
    </row>
    <row r="948" spans="1:26" ht="12.75" customHeight="1">
      <c r="A948" s="16"/>
      <c r="B948" s="16"/>
      <c r="C948" s="16"/>
      <c r="D948" s="893"/>
      <c r="E948" s="893"/>
      <c r="F948" s="893"/>
      <c r="G948" s="125"/>
      <c r="H948" s="1"/>
      <c r="I948" s="10"/>
      <c r="J948" s="1"/>
      <c r="K948" s="1"/>
      <c r="L948" s="1"/>
      <c r="M948" s="1"/>
      <c r="N948" s="1"/>
      <c r="O948" s="1"/>
      <c r="P948" s="1"/>
      <c r="Q948" s="1"/>
      <c r="R948" s="1"/>
      <c r="S948" s="1"/>
      <c r="T948" s="1"/>
      <c r="U948" s="1"/>
      <c r="V948" s="1"/>
      <c r="W948" s="1"/>
      <c r="X948" s="1"/>
      <c r="Y948" s="1"/>
      <c r="Z948" s="1"/>
    </row>
    <row r="949" spans="1:26" ht="12.75" customHeight="1">
      <c r="A949" s="16"/>
      <c r="B949" s="16"/>
      <c r="C949" s="16"/>
      <c r="D949" s="893"/>
      <c r="E949" s="893"/>
      <c r="F949" s="893"/>
      <c r="G949" s="125"/>
      <c r="H949" s="1"/>
      <c r="I949" s="10"/>
      <c r="J949" s="1"/>
      <c r="K949" s="1"/>
      <c r="L949" s="1"/>
      <c r="M949" s="1"/>
      <c r="N949" s="1"/>
      <c r="O949" s="1"/>
      <c r="P949" s="1"/>
      <c r="Q949" s="1"/>
      <c r="R949" s="1"/>
      <c r="S949" s="1"/>
      <c r="T949" s="1"/>
      <c r="U949" s="1"/>
      <c r="V949" s="1"/>
      <c r="W949" s="1"/>
      <c r="X949" s="1"/>
      <c r="Y949" s="1"/>
      <c r="Z949" s="1"/>
    </row>
    <row r="950" spans="1:26" ht="12.75" customHeight="1">
      <c r="A950" s="16"/>
      <c r="B950" s="16"/>
      <c r="C950" s="16"/>
      <c r="D950" s="893"/>
      <c r="E950" s="893"/>
      <c r="F950" s="893"/>
      <c r="G950" s="125"/>
      <c r="H950" s="1"/>
      <c r="I950" s="10"/>
      <c r="J950" s="1"/>
      <c r="K950" s="1"/>
      <c r="L950" s="1"/>
      <c r="M950" s="1"/>
      <c r="N950" s="1"/>
      <c r="O950" s="1"/>
      <c r="P950" s="1"/>
      <c r="Q950" s="1"/>
      <c r="R950" s="1"/>
      <c r="S950" s="1"/>
      <c r="T950" s="1"/>
      <c r="U950" s="1"/>
      <c r="V950" s="1"/>
      <c r="W950" s="1"/>
      <c r="X950" s="1"/>
      <c r="Y950" s="1"/>
      <c r="Z950" s="1"/>
    </row>
    <row r="951" spans="1:26" ht="12.75" customHeight="1">
      <c r="A951" s="16"/>
      <c r="B951" s="16"/>
      <c r="C951" s="16"/>
      <c r="D951" s="36"/>
      <c r="E951" s="36"/>
      <c r="F951" s="36"/>
      <c r="G951" s="125"/>
      <c r="H951" s="1"/>
      <c r="I951" s="10"/>
      <c r="J951" s="1"/>
      <c r="K951" s="1"/>
      <c r="L951" s="1"/>
      <c r="M951" s="1"/>
      <c r="N951" s="1"/>
      <c r="O951" s="1"/>
      <c r="P951" s="1"/>
      <c r="Q951" s="1"/>
      <c r="R951" s="1"/>
      <c r="S951" s="1"/>
      <c r="T951" s="1"/>
      <c r="U951" s="1"/>
      <c r="V951" s="1"/>
      <c r="W951" s="1"/>
      <c r="X951" s="1"/>
      <c r="Y951" s="1"/>
      <c r="Z951" s="1"/>
    </row>
    <row r="952" spans="1:26" ht="12.75" customHeight="1">
      <c r="A952" s="95"/>
      <c r="B952" s="21" t="s">
        <v>27</v>
      </c>
      <c r="C952" s="95"/>
      <c r="D952" s="895" t="s">
        <v>990</v>
      </c>
      <c r="E952" s="893"/>
      <c r="F952" s="893"/>
      <c r="G952" s="125"/>
      <c r="H952" s="1"/>
      <c r="I952" s="10"/>
      <c r="J952" s="1"/>
      <c r="K952" s="1"/>
      <c r="L952" s="1"/>
      <c r="M952" s="1"/>
      <c r="N952" s="1"/>
      <c r="O952" s="1"/>
      <c r="P952" s="1"/>
      <c r="Q952" s="1"/>
      <c r="R952" s="1"/>
      <c r="S952" s="1"/>
      <c r="T952" s="1"/>
      <c r="U952" s="1"/>
      <c r="V952" s="1"/>
      <c r="W952" s="1"/>
      <c r="X952" s="1"/>
      <c r="Y952" s="1"/>
      <c r="Z952" s="1"/>
    </row>
    <row r="953" spans="1:26" ht="12.75" customHeight="1">
      <c r="A953" s="95"/>
      <c r="B953" s="95"/>
      <c r="C953" s="95"/>
      <c r="D953" s="893"/>
      <c r="E953" s="893"/>
      <c r="F953" s="893"/>
      <c r="G953" s="125"/>
      <c r="H953" s="1"/>
      <c r="I953" s="10"/>
      <c r="J953" s="1"/>
      <c r="K953" s="1"/>
      <c r="L953" s="1"/>
      <c r="M953" s="1"/>
      <c r="N953" s="1"/>
      <c r="O953" s="1"/>
      <c r="P953" s="1"/>
      <c r="Q953" s="1"/>
      <c r="R953" s="1"/>
      <c r="S953" s="1"/>
      <c r="T953" s="1"/>
      <c r="U953" s="1"/>
      <c r="V953" s="1"/>
      <c r="W953" s="1"/>
      <c r="X953" s="1"/>
      <c r="Y953" s="1"/>
      <c r="Z953" s="1"/>
    </row>
    <row r="954" spans="1:26" ht="12.75" customHeight="1">
      <c r="A954" s="95"/>
      <c r="B954" s="95"/>
      <c r="C954" s="95"/>
      <c r="D954" s="125"/>
      <c r="E954" s="125"/>
      <c r="F954" s="125"/>
      <c r="G954" s="125"/>
      <c r="H954" s="1"/>
      <c r="I954" s="10"/>
      <c r="J954" s="1"/>
      <c r="K954" s="1"/>
      <c r="L954" s="1"/>
      <c r="M954" s="1"/>
      <c r="N954" s="1"/>
      <c r="O954" s="1"/>
      <c r="P954" s="1"/>
      <c r="Q954" s="1"/>
      <c r="R954" s="1"/>
      <c r="S954" s="1"/>
      <c r="T954" s="1"/>
      <c r="U954" s="1"/>
      <c r="V954" s="1"/>
      <c r="W954" s="1"/>
      <c r="X954" s="1"/>
      <c r="Y954" s="1"/>
      <c r="Z954" s="1"/>
    </row>
    <row r="955" spans="1:26" ht="12.75" customHeight="1">
      <c r="A955" s="95"/>
      <c r="B955" s="21" t="s">
        <v>27</v>
      </c>
      <c r="C955" s="95"/>
      <c r="D955" s="913" t="s">
        <v>992</v>
      </c>
      <c r="E955" s="893"/>
      <c r="F955" s="893"/>
      <c r="G955" s="125"/>
      <c r="H955" s="1"/>
      <c r="I955" s="10"/>
      <c r="J955" s="1"/>
      <c r="K955" s="1"/>
      <c r="L955" s="1"/>
      <c r="M955" s="1"/>
      <c r="N955" s="1"/>
      <c r="O955" s="1"/>
      <c r="P955" s="1"/>
      <c r="Q955" s="1"/>
      <c r="R955" s="1"/>
      <c r="S955" s="1"/>
      <c r="T955" s="1"/>
      <c r="U955" s="1"/>
      <c r="V955" s="1"/>
      <c r="W955" s="1"/>
      <c r="X955" s="1"/>
      <c r="Y955" s="1"/>
      <c r="Z955" s="1"/>
    </row>
    <row r="956" spans="1:26" ht="12.75" customHeight="1">
      <c r="A956" s="95"/>
      <c r="B956" s="95"/>
      <c r="C956" s="95"/>
      <c r="D956" s="893"/>
      <c r="E956" s="893"/>
      <c r="F956" s="893"/>
      <c r="G956" s="125"/>
      <c r="H956" s="1"/>
      <c r="I956" s="10"/>
      <c r="J956" s="1"/>
      <c r="K956" s="1"/>
      <c r="L956" s="1"/>
      <c r="M956" s="1"/>
      <c r="N956" s="1"/>
      <c r="O956" s="1"/>
      <c r="P956" s="1"/>
      <c r="Q956" s="1"/>
      <c r="R956" s="1"/>
      <c r="S956" s="1"/>
      <c r="T956" s="1"/>
      <c r="U956" s="1"/>
      <c r="V956" s="1"/>
      <c r="W956" s="1"/>
      <c r="X956" s="1"/>
      <c r="Y956" s="1"/>
      <c r="Z956" s="1"/>
    </row>
    <row r="957" spans="1:26" ht="12.75" customHeight="1">
      <c r="A957" s="95"/>
      <c r="B957" s="95"/>
      <c r="C957" s="95"/>
      <c r="D957" s="893"/>
      <c r="E957" s="893"/>
      <c r="F957" s="893"/>
      <c r="G957" s="125"/>
      <c r="H957" s="1"/>
      <c r="I957" s="10"/>
      <c r="J957" s="1"/>
      <c r="K957" s="1"/>
      <c r="L957" s="1"/>
      <c r="M957" s="1"/>
      <c r="N957" s="1"/>
      <c r="O957" s="1"/>
      <c r="P957" s="1"/>
      <c r="Q957" s="1"/>
      <c r="R957" s="1"/>
      <c r="S957" s="1"/>
      <c r="T957" s="1"/>
      <c r="U957" s="1"/>
      <c r="V957" s="1"/>
      <c r="W957" s="1"/>
      <c r="X957" s="1"/>
      <c r="Y957" s="1"/>
      <c r="Z957" s="1"/>
    </row>
    <row r="958" spans="1:26" ht="12.75" customHeight="1">
      <c r="A958" s="95"/>
      <c r="B958" s="95"/>
      <c r="C958" s="95"/>
      <c r="D958" s="893"/>
      <c r="E958" s="893"/>
      <c r="F958" s="893"/>
      <c r="G958" s="125"/>
      <c r="H958" s="1"/>
      <c r="I958" s="10"/>
      <c r="J958" s="1"/>
      <c r="K958" s="1"/>
      <c r="L958" s="1"/>
      <c r="M958" s="1"/>
      <c r="N958" s="1"/>
      <c r="O958" s="1"/>
      <c r="P958" s="1"/>
      <c r="Q958" s="1"/>
      <c r="R958" s="1"/>
      <c r="S958" s="1"/>
      <c r="T958" s="1"/>
      <c r="U958" s="1"/>
      <c r="V958" s="1"/>
      <c r="W958" s="1"/>
      <c r="X958" s="1"/>
      <c r="Y958" s="1"/>
      <c r="Z958" s="1"/>
    </row>
    <row r="959" spans="1:26" ht="12.75" customHeight="1">
      <c r="A959" s="95"/>
      <c r="B959" s="95"/>
      <c r="C959" s="95"/>
      <c r="D959" s="17"/>
      <c r="E959" s="125"/>
      <c r="F959" s="125"/>
      <c r="G959" s="125"/>
      <c r="H959" s="1"/>
      <c r="I959" s="10"/>
      <c r="J959" s="1"/>
      <c r="K959" s="1"/>
      <c r="L959" s="1"/>
      <c r="M959" s="1"/>
      <c r="N959" s="1"/>
      <c r="O959" s="1"/>
      <c r="P959" s="1"/>
      <c r="Q959" s="1"/>
      <c r="R959" s="1"/>
      <c r="S959" s="1"/>
      <c r="T959" s="1"/>
      <c r="U959" s="1"/>
      <c r="V959" s="1"/>
      <c r="W959" s="1"/>
      <c r="X959" s="1"/>
      <c r="Y959" s="1"/>
      <c r="Z959" s="1"/>
    </row>
    <row r="960" spans="1:26" ht="12.75" customHeight="1">
      <c r="A960" s="95"/>
      <c r="B960" s="21" t="s">
        <v>27</v>
      </c>
      <c r="C960" s="95"/>
      <c r="D960" s="915" t="s">
        <v>998</v>
      </c>
      <c r="E960" s="893"/>
      <c r="F960" s="893"/>
      <c r="G960" s="125"/>
      <c r="H960" s="1"/>
      <c r="I960" s="10"/>
      <c r="J960" s="1"/>
      <c r="K960" s="1"/>
      <c r="L960" s="1"/>
      <c r="M960" s="1"/>
      <c r="N960" s="1"/>
      <c r="O960" s="1"/>
      <c r="P960" s="1"/>
      <c r="Q960" s="1"/>
      <c r="R960" s="1"/>
      <c r="S960" s="1"/>
      <c r="T960" s="1"/>
      <c r="U960" s="1"/>
      <c r="V960" s="1"/>
      <c r="W960" s="1"/>
      <c r="X960" s="1"/>
      <c r="Y960" s="1"/>
      <c r="Z960" s="1"/>
    </row>
    <row r="961" spans="1:26" ht="12.75" customHeight="1">
      <c r="A961" s="95"/>
      <c r="B961" s="95"/>
      <c r="C961" s="95"/>
      <c r="D961" s="17"/>
      <c r="E961" s="125"/>
      <c r="F961" s="125"/>
      <c r="G961" s="125"/>
      <c r="H961" s="1"/>
      <c r="I961" s="10"/>
      <c r="J961" s="1"/>
      <c r="K961" s="1"/>
      <c r="L961" s="1"/>
      <c r="M961" s="1"/>
      <c r="N961" s="1"/>
      <c r="O961" s="1"/>
      <c r="P961" s="1"/>
      <c r="Q961" s="1"/>
      <c r="R961" s="1"/>
      <c r="S961" s="1"/>
      <c r="T961" s="1"/>
      <c r="U961" s="1"/>
      <c r="V961" s="1"/>
      <c r="W961" s="1"/>
      <c r="X961" s="1"/>
      <c r="Y961" s="1"/>
      <c r="Z961" s="1"/>
    </row>
    <row r="962" spans="1:26" ht="12.75" customHeight="1">
      <c r="A962" s="95"/>
      <c r="B962" s="21" t="s">
        <v>27</v>
      </c>
      <c r="C962" s="95"/>
      <c r="D962" s="915" t="s">
        <v>999</v>
      </c>
      <c r="E962" s="893"/>
      <c r="F962" s="893"/>
      <c r="G962" s="125"/>
      <c r="H962" s="1"/>
      <c r="I962" s="10"/>
      <c r="J962" s="1"/>
      <c r="K962" s="1"/>
      <c r="L962" s="1"/>
      <c r="M962" s="1"/>
      <c r="N962" s="1"/>
      <c r="O962" s="1"/>
      <c r="P962" s="1"/>
      <c r="Q962" s="1"/>
      <c r="R962" s="1"/>
      <c r="S962" s="1"/>
      <c r="T962" s="1"/>
      <c r="U962" s="1"/>
      <c r="V962" s="1"/>
      <c r="W962" s="1"/>
      <c r="X962" s="1"/>
      <c r="Y962" s="1"/>
      <c r="Z962" s="1"/>
    </row>
    <row r="963" spans="1:26" ht="12.75" customHeight="1">
      <c r="A963" s="16"/>
      <c r="B963" s="16"/>
      <c r="C963" s="16"/>
      <c r="D963" s="8"/>
      <c r="E963" s="1"/>
      <c r="F963" s="125"/>
      <c r="G963" s="125"/>
      <c r="H963" s="1"/>
      <c r="I963" s="10"/>
      <c r="J963" s="1"/>
      <c r="K963" s="1"/>
      <c r="L963" s="1"/>
      <c r="M963" s="1"/>
      <c r="N963" s="1"/>
      <c r="O963" s="1"/>
      <c r="P963" s="1"/>
      <c r="Q963" s="1"/>
      <c r="R963" s="1"/>
      <c r="S963" s="1"/>
      <c r="T963" s="1"/>
      <c r="U963" s="1"/>
      <c r="V963" s="1"/>
      <c r="W963" s="1"/>
      <c r="X963" s="1"/>
      <c r="Y963" s="1"/>
      <c r="Z963" s="1"/>
    </row>
    <row r="964" spans="1:26" ht="12.75" customHeight="1">
      <c r="A964" s="95"/>
      <c r="B964" s="7"/>
      <c r="C964" s="95"/>
      <c r="D964" s="914" t="s">
        <v>1002</v>
      </c>
      <c r="E964" s="893"/>
      <c r="F964" s="893"/>
      <c r="G964" s="125"/>
      <c r="H964" s="125"/>
      <c r="I964" s="125"/>
      <c r="J964" s="1"/>
      <c r="K964" s="1"/>
      <c r="L964" s="1"/>
      <c r="M964" s="1"/>
      <c r="N964" s="1"/>
      <c r="O964" s="1"/>
      <c r="P964" s="1"/>
      <c r="Q964" s="1"/>
      <c r="R964" s="1"/>
      <c r="S964" s="1"/>
      <c r="T964" s="1"/>
      <c r="U964" s="1"/>
      <c r="V964" s="1"/>
      <c r="W964" s="1"/>
      <c r="X964" s="1"/>
      <c r="Y964" s="1"/>
      <c r="Z964" s="1"/>
    </row>
    <row r="965" spans="1:26" ht="12.75" customHeight="1">
      <c r="A965" s="95"/>
      <c r="B965" s="7"/>
      <c r="C965" s="95"/>
      <c r="D965" s="12"/>
      <c r="E965" s="125"/>
      <c r="F965" s="125"/>
      <c r="G965" s="125"/>
      <c r="H965" s="125"/>
      <c r="I965" s="125"/>
      <c r="J965" s="1"/>
      <c r="K965" s="1"/>
      <c r="L965" s="1"/>
      <c r="M965" s="1"/>
      <c r="N965" s="1"/>
      <c r="O965" s="1"/>
      <c r="P965" s="1"/>
      <c r="Q965" s="1"/>
      <c r="R965" s="1"/>
      <c r="S965" s="1"/>
      <c r="T965" s="1"/>
      <c r="U965" s="1"/>
      <c r="V965" s="1"/>
      <c r="W965" s="1"/>
      <c r="X965" s="1"/>
      <c r="Y965" s="1"/>
      <c r="Z965" s="1"/>
    </row>
    <row r="966" spans="1:26" ht="12.75" customHeight="1">
      <c r="A966" s="20"/>
      <c r="B966" s="21" t="s">
        <v>27</v>
      </c>
      <c r="C966" s="95"/>
      <c r="D966" s="895" t="s">
        <v>1006</v>
      </c>
      <c r="E966" s="893"/>
      <c r="F966" s="893"/>
      <c r="G966" s="125"/>
      <c r="H966" s="125"/>
      <c r="I966" s="125"/>
      <c r="J966" s="1"/>
      <c r="K966" s="1"/>
      <c r="L966" s="1"/>
      <c r="M966" s="1"/>
      <c r="N966" s="1"/>
      <c r="O966" s="1"/>
      <c r="P966" s="1"/>
      <c r="Q966" s="1"/>
      <c r="R966" s="1"/>
      <c r="S966" s="1"/>
      <c r="T966" s="1"/>
      <c r="U966" s="1"/>
      <c r="V966" s="1"/>
      <c r="W966" s="1"/>
      <c r="X966" s="1"/>
      <c r="Y966" s="1"/>
      <c r="Z966" s="1"/>
    </row>
    <row r="967" spans="1:26" ht="12.75" customHeight="1">
      <c r="A967" s="95"/>
      <c r="B967" s="95"/>
      <c r="C967" s="95"/>
      <c r="D967" s="893"/>
      <c r="E967" s="893"/>
      <c r="F967" s="893"/>
      <c r="G967" s="125"/>
      <c r="H967" s="125"/>
      <c r="I967" s="125"/>
      <c r="J967" s="1"/>
      <c r="K967" s="1"/>
      <c r="L967" s="1"/>
      <c r="M967" s="1"/>
      <c r="N967" s="1"/>
      <c r="O967" s="1"/>
      <c r="P967" s="1"/>
      <c r="Q967" s="1"/>
      <c r="R967" s="1"/>
      <c r="S967" s="1"/>
      <c r="T967" s="1"/>
      <c r="U967" s="1"/>
      <c r="V967" s="1"/>
      <c r="W967" s="1"/>
      <c r="X967" s="1"/>
      <c r="Y967" s="1"/>
      <c r="Z967" s="1"/>
    </row>
    <row r="968" spans="1:26" ht="12.75" customHeight="1">
      <c r="A968" s="95"/>
      <c r="B968" s="95"/>
      <c r="C968" s="95"/>
      <c r="D968" s="893"/>
      <c r="E968" s="893"/>
      <c r="F968" s="893"/>
      <c r="G968" s="125"/>
      <c r="H968" s="125"/>
      <c r="I968" s="125"/>
      <c r="J968" s="1"/>
      <c r="K968" s="1"/>
      <c r="L968" s="1"/>
      <c r="M968" s="1"/>
      <c r="N968" s="1"/>
      <c r="O968" s="1"/>
      <c r="P968" s="1"/>
      <c r="Q968" s="1"/>
      <c r="R968" s="1"/>
      <c r="S968" s="1"/>
      <c r="T968" s="1"/>
      <c r="U968" s="1"/>
      <c r="V968" s="1"/>
      <c r="W968" s="1"/>
      <c r="X968" s="1"/>
      <c r="Y968" s="1"/>
      <c r="Z968" s="1"/>
    </row>
    <row r="969" spans="1:26" ht="12.75" customHeight="1">
      <c r="A969" s="95"/>
      <c r="B969" s="95"/>
      <c r="C969" s="95"/>
      <c r="D969" s="893"/>
      <c r="E969" s="893"/>
      <c r="F969" s="893"/>
      <c r="G969" s="125"/>
      <c r="H969" s="125"/>
      <c r="I969" s="125"/>
      <c r="J969" s="1"/>
      <c r="K969" s="1"/>
      <c r="L969" s="1"/>
      <c r="M969" s="1"/>
      <c r="N969" s="1"/>
      <c r="O969" s="1"/>
      <c r="P969" s="1"/>
      <c r="Q969" s="1"/>
      <c r="R969" s="1"/>
      <c r="S969" s="1"/>
      <c r="T969" s="1"/>
      <c r="U969" s="1"/>
      <c r="V969" s="1"/>
      <c r="W969" s="1"/>
      <c r="X969" s="1"/>
      <c r="Y969" s="1"/>
      <c r="Z969" s="1"/>
    </row>
    <row r="970" spans="1:26" ht="12.75" customHeight="1">
      <c r="A970" s="95"/>
      <c r="B970" s="95"/>
      <c r="C970" s="95"/>
      <c r="D970" s="893"/>
      <c r="E970" s="893"/>
      <c r="F970" s="893"/>
      <c r="G970" s="125"/>
      <c r="H970" s="125"/>
      <c r="I970" s="125"/>
      <c r="J970" s="1"/>
      <c r="K970" s="1"/>
      <c r="L970" s="1"/>
      <c r="M970" s="1"/>
      <c r="N970" s="1"/>
      <c r="O970" s="1"/>
      <c r="P970" s="1"/>
      <c r="Q970" s="1"/>
      <c r="R970" s="1"/>
      <c r="S970" s="1"/>
      <c r="T970" s="1"/>
      <c r="U970" s="1"/>
      <c r="V970" s="1"/>
      <c r="W970" s="1"/>
      <c r="X970" s="1"/>
      <c r="Y970" s="1"/>
      <c r="Z970" s="1"/>
    </row>
    <row r="971" spans="1:26" ht="12.75" customHeight="1">
      <c r="A971" s="95"/>
      <c r="B971" s="95"/>
      <c r="C971" s="95"/>
      <c r="D971" s="893"/>
      <c r="E971" s="893"/>
      <c r="F971" s="893"/>
      <c r="G971" s="125"/>
      <c r="H971" s="125"/>
      <c r="I971" s="125"/>
      <c r="J971" s="1"/>
      <c r="K971" s="1"/>
      <c r="L971" s="1"/>
      <c r="M971" s="1"/>
      <c r="N971" s="1"/>
      <c r="O971" s="1"/>
      <c r="P971" s="1"/>
      <c r="Q971" s="1"/>
      <c r="R971" s="1"/>
      <c r="S971" s="1"/>
      <c r="T971" s="1"/>
      <c r="U971" s="1"/>
      <c r="V971" s="1"/>
      <c r="W971" s="1"/>
      <c r="X971" s="1"/>
      <c r="Y971" s="1"/>
      <c r="Z971" s="1"/>
    </row>
    <row r="972" spans="1:26" ht="12.75" customHeight="1">
      <c r="A972" s="95"/>
      <c r="B972" s="95"/>
      <c r="C972" s="95"/>
      <c r="D972" s="893"/>
      <c r="E972" s="893"/>
      <c r="F972" s="893"/>
      <c r="G972" s="125"/>
      <c r="H972" s="125"/>
      <c r="I972" s="125"/>
      <c r="J972" s="1"/>
      <c r="K972" s="1"/>
      <c r="L972" s="1"/>
      <c r="M972" s="1"/>
      <c r="N972" s="1"/>
      <c r="O972" s="1"/>
      <c r="P972" s="1"/>
      <c r="Q972" s="1"/>
      <c r="R972" s="1"/>
      <c r="S972" s="1"/>
      <c r="T972" s="1"/>
      <c r="U972" s="1"/>
      <c r="V972" s="1"/>
      <c r="W972" s="1"/>
      <c r="X972" s="1"/>
      <c r="Y972" s="1"/>
      <c r="Z972" s="1"/>
    </row>
    <row r="973" spans="1:26" ht="12.75" customHeight="1">
      <c r="A973" s="95"/>
      <c r="B973" s="95"/>
      <c r="C973" s="95"/>
      <c r="D973" s="1"/>
      <c r="E973" s="1"/>
      <c r="F973" s="1"/>
      <c r="G973" s="125"/>
      <c r="H973" s="125"/>
      <c r="I973" s="125"/>
      <c r="J973" s="1"/>
      <c r="K973" s="1"/>
      <c r="L973" s="1"/>
      <c r="M973" s="1"/>
      <c r="N973" s="1"/>
      <c r="O973" s="1"/>
      <c r="P973" s="1"/>
      <c r="Q973" s="1"/>
      <c r="R973" s="1"/>
      <c r="S973" s="1"/>
      <c r="T973" s="1"/>
      <c r="U973" s="1"/>
      <c r="V973" s="1"/>
      <c r="W973" s="1"/>
      <c r="X973" s="1"/>
      <c r="Y973" s="1"/>
      <c r="Z973" s="1"/>
    </row>
    <row r="974" spans="1:26" ht="12.75" customHeight="1">
      <c r="A974" s="200"/>
      <c r="B974" s="21" t="s">
        <v>27</v>
      </c>
      <c r="C974" s="201"/>
      <c r="D974" s="896" t="s">
        <v>1011</v>
      </c>
      <c r="E974" s="893"/>
      <c r="F974" s="893"/>
      <c r="G974" s="202"/>
      <c r="H974" s="1"/>
      <c r="I974" s="10"/>
      <c r="J974" s="1"/>
      <c r="K974" s="1"/>
      <c r="L974" s="1"/>
      <c r="M974" s="1"/>
      <c r="N974" s="1"/>
      <c r="O974" s="1"/>
      <c r="P974" s="1"/>
      <c r="Q974" s="1"/>
      <c r="R974" s="1"/>
      <c r="S974" s="1"/>
      <c r="T974" s="1"/>
      <c r="U974" s="1"/>
      <c r="V974" s="1"/>
      <c r="W974" s="1"/>
      <c r="X974" s="1"/>
      <c r="Y974" s="1"/>
      <c r="Z974" s="1"/>
    </row>
    <row r="975" spans="1:26" ht="12.75" customHeight="1">
      <c r="A975" s="200"/>
      <c r="B975" s="200"/>
      <c r="C975" s="201"/>
      <c r="D975" s="893"/>
      <c r="E975" s="893"/>
      <c r="F975" s="893"/>
      <c r="G975" s="202"/>
      <c r="H975" s="1"/>
      <c r="I975" s="10"/>
      <c r="J975" s="1"/>
      <c r="K975" s="1"/>
      <c r="L975" s="1"/>
      <c r="M975" s="1"/>
      <c r="N975" s="1"/>
      <c r="O975" s="1"/>
      <c r="P975" s="1"/>
      <c r="Q975" s="1"/>
      <c r="R975" s="1"/>
      <c r="S975" s="1"/>
      <c r="T975" s="1"/>
      <c r="U975" s="1"/>
      <c r="V975" s="1"/>
      <c r="W975" s="1"/>
      <c r="X975" s="1"/>
      <c r="Y975" s="1"/>
      <c r="Z975" s="1"/>
    </row>
    <row r="976" spans="1:26" ht="12.75" customHeight="1">
      <c r="A976" s="200"/>
      <c r="B976" s="200"/>
      <c r="C976" s="201"/>
      <c r="D976" s="893"/>
      <c r="E976" s="893"/>
      <c r="F976" s="893"/>
      <c r="G976" s="202"/>
      <c r="H976" s="1"/>
      <c r="I976" s="10"/>
      <c r="J976" s="1"/>
      <c r="K976" s="1"/>
      <c r="L976" s="1"/>
      <c r="M976" s="1"/>
      <c r="N976" s="1"/>
      <c r="O976" s="1"/>
      <c r="P976" s="1"/>
      <c r="Q976" s="1"/>
      <c r="R976" s="1"/>
      <c r="S976" s="1"/>
      <c r="T976" s="1"/>
      <c r="U976" s="1"/>
      <c r="V976" s="1"/>
      <c r="W976" s="1"/>
      <c r="X976" s="1"/>
      <c r="Y976" s="1"/>
      <c r="Z976" s="1"/>
    </row>
    <row r="977" spans="1:26" ht="12.75" customHeight="1">
      <c r="A977" s="200"/>
      <c r="B977" s="200"/>
      <c r="C977" s="201"/>
      <c r="D977" s="893"/>
      <c r="E977" s="893"/>
      <c r="F977" s="893"/>
      <c r="G977" s="202"/>
      <c r="H977" s="1"/>
      <c r="I977" s="10"/>
      <c r="J977" s="1"/>
      <c r="K977" s="1"/>
      <c r="L977" s="1"/>
      <c r="M977" s="1"/>
      <c r="N977" s="1"/>
      <c r="O977" s="1"/>
      <c r="P977" s="1"/>
      <c r="Q977" s="1"/>
      <c r="R977" s="1"/>
      <c r="S977" s="1"/>
      <c r="T977" s="1"/>
      <c r="U977" s="1"/>
      <c r="V977" s="1"/>
      <c r="W977" s="1"/>
      <c r="X977" s="1"/>
      <c r="Y977" s="1"/>
      <c r="Z977" s="1"/>
    </row>
    <row r="978" spans="1:26" ht="12.75" customHeight="1">
      <c r="A978" s="200"/>
      <c r="B978" s="200"/>
      <c r="C978" s="201"/>
      <c r="D978" s="893"/>
      <c r="E978" s="893"/>
      <c r="F978" s="893"/>
      <c r="G978" s="202"/>
      <c r="H978" s="1"/>
      <c r="I978" s="10"/>
      <c r="J978" s="1"/>
      <c r="K978" s="1"/>
      <c r="L978" s="1"/>
      <c r="M978" s="1"/>
      <c r="N978" s="1"/>
      <c r="O978" s="1"/>
      <c r="P978" s="1"/>
      <c r="Q978" s="1"/>
      <c r="R978" s="1"/>
      <c r="S978" s="1"/>
      <c r="T978" s="1"/>
      <c r="U978" s="1"/>
      <c r="V978" s="1"/>
      <c r="W978" s="1"/>
      <c r="X978" s="1"/>
      <c r="Y978" s="1"/>
      <c r="Z978" s="1"/>
    </row>
    <row r="979" spans="1:26" ht="12.75" customHeight="1">
      <c r="A979" s="200"/>
      <c r="B979" s="200"/>
      <c r="C979" s="201"/>
      <c r="D979" s="893"/>
      <c r="E979" s="893"/>
      <c r="F979" s="893"/>
      <c r="G979" s="202"/>
      <c r="H979" s="1"/>
      <c r="I979" s="10"/>
      <c r="J979" s="1"/>
      <c r="K979" s="1"/>
      <c r="L979" s="1"/>
      <c r="M979" s="1"/>
      <c r="N979" s="1"/>
      <c r="O979" s="1"/>
      <c r="P979" s="1"/>
      <c r="Q979" s="1"/>
      <c r="R979" s="1"/>
      <c r="S979" s="1"/>
      <c r="T979" s="1"/>
      <c r="U979" s="1"/>
      <c r="V979" s="1"/>
      <c r="W979" s="1"/>
      <c r="X979" s="1"/>
      <c r="Y979" s="1"/>
      <c r="Z979" s="1"/>
    </row>
    <row r="980" spans="1:26" ht="12.75" customHeight="1">
      <c r="A980" s="200"/>
      <c r="B980" s="200"/>
      <c r="C980" s="201"/>
      <c r="D980" s="893"/>
      <c r="E980" s="893"/>
      <c r="F980" s="893"/>
      <c r="G980" s="202"/>
      <c r="H980" s="1"/>
      <c r="I980" s="10"/>
      <c r="J980" s="1"/>
      <c r="K980" s="1"/>
      <c r="L980" s="1"/>
      <c r="M980" s="1"/>
      <c r="N980" s="1"/>
      <c r="O980" s="1"/>
      <c r="P980" s="1"/>
      <c r="Q980" s="1"/>
      <c r="R980" s="1"/>
      <c r="S980" s="1"/>
      <c r="T980" s="1"/>
      <c r="U980" s="1"/>
      <c r="V980" s="1"/>
      <c r="W980" s="1"/>
      <c r="X980" s="1"/>
      <c r="Y980" s="1"/>
      <c r="Z980" s="1"/>
    </row>
    <row r="981" spans="1:26" ht="12.75" customHeight="1">
      <c r="A981" s="200"/>
      <c r="B981" s="200"/>
      <c r="C981" s="201"/>
      <c r="D981" s="893"/>
      <c r="E981" s="893"/>
      <c r="F981" s="893"/>
      <c r="G981" s="202"/>
      <c r="H981" s="1"/>
      <c r="I981" s="10"/>
      <c r="J981" s="1"/>
      <c r="K981" s="1"/>
      <c r="L981" s="1"/>
      <c r="M981" s="1"/>
      <c r="N981" s="1"/>
      <c r="O981" s="1"/>
      <c r="P981" s="1"/>
      <c r="Q981" s="1"/>
      <c r="R981" s="1"/>
      <c r="S981" s="1"/>
      <c r="T981" s="1"/>
      <c r="U981" s="1"/>
      <c r="V981" s="1"/>
      <c r="W981" s="1"/>
      <c r="X981" s="1"/>
      <c r="Y981" s="1"/>
      <c r="Z981" s="1"/>
    </row>
    <row r="982" spans="1:26" ht="12.75" customHeight="1">
      <c r="A982" s="200"/>
      <c r="B982" s="200"/>
      <c r="C982" s="201"/>
      <c r="D982" s="893"/>
      <c r="E982" s="893"/>
      <c r="F982" s="893"/>
      <c r="G982" s="202"/>
      <c r="H982" s="1"/>
      <c r="I982" s="10"/>
      <c r="J982" s="1"/>
      <c r="K982" s="1"/>
      <c r="L982" s="1"/>
      <c r="M982" s="1"/>
      <c r="N982" s="1"/>
      <c r="O982" s="1"/>
      <c r="P982" s="1"/>
      <c r="Q982" s="1"/>
      <c r="R982" s="1"/>
      <c r="S982" s="1"/>
      <c r="T982" s="1"/>
      <c r="U982" s="1"/>
      <c r="V982" s="1"/>
      <c r="W982" s="1"/>
      <c r="X982" s="1"/>
      <c r="Y982" s="1"/>
      <c r="Z982" s="1"/>
    </row>
    <row r="983" spans="1:26" ht="12.75" customHeight="1">
      <c r="A983" s="16"/>
      <c r="B983" s="16"/>
      <c r="C983" s="16"/>
      <c r="D983" s="8"/>
      <c r="E983" s="1"/>
      <c r="F983" s="125"/>
      <c r="G983" s="125"/>
      <c r="H983" s="1"/>
      <c r="I983" s="10"/>
      <c r="J983" s="1"/>
      <c r="K983" s="1"/>
      <c r="L983" s="1"/>
      <c r="M983" s="1"/>
      <c r="N983" s="1"/>
      <c r="O983" s="1"/>
      <c r="P983" s="1"/>
      <c r="Q983" s="1"/>
      <c r="R983" s="1"/>
      <c r="S983" s="1"/>
      <c r="T983" s="1"/>
      <c r="U983" s="1"/>
      <c r="V983" s="1"/>
      <c r="W983" s="1"/>
      <c r="X983" s="1"/>
      <c r="Y983" s="1"/>
      <c r="Z983" s="1"/>
    </row>
    <row r="984" spans="1:26" ht="12.75" customHeight="1">
      <c r="A984" s="95"/>
      <c r="B984" s="21" t="s">
        <v>27</v>
      </c>
      <c r="C984" s="95"/>
      <c r="D984" s="913" t="s">
        <v>1020</v>
      </c>
      <c r="E984" s="893"/>
      <c r="F984" s="893"/>
      <c r="G984" s="125"/>
      <c r="H984" s="1"/>
      <c r="I984" s="8"/>
      <c r="J984" s="1"/>
      <c r="K984" s="1"/>
      <c r="L984" s="1"/>
      <c r="M984" s="1"/>
      <c r="N984" s="1"/>
      <c r="O984" s="1"/>
      <c r="P984" s="1"/>
      <c r="Q984" s="1"/>
      <c r="R984" s="1"/>
      <c r="S984" s="1"/>
      <c r="T984" s="1"/>
      <c r="U984" s="1"/>
      <c r="V984" s="1"/>
      <c r="W984" s="1"/>
      <c r="X984" s="1"/>
      <c r="Y984" s="1"/>
      <c r="Z984" s="1"/>
    </row>
    <row r="985" spans="1:26" ht="12.75" customHeight="1">
      <c r="A985" s="95"/>
      <c r="B985" s="95"/>
      <c r="C985" s="95"/>
      <c r="D985" s="893"/>
      <c r="E985" s="893"/>
      <c r="F985" s="893"/>
      <c r="G985" s="125"/>
      <c r="H985" s="1"/>
      <c r="I985" s="8"/>
      <c r="J985" s="1"/>
      <c r="K985" s="1"/>
      <c r="L985" s="1"/>
      <c r="M985" s="1"/>
      <c r="N985" s="1"/>
      <c r="O985" s="1"/>
      <c r="P985" s="1"/>
      <c r="Q985" s="1"/>
      <c r="R985" s="1"/>
      <c r="S985" s="1"/>
      <c r="T985" s="1"/>
      <c r="U985" s="1"/>
      <c r="V985" s="1"/>
      <c r="W985" s="1"/>
      <c r="X985" s="1"/>
      <c r="Y985" s="1"/>
      <c r="Z985" s="1"/>
    </row>
    <row r="986" spans="1:26" ht="12.75" customHeight="1">
      <c r="A986" s="95"/>
      <c r="B986" s="95"/>
      <c r="C986" s="95"/>
      <c r="D986" s="893"/>
      <c r="E986" s="893"/>
      <c r="F986" s="893"/>
      <c r="G986" s="125"/>
      <c r="H986" s="1"/>
      <c r="I986" s="8"/>
      <c r="J986" s="1"/>
      <c r="K986" s="1"/>
      <c r="L986" s="1"/>
      <c r="M986" s="1"/>
      <c r="N986" s="1"/>
      <c r="O986" s="1"/>
      <c r="P986" s="1"/>
      <c r="Q986" s="1"/>
      <c r="R986" s="1"/>
      <c r="S986" s="1"/>
      <c r="T986" s="1"/>
      <c r="U986" s="1"/>
      <c r="V986" s="1"/>
      <c r="W986" s="1"/>
      <c r="X986" s="1"/>
      <c r="Y986" s="1"/>
      <c r="Z986" s="1"/>
    </row>
    <row r="987" spans="1:26" ht="12.75" customHeight="1">
      <c r="A987" s="95"/>
      <c r="B987" s="95"/>
      <c r="C987" s="95"/>
      <c r="D987" s="125"/>
      <c r="E987" s="125"/>
      <c r="F987" s="125"/>
      <c r="G987" s="125"/>
      <c r="H987" s="1"/>
      <c r="I987" s="8"/>
      <c r="J987" s="1"/>
      <c r="K987" s="1"/>
      <c r="L987" s="1"/>
      <c r="M987" s="1"/>
      <c r="N987" s="1"/>
      <c r="O987" s="1"/>
      <c r="P987" s="1"/>
      <c r="Q987" s="1"/>
      <c r="R987" s="1"/>
      <c r="S987" s="1"/>
      <c r="T987" s="1"/>
      <c r="U987" s="1"/>
      <c r="V987" s="1"/>
      <c r="W987" s="1"/>
      <c r="X987" s="1"/>
      <c r="Y987" s="1"/>
      <c r="Z987" s="1"/>
    </row>
    <row r="988" spans="1:26" ht="12.75" customHeight="1">
      <c r="A988" s="20"/>
      <c r="B988" s="21" t="s">
        <v>27</v>
      </c>
      <c r="C988" s="95"/>
      <c r="D988" s="913" t="s">
        <v>1023</v>
      </c>
      <c r="E988" s="893"/>
      <c r="F988" s="893"/>
      <c r="G988" s="125"/>
      <c r="H988" s="1"/>
      <c r="I988" s="8"/>
      <c r="J988" s="1"/>
      <c r="K988" s="1"/>
      <c r="L988" s="1"/>
      <c r="M988" s="1"/>
      <c r="N988" s="1"/>
      <c r="O988" s="1"/>
      <c r="P988" s="1"/>
      <c r="Q988" s="1"/>
      <c r="R988" s="1"/>
      <c r="S988" s="1"/>
      <c r="T988" s="1"/>
      <c r="U988" s="1"/>
      <c r="V988" s="1"/>
      <c r="W988" s="1"/>
      <c r="X988" s="1"/>
      <c r="Y988" s="1"/>
      <c r="Z988" s="1"/>
    </row>
    <row r="989" spans="1:26" ht="12.75" customHeight="1">
      <c r="A989" s="95"/>
      <c r="B989" s="95"/>
      <c r="C989" s="95"/>
      <c r="D989" s="893"/>
      <c r="E989" s="893"/>
      <c r="F989" s="893"/>
      <c r="G989" s="125"/>
      <c r="H989" s="1"/>
      <c r="I989" s="8"/>
      <c r="J989" s="1"/>
      <c r="K989" s="1"/>
      <c r="L989" s="1"/>
      <c r="M989" s="1"/>
      <c r="N989" s="1"/>
      <c r="O989" s="1"/>
      <c r="P989" s="1"/>
      <c r="Q989" s="1"/>
      <c r="R989" s="1"/>
      <c r="S989" s="1"/>
      <c r="T989" s="1"/>
      <c r="U989" s="1"/>
      <c r="V989" s="1"/>
      <c r="W989" s="1"/>
      <c r="X989" s="1"/>
      <c r="Y989" s="1"/>
      <c r="Z989" s="1"/>
    </row>
    <row r="990" spans="1:26" ht="12.75" customHeight="1">
      <c r="A990" s="95"/>
      <c r="B990" s="95"/>
      <c r="C990" s="95"/>
      <c r="D990" s="893"/>
      <c r="E990" s="893"/>
      <c r="F990" s="893"/>
      <c r="G990" s="125"/>
      <c r="H990" s="1"/>
      <c r="I990" s="8"/>
      <c r="J990" s="1"/>
      <c r="K990" s="1"/>
      <c r="L990" s="1"/>
      <c r="M990" s="1"/>
      <c r="N990" s="1"/>
      <c r="O990" s="1"/>
      <c r="P990" s="1"/>
      <c r="Q990" s="1"/>
      <c r="R990" s="1"/>
      <c r="S990" s="1"/>
      <c r="T990" s="1"/>
      <c r="U990" s="1"/>
      <c r="V990" s="1"/>
      <c r="W990" s="1"/>
      <c r="X990" s="1"/>
      <c r="Y990" s="1"/>
      <c r="Z990" s="1"/>
    </row>
    <row r="991" spans="1:26" ht="12.75" customHeight="1">
      <c r="A991" s="95"/>
      <c r="B991" s="95"/>
      <c r="C991" s="95"/>
      <c r="D991" s="893"/>
      <c r="E991" s="893"/>
      <c r="F991" s="893"/>
      <c r="G991" s="125"/>
      <c r="H991" s="1"/>
      <c r="I991" s="8"/>
      <c r="J991" s="1"/>
      <c r="K991" s="1"/>
      <c r="L991" s="1"/>
      <c r="M991" s="1"/>
      <c r="N991" s="1"/>
      <c r="O991" s="1"/>
      <c r="P991" s="1"/>
      <c r="Q991" s="1"/>
      <c r="R991" s="1"/>
      <c r="S991" s="1"/>
      <c r="T991" s="1"/>
      <c r="U991" s="1"/>
      <c r="V991" s="1"/>
      <c r="W991" s="1"/>
      <c r="X991" s="1"/>
      <c r="Y991" s="1"/>
      <c r="Z991" s="1"/>
    </row>
    <row r="992" spans="1:26" ht="12.75" customHeight="1">
      <c r="A992" s="95"/>
      <c r="B992" s="95"/>
      <c r="C992" s="95"/>
      <c r="D992" s="47"/>
      <c r="E992" s="47"/>
      <c r="F992" s="47"/>
      <c r="G992" s="125"/>
      <c r="H992" s="1"/>
      <c r="I992" s="8"/>
      <c r="J992" s="1"/>
      <c r="K992" s="1"/>
      <c r="L992" s="1"/>
      <c r="M992" s="1"/>
      <c r="N992" s="1"/>
      <c r="O992" s="1"/>
      <c r="P992" s="1"/>
      <c r="Q992" s="1"/>
      <c r="R992" s="1"/>
      <c r="S992" s="1"/>
      <c r="T992" s="1"/>
      <c r="U992" s="1"/>
      <c r="V992" s="1"/>
      <c r="W992" s="1"/>
      <c r="X992" s="1"/>
      <c r="Y992" s="1"/>
      <c r="Z992" s="1"/>
    </row>
    <row r="993" spans="1:26" ht="12.75" customHeight="1">
      <c r="A993" s="95"/>
      <c r="B993" s="95"/>
      <c r="C993" s="95"/>
      <c r="D993" s="914" t="s">
        <v>1026</v>
      </c>
      <c r="E993" s="893"/>
      <c r="F993" s="893"/>
      <c r="G993" s="125"/>
      <c r="H993" s="125"/>
      <c r="I993" s="125"/>
      <c r="J993" s="1"/>
      <c r="K993" s="1"/>
      <c r="L993" s="1"/>
      <c r="M993" s="1"/>
      <c r="N993" s="1"/>
      <c r="O993" s="1"/>
      <c r="P993" s="1"/>
      <c r="Q993" s="1"/>
      <c r="R993" s="1"/>
      <c r="S993" s="1"/>
      <c r="T993" s="1"/>
      <c r="U993" s="1"/>
      <c r="V993" s="1"/>
      <c r="W993" s="1"/>
      <c r="X993" s="1"/>
      <c r="Y993" s="1"/>
      <c r="Z993" s="1"/>
    </row>
    <row r="994" spans="1:26" ht="12.75" customHeight="1">
      <c r="A994" s="95"/>
      <c r="B994" s="95"/>
      <c r="C994" s="95"/>
      <c r="D994" s="12"/>
      <c r="E994" s="125"/>
      <c r="F994" s="125"/>
      <c r="G994" s="125"/>
      <c r="H994" s="125"/>
      <c r="I994" s="125"/>
      <c r="J994" s="1"/>
      <c r="K994" s="1"/>
      <c r="L994" s="1"/>
      <c r="M994" s="1"/>
      <c r="N994" s="1"/>
      <c r="O994" s="1"/>
      <c r="P994" s="1"/>
      <c r="Q994" s="1"/>
      <c r="R994" s="1"/>
      <c r="S994" s="1"/>
      <c r="T994" s="1"/>
      <c r="U994" s="1"/>
      <c r="V994" s="1"/>
      <c r="W994" s="1"/>
      <c r="X994" s="1"/>
      <c r="Y994" s="1"/>
      <c r="Z994" s="1"/>
    </row>
    <row r="995" spans="1:26" ht="12.75" customHeight="1">
      <c r="A995" s="20"/>
      <c r="B995" s="21" t="s">
        <v>27</v>
      </c>
      <c r="C995" s="95"/>
      <c r="D995" s="895" t="s">
        <v>1027</v>
      </c>
      <c r="E995" s="893"/>
      <c r="F995" s="893"/>
      <c r="G995" s="125"/>
      <c r="H995" s="125"/>
      <c r="I995" s="125"/>
      <c r="J995" s="1"/>
      <c r="K995" s="1"/>
      <c r="L995" s="1"/>
      <c r="M995" s="1"/>
      <c r="N995" s="1"/>
      <c r="O995" s="1"/>
      <c r="P995" s="1"/>
      <c r="Q995" s="1"/>
      <c r="R995" s="1"/>
      <c r="S995" s="1"/>
      <c r="T995" s="1"/>
      <c r="U995" s="1"/>
      <c r="V995" s="1"/>
      <c r="W995" s="1"/>
      <c r="X995" s="1"/>
      <c r="Y995" s="1"/>
      <c r="Z995" s="1"/>
    </row>
    <row r="996" spans="1:26" ht="12.75" customHeight="1">
      <c r="A996" s="95"/>
      <c r="B996" s="95"/>
      <c r="C996" s="95"/>
      <c r="D996" s="893"/>
      <c r="E996" s="893"/>
      <c r="F996" s="893"/>
      <c r="G996" s="125"/>
      <c r="H996" s="125"/>
      <c r="I996" s="125"/>
      <c r="J996" s="1"/>
      <c r="K996" s="1"/>
      <c r="L996" s="1"/>
      <c r="M996" s="1"/>
      <c r="N996" s="1"/>
      <c r="O996" s="1"/>
      <c r="P996" s="1"/>
      <c r="Q996" s="1"/>
      <c r="R996" s="1"/>
      <c r="S996" s="1"/>
      <c r="T996" s="1"/>
      <c r="U996" s="1"/>
      <c r="V996" s="1"/>
      <c r="W996" s="1"/>
      <c r="X996" s="1"/>
      <c r="Y996" s="1"/>
      <c r="Z996" s="1"/>
    </row>
    <row r="997" spans="1:26" ht="12.75" customHeight="1">
      <c r="A997" s="95"/>
      <c r="B997" s="95"/>
      <c r="C997" s="95"/>
      <c r="D997" s="893"/>
      <c r="E997" s="893"/>
      <c r="F997" s="893"/>
      <c r="G997" s="125"/>
      <c r="H997" s="125"/>
      <c r="I997" s="125"/>
      <c r="J997" s="1"/>
      <c r="K997" s="1"/>
      <c r="L997" s="1"/>
      <c r="M997" s="1"/>
      <c r="N997" s="1"/>
      <c r="O997" s="1"/>
      <c r="P997" s="1"/>
      <c r="Q997" s="1"/>
      <c r="R997" s="1"/>
      <c r="S997" s="1"/>
      <c r="T997" s="1"/>
      <c r="U997" s="1"/>
      <c r="V997" s="1"/>
      <c r="W997" s="1"/>
      <c r="X997" s="1"/>
      <c r="Y997" s="1"/>
      <c r="Z997" s="1"/>
    </row>
    <row r="998" spans="1:26" ht="12.75" customHeight="1">
      <c r="A998" s="95"/>
      <c r="B998" s="95"/>
      <c r="C998" s="95"/>
      <c r="D998" s="1"/>
      <c r="E998" s="1"/>
      <c r="F998" s="1"/>
      <c r="G998" s="125"/>
      <c r="H998" s="125"/>
      <c r="I998" s="125"/>
      <c r="J998" s="1"/>
      <c r="K998" s="1"/>
      <c r="L998" s="1"/>
      <c r="M998" s="1"/>
      <c r="N998" s="1"/>
      <c r="O998" s="1"/>
      <c r="P998" s="1"/>
      <c r="Q998" s="1"/>
      <c r="R998" s="1"/>
      <c r="S998" s="1"/>
      <c r="T998" s="1"/>
      <c r="U998" s="1"/>
      <c r="V998" s="1"/>
      <c r="W998" s="1"/>
      <c r="X998" s="1"/>
      <c r="Y998" s="1"/>
      <c r="Z998" s="1"/>
    </row>
    <row r="999" spans="1:26" ht="12.75" customHeight="1">
      <c r="A999" s="20"/>
      <c r="B999" s="21" t="s">
        <v>27</v>
      </c>
      <c r="C999" s="16"/>
      <c r="D999" s="896" t="s">
        <v>1032</v>
      </c>
      <c r="E999" s="893"/>
      <c r="F999" s="893"/>
      <c r="G999" s="125"/>
      <c r="H999" s="1"/>
      <c r="I999" s="10"/>
      <c r="J999" s="1"/>
      <c r="K999" s="1"/>
      <c r="L999" s="1"/>
      <c r="M999" s="1"/>
      <c r="N999" s="1"/>
      <c r="O999" s="1"/>
      <c r="P999" s="1"/>
      <c r="Q999" s="1"/>
      <c r="R999" s="1"/>
      <c r="S999" s="1"/>
      <c r="T999" s="1"/>
      <c r="U999" s="1"/>
      <c r="V999" s="1"/>
      <c r="W999" s="1"/>
      <c r="X999" s="1"/>
      <c r="Y999" s="1"/>
      <c r="Z999" s="1"/>
    </row>
    <row r="1000" spans="1:26" ht="12.75" customHeight="1">
      <c r="A1000" s="20"/>
      <c r="B1000" s="20"/>
      <c r="C1000" s="16"/>
      <c r="D1000" s="893"/>
      <c r="E1000" s="893"/>
      <c r="F1000" s="893"/>
      <c r="G1000" s="125"/>
      <c r="H1000" s="1"/>
      <c r="I1000" s="10"/>
      <c r="J1000" s="1"/>
      <c r="K1000" s="1"/>
      <c r="L1000" s="1"/>
      <c r="M1000" s="1"/>
      <c r="N1000" s="1"/>
      <c r="O1000" s="1"/>
      <c r="P1000" s="1"/>
      <c r="Q1000" s="1"/>
      <c r="R1000" s="1"/>
      <c r="S1000" s="1"/>
      <c r="T1000" s="1"/>
      <c r="U1000" s="1"/>
      <c r="V1000" s="1"/>
      <c r="W1000" s="1"/>
      <c r="X1000" s="1"/>
      <c r="Y1000" s="1"/>
      <c r="Z1000" s="1"/>
    </row>
    <row r="1001" spans="1:26" ht="12.75" customHeight="1">
      <c r="A1001" s="20"/>
      <c r="B1001" s="20"/>
      <c r="C1001" s="16"/>
      <c r="D1001" s="893"/>
      <c r="E1001" s="893"/>
      <c r="F1001" s="893"/>
      <c r="G1001" s="125"/>
      <c r="H1001" s="1"/>
      <c r="I1001" s="10"/>
      <c r="J1001" s="1"/>
      <c r="K1001" s="1"/>
      <c r="L1001" s="1"/>
      <c r="M1001" s="1"/>
      <c r="N1001" s="1"/>
      <c r="O1001" s="1"/>
      <c r="P1001" s="1"/>
      <c r="Q1001" s="1"/>
      <c r="R1001" s="1"/>
      <c r="S1001" s="1"/>
      <c r="T1001" s="1"/>
      <c r="U1001" s="1"/>
      <c r="V1001" s="1"/>
      <c r="W1001" s="1"/>
      <c r="X1001" s="1"/>
      <c r="Y1001" s="1"/>
      <c r="Z1001" s="1"/>
    </row>
    <row r="1002" spans="1:26" ht="12.75" customHeight="1">
      <c r="A1002" s="20"/>
      <c r="B1002" s="20"/>
      <c r="C1002" s="16"/>
      <c r="D1002" s="893"/>
      <c r="E1002" s="893"/>
      <c r="F1002" s="893"/>
      <c r="G1002" s="125"/>
      <c r="H1002" s="1"/>
      <c r="I1002" s="10"/>
      <c r="J1002" s="1"/>
      <c r="K1002" s="1"/>
      <c r="L1002" s="1"/>
      <c r="M1002" s="1"/>
      <c r="N1002" s="1"/>
      <c r="O1002" s="1"/>
      <c r="P1002" s="1"/>
      <c r="Q1002" s="1"/>
      <c r="R1002" s="1"/>
      <c r="S1002" s="1"/>
      <c r="T1002" s="1"/>
      <c r="U1002" s="1"/>
      <c r="V1002" s="1"/>
      <c r="W1002" s="1"/>
      <c r="X1002" s="1"/>
      <c r="Y1002" s="1"/>
      <c r="Z1002" s="1"/>
    </row>
    <row r="1003" spans="1:26" ht="12.75" customHeight="1">
      <c r="A1003" s="20"/>
      <c r="B1003" s="20"/>
      <c r="C1003" s="16"/>
      <c r="D1003" s="893"/>
      <c r="E1003" s="893"/>
      <c r="F1003" s="893"/>
      <c r="G1003" s="125"/>
      <c r="H1003" s="1"/>
      <c r="I1003" s="10"/>
      <c r="J1003" s="1"/>
      <c r="K1003" s="1"/>
      <c r="L1003" s="1"/>
      <c r="M1003" s="1"/>
      <c r="N1003" s="1"/>
      <c r="O1003" s="1"/>
      <c r="P1003" s="1"/>
      <c r="Q1003" s="1"/>
      <c r="R1003" s="1"/>
      <c r="S1003" s="1"/>
      <c r="T1003" s="1"/>
      <c r="U1003" s="1"/>
      <c r="V1003" s="1"/>
      <c r="W1003" s="1"/>
      <c r="X1003" s="1"/>
      <c r="Y1003" s="1"/>
      <c r="Z1003" s="1"/>
    </row>
    <row r="1004" spans="1:26" ht="12.75" customHeight="1">
      <c r="A1004" s="20"/>
      <c r="B1004" s="20"/>
      <c r="C1004" s="16"/>
      <c r="D1004" s="893"/>
      <c r="E1004" s="893"/>
      <c r="F1004" s="893"/>
      <c r="G1004" s="125"/>
      <c r="H1004" s="1"/>
      <c r="I1004" s="10"/>
      <c r="J1004" s="1"/>
      <c r="K1004" s="1"/>
      <c r="L1004" s="1"/>
      <c r="M1004" s="1"/>
      <c r="N1004" s="1"/>
      <c r="O1004" s="1"/>
      <c r="P1004" s="1"/>
      <c r="Q1004" s="1"/>
      <c r="R1004" s="1"/>
      <c r="S1004" s="1"/>
      <c r="T1004" s="1"/>
      <c r="U1004" s="1"/>
      <c r="V1004" s="1"/>
      <c r="W1004" s="1"/>
      <c r="X1004" s="1"/>
      <c r="Y1004" s="1"/>
      <c r="Z1004" s="1"/>
    </row>
    <row r="1005" spans="1:26" ht="12.75" customHeight="1">
      <c r="A1005" s="20"/>
      <c r="B1005" s="20"/>
      <c r="C1005" s="16"/>
      <c r="D1005" s="893"/>
      <c r="E1005" s="893"/>
      <c r="F1005" s="893"/>
      <c r="G1005" s="125"/>
      <c r="H1005" s="1"/>
      <c r="I1005" s="10"/>
      <c r="J1005" s="1"/>
      <c r="K1005" s="1"/>
      <c r="L1005" s="1"/>
      <c r="M1005" s="1"/>
      <c r="N1005" s="1"/>
      <c r="O1005" s="1"/>
      <c r="P1005" s="1"/>
      <c r="Q1005" s="1"/>
      <c r="R1005" s="1"/>
      <c r="S1005" s="1"/>
      <c r="T1005" s="1"/>
      <c r="U1005" s="1"/>
      <c r="V1005" s="1"/>
      <c r="W1005" s="1"/>
      <c r="X1005" s="1"/>
      <c r="Y1005" s="1"/>
      <c r="Z1005" s="1"/>
    </row>
    <row r="1006" spans="1:26" ht="12.75" customHeight="1">
      <c r="A1006" s="20"/>
      <c r="B1006" s="20"/>
      <c r="C1006" s="16"/>
      <c r="D1006" s="36"/>
      <c r="E1006" s="36"/>
      <c r="F1006" s="36"/>
      <c r="G1006" s="125"/>
      <c r="H1006" s="1"/>
      <c r="I1006" s="10"/>
      <c r="J1006" s="1"/>
      <c r="K1006" s="1"/>
      <c r="L1006" s="1"/>
      <c r="M1006" s="1"/>
      <c r="N1006" s="1"/>
      <c r="O1006" s="1"/>
      <c r="P1006" s="1"/>
      <c r="Q1006" s="1"/>
      <c r="R1006" s="1"/>
      <c r="S1006" s="1"/>
      <c r="T1006" s="1"/>
      <c r="U1006" s="1"/>
      <c r="V1006" s="1"/>
      <c r="W1006" s="1"/>
      <c r="X1006" s="1"/>
      <c r="Y1006" s="1"/>
      <c r="Z1006" s="1"/>
    </row>
    <row r="1007" spans="1:26" ht="12.75" customHeight="1">
      <c r="A1007" s="95"/>
      <c r="B1007" s="21" t="s">
        <v>27</v>
      </c>
      <c r="C1007" s="95"/>
      <c r="D1007" s="895" t="s">
        <v>1040</v>
      </c>
      <c r="E1007" s="893"/>
      <c r="F1007" s="893"/>
      <c r="G1007" s="26"/>
      <c r="H1007" s="125"/>
      <c r="I1007" s="125"/>
      <c r="J1007" s="1"/>
      <c r="K1007" s="1"/>
      <c r="L1007" s="1"/>
      <c r="M1007" s="1"/>
      <c r="N1007" s="1"/>
      <c r="O1007" s="1"/>
      <c r="P1007" s="1"/>
      <c r="Q1007" s="1"/>
      <c r="R1007" s="1"/>
      <c r="S1007" s="1"/>
      <c r="T1007" s="1"/>
      <c r="U1007" s="1"/>
      <c r="V1007" s="1"/>
      <c r="W1007" s="1"/>
      <c r="X1007" s="1"/>
      <c r="Y1007" s="1"/>
      <c r="Z1007" s="1"/>
    </row>
    <row r="1008" spans="1:26" ht="12.75" customHeight="1">
      <c r="A1008" s="95"/>
      <c r="B1008" s="95"/>
      <c r="C1008" s="95"/>
      <c r="D1008" s="893"/>
      <c r="E1008" s="893"/>
      <c r="F1008" s="893"/>
      <c r="G1008" s="26"/>
      <c r="H1008" s="125"/>
      <c r="I1008" s="125"/>
      <c r="J1008" s="1"/>
      <c r="K1008" s="1"/>
      <c r="L1008" s="1"/>
      <c r="M1008" s="1"/>
      <c r="N1008" s="1"/>
      <c r="O1008" s="1"/>
      <c r="P1008" s="1"/>
      <c r="Q1008" s="1"/>
      <c r="R1008" s="1"/>
      <c r="S1008" s="1"/>
      <c r="T1008" s="1"/>
      <c r="U1008" s="1"/>
      <c r="V1008" s="1"/>
      <c r="W1008" s="1"/>
      <c r="X1008" s="1"/>
      <c r="Y1008" s="1"/>
      <c r="Z1008" s="1"/>
    </row>
    <row r="1009" spans="1:26" ht="12.75" customHeight="1">
      <c r="A1009" s="95"/>
      <c r="B1009" s="95"/>
      <c r="C1009" s="95"/>
      <c r="D1009" s="893"/>
      <c r="E1009" s="893"/>
      <c r="F1009" s="893"/>
      <c r="G1009" s="26"/>
      <c r="H1009" s="125"/>
      <c r="I1009" s="125"/>
      <c r="J1009" s="1"/>
      <c r="K1009" s="1"/>
      <c r="L1009" s="1"/>
      <c r="M1009" s="1"/>
      <c r="N1009" s="1"/>
      <c r="O1009" s="1"/>
      <c r="P1009" s="1"/>
      <c r="Q1009" s="1"/>
      <c r="R1009" s="1"/>
      <c r="S1009" s="1"/>
      <c r="T1009" s="1"/>
      <c r="U1009" s="1"/>
      <c r="V1009" s="1"/>
      <c r="W1009" s="1"/>
      <c r="X1009" s="1"/>
      <c r="Y1009" s="1"/>
      <c r="Z1009" s="1"/>
    </row>
    <row r="1010" spans="1:26" ht="12.75" customHeight="1">
      <c r="A1010" s="95"/>
      <c r="B1010" s="95"/>
      <c r="C1010" s="95"/>
      <c r="D1010" s="893"/>
      <c r="E1010" s="893"/>
      <c r="F1010" s="893"/>
      <c r="G1010" s="26"/>
      <c r="H1010" s="125"/>
      <c r="I1010" s="125"/>
      <c r="J1010" s="1"/>
      <c r="K1010" s="1"/>
      <c r="L1010" s="1"/>
      <c r="M1010" s="1"/>
      <c r="N1010" s="1"/>
      <c r="O1010" s="1"/>
      <c r="P1010" s="1"/>
      <c r="Q1010" s="1"/>
      <c r="R1010" s="1"/>
      <c r="S1010" s="1"/>
      <c r="T1010" s="1"/>
      <c r="U1010" s="1"/>
      <c r="V1010" s="1"/>
      <c r="W1010" s="1"/>
      <c r="X1010" s="1"/>
      <c r="Y1010" s="1"/>
      <c r="Z1010" s="1"/>
    </row>
    <row r="1011" spans="1:26" ht="12.75" customHeight="1">
      <c r="A1011" s="95"/>
      <c r="B1011" s="95"/>
      <c r="C1011" s="95"/>
      <c r="D1011" s="893"/>
      <c r="E1011" s="893"/>
      <c r="F1011" s="893"/>
      <c r="G1011" s="26"/>
      <c r="H1011" s="125"/>
      <c r="I1011" s="125"/>
      <c r="J1011" s="1"/>
      <c r="K1011" s="1"/>
      <c r="L1011" s="1"/>
      <c r="M1011" s="1"/>
      <c r="N1011" s="1"/>
      <c r="O1011" s="1"/>
      <c r="P1011" s="1"/>
      <c r="Q1011" s="1"/>
      <c r="R1011" s="1"/>
      <c r="S1011" s="1"/>
      <c r="T1011" s="1"/>
      <c r="U1011" s="1"/>
      <c r="V1011" s="1"/>
      <c r="W1011" s="1"/>
      <c r="X1011" s="1"/>
      <c r="Y1011" s="1"/>
      <c r="Z1011" s="1"/>
    </row>
    <row r="1012" spans="1:26" ht="12.75" customHeight="1">
      <c r="A1012" s="95"/>
      <c r="B1012" s="95"/>
      <c r="C1012" s="95"/>
      <c r="D1012" s="893"/>
      <c r="E1012" s="893"/>
      <c r="F1012" s="893"/>
      <c r="G1012" s="26"/>
      <c r="H1012" s="125"/>
      <c r="I1012" s="125"/>
      <c r="J1012" s="1"/>
      <c r="K1012" s="1"/>
      <c r="L1012" s="1"/>
      <c r="M1012" s="1"/>
      <c r="N1012" s="1"/>
      <c r="O1012" s="1"/>
      <c r="P1012" s="1"/>
      <c r="Q1012" s="1"/>
      <c r="R1012" s="1"/>
      <c r="S1012" s="1"/>
      <c r="T1012" s="1"/>
      <c r="U1012" s="1"/>
      <c r="V1012" s="1"/>
      <c r="W1012" s="1"/>
      <c r="X1012" s="1"/>
      <c r="Y1012" s="1"/>
      <c r="Z1012" s="1"/>
    </row>
    <row r="1013" spans="1:26" ht="12.75" customHeight="1">
      <c r="A1013" s="95"/>
      <c r="B1013" s="95"/>
      <c r="C1013" s="95"/>
      <c r="D1013" s="893"/>
      <c r="E1013" s="893"/>
      <c r="F1013" s="893"/>
      <c r="G1013" s="26"/>
      <c r="H1013" s="125"/>
      <c r="I1013" s="125"/>
      <c r="J1013" s="1"/>
      <c r="K1013" s="1"/>
      <c r="L1013" s="1"/>
      <c r="M1013" s="1"/>
      <c r="N1013" s="1"/>
      <c r="O1013" s="1"/>
      <c r="P1013" s="1"/>
      <c r="Q1013" s="1"/>
      <c r="R1013" s="1"/>
      <c r="S1013" s="1"/>
      <c r="T1013" s="1"/>
      <c r="U1013" s="1"/>
      <c r="V1013" s="1"/>
      <c r="W1013" s="1"/>
      <c r="X1013" s="1"/>
      <c r="Y1013" s="1"/>
      <c r="Z1013" s="1"/>
    </row>
    <row r="1014" spans="1:26" ht="12.75" customHeight="1">
      <c r="A1014" s="95"/>
      <c r="B1014" s="95"/>
      <c r="C1014" s="95"/>
      <c r="D1014" s="893"/>
      <c r="E1014" s="893"/>
      <c r="F1014" s="893"/>
      <c r="G1014" s="26"/>
      <c r="H1014" s="125"/>
      <c r="I1014" s="125"/>
      <c r="J1014" s="1"/>
      <c r="K1014" s="1"/>
      <c r="L1014" s="1"/>
      <c r="M1014" s="1"/>
      <c r="N1014" s="1"/>
      <c r="O1014" s="1"/>
      <c r="P1014" s="1"/>
      <c r="Q1014" s="1"/>
      <c r="R1014" s="1"/>
      <c r="S1014" s="1"/>
      <c r="T1014" s="1"/>
      <c r="U1014" s="1"/>
      <c r="V1014" s="1"/>
      <c r="W1014" s="1"/>
      <c r="X1014" s="1"/>
      <c r="Y1014" s="1"/>
      <c r="Z1014" s="1"/>
    </row>
    <row r="1015" spans="1:26" ht="12.75" customHeight="1">
      <c r="A1015" s="95"/>
      <c r="B1015" s="95"/>
      <c r="C1015" s="95"/>
      <c r="D1015" s="893"/>
      <c r="E1015" s="893"/>
      <c r="F1015" s="893"/>
      <c r="G1015" s="26"/>
      <c r="H1015" s="125"/>
      <c r="I1015" s="125"/>
      <c r="J1015" s="1"/>
      <c r="K1015" s="1"/>
      <c r="L1015" s="1"/>
      <c r="M1015" s="1"/>
      <c r="N1015" s="1"/>
      <c r="O1015" s="1"/>
      <c r="P1015" s="1"/>
      <c r="Q1015" s="1"/>
      <c r="R1015" s="1"/>
      <c r="S1015" s="1"/>
      <c r="T1015" s="1"/>
      <c r="U1015" s="1"/>
      <c r="V1015" s="1"/>
      <c r="W1015" s="1"/>
      <c r="X1015" s="1"/>
      <c r="Y1015" s="1"/>
      <c r="Z1015" s="1"/>
    </row>
    <row r="1016" spans="1:26" ht="12.75" customHeight="1">
      <c r="A1016" s="95"/>
      <c r="B1016" s="95"/>
      <c r="C1016" s="95"/>
      <c r="D1016" s="893"/>
      <c r="E1016" s="893"/>
      <c r="F1016" s="893"/>
      <c r="G1016" s="26"/>
      <c r="H1016" s="125"/>
      <c r="I1016" s="125"/>
      <c r="J1016" s="1"/>
      <c r="K1016" s="1"/>
      <c r="L1016" s="1"/>
      <c r="M1016" s="1"/>
      <c r="N1016" s="1"/>
      <c r="O1016" s="1"/>
      <c r="P1016" s="1"/>
      <c r="Q1016" s="1"/>
      <c r="R1016" s="1"/>
      <c r="S1016" s="1"/>
      <c r="T1016" s="1"/>
      <c r="U1016" s="1"/>
      <c r="V1016" s="1"/>
      <c r="W1016" s="1"/>
      <c r="X1016" s="1"/>
      <c r="Y1016" s="1"/>
      <c r="Z1016" s="1"/>
    </row>
    <row r="1017" spans="1:26" ht="12.75" customHeight="1">
      <c r="A1017" s="95"/>
      <c r="B1017" s="95"/>
      <c r="C1017" s="95"/>
      <c r="D1017" s="893"/>
      <c r="E1017" s="893"/>
      <c r="F1017" s="893"/>
      <c r="G1017" s="26"/>
      <c r="H1017" s="125"/>
      <c r="I1017" s="125"/>
      <c r="J1017" s="1"/>
      <c r="K1017" s="1"/>
      <c r="L1017" s="1"/>
      <c r="M1017" s="1"/>
      <c r="N1017" s="1"/>
      <c r="O1017" s="1"/>
      <c r="P1017" s="1"/>
      <c r="Q1017" s="1"/>
      <c r="R1017" s="1"/>
      <c r="S1017" s="1"/>
      <c r="T1017" s="1"/>
      <c r="U1017" s="1"/>
      <c r="V1017" s="1"/>
      <c r="W1017" s="1"/>
      <c r="X1017" s="1"/>
      <c r="Y1017" s="1"/>
      <c r="Z1017" s="1"/>
    </row>
    <row r="1018" spans="1:26" ht="14.25" customHeight="1">
      <c r="A1018" s="95"/>
      <c r="B1018" s="95"/>
      <c r="C1018" s="95"/>
      <c r="D1018" s="893"/>
      <c r="E1018" s="893"/>
      <c r="F1018" s="893"/>
      <c r="G1018" s="26"/>
      <c r="H1018" s="125"/>
      <c r="I1018" s="125"/>
      <c r="J1018" s="1"/>
      <c r="K1018" s="1"/>
      <c r="L1018" s="1"/>
      <c r="M1018" s="1"/>
      <c r="N1018" s="1"/>
      <c r="O1018" s="1"/>
      <c r="P1018" s="1"/>
      <c r="Q1018" s="1"/>
      <c r="R1018" s="1"/>
      <c r="S1018" s="1"/>
      <c r="T1018" s="1"/>
      <c r="U1018" s="1"/>
      <c r="V1018" s="1"/>
      <c r="W1018" s="1"/>
      <c r="X1018" s="1"/>
      <c r="Y1018" s="1"/>
      <c r="Z1018" s="1"/>
    </row>
    <row r="1019" spans="1:26" ht="12.75" customHeight="1">
      <c r="A1019" s="95"/>
      <c r="B1019" s="95"/>
      <c r="C1019" s="95"/>
      <c r="D1019" s="26"/>
      <c r="E1019" s="26"/>
      <c r="F1019" s="26"/>
      <c r="G1019" s="26"/>
      <c r="H1019" s="125"/>
      <c r="I1019" s="125"/>
      <c r="J1019" s="1"/>
      <c r="K1019" s="1"/>
      <c r="L1019" s="1"/>
      <c r="M1019" s="1"/>
      <c r="N1019" s="1"/>
      <c r="O1019" s="1"/>
      <c r="P1019" s="1"/>
      <c r="Q1019" s="1"/>
      <c r="R1019" s="1"/>
      <c r="S1019" s="1"/>
      <c r="T1019" s="1"/>
      <c r="U1019" s="1"/>
      <c r="V1019" s="1"/>
      <c r="W1019" s="1"/>
      <c r="X1019" s="1"/>
      <c r="Y1019" s="1"/>
      <c r="Z1019" s="1"/>
    </row>
    <row r="1020" spans="1:26" ht="12.75" customHeight="1">
      <c r="A1020" s="20"/>
      <c r="B1020" s="21" t="s">
        <v>27</v>
      </c>
      <c r="C1020" s="16"/>
      <c r="D1020" s="895" t="s">
        <v>1049</v>
      </c>
      <c r="E1020" s="893"/>
      <c r="F1020" s="893"/>
      <c r="G1020" s="125"/>
      <c r="H1020" s="1"/>
      <c r="I1020" s="10"/>
      <c r="J1020" s="1"/>
      <c r="K1020" s="1"/>
      <c r="L1020" s="1"/>
      <c r="M1020" s="1"/>
      <c r="N1020" s="1"/>
      <c r="O1020" s="1"/>
      <c r="P1020" s="1"/>
      <c r="Q1020" s="1"/>
      <c r="R1020" s="1"/>
      <c r="S1020" s="1"/>
      <c r="T1020" s="1"/>
      <c r="U1020" s="1"/>
      <c r="V1020" s="1"/>
      <c r="W1020" s="1"/>
      <c r="X1020" s="1"/>
      <c r="Y1020" s="1"/>
      <c r="Z1020" s="1"/>
    </row>
    <row r="1021" spans="1:26" ht="12.75" customHeight="1">
      <c r="A1021" s="20"/>
      <c r="B1021" s="20"/>
      <c r="C1021" s="16"/>
      <c r="D1021" s="893"/>
      <c r="E1021" s="893"/>
      <c r="F1021" s="893"/>
      <c r="G1021" s="125"/>
      <c r="H1021" s="1"/>
      <c r="I1021" s="10"/>
      <c r="J1021" s="1"/>
      <c r="K1021" s="1"/>
      <c r="L1021" s="1"/>
      <c r="M1021" s="1"/>
      <c r="N1021" s="1"/>
      <c r="O1021" s="1"/>
      <c r="P1021" s="1"/>
      <c r="Q1021" s="1"/>
      <c r="R1021" s="1"/>
      <c r="S1021" s="1"/>
      <c r="T1021" s="1"/>
      <c r="U1021" s="1"/>
      <c r="V1021" s="1"/>
      <c r="W1021" s="1"/>
      <c r="X1021" s="1"/>
      <c r="Y1021" s="1"/>
      <c r="Z1021" s="1"/>
    </row>
    <row r="1022" spans="1:26" ht="12.75" customHeight="1">
      <c r="A1022" s="20"/>
      <c r="B1022" s="20"/>
      <c r="C1022" s="16"/>
      <c r="D1022" s="893"/>
      <c r="E1022" s="893"/>
      <c r="F1022" s="893"/>
      <c r="G1022" s="125"/>
      <c r="H1022" s="1"/>
      <c r="I1022" s="10"/>
      <c r="J1022" s="1"/>
      <c r="K1022" s="1"/>
      <c r="L1022" s="1"/>
      <c r="M1022" s="1"/>
      <c r="N1022" s="1"/>
      <c r="O1022" s="1"/>
      <c r="P1022" s="1"/>
      <c r="Q1022" s="1"/>
      <c r="R1022" s="1"/>
      <c r="S1022" s="1"/>
      <c r="T1022" s="1"/>
      <c r="U1022" s="1"/>
      <c r="V1022" s="1"/>
      <c r="W1022" s="1"/>
      <c r="X1022" s="1"/>
      <c r="Y1022" s="1"/>
      <c r="Z1022" s="1"/>
    </row>
    <row r="1023" spans="1:26" ht="12.75" customHeight="1">
      <c r="A1023" s="20"/>
      <c r="B1023" s="20"/>
      <c r="C1023" s="16"/>
      <c r="D1023" s="893"/>
      <c r="E1023" s="893"/>
      <c r="F1023" s="893"/>
      <c r="G1023" s="125"/>
      <c r="H1023" s="1"/>
      <c r="I1023" s="10"/>
      <c r="J1023" s="1"/>
      <c r="K1023" s="1"/>
      <c r="L1023" s="1"/>
      <c r="M1023" s="1"/>
      <c r="N1023" s="1"/>
      <c r="O1023" s="1"/>
      <c r="P1023" s="1"/>
      <c r="Q1023" s="1"/>
      <c r="R1023" s="1"/>
      <c r="S1023" s="1"/>
      <c r="T1023" s="1"/>
      <c r="U1023" s="1"/>
      <c r="V1023" s="1"/>
      <c r="W1023" s="1"/>
      <c r="X1023" s="1"/>
      <c r="Y1023" s="1"/>
      <c r="Z1023" s="1"/>
    </row>
    <row r="1024" spans="1:26" ht="12.75" customHeight="1">
      <c r="A1024" s="20"/>
      <c r="B1024" s="20"/>
      <c r="C1024" s="16"/>
      <c r="D1024" s="893"/>
      <c r="E1024" s="893"/>
      <c r="F1024" s="893"/>
      <c r="G1024" s="125"/>
      <c r="H1024" s="1"/>
      <c r="I1024" s="10"/>
      <c r="J1024" s="1"/>
      <c r="K1024" s="1"/>
      <c r="L1024" s="1"/>
      <c r="M1024" s="1"/>
      <c r="N1024" s="1"/>
      <c r="O1024" s="1"/>
      <c r="P1024" s="1"/>
      <c r="Q1024" s="1"/>
      <c r="R1024" s="1"/>
      <c r="S1024" s="1"/>
      <c r="T1024" s="1"/>
      <c r="U1024" s="1"/>
      <c r="V1024" s="1"/>
      <c r="W1024" s="1"/>
      <c r="X1024" s="1"/>
      <c r="Y1024" s="1"/>
      <c r="Z1024" s="1"/>
    </row>
    <row r="1025" spans="1:26" ht="12.75" customHeight="1">
      <c r="A1025" s="20"/>
      <c r="B1025" s="20"/>
      <c r="C1025" s="16"/>
      <c r="D1025" s="893"/>
      <c r="E1025" s="893"/>
      <c r="F1025" s="893"/>
      <c r="G1025" s="125"/>
      <c r="H1025" s="1"/>
      <c r="I1025" s="10"/>
      <c r="J1025" s="1"/>
      <c r="K1025" s="1"/>
      <c r="L1025" s="1"/>
      <c r="M1025" s="1"/>
      <c r="N1025" s="1"/>
      <c r="O1025" s="1"/>
      <c r="P1025" s="1"/>
      <c r="Q1025" s="1"/>
      <c r="R1025" s="1"/>
      <c r="S1025" s="1"/>
      <c r="T1025" s="1"/>
      <c r="U1025" s="1"/>
      <c r="V1025" s="1"/>
      <c r="W1025" s="1"/>
      <c r="X1025" s="1"/>
      <c r="Y1025" s="1"/>
      <c r="Z1025" s="1"/>
    </row>
    <row r="1026" spans="1:26" ht="12.75" customHeight="1">
      <c r="A1026" s="20"/>
      <c r="B1026" s="20"/>
      <c r="C1026" s="16"/>
      <c r="D1026" s="36"/>
      <c r="E1026" s="36"/>
      <c r="F1026" s="36"/>
      <c r="G1026" s="125"/>
      <c r="H1026" s="1"/>
      <c r="I1026" s="10"/>
      <c r="J1026" s="1"/>
      <c r="K1026" s="1"/>
      <c r="L1026" s="1"/>
      <c r="M1026" s="1"/>
      <c r="N1026" s="1"/>
      <c r="O1026" s="1"/>
      <c r="P1026" s="1"/>
      <c r="Q1026" s="1"/>
      <c r="R1026" s="1"/>
      <c r="S1026" s="1"/>
      <c r="T1026" s="1"/>
      <c r="U1026" s="1"/>
      <c r="V1026" s="1"/>
      <c r="W1026" s="1"/>
      <c r="X1026" s="1"/>
      <c r="Y1026" s="1"/>
      <c r="Z1026" s="1"/>
    </row>
    <row r="1027" spans="1:26" ht="12.75" customHeight="1">
      <c r="A1027" s="95"/>
      <c r="B1027" s="21" t="s">
        <v>27</v>
      </c>
      <c r="C1027" s="95"/>
      <c r="D1027" s="913" t="s">
        <v>1054</v>
      </c>
      <c r="E1027" s="893"/>
      <c r="F1027" s="893"/>
      <c r="G1027" s="125"/>
      <c r="H1027" s="1"/>
      <c r="I1027" s="10"/>
      <c r="J1027" s="1"/>
      <c r="K1027" s="1"/>
      <c r="L1027" s="1"/>
      <c r="M1027" s="1"/>
      <c r="N1027" s="1"/>
      <c r="O1027" s="1"/>
      <c r="P1027" s="1"/>
      <c r="Q1027" s="1"/>
      <c r="R1027" s="1"/>
      <c r="S1027" s="1"/>
      <c r="T1027" s="1"/>
      <c r="U1027" s="1"/>
      <c r="V1027" s="1"/>
      <c r="W1027" s="1"/>
      <c r="X1027" s="1"/>
      <c r="Y1027" s="1"/>
      <c r="Z1027" s="1"/>
    </row>
    <row r="1028" spans="1:26" ht="12.75" customHeight="1">
      <c r="A1028" s="95"/>
      <c r="B1028" s="95"/>
      <c r="C1028" s="95"/>
      <c r="D1028" s="893"/>
      <c r="E1028" s="893"/>
      <c r="F1028" s="893"/>
      <c r="G1028" s="125"/>
      <c r="H1028" s="1"/>
      <c r="I1028" s="10"/>
      <c r="J1028" s="1"/>
      <c r="K1028" s="1"/>
      <c r="L1028" s="1"/>
      <c r="M1028" s="1"/>
      <c r="N1028" s="1"/>
      <c r="O1028" s="1"/>
      <c r="P1028" s="1"/>
      <c r="Q1028" s="1"/>
      <c r="R1028" s="1"/>
      <c r="S1028" s="1"/>
      <c r="T1028" s="1"/>
      <c r="U1028" s="1"/>
      <c r="V1028" s="1"/>
      <c r="W1028" s="1"/>
      <c r="X1028" s="1"/>
      <c r="Y1028" s="1"/>
      <c r="Z1028" s="1"/>
    </row>
    <row r="1029" spans="1:26" ht="12.75" customHeight="1">
      <c r="A1029" s="95"/>
      <c r="B1029" s="95"/>
      <c r="C1029" s="95"/>
      <c r="D1029" s="893"/>
      <c r="E1029" s="893"/>
      <c r="F1029" s="893"/>
      <c r="G1029" s="125"/>
      <c r="H1029" s="1"/>
      <c r="I1029" s="10"/>
      <c r="J1029" s="1"/>
      <c r="K1029" s="1"/>
      <c r="L1029" s="1"/>
      <c r="M1029" s="1"/>
      <c r="N1029" s="1"/>
      <c r="O1029" s="1"/>
      <c r="P1029" s="1"/>
      <c r="Q1029" s="1"/>
      <c r="R1029" s="1"/>
      <c r="S1029" s="1"/>
      <c r="T1029" s="1"/>
      <c r="U1029" s="1"/>
      <c r="V1029" s="1"/>
      <c r="W1029" s="1"/>
      <c r="X1029" s="1"/>
      <c r="Y1029" s="1"/>
      <c r="Z1029" s="1"/>
    </row>
    <row r="1030" spans="1:26" ht="12.75" customHeight="1">
      <c r="A1030" s="20"/>
      <c r="B1030" s="20"/>
      <c r="C1030" s="16"/>
      <c r="D1030" s="36"/>
      <c r="E1030" s="36"/>
      <c r="F1030" s="36"/>
      <c r="G1030" s="125"/>
      <c r="H1030" s="1"/>
      <c r="I1030" s="10"/>
      <c r="J1030" s="1"/>
      <c r="K1030" s="1"/>
      <c r="L1030" s="1"/>
      <c r="M1030" s="1"/>
      <c r="N1030" s="1"/>
      <c r="O1030" s="1"/>
      <c r="P1030" s="1"/>
      <c r="Q1030" s="1"/>
      <c r="R1030" s="1"/>
      <c r="S1030" s="1"/>
      <c r="T1030" s="1"/>
      <c r="U1030" s="1"/>
      <c r="V1030" s="1"/>
      <c r="W1030" s="1"/>
      <c r="X1030" s="1"/>
      <c r="Y1030" s="1"/>
      <c r="Z1030" s="1"/>
    </row>
    <row r="1031" spans="1:26" ht="12.75" customHeight="1">
      <c r="A1031" s="20"/>
      <c r="B1031" s="20"/>
      <c r="C1031" s="16"/>
      <c r="D1031" s="8"/>
      <c r="E1031" s="1"/>
      <c r="F1031" s="125"/>
      <c r="G1031" s="125"/>
      <c r="H1031" s="1"/>
      <c r="I1031" s="10"/>
      <c r="J1031" s="1"/>
      <c r="K1031" s="1"/>
      <c r="L1031" s="1"/>
      <c r="M1031" s="1"/>
      <c r="N1031" s="1"/>
      <c r="O1031" s="1"/>
      <c r="P1031" s="1"/>
      <c r="Q1031" s="1"/>
      <c r="R1031" s="1"/>
      <c r="S1031" s="1"/>
      <c r="T1031" s="1"/>
      <c r="U1031" s="1"/>
      <c r="V1031" s="1"/>
      <c r="W1031" s="1"/>
      <c r="X1031" s="1"/>
      <c r="Y1031" s="1"/>
      <c r="Z1031" s="1"/>
    </row>
    <row r="1032" spans="1:26" ht="12.75" customHeight="1">
      <c r="A1032" s="20"/>
      <c r="B1032" s="21" t="s">
        <v>27</v>
      </c>
      <c r="C1032" s="16"/>
      <c r="D1032" s="896" t="s">
        <v>1059</v>
      </c>
      <c r="E1032" s="893"/>
      <c r="F1032" s="893"/>
      <c r="G1032" s="125"/>
      <c r="H1032" s="1"/>
      <c r="I1032" s="10"/>
      <c r="J1032" s="1"/>
      <c r="K1032" s="1"/>
      <c r="L1032" s="1"/>
      <c r="M1032" s="1"/>
      <c r="N1032" s="1"/>
      <c r="O1032" s="1"/>
      <c r="P1032" s="1"/>
      <c r="Q1032" s="1"/>
      <c r="R1032" s="1"/>
      <c r="S1032" s="1"/>
      <c r="T1032" s="1"/>
      <c r="U1032" s="1"/>
      <c r="V1032" s="1"/>
      <c r="W1032" s="1"/>
      <c r="X1032" s="1"/>
      <c r="Y1032" s="1"/>
      <c r="Z1032" s="1"/>
    </row>
    <row r="1033" spans="1:26" ht="12.75" customHeight="1">
      <c r="A1033" s="20"/>
      <c r="B1033" s="20"/>
      <c r="C1033" s="16"/>
      <c r="D1033" s="893"/>
      <c r="E1033" s="893"/>
      <c r="F1033" s="893"/>
      <c r="G1033" s="125"/>
      <c r="H1033" s="1"/>
      <c r="I1033" s="10"/>
      <c r="J1033" s="1"/>
      <c r="K1033" s="1"/>
      <c r="L1033" s="1"/>
      <c r="M1033" s="1"/>
      <c r="N1033" s="1"/>
      <c r="O1033" s="1"/>
      <c r="P1033" s="1"/>
      <c r="Q1033" s="1"/>
      <c r="R1033" s="1"/>
      <c r="S1033" s="1"/>
      <c r="T1033" s="1"/>
      <c r="U1033" s="1"/>
      <c r="V1033" s="1"/>
      <c r="W1033" s="1"/>
      <c r="X1033" s="1"/>
      <c r="Y1033" s="1"/>
      <c r="Z1033" s="1"/>
    </row>
    <row r="1034" spans="1:26" ht="12.75" customHeight="1">
      <c r="A1034" s="20"/>
      <c r="B1034" s="20"/>
      <c r="C1034" s="16"/>
      <c r="D1034" s="893"/>
      <c r="E1034" s="893"/>
      <c r="F1034" s="893"/>
      <c r="G1034" s="125"/>
      <c r="H1034" s="1"/>
      <c r="I1034" s="10"/>
      <c r="J1034" s="1"/>
      <c r="K1034" s="1"/>
      <c r="L1034" s="1"/>
      <c r="M1034" s="1"/>
      <c r="N1034" s="1"/>
      <c r="O1034" s="1"/>
      <c r="P1034" s="1"/>
      <c r="Q1034" s="1"/>
      <c r="R1034" s="1"/>
      <c r="S1034" s="1"/>
      <c r="T1034" s="1"/>
      <c r="U1034" s="1"/>
      <c r="V1034" s="1"/>
      <c r="W1034" s="1"/>
      <c r="X1034" s="1"/>
      <c r="Y1034" s="1"/>
      <c r="Z1034" s="1"/>
    </row>
    <row r="1035" spans="1:26" ht="12.75" customHeight="1">
      <c r="A1035" s="20"/>
      <c r="B1035" s="20"/>
      <c r="C1035" s="16"/>
      <c r="D1035" s="893"/>
      <c r="E1035" s="893"/>
      <c r="F1035" s="893"/>
      <c r="G1035" s="125"/>
      <c r="H1035" s="1"/>
      <c r="I1035" s="10"/>
      <c r="J1035" s="1"/>
      <c r="K1035" s="1"/>
      <c r="L1035" s="1"/>
      <c r="M1035" s="1"/>
      <c r="N1035" s="1"/>
      <c r="O1035" s="1"/>
      <c r="P1035" s="1"/>
      <c r="Q1035" s="1"/>
      <c r="R1035" s="1"/>
      <c r="S1035" s="1"/>
      <c r="T1035" s="1"/>
      <c r="U1035" s="1"/>
      <c r="V1035" s="1"/>
      <c r="W1035" s="1"/>
      <c r="X1035" s="1"/>
      <c r="Y1035" s="1"/>
      <c r="Z1035" s="1"/>
    </row>
    <row r="1036" spans="1:26" ht="12.75" customHeight="1">
      <c r="A1036" s="95"/>
      <c r="B1036" s="95"/>
      <c r="C1036" s="95"/>
      <c r="D1036" s="26"/>
      <c r="E1036" s="26"/>
      <c r="F1036" s="26"/>
      <c r="G1036" s="26"/>
      <c r="H1036" s="1"/>
      <c r="I1036" s="10"/>
      <c r="J1036" s="1"/>
      <c r="K1036" s="1"/>
      <c r="L1036" s="1"/>
      <c r="M1036" s="1"/>
      <c r="N1036" s="1"/>
      <c r="O1036" s="1"/>
      <c r="P1036" s="1"/>
      <c r="Q1036" s="1"/>
      <c r="R1036" s="1"/>
      <c r="S1036" s="1"/>
      <c r="T1036" s="1"/>
      <c r="U1036" s="1"/>
      <c r="V1036" s="1"/>
      <c r="W1036" s="1"/>
      <c r="X1036" s="1"/>
      <c r="Y1036" s="1"/>
      <c r="Z1036" s="1"/>
    </row>
    <row r="1037" spans="1:26" ht="12.75" customHeight="1">
      <c r="A1037" s="7"/>
      <c r="B1037" s="7"/>
      <c r="C1037" s="7"/>
      <c r="D1037" s="914" t="s">
        <v>1064</v>
      </c>
      <c r="E1037" s="893"/>
      <c r="F1037" s="893"/>
      <c r="G1037" s="1"/>
      <c r="H1037" s="1"/>
      <c r="I1037" s="10"/>
      <c r="J1037" s="1"/>
      <c r="K1037" s="1"/>
      <c r="L1037" s="1"/>
      <c r="M1037" s="1"/>
      <c r="N1037" s="1"/>
      <c r="O1037" s="1"/>
      <c r="P1037" s="1"/>
      <c r="Q1037" s="1"/>
      <c r="R1037" s="1"/>
      <c r="S1037" s="1"/>
      <c r="T1037" s="1"/>
      <c r="U1037" s="1"/>
      <c r="V1037" s="1"/>
      <c r="W1037" s="1"/>
      <c r="X1037" s="1"/>
      <c r="Y1037" s="1"/>
      <c r="Z1037" s="1"/>
    </row>
    <row r="1038" spans="1:26" ht="12.75" customHeight="1">
      <c r="A1038" s="20"/>
      <c r="B1038" s="21" t="s">
        <v>27</v>
      </c>
      <c r="C1038" s="7"/>
      <c r="D1038" s="915" t="s">
        <v>1066</v>
      </c>
      <c r="E1038" s="893"/>
      <c r="F1038" s="893"/>
      <c r="G1038" s="1"/>
      <c r="H1038" s="1"/>
      <c r="I1038" s="8"/>
      <c r="J1038" s="1"/>
      <c r="K1038" s="1"/>
      <c r="L1038" s="1"/>
      <c r="M1038" s="1"/>
      <c r="N1038" s="1"/>
      <c r="O1038" s="1"/>
      <c r="P1038" s="1"/>
      <c r="Q1038" s="1"/>
      <c r="R1038" s="1"/>
      <c r="S1038" s="1"/>
      <c r="T1038" s="1"/>
      <c r="U1038" s="1"/>
      <c r="V1038" s="1"/>
      <c r="W1038" s="1"/>
      <c r="X1038" s="1"/>
      <c r="Y1038" s="1"/>
      <c r="Z1038" s="1"/>
    </row>
    <row r="1039" spans="1:26" ht="12.75" customHeight="1">
      <c r="A1039" s="7"/>
      <c r="B1039" s="7"/>
      <c r="C1039" s="7"/>
      <c r="D1039" s="1"/>
      <c r="E1039" s="1"/>
      <c r="F1039" s="1"/>
      <c r="G1039" s="1"/>
      <c r="H1039" s="1"/>
      <c r="I1039" s="8"/>
      <c r="J1039" s="1"/>
      <c r="K1039" s="1"/>
      <c r="L1039" s="1"/>
      <c r="M1039" s="1"/>
      <c r="N1039" s="1"/>
      <c r="O1039" s="1"/>
      <c r="P1039" s="1"/>
      <c r="Q1039" s="1"/>
      <c r="R1039" s="1"/>
      <c r="S1039" s="1"/>
      <c r="T1039" s="1"/>
      <c r="U1039" s="1"/>
      <c r="V1039" s="1"/>
      <c r="W1039" s="1"/>
      <c r="X1039" s="1"/>
      <c r="Y1039" s="1"/>
      <c r="Z1039" s="1"/>
    </row>
    <row r="1040" spans="1:26" ht="12.75" customHeight="1">
      <c r="A1040" s="20"/>
      <c r="B1040" s="21" t="s">
        <v>27</v>
      </c>
      <c r="C1040" s="7"/>
      <c r="D1040" s="895" t="s">
        <v>1070</v>
      </c>
      <c r="E1040" s="893"/>
      <c r="F1040" s="893"/>
      <c r="G1040" s="1"/>
      <c r="H1040" s="1"/>
      <c r="I1040" s="8"/>
      <c r="J1040" s="1"/>
      <c r="K1040" s="1"/>
      <c r="L1040" s="1"/>
      <c r="M1040" s="1"/>
      <c r="N1040" s="1"/>
      <c r="O1040" s="1"/>
      <c r="P1040" s="1"/>
      <c r="Q1040" s="1"/>
      <c r="R1040" s="1"/>
      <c r="S1040" s="1"/>
      <c r="T1040" s="1"/>
      <c r="U1040" s="1"/>
      <c r="V1040" s="1"/>
      <c r="W1040" s="1"/>
      <c r="X1040" s="1"/>
      <c r="Y1040" s="1"/>
      <c r="Z1040" s="1"/>
    </row>
    <row r="1041" spans="1:26" ht="12.75" customHeight="1">
      <c r="A1041" s="20"/>
      <c r="B1041" s="20"/>
      <c r="C1041" s="7"/>
      <c r="D1041" s="893"/>
      <c r="E1041" s="893"/>
      <c r="F1041" s="893"/>
      <c r="G1041" s="1"/>
      <c r="H1041" s="1"/>
      <c r="I1041" s="8"/>
      <c r="J1041" s="1"/>
      <c r="K1041" s="1"/>
      <c r="L1041" s="1"/>
      <c r="M1041" s="1"/>
      <c r="N1041" s="1"/>
      <c r="O1041" s="1"/>
      <c r="P1041" s="1"/>
      <c r="Q1041" s="1"/>
      <c r="R1041" s="1"/>
      <c r="S1041" s="1"/>
      <c r="T1041" s="1"/>
      <c r="U1041" s="1"/>
      <c r="V1041" s="1"/>
      <c r="W1041" s="1"/>
      <c r="X1041" s="1"/>
      <c r="Y1041" s="1"/>
      <c r="Z1041" s="1"/>
    </row>
    <row r="1042" spans="1:26" ht="12.75" customHeight="1">
      <c r="A1042" s="7"/>
      <c r="B1042" s="7"/>
      <c r="C1042" s="7"/>
      <c r="D1042" s="1"/>
      <c r="E1042" s="1"/>
      <c r="F1042" s="1"/>
      <c r="G1042" s="1"/>
      <c r="H1042" s="1"/>
      <c r="I1042" s="10"/>
      <c r="J1042" s="1"/>
      <c r="K1042" s="1"/>
      <c r="L1042" s="1"/>
      <c r="M1042" s="1"/>
      <c r="N1042" s="1"/>
      <c r="O1042" s="1"/>
      <c r="P1042" s="1"/>
      <c r="Q1042" s="1"/>
      <c r="R1042" s="1"/>
      <c r="S1042" s="1"/>
      <c r="T1042" s="1"/>
      <c r="U1042" s="1"/>
      <c r="V1042" s="1"/>
      <c r="W1042" s="1"/>
      <c r="X1042" s="1"/>
      <c r="Y1042" s="1"/>
      <c r="Z1042" s="1"/>
    </row>
    <row r="1043" spans="1:26" ht="12.75" customHeight="1">
      <c r="A1043" s="7"/>
      <c r="B1043" s="7"/>
      <c r="C1043" s="7"/>
      <c r="D1043" s="914" t="s">
        <v>1072</v>
      </c>
      <c r="E1043" s="893"/>
      <c r="F1043" s="893"/>
      <c r="H1043" s="1"/>
      <c r="I1043" s="10"/>
      <c r="J1043" s="1"/>
      <c r="K1043" s="1"/>
      <c r="L1043" s="1"/>
      <c r="M1043" s="1"/>
      <c r="N1043" s="1"/>
      <c r="O1043" s="1"/>
      <c r="P1043" s="1"/>
      <c r="Q1043" s="1"/>
      <c r="R1043" s="1"/>
      <c r="S1043" s="1"/>
      <c r="T1043" s="1"/>
      <c r="U1043" s="1"/>
      <c r="V1043" s="1"/>
      <c r="W1043" s="1"/>
      <c r="X1043" s="1"/>
      <c r="Y1043" s="1"/>
      <c r="Z1043" s="1"/>
    </row>
    <row r="1044" spans="1:26" ht="12.75" customHeight="1">
      <c r="A1044" s="20"/>
      <c r="B1044" s="21" t="s">
        <v>27</v>
      </c>
      <c r="C1044" s="7"/>
      <c r="D1044" s="895" t="s">
        <v>1074</v>
      </c>
      <c r="E1044" s="893"/>
      <c r="F1044" s="893"/>
      <c r="H1044" s="1"/>
      <c r="I1044" s="10"/>
      <c r="J1044" s="1"/>
      <c r="K1044" s="1"/>
      <c r="L1044" s="1"/>
      <c r="M1044" s="1"/>
      <c r="N1044" s="1"/>
      <c r="O1044" s="1"/>
      <c r="P1044" s="1"/>
      <c r="Q1044" s="1"/>
      <c r="R1044" s="1"/>
      <c r="S1044" s="1"/>
      <c r="T1044" s="1"/>
      <c r="U1044" s="1"/>
      <c r="V1044" s="1"/>
      <c r="W1044" s="1"/>
      <c r="X1044" s="1"/>
      <c r="Y1044" s="1"/>
      <c r="Z1044" s="1"/>
    </row>
    <row r="1045" spans="1:26" ht="12.75" customHeight="1">
      <c r="A1045" s="20"/>
      <c r="B1045" s="20"/>
      <c r="C1045" s="7"/>
      <c r="D1045" s="893"/>
      <c r="E1045" s="893"/>
      <c r="F1045" s="893"/>
      <c r="H1045" s="1"/>
      <c r="I1045" s="10"/>
      <c r="J1045" s="1"/>
      <c r="K1045" s="1"/>
      <c r="L1045" s="1"/>
      <c r="M1045" s="1"/>
      <c r="N1045" s="1"/>
      <c r="O1045" s="1"/>
      <c r="P1045" s="1"/>
      <c r="Q1045" s="1"/>
      <c r="R1045" s="1"/>
      <c r="S1045" s="1"/>
      <c r="T1045" s="1"/>
      <c r="U1045" s="1"/>
      <c r="V1045" s="1"/>
      <c r="W1045" s="1"/>
      <c r="X1045" s="1"/>
      <c r="Y1045" s="1"/>
      <c r="Z1045" s="1"/>
    </row>
    <row r="1046" spans="1:26" ht="12.75" customHeight="1">
      <c r="A1046" s="20"/>
      <c r="B1046" s="20"/>
      <c r="C1046" s="7"/>
      <c r="D1046" s="893"/>
      <c r="E1046" s="893"/>
      <c r="F1046" s="893"/>
      <c r="H1046" s="1"/>
      <c r="I1046" s="10"/>
      <c r="J1046" s="1"/>
      <c r="K1046" s="1"/>
      <c r="L1046" s="1"/>
      <c r="M1046" s="1"/>
      <c r="N1046" s="1"/>
      <c r="O1046" s="1"/>
      <c r="P1046" s="1"/>
      <c r="Q1046" s="1"/>
      <c r="R1046" s="1"/>
      <c r="S1046" s="1"/>
      <c r="T1046" s="1"/>
      <c r="U1046" s="1"/>
      <c r="V1046" s="1"/>
      <c r="W1046" s="1"/>
      <c r="X1046" s="1"/>
      <c r="Y1046" s="1"/>
      <c r="Z1046" s="1"/>
    </row>
    <row r="1047" spans="1:26" ht="12.75" customHeight="1">
      <c r="A1047" s="20"/>
      <c r="B1047" s="20"/>
      <c r="C1047" s="7"/>
      <c r="D1047" s="893"/>
      <c r="E1047" s="893"/>
      <c r="F1047" s="893"/>
      <c r="H1047" s="1"/>
      <c r="I1047" s="10"/>
      <c r="J1047" s="1"/>
      <c r="K1047" s="1"/>
      <c r="L1047" s="1"/>
      <c r="M1047" s="1"/>
      <c r="N1047" s="1"/>
      <c r="O1047" s="1"/>
      <c r="P1047" s="1"/>
      <c r="Q1047" s="1"/>
      <c r="R1047" s="1"/>
      <c r="S1047" s="1"/>
      <c r="T1047" s="1"/>
      <c r="U1047" s="1"/>
      <c r="V1047" s="1"/>
      <c r="W1047" s="1"/>
      <c r="X1047" s="1"/>
      <c r="Y1047" s="1"/>
      <c r="Z1047" s="1"/>
    </row>
    <row r="1048" spans="1:26" ht="12.75" customHeight="1">
      <c r="A1048" s="20"/>
      <c r="B1048" s="20"/>
      <c r="C1048" s="7"/>
      <c r="D1048" s="893"/>
      <c r="E1048" s="893"/>
      <c r="F1048" s="893"/>
      <c r="H1048" s="1"/>
      <c r="I1048" s="10"/>
      <c r="J1048" s="1"/>
      <c r="K1048" s="1"/>
      <c r="L1048" s="1"/>
      <c r="M1048" s="1"/>
      <c r="N1048" s="1"/>
      <c r="O1048" s="1"/>
      <c r="P1048" s="1"/>
      <c r="Q1048" s="1"/>
      <c r="R1048" s="1"/>
      <c r="S1048" s="1"/>
      <c r="T1048" s="1"/>
      <c r="U1048" s="1"/>
      <c r="V1048" s="1"/>
      <c r="W1048" s="1"/>
      <c r="X1048" s="1"/>
      <c r="Y1048" s="1"/>
      <c r="Z1048" s="1"/>
    </row>
    <row r="1049" spans="1:26" ht="12.75" customHeight="1">
      <c r="A1049" s="20"/>
      <c r="B1049" s="20"/>
      <c r="C1049" s="7"/>
      <c r="D1049" s="893"/>
      <c r="E1049" s="893"/>
      <c r="F1049" s="893"/>
      <c r="H1049" s="1"/>
      <c r="I1049" s="10"/>
      <c r="J1049" s="1"/>
      <c r="K1049" s="1"/>
      <c r="L1049" s="1"/>
      <c r="M1049" s="1"/>
      <c r="N1049" s="1"/>
      <c r="O1049" s="1"/>
      <c r="P1049" s="1"/>
      <c r="Q1049" s="1"/>
      <c r="R1049" s="1"/>
      <c r="S1049" s="1"/>
      <c r="T1049" s="1"/>
      <c r="U1049" s="1"/>
      <c r="V1049" s="1"/>
      <c r="W1049" s="1"/>
      <c r="X1049" s="1"/>
      <c r="Y1049" s="1"/>
      <c r="Z1049" s="1"/>
    </row>
    <row r="1050" spans="1:26" ht="12.75" customHeight="1">
      <c r="A1050" s="20"/>
      <c r="B1050" s="20"/>
      <c r="C1050" s="7"/>
      <c r="D1050" s="893"/>
      <c r="E1050" s="893"/>
      <c r="F1050" s="893"/>
      <c r="H1050" s="1"/>
      <c r="I1050" s="10"/>
      <c r="J1050" s="1"/>
      <c r="K1050" s="1"/>
      <c r="L1050" s="1"/>
      <c r="M1050" s="1"/>
      <c r="N1050" s="1"/>
      <c r="O1050" s="1"/>
      <c r="P1050" s="1"/>
      <c r="Q1050" s="1"/>
      <c r="R1050" s="1"/>
      <c r="S1050" s="1"/>
      <c r="T1050" s="1"/>
      <c r="U1050" s="1"/>
      <c r="V1050" s="1"/>
      <c r="W1050" s="1"/>
      <c r="X1050" s="1"/>
      <c r="Y1050" s="1"/>
      <c r="Z1050" s="1"/>
    </row>
    <row r="1051" spans="1:26" ht="12.75" customHeight="1">
      <c r="A1051" s="20"/>
      <c r="B1051" s="20"/>
      <c r="C1051" s="7"/>
      <c r="D1051" s="893"/>
      <c r="E1051" s="893"/>
      <c r="F1051" s="893"/>
      <c r="H1051" s="1"/>
      <c r="I1051" s="10"/>
      <c r="J1051" s="1"/>
      <c r="K1051" s="1"/>
      <c r="L1051" s="1"/>
      <c r="M1051" s="1"/>
      <c r="N1051" s="1"/>
      <c r="O1051" s="1"/>
      <c r="P1051" s="1"/>
      <c r="Q1051" s="1"/>
      <c r="R1051" s="1"/>
      <c r="S1051" s="1"/>
      <c r="T1051" s="1"/>
      <c r="U1051" s="1"/>
      <c r="V1051" s="1"/>
      <c r="W1051" s="1"/>
      <c r="X1051" s="1"/>
      <c r="Y1051" s="1"/>
      <c r="Z1051" s="1"/>
    </row>
    <row r="1052" spans="1:26" ht="12.75" customHeight="1">
      <c r="A1052" s="20"/>
      <c r="B1052" s="20"/>
      <c r="C1052" s="7"/>
      <c r="D1052" s="893"/>
      <c r="E1052" s="893"/>
      <c r="F1052" s="893"/>
      <c r="H1052" s="1"/>
      <c r="I1052" s="10"/>
      <c r="J1052" s="1"/>
      <c r="K1052" s="1"/>
      <c r="L1052" s="1"/>
      <c r="M1052" s="1"/>
      <c r="N1052" s="1"/>
      <c r="O1052" s="1"/>
      <c r="P1052" s="1"/>
      <c r="Q1052" s="1"/>
      <c r="R1052" s="1"/>
      <c r="S1052" s="1"/>
      <c r="T1052" s="1"/>
      <c r="U1052" s="1"/>
      <c r="V1052" s="1"/>
      <c r="W1052" s="1"/>
      <c r="X1052" s="1"/>
      <c r="Y1052" s="1"/>
      <c r="Z1052" s="1"/>
    </row>
    <row r="1053" spans="1:26" ht="12.75" customHeight="1">
      <c r="A1053" s="20"/>
      <c r="B1053" s="20"/>
      <c r="C1053" s="7"/>
      <c r="D1053" s="893"/>
      <c r="E1053" s="893"/>
      <c r="F1053" s="893"/>
      <c r="H1053" s="1"/>
      <c r="I1053" s="10"/>
      <c r="J1053" s="1"/>
      <c r="K1053" s="1"/>
      <c r="L1053" s="1"/>
      <c r="M1053" s="1"/>
      <c r="N1053" s="1"/>
      <c r="O1053" s="1"/>
      <c r="P1053" s="1"/>
      <c r="Q1053" s="1"/>
      <c r="R1053" s="1"/>
      <c r="S1053" s="1"/>
      <c r="T1053" s="1"/>
      <c r="U1053" s="1"/>
      <c r="V1053" s="1"/>
      <c r="W1053" s="1"/>
      <c r="X1053" s="1"/>
      <c r="Y1053" s="1"/>
      <c r="Z1053" s="1"/>
    </row>
    <row r="1054" spans="1:26" ht="12.75" customHeight="1">
      <c r="A1054" s="20"/>
      <c r="B1054" s="20"/>
      <c r="C1054" s="7"/>
      <c r="D1054" s="893"/>
      <c r="E1054" s="893"/>
      <c r="F1054" s="893"/>
      <c r="H1054" s="1"/>
      <c r="I1054" s="10"/>
      <c r="J1054" s="1"/>
      <c r="K1054" s="1"/>
      <c r="L1054" s="1"/>
      <c r="M1054" s="1"/>
      <c r="N1054" s="1"/>
      <c r="O1054" s="1"/>
      <c r="P1054" s="1"/>
      <c r="Q1054" s="1"/>
      <c r="R1054" s="1"/>
      <c r="S1054" s="1"/>
      <c r="T1054" s="1"/>
      <c r="U1054" s="1"/>
      <c r="V1054" s="1"/>
      <c r="W1054" s="1"/>
      <c r="X1054" s="1"/>
      <c r="Y1054" s="1"/>
      <c r="Z1054" s="1"/>
    </row>
    <row r="1055" spans="1:26" ht="12.75" customHeight="1">
      <c r="A1055" s="20"/>
      <c r="B1055" s="20"/>
      <c r="C1055" s="7"/>
      <c r="D1055" s="893"/>
      <c r="E1055" s="893"/>
      <c r="F1055" s="893"/>
      <c r="H1055" s="1"/>
      <c r="I1055" s="10"/>
      <c r="J1055" s="1"/>
      <c r="K1055" s="1"/>
      <c r="L1055" s="1"/>
      <c r="M1055" s="1"/>
      <c r="N1055" s="1"/>
      <c r="O1055" s="1"/>
      <c r="P1055" s="1"/>
      <c r="Q1055" s="1"/>
      <c r="R1055" s="1"/>
      <c r="S1055" s="1"/>
      <c r="T1055" s="1"/>
      <c r="U1055" s="1"/>
      <c r="V1055" s="1"/>
      <c r="W1055" s="1"/>
      <c r="X1055" s="1"/>
      <c r="Y1055" s="1"/>
      <c r="Z1055" s="1"/>
    </row>
    <row r="1056" spans="1:26" ht="12.75" customHeight="1">
      <c r="A1056" s="20"/>
      <c r="B1056" s="20"/>
      <c r="C1056" s="7"/>
      <c r="D1056" s="893"/>
      <c r="E1056" s="893"/>
      <c r="F1056" s="893"/>
      <c r="H1056" s="1"/>
      <c r="I1056" s="10"/>
      <c r="J1056" s="1"/>
      <c r="K1056" s="1"/>
      <c r="L1056" s="1"/>
      <c r="M1056" s="1"/>
      <c r="N1056" s="1"/>
      <c r="O1056" s="1"/>
      <c r="P1056" s="1"/>
      <c r="Q1056" s="1"/>
      <c r="R1056" s="1"/>
      <c r="S1056" s="1"/>
      <c r="T1056" s="1"/>
      <c r="U1056" s="1"/>
      <c r="V1056" s="1"/>
      <c r="W1056" s="1"/>
      <c r="X1056" s="1"/>
      <c r="Y1056" s="1"/>
      <c r="Z1056" s="1"/>
    </row>
    <row r="1057" spans="1:26" ht="12.75" customHeight="1">
      <c r="A1057" s="20"/>
      <c r="B1057" s="20"/>
      <c r="C1057" s="7"/>
      <c r="D1057" s="893"/>
      <c r="E1057" s="893"/>
      <c r="F1057" s="893"/>
      <c r="H1057" s="1"/>
      <c r="I1057" s="10"/>
      <c r="J1057" s="1"/>
      <c r="K1057" s="1"/>
      <c r="L1057" s="1"/>
      <c r="M1057" s="1"/>
      <c r="N1057" s="1"/>
      <c r="O1057" s="1"/>
      <c r="P1057" s="1"/>
      <c r="Q1057" s="1"/>
      <c r="R1057" s="1"/>
      <c r="S1057" s="1"/>
      <c r="T1057" s="1"/>
      <c r="U1057" s="1"/>
      <c r="V1057" s="1"/>
      <c r="W1057" s="1"/>
      <c r="X1057" s="1"/>
      <c r="Y1057" s="1"/>
      <c r="Z1057" s="1"/>
    </row>
    <row r="1058" spans="1:26" ht="12.75" customHeight="1">
      <c r="A1058" s="20"/>
      <c r="B1058" s="20"/>
      <c r="C1058" s="7"/>
      <c r="D1058" s="893"/>
      <c r="E1058" s="893"/>
      <c r="F1058" s="893"/>
      <c r="G1058" s="1"/>
      <c r="H1058" s="1"/>
      <c r="I1058" s="10"/>
      <c r="J1058" s="1"/>
      <c r="K1058" s="1"/>
      <c r="L1058" s="1"/>
      <c r="M1058" s="1"/>
      <c r="N1058" s="1"/>
      <c r="O1058" s="1"/>
      <c r="P1058" s="1"/>
      <c r="Q1058" s="1"/>
      <c r="R1058" s="1"/>
      <c r="S1058" s="1"/>
      <c r="T1058" s="1"/>
      <c r="U1058" s="1"/>
      <c r="V1058" s="1"/>
      <c r="W1058" s="1"/>
      <c r="X1058" s="1"/>
      <c r="Y1058" s="1"/>
      <c r="Z1058" s="1"/>
    </row>
    <row r="1059" spans="1:26" ht="12.75" customHeight="1">
      <c r="A1059" s="7"/>
      <c r="B1059" s="7"/>
      <c r="C1059" s="7"/>
      <c r="D1059" s="1"/>
      <c r="E1059" s="1"/>
      <c r="F1059" s="1"/>
      <c r="G1059" s="1"/>
      <c r="H1059" s="1"/>
      <c r="I1059" s="10"/>
      <c r="J1059" s="1"/>
      <c r="K1059" s="1"/>
      <c r="L1059" s="1"/>
      <c r="M1059" s="1"/>
      <c r="N1059" s="1"/>
      <c r="O1059" s="1"/>
      <c r="P1059" s="1"/>
      <c r="Q1059" s="1"/>
      <c r="R1059" s="1"/>
      <c r="S1059" s="1"/>
      <c r="T1059" s="1"/>
      <c r="U1059" s="1"/>
      <c r="V1059" s="1"/>
      <c r="W1059" s="1"/>
      <c r="X1059" s="1"/>
      <c r="Y1059" s="1"/>
      <c r="Z1059" s="1"/>
    </row>
    <row r="1060" spans="1:26" ht="12.75" customHeight="1">
      <c r="A1060" s="920" t="s">
        <v>1082</v>
      </c>
      <c r="B1060" s="921"/>
      <c r="C1060" s="921"/>
      <c r="D1060" s="921"/>
      <c r="E1060" s="921"/>
      <c r="F1060" s="921"/>
      <c r="G1060" s="921"/>
      <c r="H1060" s="5"/>
      <c r="I1060" s="39"/>
      <c r="J1060" s="1"/>
      <c r="K1060" s="1"/>
      <c r="L1060" s="1"/>
      <c r="M1060" s="1"/>
      <c r="N1060" s="1"/>
      <c r="O1060" s="1"/>
      <c r="P1060" s="1"/>
      <c r="Q1060" s="1"/>
      <c r="R1060" s="1"/>
      <c r="S1060" s="1"/>
      <c r="T1060" s="1"/>
      <c r="U1060" s="1"/>
      <c r="V1060" s="1"/>
      <c r="W1060" s="1"/>
      <c r="X1060" s="1"/>
      <c r="Y1060" s="1"/>
      <c r="Z1060" s="1"/>
    </row>
    <row r="1061" spans="1:26" ht="12.75" customHeight="1">
      <c r="A1061" s="17"/>
      <c r="B1061" s="17"/>
      <c r="C1061" s="7"/>
      <c r="D1061" s="1"/>
      <c r="E1061" s="1"/>
      <c r="F1061" s="1"/>
      <c r="G1061" s="1"/>
      <c r="H1061" s="1"/>
      <c r="I1061" s="10"/>
      <c r="J1061" s="1"/>
      <c r="K1061" s="1"/>
      <c r="L1061" s="1"/>
      <c r="M1061" s="1"/>
      <c r="N1061" s="1"/>
      <c r="O1061" s="1"/>
      <c r="P1061" s="1"/>
      <c r="Q1061" s="1"/>
      <c r="R1061" s="1"/>
      <c r="S1061" s="1"/>
      <c r="T1061" s="1"/>
      <c r="U1061" s="1"/>
      <c r="V1061" s="1"/>
      <c r="W1061" s="1"/>
      <c r="X1061" s="1"/>
      <c r="Y1061" s="1"/>
      <c r="Z1061" s="1"/>
    </row>
    <row r="1062" spans="1:26" ht="12.75" customHeight="1">
      <c r="A1062" s="7"/>
      <c r="B1062" s="7"/>
      <c r="C1062" s="95"/>
      <c r="D1062" s="914" t="s">
        <v>1083</v>
      </c>
      <c r="E1062" s="893"/>
      <c r="F1062" s="893"/>
      <c r="G1062" s="1"/>
      <c r="H1062" s="1"/>
      <c r="I1062" s="10"/>
      <c r="J1062" s="1"/>
      <c r="K1062" s="1"/>
      <c r="L1062" s="1"/>
      <c r="M1062" s="1"/>
      <c r="N1062" s="1"/>
      <c r="O1062" s="1"/>
      <c r="P1062" s="1"/>
      <c r="Q1062" s="1"/>
      <c r="R1062" s="1"/>
      <c r="S1062" s="1"/>
      <c r="T1062" s="1"/>
      <c r="U1062" s="1"/>
      <c r="V1062" s="1"/>
      <c r="W1062" s="1"/>
      <c r="X1062" s="1"/>
      <c r="Y1062" s="1"/>
      <c r="Z1062" s="1"/>
    </row>
    <row r="1063" spans="1:26" ht="12.75" customHeight="1">
      <c r="A1063" s="9"/>
      <c r="B1063" s="9"/>
      <c r="C1063" s="9"/>
      <c r="D1063" s="915" t="s">
        <v>1085</v>
      </c>
      <c r="E1063" s="893"/>
      <c r="F1063" s="893"/>
      <c r="G1063" s="1"/>
      <c r="H1063" s="1"/>
      <c r="I1063" s="10"/>
      <c r="J1063" s="1"/>
      <c r="K1063" s="1"/>
      <c r="L1063" s="1"/>
      <c r="M1063" s="1"/>
      <c r="N1063" s="1"/>
      <c r="O1063" s="1"/>
      <c r="P1063" s="1"/>
      <c r="Q1063" s="1"/>
      <c r="R1063" s="1"/>
      <c r="S1063" s="1"/>
      <c r="T1063" s="1"/>
      <c r="U1063" s="1"/>
      <c r="V1063" s="1"/>
      <c r="W1063" s="1"/>
      <c r="X1063" s="1"/>
      <c r="Y1063" s="1"/>
      <c r="Z1063" s="1"/>
    </row>
    <row r="1064" spans="1:26" ht="12.75" customHeight="1">
      <c r="A1064" s="9"/>
      <c r="B1064" s="9"/>
      <c r="C1064" s="9"/>
      <c r="D1064" s="1"/>
      <c r="E1064" s="1"/>
      <c r="F1064" s="125"/>
      <c r="H1064" s="1"/>
      <c r="I1064" s="10"/>
      <c r="J1064" s="1"/>
      <c r="K1064" s="1"/>
      <c r="L1064" s="1"/>
      <c r="M1064" s="1"/>
      <c r="N1064" s="1"/>
      <c r="O1064" s="1"/>
      <c r="P1064" s="1"/>
      <c r="Q1064" s="1"/>
      <c r="R1064" s="1"/>
      <c r="S1064" s="1"/>
      <c r="T1064" s="1"/>
      <c r="U1064" s="1"/>
      <c r="V1064" s="1"/>
      <c r="W1064" s="1"/>
      <c r="X1064" s="1"/>
      <c r="Y1064" s="1"/>
      <c r="Z1064" s="1"/>
    </row>
    <row r="1065" spans="1:26" ht="12.75" customHeight="1">
      <c r="A1065" s="7"/>
      <c r="B1065" s="21" t="s">
        <v>27</v>
      </c>
      <c r="C1065" s="7"/>
      <c r="D1065" s="928" t="s">
        <v>1086</v>
      </c>
      <c r="E1065" s="893"/>
      <c r="F1065" s="893"/>
      <c r="H1065" s="1"/>
      <c r="I1065" s="10"/>
      <c r="J1065" s="1"/>
      <c r="K1065" s="1"/>
      <c r="L1065" s="1"/>
      <c r="M1065" s="1"/>
      <c r="N1065" s="1"/>
      <c r="O1065" s="1"/>
      <c r="P1065" s="1"/>
      <c r="Q1065" s="1"/>
      <c r="R1065" s="1"/>
      <c r="S1065" s="1"/>
      <c r="T1065" s="1"/>
      <c r="U1065" s="1"/>
      <c r="V1065" s="1"/>
      <c r="W1065" s="1"/>
      <c r="X1065" s="1"/>
      <c r="Y1065" s="1"/>
      <c r="Z1065" s="1"/>
    </row>
    <row r="1066" spans="1:26" ht="12.75" customHeight="1">
      <c r="A1066" s="7"/>
      <c r="B1066" s="7"/>
      <c r="C1066" s="7"/>
      <c r="D1066" s="893"/>
      <c r="E1066" s="893"/>
      <c r="F1066" s="893"/>
      <c r="H1066" s="1"/>
      <c r="I1066" s="10"/>
      <c r="J1066" s="1"/>
      <c r="K1066" s="1"/>
      <c r="L1066" s="1"/>
      <c r="M1066" s="1"/>
      <c r="N1066" s="1"/>
      <c r="O1066" s="1"/>
      <c r="P1066" s="1"/>
      <c r="Q1066" s="1"/>
      <c r="R1066" s="1"/>
      <c r="S1066" s="1"/>
      <c r="T1066" s="1"/>
      <c r="U1066" s="1"/>
      <c r="V1066" s="1"/>
      <c r="W1066" s="1"/>
      <c r="X1066" s="1"/>
      <c r="Y1066" s="1"/>
      <c r="Z1066" s="1"/>
    </row>
    <row r="1067" spans="1:26" ht="12.75" customHeight="1">
      <c r="A1067" s="7"/>
      <c r="B1067" s="7"/>
      <c r="C1067" s="7"/>
      <c r="D1067" s="132"/>
      <c r="E1067" s="18" t="s">
        <v>1089</v>
      </c>
      <c r="F1067" s="132"/>
      <c r="H1067" s="1"/>
      <c r="I1067" s="10"/>
      <c r="J1067" s="1"/>
      <c r="K1067" s="1"/>
      <c r="L1067" s="1"/>
      <c r="M1067" s="1"/>
      <c r="N1067" s="1"/>
      <c r="O1067" s="1"/>
      <c r="P1067" s="1"/>
      <c r="Q1067" s="1"/>
      <c r="R1067" s="1"/>
      <c r="S1067" s="1"/>
      <c r="T1067" s="1"/>
      <c r="U1067" s="1"/>
      <c r="V1067" s="1"/>
      <c r="W1067" s="1"/>
      <c r="X1067" s="1"/>
      <c r="Y1067" s="1"/>
      <c r="Z1067" s="1"/>
    </row>
    <row r="1068" spans="1:26" ht="12.75" customHeight="1">
      <c r="A1068" s="7"/>
      <c r="B1068" s="7"/>
      <c r="C1068" s="7"/>
      <c r="D1068" s="894" t="s">
        <v>1090</v>
      </c>
      <c r="E1068" s="893"/>
      <c r="F1068" s="893"/>
      <c r="H1068" s="1"/>
      <c r="I1068" s="10"/>
      <c r="J1068" s="1"/>
      <c r="K1068" s="1"/>
      <c r="L1068" s="1"/>
      <c r="M1068" s="1"/>
      <c r="N1068" s="1"/>
      <c r="O1068" s="1"/>
      <c r="P1068" s="1"/>
      <c r="Q1068" s="1"/>
      <c r="R1068" s="1"/>
      <c r="S1068" s="1"/>
      <c r="T1068" s="1"/>
      <c r="U1068" s="1"/>
      <c r="V1068" s="1"/>
      <c r="W1068" s="1"/>
      <c r="X1068" s="1"/>
      <c r="Y1068" s="1"/>
      <c r="Z1068" s="1"/>
    </row>
    <row r="1069" spans="1:26" ht="12.75" customHeight="1">
      <c r="A1069" s="7"/>
      <c r="B1069" s="7"/>
      <c r="C1069" s="7"/>
      <c r="D1069" s="893"/>
      <c r="E1069" s="893"/>
      <c r="F1069" s="893"/>
      <c r="H1069" s="1"/>
      <c r="I1069" s="10"/>
      <c r="J1069" s="1"/>
      <c r="K1069" s="1"/>
      <c r="L1069" s="1"/>
      <c r="M1069" s="1"/>
      <c r="N1069" s="1"/>
      <c r="O1069" s="1"/>
      <c r="P1069" s="1"/>
      <c r="Q1069" s="1"/>
      <c r="R1069" s="1"/>
      <c r="S1069" s="1"/>
      <c r="T1069" s="1"/>
      <c r="U1069" s="1"/>
      <c r="V1069" s="1"/>
      <c r="W1069" s="1"/>
      <c r="X1069" s="1"/>
      <c r="Y1069" s="1"/>
      <c r="Z1069" s="1"/>
    </row>
    <row r="1070" spans="1:26" ht="12.75" customHeight="1">
      <c r="A1070" s="16"/>
      <c r="B1070" s="16"/>
      <c r="C1070" s="16"/>
      <c r="D1070" s="893"/>
      <c r="E1070" s="893"/>
      <c r="F1070" s="893"/>
      <c r="H1070" s="1"/>
      <c r="I1070" s="10"/>
      <c r="J1070" s="1"/>
      <c r="K1070" s="1"/>
      <c r="L1070" s="1"/>
      <c r="M1070" s="1"/>
      <c r="N1070" s="1"/>
      <c r="O1070" s="1"/>
      <c r="P1070" s="1"/>
      <c r="Q1070" s="1"/>
      <c r="R1070" s="1"/>
      <c r="S1070" s="1"/>
      <c r="T1070" s="1"/>
      <c r="U1070" s="1"/>
      <c r="V1070" s="1"/>
      <c r="W1070" s="1"/>
      <c r="X1070" s="1"/>
      <c r="Y1070" s="1"/>
      <c r="Z1070" s="1"/>
    </row>
    <row r="1071" spans="1:26" ht="12.75" customHeight="1">
      <c r="A1071" s="16"/>
      <c r="B1071" s="16"/>
      <c r="C1071" s="16"/>
      <c r="D1071" s="893"/>
      <c r="E1071" s="893"/>
      <c r="F1071" s="893"/>
      <c r="H1071" s="1"/>
      <c r="I1071" s="10"/>
      <c r="J1071" s="1"/>
      <c r="K1071" s="1"/>
      <c r="L1071" s="1"/>
      <c r="M1071" s="1"/>
      <c r="N1071" s="1"/>
      <c r="O1071" s="1"/>
      <c r="P1071" s="1"/>
      <c r="Q1071" s="1"/>
      <c r="R1071" s="1"/>
      <c r="S1071" s="1"/>
      <c r="T1071" s="1"/>
      <c r="U1071" s="1"/>
      <c r="V1071" s="1"/>
      <c r="W1071" s="1"/>
      <c r="X1071" s="1"/>
      <c r="Y1071" s="1"/>
      <c r="Z1071" s="1"/>
    </row>
    <row r="1072" spans="1:26" ht="12.75" customHeight="1">
      <c r="A1072" s="16"/>
      <c r="B1072" s="16"/>
      <c r="C1072" s="16"/>
      <c r="D1072" s="36"/>
      <c r="E1072" s="36"/>
      <c r="F1072" s="36"/>
      <c r="H1072" s="1"/>
      <c r="I1072" s="10"/>
      <c r="J1072" s="1"/>
      <c r="K1072" s="1"/>
      <c r="L1072" s="1"/>
      <c r="M1072" s="1"/>
      <c r="N1072" s="1"/>
      <c r="O1072" s="1"/>
      <c r="P1072" s="1"/>
      <c r="Q1072" s="1"/>
      <c r="R1072" s="1"/>
      <c r="S1072" s="1"/>
      <c r="T1072" s="1"/>
      <c r="U1072" s="1"/>
      <c r="V1072" s="1"/>
      <c r="W1072" s="1"/>
      <c r="X1072" s="1"/>
      <c r="Y1072" s="1"/>
      <c r="Z1072" s="1"/>
    </row>
    <row r="1073" spans="1:26" ht="12.75" customHeight="1">
      <c r="A1073" s="16"/>
      <c r="B1073" s="21" t="s">
        <v>27</v>
      </c>
      <c r="C1073" s="16"/>
      <c r="D1073" s="895" t="s">
        <v>1091</v>
      </c>
      <c r="E1073" s="893"/>
      <c r="F1073" s="893"/>
      <c r="H1073" s="1"/>
      <c r="I1073" s="10"/>
      <c r="J1073" s="1"/>
      <c r="K1073" s="1"/>
      <c r="L1073" s="1"/>
      <c r="M1073" s="1"/>
      <c r="N1073" s="1"/>
      <c r="O1073" s="1"/>
      <c r="P1073" s="1"/>
      <c r="Q1073" s="1"/>
      <c r="R1073" s="1"/>
      <c r="S1073" s="1"/>
      <c r="T1073" s="1"/>
      <c r="U1073" s="1"/>
      <c r="V1073" s="1"/>
      <c r="W1073" s="1"/>
      <c r="X1073" s="1"/>
      <c r="Y1073" s="1"/>
      <c r="Z1073" s="1"/>
    </row>
    <row r="1074" spans="1:26" ht="12.75" customHeight="1">
      <c r="A1074" s="16"/>
      <c r="B1074" s="16"/>
      <c r="C1074" s="16"/>
      <c r="D1074" s="893"/>
      <c r="E1074" s="893"/>
      <c r="F1074" s="893"/>
      <c r="H1074" s="1"/>
      <c r="I1074" s="10"/>
      <c r="J1074" s="1"/>
      <c r="K1074" s="1"/>
      <c r="L1074" s="1"/>
      <c r="M1074" s="1"/>
      <c r="N1074" s="1"/>
      <c r="O1074" s="1"/>
      <c r="P1074" s="1"/>
      <c r="Q1074" s="1"/>
      <c r="R1074" s="1"/>
      <c r="S1074" s="1"/>
      <c r="T1074" s="1"/>
      <c r="U1074" s="1"/>
      <c r="V1074" s="1"/>
      <c r="W1074" s="1"/>
      <c r="X1074" s="1"/>
      <c r="Y1074" s="1"/>
      <c r="Z1074" s="1"/>
    </row>
    <row r="1075" spans="1:26" ht="12.75" customHeight="1">
      <c r="A1075" s="16"/>
      <c r="B1075" s="16"/>
      <c r="C1075" s="16"/>
      <c r="D1075" s="893"/>
      <c r="E1075" s="893"/>
      <c r="F1075" s="893"/>
      <c r="H1075" s="1"/>
      <c r="I1075" s="10"/>
      <c r="J1075" s="1"/>
      <c r="K1075" s="1"/>
      <c r="L1075" s="1"/>
      <c r="M1075" s="1"/>
      <c r="N1075" s="1"/>
      <c r="O1075" s="1"/>
      <c r="P1075" s="1"/>
      <c r="Q1075" s="1"/>
      <c r="R1075" s="1"/>
      <c r="S1075" s="1"/>
      <c r="T1075" s="1"/>
      <c r="U1075" s="1"/>
      <c r="V1075" s="1"/>
      <c r="W1075" s="1"/>
      <c r="X1075" s="1"/>
      <c r="Y1075" s="1"/>
      <c r="Z1075" s="1"/>
    </row>
    <row r="1076" spans="1:26" ht="12.75" customHeight="1">
      <c r="A1076" s="16"/>
      <c r="B1076" s="16"/>
      <c r="C1076" s="16"/>
      <c r="D1076" s="893"/>
      <c r="E1076" s="893"/>
      <c r="F1076" s="893"/>
      <c r="H1076" s="1"/>
      <c r="I1076" s="10"/>
      <c r="J1076" s="1"/>
      <c r="K1076" s="1"/>
      <c r="L1076" s="1"/>
      <c r="M1076" s="1"/>
      <c r="N1076" s="1"/>
      <c r="O1076" s="1"/>
      <c r="P1076" s="1"/>
      <c r="Q1076" s="1"/>
      <c r="R1076" s="1"/>
      <c r="S1076" s="1"/>
      <c r="T1076" s="1"/>
      <c r="U1076" s="1"/>
      <c r="V1076" s="1"/>
      <c r="W1076" s="1"/>
      <c r="X1076" s="1"/>
      <c r="Y1076" s="1"/>
      <c r="Z1076" s="1"/>
    </row>
    <row r="1077" spans="1:26" ht="12.75" customHeight="1">
      <c r="A1077" s="16"/>
      <c r="B1077" s="16"/>
      <c r="C1077" s="16"/>
      <c r="D1077" s="11"/>
      <c r="E1077" s="11"/>
      <c r="F1077" s="11"/>
      <c r="H1077" s="1"/>
      <c r="I1077" s="10"/>
      <c r="J1077" s="1"/>
      <c r="K1077" s="1"/>
      <c r="L1077" s="1"/>
      <c r="M1077" s="1"/>
      <c r="N1077" s="1"/>
      <c r="O1077" s="1"/>
      <c r="P1077" s="1"/>
      <c r="Q1077" s="1"/>
      <c r="R1077" s="1"/>
      <c r="S1077" s="1"/>
      <c r="T1077" s="1"/>
      <c r="U1077" s="1"/>
      <c r="V1077" s="1"/>
      <c r="W1077" s="1"/>
      <c r="X1077" s="1"/>
      <c r="Y1077" s="1"/>
      <c r="Z1077" s="1"/>
    </row>
    <row r="1078" spans="1:26" ht="12.75" customHeight="1">
      <c r="A1078" s="16"/>
      <c r="B1078" s="21" t="s">
        <v>27</v>
      </c>
      <c r="C1078" s="16"/>
      <c r="D1078" s="895" t="s">
        <v>1094</v>
      </c>
      <c r="E1078" s="893"/>
      <c r="F1078" s="893"/>
      <c r="H1078" s="1"/>
      <c r="I1078" s="10"/>
      <c r="J1078" s="1"/>
      <c r="K1078" s="1"/>
      <c r="L1078" s="1"/>
      <c r="M1078" s="1"/>
      <c r="N1078" s="1"/>
      <c r="O1078" s="1"/>
      <c r="P1078" s="1"/>
      <c r="Q1078" s="1"/>
      <c r="R1078" s="1"/>
      <c r="S1078" s="1"/>
      <c r="T1078" s="1"/>
      <c r="U1078" s="1"/>
      <c r="V1078" s="1"/>
      <c r="W1078" s="1"/>
      <c r="X1078" s="1"/>
      <c r="Y1078" s="1"/>
      <c r="Z1078" s="1"/>
    </row>
    <row r="1079" spans="1:26" ht="12.75" customHeight="1">
      <c r="A1079" s="16"/>
      <c r="B1079" s="16"/>
      <c r="C1079" s="16"/>
      <c r="D1079" s="893"/>
      <c r="E1079" s="893"/>
      <c r="F1079" s="893"/>
      <c r="H1079" s="1"/>
      <c r="I1079" s="10"/>
      <c r="J1079" s="1"/>
      <c r="K1079" s="1"/>
      <c r="L1079" s="1"/>
      <c r="M1079" s="1"/>
      <c r="N1079" s="1"/>
      <c r="O1079" s="1"/>
      <c r="P1079" s="1"/>
      <c r="Q1079" s="1"/>
      <c r="R1079" s="1"/>
      <c r="S1079" s="1"/>
      <c r="T1079" s="1"/>
      <c r="U1079" s="1"/>
      <c r="V1079" s="1"/>
      <c r="W1079" s="1"/>
      <c r="X1079" s="1"/>
      <c r="Y1079" s="1"/>
      <c r="Z1079" s="1"/>
    </row>
    <row r="1080" spans="1:26" ht="12.75" customHeight="1">
      <c r="A1080" s="16"/>
      <c r="B1080" s="16"/>
      <c r="C1080" s="16"/>
      <c r="D1080" s="11"/>
      <c r="E1080" s="11"/>
      <c r="F1080" s="11"/>
      <c r="H1080" s="1"/>
      <c r="I1080" s="10"/>
      <c r="J1080" s="1"/>
      <c r="K1080" s="1"/>
      <c r="L1080" s="1"/>
      <c r="M1080" s="1"/>
      <c r="N1080" s="1"/>
      <c r="O1080" s="1"/>
      <c r="P1080" s="1"/>
      <c r="Q1080" s="1"/>
      <c r="R1080" s="1"/>
      <c r="S1080" s="1"/>
      <c r="T1080" s="1"/>
      <c r="U1080" s="1"/>
      <c r="V1080" s="1"/>
      <c r="W1080" s="1"/>
      <c r="X1080" s="1"/>
      <c r="Y1080" s="1"/>
      <c r="Z1080" s="1"/>
    </row>
    <row r="1081" spans="1:26" ht="12.75" customHeight="1">
      <c r="A1081" s="20"/>
      <c r="B1081" s="21" t="s">
        <v>27</v>
      </c>
      <c r="C1081" s="7"/>
      <c r="D1081" s="915" t="s">
        <v>1095</v>
      </c>
      <c r="E1081" s="893"/>
      <c r="F1081" s="893"/>
      <c r="H1081" s="1"/>
      <c r="I1081" s="10"/>
      <c r="J1081" s="1"/>
      <c r="K1081" s="1"/>
      <c r="L1081" s="1"/>
      <c r="M1081" s="1"/>
      <c r="N1081" s="1"/>
      <c r="O1081" s="1"/>
      <c r="P1081" s="1"/>
      <c r="Q1081" s="1"/>
      <c r="R1081" s="1"/>
      <c r="S1081" s="1"/>
      <c r="T1081" s="1"/>
      <c r="U1081" s="1"/>
      <c r="V1081" s="1"/>
      <c r="W1081" s="1"/>
      <c r="X1081" s="1"/>
      <c r="Y1081" s="1"/>
      <c r="Z1081" s="1"/>
    </row>
    <row r="1082" spans="1:26" ht="12.75" customHeight="1">
      <c r="A1082" s="7"/>
      <c r="B1082" s="7"/>
      <c r="C1082" s="7"/>
      <c r="D1082" s="1"/>
      <c r="E1082" s="1"/>
      <c r="F1082" s="1"/>
      <c r="H1082" s="1"/>
      <c r="I1082" s="10"/>
      <c r="J1082" s="1"/>
      <c r="K1082" s="1"/>
      <c r="L1082" s="1"/>
      <c r="M1082" s="1"/>
      <c r="N1082" s="1"/>
      <c r="O1082" s="1"/>
      <c r="P1082" s="1"/>
      <c r="Q1082" s="1"/>
      <c r="R1082" s="1"/>
      <c r="S1082" s="1"/>
      <c r="T1082" s="1"/>
      <c r="U1082" s="1"/>
      <c r="V1082" s="1"/>
      <c r="W1082" s="1"/>
      <c r="X1082" s="1"/>
      <c r="Y1082" s="1"/>
      <c r="Z1082" s="1"/>
    </row>
    <row r="1083" spans="1:26" ht="12.75" customHeight="1">
      <c r="A1083" s="20"/>
      <c r="B1083" s="21" t="s">
        <v>27</v>
      </c>
      <c r="C1083" s="7"/>
      <c r="D1083" s="915" t="s">
        <v>1099</v>
      </c>
      <c r="E1083" s="893"/>
      <c r="F1083" s="893"/>
      <c r="H1083" s="1"/>
      <c r="I1083" s="10"/>
      <c r="J1083" s="1"/>
      <c r="K1083" s="1"/>
      <c r="L1083" s="1"/>
      <c r="M1083" s="1"/>
      <c r="N1083" s="1"/>
      <c r="O1083" s="1"/>
      <c r="P1083" s="1"/>
      <c r="Q1083" s="1"/>
      <c r="R1083" s="1"/>
      <c r="S1083" s="1"/>
      <c r="T1083" s="1"/>
      <c r="U1083" s="1"/>
      <c r="V1083" s="1"/>
      <c r="W1083" s="1"/>
      <c r="X1083" s="1"/>
      <c r="Y1083" s="1"/>
      <c r="Z1083" s="1"/>
    </row>
    <row r="1084" spans="1:26" ht="12.75" customHeight="1">
      <c r="A1084" s="7"/>
      <c r="B1084" s="7"/>
      <c r="C1084" s="7"/>
      <c r="D1084" s="17"/>
      <c r="E1084" s="1"/>
      <c r="F1084" s="1"/>
      <c r="H1084" s="1"/>
      <c r="I1084" s="10"/>
      <c r="J1084" s="1"/>
      <c r="K1084" s="1"/>
      <c r="L1084" s="1"/>
      <c r="M1084" s="1"/>
      <c r="N1084" s="1"/>
      <c r="O1084" s="1"/>
      <c r="P1084" s="1"/>
      <c r="Q1084" s="1"/>
      <c r="R1084" s="1"/>
      <c r="S1084" s="1"/>
      <c r="T1084" s="1"/>
      <c r="U1084" s="1"/>
      <c r="V1084" s="1"/>
      <c r="W1084" s="1"/>
      <c r="X1084" s="1"/>
      <c r="Y1084" s="1"/>
      <c r="Z1084" s="1"/>
    </row>
    <row r="1085" spans="1:26" ht="12.75" customHeight="1">
      <c r="A1085" s="20"/>
      <c r="B1085" s="21" t="s">
        <v>27</v>
      </c>
      <c r="C1085" s="7"/>
      <c r="D1085" s="915" t="s">
        <v>1101</v>
      </c>
      <c r="E1085" s="893"/>
      <c r="F1085" s="893"/>
      <c r="H1085" s="1"/>
      <c r="I1085" s="10"/>
      <c r="J1085" s="1"/>
      <c r="K1085" s="1"/>
      <c r="L1085" s="1"/>
      <c r="M1085" s="1"/>
      <c r="N1085" s="1"/>
      <c r="O1085" s="1"/>
      <c r="P1085" s="1"/>
      <c r="Q1085" s="1"/>
      <c r="R1085" s="1"/>
      <c r="S1085" s="1"/>
      <c r="T1085" s="1"/>
      <c r="U1085" s="1"/>
      <c r="V1085" s="1"/>
      <c r="W1085" s="1"/>
      <c r="X1085" s="1"/>
      <c r="Y1085" s="1"/>
      <c r="Z1085" s="1"/>
    </row>
    <row r="1086" spans="1:26" ht="12.75" customHeight="1">
      <c r="A1086" s="7"/>
      <c r="B1086" s="7"/>
      <c r="C1086" s="7"/>
      <c r="D1086" s="17"/>
      <c r="E1086" s="1"/>
      <c r="F1086" s="1"/>
      <c r="H1086" s="1"/>
      <c r="I1086" s="10"/>
      <c r="J1086" s="1"/>
      <c r="K1086" s="1"/>
      <c r="L1086" s="1"/>
      <c r="M1086" s="1"/>
      <c r="N1086" s="1"/>
      <c r="O1086" s="1"/>
      <c r="P1086" s="1"/>
      <c r="Q1086" s="1"/>
      <c r="R1086" s="1"/>
      <c r="S1086" s="1"/>
      <c r="T1086" s="1"/>
      <c r="U1086" s="1"/>
      <c r="V1086" s="1"/>
      <c r="W1086" s="1"/>
      <c r="X1086" s="1"/>
      <c r="Y1086" s="1"/>
      <c r="Z1086" s="1"/>
    </row>
    <row r="1087" spans="1:26" ht="12.75" customHeight="1">
      <c r="A1087" s="20"/>
      <c r="B1087" s="21" t="s">
        <v>27</v>
      </c>
      <c r="C1087" s="7"/>
      <c r="D1087" s="895" t="s">
        <v>1102</v>
      </c>
      <c r="E1087" s="893"/>
      <c r="F1087" s="893"/>
      <c r="H1087" s="1"/>
      <c r="I1087" s="10"/>
      <c r="J1087" s="1"/>
      <c r="K1087" s="1"/>
      <c r="L1087" s="1"/>
      <c r="M1087" s="1"/>
      <c r="N1087" s="1"/>
      <c r="O1087" s="1"/>
      <c r="P1087" s="1"/>
      <c r="Q1087" s="1"/>
      <c r="R1087" s="1"/>
      <c r="S1087" s="1"/>
      <c r="T1087" s="1"/>
      <c r="U1087" s="1"/>
      <c r="V1087" s="1"/>
      <c r="W1087" s="1"/>
      <c r="X1087" s="1"/>
      <c r="Y1087" s="1"/>
      <c r="Z1087" s="1"/>
    </row>
    <row r="1088" spans="1:26" ht="12.75" customHeight="1">
      <c r="A1088" s="20"/>
      <c r="B1088" s="20"/>
      <c r="C1088" s="7"/>
      <c r="D1088" s="893"/>
      <c r="E1088" s="893"/>
      <c r="F1088" s="893"/>
      <c r="H1088" s="1"/>
      <c r="I1088" s="10"/>
      <c r="J1088" s="1"/>
      <c r="K1088" s="1"/>
      <c r="L1088" s="1"/>
      <c r="M1088" s="1"/>
      <c r="N1088" s="1"/>
      <c r="O1088" s="1"/>
      <c r="P1088" s="1"/>
      <c r="Q1088" s="1"/>
      <c r="R1088" s="1"/>
      <c r="S1088" s="1"/>
      <c r="T1088" s="1"/>
      <c r="U1088" s="1"/>
      <c r="V1088" s="1"/>
      <c r="W1088" s="1"/>
      <c r="X1088" s="1"/>
      <c r="Y1088" s="1"/>
      <c r="Z1088" s="1"/>
    </row>
    <row r="1089" spans="1:26" ht="12.75" customHeight="1">
      <c r="A1089" s="20"/>
      <c r="B1089" s="20"/>
      <c r="C1089" s="7"/>
      <c r="D1089" s="17"/>
      <c r="E1089" s="1"/>
      <c r="F1089" s="1"/>
      <c r="G1089" s="1"/>
      <c r="H1089" s="1"/>
      <c r="I1089" s="10"/>
      <c r="J1089" s="1"/>
      <c r="K1089" s="1"/>
      <c r="L1089" s="1"/>
      <c r="M1089" s="1"/>
      <c r="N1089" s="1"/>
      <c r="O1089" s="1"/>
      <c r="P1089" s="1"/>
      <c r="Q1089" s="1"/>
      <c r="R1089" s="1"/>
      <c r="S1089" s="1"/>
      <c r="T1089" s="1"/>
      <c r="U1089" s="1"/>
      <c r="V1089" s="1"/>
      <c r="W1089" s="1"/>
      <c r="X1089" s="1"/>
      <c r="Y1089" s="1"/>
      <c r="Z1089" s="1"/>
    </row>
    <row r="1090" spans="1:26" ht="12.75" customHeight="1">
      <c r="A1090" s="156"/>
      <c r="B1090" s="21" t="s">
        <v>27</v>
      </c>
      <c r="C1090" s="157"/>
      <c r="D1090" s="927" t="s">
        <v>1104</v>
      </c>
      <c r="E1090" s="893"/>
      <c r="F1090" s="893"/>
      <c r="G1090" s="158"/>
      <c r="H1090" s="1"/>
      <c r="I1090" s="10"/>
      <c r="J1090" s="1"/>
      <c r="K1090" s="1"/>
      <c r="L1090" s="1"/>
      <c r="M1090" s="1"/>
      <c r="N1090" s="1"/>
      <c r="O1090" s="1"/>
      <c r="P1090" s="1"/>
      <c r="Q1090" s="1"/>
      <c r="R1090" s="1"/>
      <c r="S1090" s="1"/>
      <c r="T1090" s="1"/>
      <c r="U1090" s="1"/>
      <c r="V1090" s="1"/>
      <c r="W1090" s="1"/>
      <c r="X1090" s="1"/>
      <c r="Y1090" s="1"/>
      <c r="Z1090" s="1"/>
    </row>
    <row r="1091" spans="1:26" ht="12.75" customHeight="1">
      <c r="A1091" s="157"/>
      <c r="B1091" s="157"/>
      <c r="C1091" s="157"/>
      <c r="D1091" s="893"/>
      <c r="E1091" s="893"/>
      <c r="F1091" s="893"/>
      <c r="G1091" s="158"/>
      <c r="H1091" s="1"/>
      <c r="I1091" s="10"/>
      <c r="J1091" s="1"/>
      <c r="K1091" s="1"/>
      <c r="L1091" s="1"/>
      <c r="M1091" s="1"/>
      <c r="N1091" s="1"/>
      <c r="O1091" s="1"/>
      <c r="P1091" s="1"/>
      <c r="Q1091" s="1"/>
      <c r="R1091" s="1"/>
      <c r="S1091" s="1"/>
      <c r="T1091" s="1"/>
      <c r="U1091" s="1"/>
      <c r="V1091" s="1"/>
      <c r="W1091" s="1"/>
      <c r="X1091" s="1"/>
      <c r="Y1091" s="1"/>
      <c r="Z1091" s="1"/>
    </row>
    <row r="1092" spans="1:26" ht="12.75" customHeight="1">
      <c r="A1092" s="157"/>
      <c r="B1092" s="157"/>
      <c r="C1092" s="157"/>
      <c r="D1092" s="113"/>
      <c r="E1092" s="158"/>
      <c r="F1092" s="158"/>
      <c r="G1092" s="158"/>
      <c r="H1092" s="1"/>
      <c r="I1092" s="10"/>
      <c r="J1092" s="1"/>
      <c r="K1092" s="1"/>
      <c r="L1092" s="1"/>
      <c r="M1092" s="1"/>
      <c r="N1092" s="1"/>
      <c r="O1092" s="1"/>
      <c r="P1092" s="1"/>
      <c r="Q1092" s="1"/>
      <c r="R1092" s="1"/>
      <c r="S1092" s="1"/>
      <c r="T1092" s="1"/>
      <c r="U1092" s="1"/>
      <c r="V1092" s="1"/>
      <c r="W1092" s="1"/>
      <c r="X1092" s="1"/>
      <c r="Y1092" s="1"/>
      <c r="Z1092" s="1"/>
    </row>
    <row r="1093" spans="1:26" ht="12.75" customHeight="1">
      <c r="A1093" s="156"/>
      <c r="B1093" s="21" t="s">
        <v>27</v>
      </c>
      <c r="C1093" s="157"/>
      <c r="D1093" s="926" t="s">
        <v>1108</v>
      </c>
      <c r="E1093" s="893"/>
      <c r="F1093" s="893"/>
      <c r="G1093" s="158"/>
      <c r="H1093" s="1"/>
      <c r="I1093" s="10"/>
      <c r="J1093" s="1"/>
      <c r="K1093" s="1"/>
      <c r="L1093" s="1"/>
      <c r="M1093" s="1"/>
      <c r="N1093" s="1"/>
      <c r="O1093" s="1"/>
      <c r="P1093" s="1"/>
      <c r="Q1093" s="1"/>
      <c r="R1093" s="1"/>
      <c r="S1093" s="1"/>
      <c r="T1093" s="1"/>
      <c r="U1093" s="1"/>
      <c r="V1093" s="1"/>
      <c r="W1093" s="1"/>
      <c r="X1093" s="1"/>
      <c r="Y1093" s="1"/>
      <c r="Z1093" s="1"/>
    </row>
    <row r="1094" spans="1:26" ht="12.75" customHeight="1">
      <c r="A1094" s="157"/>
      <c r="B1094" s="157"/>
      <c r="C1094" s="157"/>
      <c r="D1094" s="113"/>
      <c r="E1094" s="158"/>
      <c r="F1094" s="158"/>
      <c r="G1094" s="158"/>
      <c r="H1094" s="1"/>
      <c r="I1094" s="10"/>
      <c r="J1094" s="1"/>
      <c r="K1094" s="1"/>
      <c r="L1094" s="1"/>
      <c r="M1094" s="1"/>
      <c r="N1094" s="1"/>
      <c r="O1094" s="1"/>
      <c r="P1094" s="1"/>
      <c r="Q1094" s="1"/>
      <c r="R1094" s="1"/>
      <c r="S1094" s="1"/>
      <c r="T1094" s="1"/>
      <c r="U1094" s="1"/>
      <c r="V1094" s="1"/>
      <c r="W1094" s="1"/>
      <c r="X1094" s="1"/>
      <c r="Y1094" s="1"/>
      <c r="Z1094" s="1"/>
    </row>
    <row r="1095" spans="1:26" ht="12.75" customHeight="1">
      <c r="A1095" s="20"/>
      <c r="B1095" s="21" t="s">
        <v>27</v>
      </c>
      <c r="C1095" s="7"/>
      <c r="D1095" s="915" t="s">
        <v>1111</v>
      </c>
      <c r="E1095" s="893"/>
      <c r="F1095" s="893"/>
      <c r="G1095" s="1"/>
      <c r="H1095" s="1"/>
      <c r="I1095" s="10"/>
      <c r="J1095" s="1"/>
      <c r="K1095" s="1"/>
      <c r="L1095" s="1"/>
      <c r="M1095" s="1"/>
      <c r="N1095" s="1"/>
      <c r="O1095" s="1"/>
      <c r="P1095" s="1"/>
      <c r="Q1095" s="1"/>
      <c r="R1095" s="1"/>
      <c r="S1095" s="1"/>
      <c r="T1095" s="1"/>
      <c r="U1095" s="1"/>
      <c r="V1095" s="1"/>
      <c r="W1095" s="1"/>
      <c r="X1095" s="1"/>
      <c r="Y1095" s="1"/>
      <c r="Z1095" s="1"/>
    </row>
    <row r="1096" spans="1:26" ht="12.75" customHeight="1">
      <c r="A1096" s="20"/>
      <c r="B1096" s="20"/>
      <c r="C1096" s="7"/>
      <c r="D1096" s="17"/>
      <c r="E1096" s="1"/>
      <c r="F1096" s="1"/>
      <c r="G1096" s="1"/>
      <c r="H1096" s="1"/>
      <c r="I1096" s="10"/>
      <c r="J1096" s="1"/>
      <c r="K1096" s="1"/>
      <c r="L1096" s="1"/>
      <c r="M1096" s="1"/>
      <c r="N1096" s="1"/>
      <c r="O1096" s="1"/>
      <c r="P1096" s="1"/>
      <c r="Q1096" s="1"/>
      <c r="R1096" s="1"/>
      <c r="S1096" s="1"/>
      <c r="T1096" s="1"/>
      <c r="U1096" s="1"/>
      <c r="V1096" s="1"/>
      <c r="W1096" s="1"/>
      <c r="X1096" s="1"/>
      <c r="Y1096" s="1"/>
      <c r="Z1096" s="1"/>
    </row>
    <row r="1097" spans="1:26" ht="12.75" customHeight="1">
      <c r="A1097" s="20"/>
      <c r="B1097" s="21" t="s">
        <v>27</v>
      </c>
      <c r="C1097" s="7"/>
      <c r="D1097" s="895" t="s">
        <v>1112</v>
      </c>
      <c r="E1097" s="893"/>
      <c r="F1097" s="893"/>
      <c r="G1097" s="1"/>
      <c r="H1097" s="1"/>
      <c r="I1097" s="10"/>
      <c r="J1097" s="1"/>
      <c r="K1097" s="1"/>
      <c r="L1097" s="1"/>
      <c r="M1097" s="1"/>
      <c r="N1097" s="1"/>
      <c r="O1097" s="1"/>
      <c r="P1097" s="1"/>
      <c r="Q1097" s="1"/>
      <c r="R1097" s="1"/>
      <c r="S1097" s="1"/>
      <c r="T1097" s="1"/>
      <c r="U1097" s="1"/>
      <c r="V1097" s="1"/>
      <c r="W1097" s="1"/>
      <c r="X1097" s="1"/>
      <c r="Y1097" s="1"/>
      <c r="Z1097" s="1"/>
    </row>
    <row r="1098" spans="1:26" ht="12.75" customHeight="1">
      <c r="A1098" s="20"/>
      <c r="B1098" s="20"/>
      <c r="C1098" s="7"/>
      <c r="D1098" s="893"/>
      <c r="E1098" s="893"/>
      <c r="F1098" s="893"/>
      <c r="G1098" s="1"/>
      <c r="H1098" s="1"/>
      <c r="I1098" s="10"/>
      <c r="J1098" s="1"/>
      <c r="K1098" s="1"/>
      <c r="L1098" s="1"/>
      <c r="M1098" s="1"/>
      <c r="N1098" s="1"/>
      <c r="O1098" s="1"/>
      <c r="P1098" s="1"/>
      <c r="Q1098" s="1"/>
      <c r="R1098" s="1"/>
      <c r="S1098" s="1"/>
      <c r="T1098" s="1"/>
      <c r="U1098" s="1"/>
      <c r="V1098" s="1"/>
      <c r="W1098" s="1"/>
      <c r="X1098" s="1"/>
      <c r="Y1098" s="1"/>
      <c r="Z1098" s="1"/>
    </row>
    <row r="1099" spans="1:26" ht="12.75" customHeight="1">
      <c r="A1099" s="7"/>
      <c r="B1099" s="7"/>
      <c r="C1099" s="7"/>
      <c r="D1099" s="1"/>
      <c r="E1099" s="1"/>
      <c r="F1099" s="1"/>
      <c r="G1099" s="1"/>
      <c r="H1099" s="1"/>
      <c r="I1099" s="10"/>
      <c r="J1099" s="1"/>
      <c r="K1099" s="1"/>
      <c r="L1099" s="1"/>
      <c r="M1099" s="1"/>
      <c r="N1099" s="1"/>
      <c r="O1099" s="1"/>
      <c r="P1099" s="1"/>
      <c r="Q1099" s="1"/>
      <c r="R1099" s="1"/>
      <c r="S1099" s="1"/>
      <c r="T1099" s="1"/>
      <c r="U1099" s="1"/>
      <c r="V1099" s="1"/>
      <c r="W1099" s="1"/>
      <c r="X1099" s="1"/>
      <c r="Y1099" s="1"/>
      <c r="Z1099" s="1"/>
    </row>
    <row r="1100" spans="1:26" ht="12.75" customHeight="1">
      <c r="A1100" s="920" t="s">
        <v>1113</v>
      </c>
      <c r="B1100" s="921"/>
      <c r="C1100" s="921"/>
      <c r="D1100" s="921"/>
      <c r="E1100" s="921"/>
      <c r="F1100" s="921"/>
      <c r="G1100" s="921"/>
      <c r="H1100" s="5"/>
      <c r="I1100" s="39"/>
      <c r="J1100" s="1"/>
      <c r="K1100" s="1"/>
      <c r="L1100" s="1"/>
      <c r="M1100" s="1"/>
      <c r="N1100" s="1"/>
      <c r="O1100" s="1"/>
      <c r="P1100" s="1"/>
      <c r="Q1100" s="1"/>
      <c r="R1100" s="1"/>
      <c r="S1100" s="1"/>
      <c r="T1100" s="1"/>
      <c r="U1100" s="1"/>
      <c r="V1100" s="1"/>
      <c r="W1100" s="1"/>
      <c r="X1100" s="1"/>
      <c r="Y1100" s="1"/>
      <c r="Z1100" s="1"/>
    </row>
    <row r="1101" spans="1:26" ht="12.75" customHeight="1">
      <c r="A1101" s="7"/>
      <c r="B1101" s="7"/>
      <c r="C1101" s="7"/>
      <c r="D1101" s="1"/>
      <c r="E1101" s="1"/>
      <c r="F1101" s="1"/>
      <c r="G1101" s="1"/>
      <c r="H1101" s="1"/>
      <c r="I1101" s="10"/>
      <c r="J1101" s="1"/>
      <c r="K1101" s="1"/>
      <c r="L1101" s="1"/>
      <c r="M1101" s="1"/>
      <c r="N1101" s="1"/>
      <c r="O1101" s="1"/>
      <c r="P1101" s="1"/>
      <c r="Q1101" s="1"/>
      <c r="R1101" s="1"/>
      <c r="S1101" s="1"/>
      <c r="T1101" s="1"/>
      <c r="U1101" s="1"/>
      <c r="V1101" s="1"/>
      <c r="W1101" s="1"/>
      <c r="X1101" s="1"/>
      <c r="Y1101" s="1"/>
      <c r="Z1101" s="1"/>
    </row>
    <row r="1102" spans="1:26" ht="12.75" customHeight="1">
      <c r="A1102" s="7"/>
      <c r="B1102" s="7"/>
      <c r="C1102" s="7"/>
      <c r="D1102" s="916" t="s">
        <v>1117</v>
      </c>
      <c r="E1102" s="893"/>
      <c r="F1102" s="893"/>
      <c r="G1102" s="1"/>
      <c r="H1102" s="1"/>
      <c r="I1102" s="10"/>
      <c r="J1102" s="1"/>
      <c r="K1102" s="1"/>
      <c r="L1102" s="1"/>
      <c r="M1102" s="1"/>
      <c r="N1102" s="1"/>
      <c r="O1102" s="1"/>
      <c r="P1102" s="1"/>
      <c r="Q1102" s="1"/>
      <c r="R1102" s="1"/>
      <c r="S1102" s="1"/>
      <c r="T1102" s="1"/>
      <c r="U1102" s="1"/>
      <c r="V1102" s="1"/>
      <c r="W1102" s="1"/>
      <c r="X1102" s="1"/>
      <c r="Y1102" s="1"/>
      <c r="Z1102" s="1"/>
    </row>
    <row r="1103" spans="1:26" ht="12.75" customHeight="1">
      <c r="A1103" s="7"/>
      <c r="B1103" s="7"/>
      <c r="C1103" s="7"/>
      <c r="D1103" s="926" t="s">
        <v>1118</v>
      </c>
      <c r="E1103" s="893"/>
      <c r="F1103" s="893"/>
      <c r="G1103" s="1"/>
      <c r="H1103" s="1"/>
      <c r="I1103" s="10"/>
      <c r="J1103" s="1"/>
      <c r="K1103" s="1"/>
      <c r="L1103" s="1"/>
      <c r="M1103" s="1"/>
      <c r="N1103" s="1"/>
      <c r="O1103" s="1"/>
      <c r="P1103" s="1"/>
      <c r="Q1103" s="1"/>
      <c r="R1103" s="1"/>
      <c r="S1103" s="1"/>
      <c r="T1103" s="1"/>
      <c r="U1103" s="1"/>
      <c r="V1103" s="1"/>
      <c r="W1103" s="1"/>
      <c r="X1103" s="1"/>
      <c r="Y1103" s="1"/>
      <c r="Z1103" s="1"/>
    </row>
    <row r="1104" spans="1:26" ht="12.75" customHeight="1">
      <c r="A1104" s="9"/>
      <c r="B1104" s="9"/>
      <c r="C1104" s="9"/>
      <c r="D1104" s="1"/>
      <c r="E1104" s="1"/>
      <c r="F1104" s="1"/>
      <c r="G1104" s="1"/>
      <c r="H1104" s="1"/>
      <c r="I1104" s="10"/>
      <c r="J1104" s="1"/>
      <c r="K1104" s="1"/>
      <c r="L1104" s="1"/>
      <c r="M1104" s="1"/>
      <c r="N1104" s="1"/>
      <c r="O1104" s="1"/>
      <c r="P1104" s="1"/>
      <c r="Q1104" s="1"/>
      <c r="R1104" s="1"/>
      <c r="S1104" s="1"/>
      <c r="T1104" s="1"/>
      <c r="U1104" s="1"/>
      <c r="V1104" s="1"/>
      <c r="W1104" s="1"/>
      <c r="X1104" s="1"/>
      <c r="Y1104" s="1"/>
      <c r="Z1104" s="1"/>
    </row>
    <row r="1105" spans="1:26" ht="12.75" customHeight="1">
      <c r="A1105" s="20"/>
      <c r="B1105" s="20"/>
      <c r="C1105" s="16"/>
      <c r="D1105" s="916" t="s">
        <v>1124</v>
      </c>
      <c r="E1105" s="893"/>
      <c r="F1105" s="893"/>
      <c r="G1105" s="1"/>
      <c r="H1105" s="1"/>
      <c r="I1105" s="10"/>
      <c r="J1105" s="1"/>
      <c r="K1105" s="1"/>
      <c r="L1105" s="1"/>
      <c r="M1105" s="1"/>
      <c r="N1105" s="1"/>
      <c r="O1105" s="1"/>
      <c r="P1105" s="1"/>
      <c r="Q1105" s="1"/>
      <c r="R1105" s="1"/>
      <c r="S1105" s="1"/>
      <c r="T1105" s="1"/>
      <c r="U1105" s="1"/>
      <c r="V1105" s="1"/>
      <c r="W1105" s="1"/>
      <c r="X1105" s="1"/>
      <c r="Y1105" s="1"/>
      <c r="Z1105" s="1"/>
    </row>
    <row r="1106" spans="1:26" ht="12.75" customHeight="1">
      <c r="A1106" s="7"/>
      <c r="B1106" s="21" t="s">
        <v>27</v>
      </c>
      <c r="C1106" s="7"/>
      <c r="D1106" s="926" t="s">
        <v>1125</v>
      </c>
      <c r="E1106" s="893"/>
      <c r="F1106" s="893"/>
      <c r="G1106" s="1"/>
      <c r="H1106" s="1"/>
      <c r="I1106" s="10"/>
      <c r="J1106" s="1"/>
      <c r="K1106" s="1"/>
      <c r="L1106" s="1"/>
      <c r="M1106" s="1"/>
      <c r="N1106" s="1"/>
      <c r="O1106" s="1"/>
      <c r="P1106" s="1"/>
      <c r="Q1106" s="1"/>
      <c r="R1106" s="1"/>
      <c r="S1106" s="1"/>
      <c r="T1106" s="1"/>
      <c r="U1106" s="1"/>
      <c r="V1106" s="1"/>
      <c r="W1106" s="1"/>
      <c r="X1106" s="1"/>
      <c r="Y1106" s="1"/>
      <c r="Z1106" s="1"/>
    </row>
    <row r="1107" spans="1:26" ht="12.75" customHeight="1">
      <c r="A1107" s="7"/>
      <c r="B1107" s="20"/>
      <c r="C1107" s="7"/>
      <c r="D1107" s="926" t="s">
        <v>1127</v>
      </c>
      <c r="E1107" s="893"/>
      <c r="F1107" s="893"/>
      <c r="G1107" s="1"/>
      <c r="H1107" s="1"/>
      <c r="I1107" s="10"/>
      <c r="J1107" s="1"/>
      <c r="K1107" s="1"/>
      <c r="L1107" s="1"/>
      <c r="M1107" s="1"/>
      <c r="N1107" s="1"/>
      <c r="O1107" s="1"/>
      <c r="P1107" s="1"/>
      <c r="Q1107" s="1"/>
      <c r="R1107" s="1"/>
      <c r="S1107" s="1"/>
      <c r="T1107" s="1"/>
      <c r="U1107" s="1"/>
      <c r="V1107" s="1"/>
      <c r="W1107" s="1"/>
      <c r="X1107" s="1"/>
      <c r="Y1107" s="1"/>
      <c r="Z1107" s="1"/>
    </row>
    <row r="1108" spans="1:26" ht="12.75" customHeight="1">
      <c r="A1108" s="7"/>
      <c r="B1108" s="7"/>
      <c r="C1108" s="7"/>
      <c r="D1108" s="926"/>
      <c r="E1108" s="893"/>
      <c r="F1108" s="893"/>
      <c r="G1108" s="1"/>
      <c r="H1108" s="1"/>
      <c r="I1108" s="10"/>
      <c r="J1108" s="1"/>
      <c r="K1108" s="1"/>
      <c r="L1108" s="1"/>
      <c r="M1108" s="1"/>
      <c r="N1108" s="1"/>
      <c r="O1108" s="1"/>
      <c r="P1108" s="1"/>
      <c r="Q1108" s="1"/>
      <c r="R1108" s="1"/>
      <c r="S1108" s="1"/>
      <c r="T1108" s="1"/>
      <c r="U1108" s="1"/>
      <c r="V1108" s="1"/>
      <c r="W1108" s="1"/>
      <c r="X1108" s="1"/>
      <c r="Y1108" s="1"/>
      <c r="Z1108" s="1"/>
    </row>
    <row r="1109" spans="1:26" ht="12.75" customHeight="1">
      <c r="A1109" s="920" t="s">
        <v>1128</v>
      </c>
      <c r="B1109" s="921"/>
      <c r="C1109" s="921"/>
      <c r="D1109" s="921"/>
      <c r="E1109" s="921"/>
      <c r="F1109" s="921"/>
      <c r="G1109" s="921"/>
      <c r="H1109" s="5"/>
      <c r="I1109" s="39"/>
      <c r="J1109" s="1"/>
      <c r="K1109" s="1"/>
      <c r="L1109" s="1"/>
      <c r="M1109" s="1"/>
      <c r="N1109" s="1"/>
      <c r="O1109" s="1"/>
      <c r="P1109" s="1"/>
      <c r="Q1109" s="1"/>
      <c r="R1109" s="1"/>
      <c r="S1109" s="1"/>
      <c r="T1109" s="1"/>
      <c r="U1109" s="1"/>
      <c r="V1109" s="1"/>
      <c r="W1109" s="1"/>
      <c r="X1109" s="1"/>
      <c r="Y1109" s="1"/>
      <c r="Z1109" s="1"/>
    </row>
    <row r="1110" spans="1:26" ht="12.75" customHeight="1">
      <c r="A1110" s="17"/>
      <c r="B1110" s="17"/>
      <c r="C1110" s="7"/>
      <c r="D1110" s="1"/>
      <c r="E1110" s="1"/>
      <c r="F1110" s="1"/>
      <c r="G1110" s="1"/>
      <c r="H1110" s="1"/>
      <c r="I1110" s="10"/>
      <c r="J1110" s="1"/>
      <c r="K1110" s="1"/>
      <c r="L1110" s="1"/>
      <c r="M1110" s="1"/>
      <c r="N1110" s="1"/>
      <c r="O1110" s="1"/>
      <c r="P1110" s="1"/>
      <c r="Q1110" s="1"/>
      <c r="R1110" s="1"/>
      <c r="S1110" s="1"/>
      <c r="T1110" s="1"/>
      <c r="U1110" s="1"/>
      <c r="V1110" s="1"/>
      <c r="W1110" s="1"/>
      <c r="X1110" s="1"/>
      <c r="Y1110" s="1"/>
      <c r="Z1110" s="1"/>
    </row>
    <row r="1111" spans="1:26" ht="12.75" hidden="1" customHeight="1">
      <c r="A1111" s="17"/>
      <c r="B1111" s="1"/>
      <c r="C1111" s="7"/>
      <c r="D1111" s="925" t="s">
        <v>1132</v>
      </c>
      <c r="E1111" s="893"/>
      <c r="F1111" s="893"/>
      <c r="G1111" s="1"/>
      <c r="H1111" s="1"/>
      <c r="I1111" s="10"/>
      <c r="J1111" s="1"/>
      <c r="K1111" s="1"/>
      <c r="L1111" s="1"/>
      <c r="M1111" s="1"/>
      <c r="N1111" s="1"/>
      <c r="O1111" s="1"/>
      <c r="P1111" s="1"/>
      <c r="Q1111" s="1"/>
      <c r="R1111" s="1"/>
      <c r="S1111" s="1"/>
      <c r="T1111" s="1"/>
      <c r="U1111" s="1"/>
      <c r="V1111" s="1"/>
      <c r="W1111" s="1"/>
      <c r="X1111" s="1"/>
      <c r="Y1111" s="1"/>
      <c r="Z1111" s="1"/>
    </row>
    <row r="1112" spans="1:26" ht="12.75" hidden="1" customHeight="1">
      <c r="A1112" s="17"/>
      <c r="B1112" s="21" t="s">
        <v>27</v>
      </c>
      <c r="C1112" s="7"/>
      <c r="D1112" s="926" t="s">
        <v>1125</v>
      </c>
      <c r="E1112" s="893"/>
      <c r="F1112" s="893"/>
      <c r="G1112" s="1"/>
      <c r="H1112" s="1"/>
      <c r="I1112" s="10"/>
      <c r="J1112" s="1"/>
      <c r="K1112" s="1"/>
      <c r="L1112" s="1"/>
      <c r="M1112" s="1"/>
      <c r="N1112" s="1"/>
      <c r="O1112" s="1"/>
      <c r="P1112" s="1"/>
      <c r="Q1112" s="1"/>
      <c r="R1112" s="1"/>
      <c r="S1112" s="1"/>
      <c r="T1112" s="1"/>
      <c r="U1112" s="1"/>
      <c r="V1112" s="1"/>
      <c r="W1112" s="1"/>
      <c r="X1112" s="1"/>
      <c r="Y1112" s="1"/>
      <c r="Z1112" s="1"/>
    </row>
    <row r="1113" spans="1:26" ht="12.75" hidden="1" customHeight="1">
      <c r="A1113" s="17"/>
      <c r="B1113" s="1"/>
      <c r="C1113" s="7"/>
      <c r="D1113" s="926" t="s">
        <v>1134</v>
      </c>
      <c r="E1113" s="893"/>
      <c r="F1113" s="893"/>
      <c r="G1113" s="1"/>
      <c r="H1113" s="1"/>
      <c r="I1113" s="10"/>
      <c r="J1113" s="1"/>
      <c r="K1113" s="1"/>
      <c r="L1113" s="1"/>
      <c r="M1113" s="1"/>
      <c r="N1113" s="1"/>
      <c r="O1113" s="1"/>
      <c r="P1113" s="1"/>
      <c r="Q1113" s="1"/>
      <c r="R1113" s="1"/>
      <c r="S1113" s="1"/>
      <c r="T1113" s="1"/>
      <c r="U1113" s="1"/>
      <c r="V1113" s="1"/>
      <c r="W1113" s="1"/>
      <c r="X1113" s="1"/>
      <c r="Y1113" s="1"/>
      <c r="Z1113" s="1"/>
    </row>
    <row r="1114" spans="1:26" ht="12.75" hidden="1" customHeight="1">
      <c r="A1114" s="17"/>
      <c r="B1114" s="1"/>
      <c r="C1114" s="7"/>
      <c r="D1114" s="113"/>
      <c r="E1114" s="113"/>
      <c r="F1114" s="113"/>
      <c r="G1114" s="1"/>
      <c r="H1114" s="1"/>
      <c r="I1114" s="10"/>
      <c r="J1114" s="1"/>
      <c r="K1114" s="1"/>
      <c r="L1114" s="1"/>
      <c r="M1114" s="1"/>
      <c r="N1114" s="1"/>
      <c r="O1114" s="1"/>
      <c r="P1114" s="1"/>
      <c r="Q1114" s="1"/>
      <c r="R1114" s="1"/>
      <c r="S1114" s="1"/>
      <c r="T1114" s="1"/>
      <c r="U1114" s="1"/>
      <c r="V1114" s="1"/>
      <c r="W1114" s="1"/>
      <c r="X1114" s="1"/>
      <c r="Y1114" s="1"/>
      <c r="Z1114" s="1"/>
    </row>
    <row r="1115" spans="1:26" ht="12.75" customHeight="1">
      <c r="A1115" s="17"/>
      <c r="B1115" s="17"/>
      <c r="C1115" s="7"/>
      <c r="D1115" s="925" t="s">
        <v>1136</v>
      </c>
      <c r="E1115" s="893"/>
      <c r="F1115" s="893"/>
      <c r="G1115" s="1"/>
      <c r="H1115" s="1"/>
      <c r="I1115" s="10"/>
      <c r="J1115" s="1"/>
      <c r="K1115" s="1"/>
      <c r="L1115" s="1"/>
      <c r="M1115" s="1"/>
      <c r="N1115" s="1"/>
      <c r="O1115" s="1"/>
      <c r="P1115" s="1"/>
      <c r="Q1115" s="1"/>
      <c r="R1115" s="1"/>
      <c r="S1115" s="1"/>
      <c r="T1115" s="1"/>
      <c r="U1115" s="1"/>
      <c r="V1115" s="1"/>
      <c r="W1115" s="1"/>
      <c r="X1115" s="1"/>
      <c r="Y1115" s="1"/>
      <c r="Z1115" s="1"/>
    </row>
    <row r="1116" spans="1:26" ht="12.75" customHeight="1">
      <c r="A1116" s="215"/>
      <c r="B1116" s="215"/>
      <c r="C1116" s="215"/>
      <c r="D1116" s="919" t="s">
        <v>1138</v>
      </c>
      <c r="E1116" s="893"/>
      <c r="F1116" s="893"/>
      <c r="G1116" s="38"/>
      <c r="H1116" s="1"/>
      <c r="I1116" s="10"/>
      <c r="J1116" s="1"/>
      <c r="K1116" s="1"/>
      <c r="L1116" s="1"/>
      <c r="M1116" s="1"/>
      <c r="N1116" s="1"/>
      <c r="O1116" s="1"/>
      <c r="P1116" s="1"/>
      <c r="Q1116" s="1"/>
      <c r="R1116" s="1"/>
      <c r="S1116" s="1"/>
      <c r="T1116" s="1"/>
      <c r="U1116" s="1"/>
      <c r="V1116" s="1"/>
      <c r="W1116" s="1"/>
      <c r="X1116" s="1"/>
      <c r="Y1116" s="1"/>
      <c r="Z1116" s="1"/>
    </row>
    <row r="1117" spans="1:26" ht="12.75" customHeight="1">
      <c r="A1117" s="20"/>
      <c r="B1117" s="21" t="s">
        <v>27</v>
      </c>
      <c r="C1117" s="7"/>
      <c r="D1117" s="919" t="s">
        <v>1139</v>
      </c>
      <c r="E1117" s="893"/>
      <c r="F1117" s="893"/>
      <c r="G1117" s="1"/>
      <c r="H1117" s="1"/>
      <c r="I1117" s="10"/>
      <c r="J1117" s="1"/>
      <c r="K1117" s="1"/>
      <c r="L1117" s="1"/>
      <c r="M1117" s="1"/>
      <c r="N1117" s="1"/>
      <c r="O1117" s="1"/>
      <c r="P1117" s="1"/>
      <c r="Q1117" s="1"/>
      <c r="R1117" s="1"/>
      <c r="S1117" s="1"/>
      <c r="T1117" s="1"/>
      <c r="U1117" s="1"/>
      <c r="V1117" s="1"/>
      <c r="W1117" s="1"/>
      <c r="X1117" s="1"/>
      <c r="Y1117" s="1"/>
      <c r="Z1117" s="1"/>
    </row>
    <row r="1118" spans="1:26" ht="12.75" customHeight="1">
      <c r="A1118" s="7"/>
      <c r="B1118" s="7"/>
      <c r="C1118" s="7"/>
      <c r="D1118" s="18" t="s">
        <v>1140</v>
      </c>
      <c r="E1118" s="18"/>
      <c r="F1118" s="18"/>
      <c r="G1118" s="1"/>
      <c r="H1118" s="1"/>
      <c r="I1118" s="10"/>
      <c r="J1118" s="1"/>
      <c r="K1118" s="1"/>
      <c r="L1118" s="1"/>
      <c r="M1118" s="1"/>
      <c r="N1118" s="1"/>
      <c r="O1118" s="1"/>
      <c r="P1118" s="1"/>
      <c r="Q1118" s="1"/>
      <c r="R1118" s="1"/>
      <c r="S1118" s="1"/>
      <c r="T1118" s="1"/>
      <c r="U1118" s="1"/>
      <c r="V1118" s="1"/>
      <c r="W1118" s="1"/>
      <c r="X1118" s="1"/>
      <c r="Y1118" s="1"/>
      <c r="Z1118" s="1"/>
    </row>
    <row r="1119" spans="1:26" ht="12.75" customHeight="1">
      <c r="A1119" s="1"/>
      <c r="B1119" s="1"/>
      <c r="C1119" s="1"/>
      <c r="D1119" s="1"/>
      <c r="E1119" s="1"/>
      <c r="F1119" s="1"/>
      <c r="G1119" s="1"/>
      <c r="H1119" s="1"/>
      <c r="I1119" s="10"/>
      <c r="J1119" s="1"/>
      <c r="K1119" s="1"/>
      <c r="L1119" s="1"/>
      <c r="M1119" s="1"/>
      <c r="N1119" s="1"/>
      <c r="O1119" s="1"/>
      <c r="P1119" s="1"/>
      <c r="Q1119" s="1"/>
      <c r="R1119" s="1"/>
      <c r="S1119" s="1"/>
      <c r="T1119" s="1"/>
      <c r="U1119" s="1"/>
      <c r="V1119" s="1"/>
      <c r="W1119" s="1"/>
      <c r="X1119" s="1"/>
      <c r="Y1119" s="1"/>
      <c r="Z1119" s="1"/>
    </row>
    <row r="1120" spans="1:26" ht="12.75" customHeight="1">
      <c r="A1120" s="920" t="s">
        <v>1144</v>
      </c>
      <c r="B1120" s="921"/>
      <c r="C1120" s="921"/>
      <c r="D1120" s="921"/>
      <c r="E1120" s="921"/>
      <c r="F1120" s="921"/>
      <c r="G1120" s="921"/>
      <c r="H1120" s="5"/>
      <c r="I1120" s="39"/>
      <c r="J1120" s="1"/>
      <c r="K1120" s="1"/>
      <c r="L1120" s="1"/>
      <c r="M1120" s="1"/>
      <c r="N1120" s="1"/>
      <c r="O1120" s="1"/>
      <c r="P1120" s="1"/>
      <c r="Q1120" s="1"/>
      <c r="R1120" s="1"/>
      <c r="S1120" s="1"/>
      <c r="T1120" s="1"/>
      <c r="U1120" s="1"/>
      <c r="V1120" s="1"/>
      <c r="W1120" s="1"/>
      <c r="X1120" s="1"/>
      <c r="Y1120" s="1"/>
      <c r="Z1120" s="1"/>
    </row>
    <row r="1121" spans="1:26" ht="12.75" customHeight="1">
      <c r="A1121" s="1"/>
      <c r="B1121" s="1"/>
      <c r="C1121" s="1"/>
      <c r="D1121" s="1"/>
      <c r="E1121" s="1"/>
      <c r="F1121" s="1"/>
      <c r="G1121" s="1"/>
      <c r="H1121" s="1"/>
      <c r="I1121" s="10"/>
      <c r="J1121" s="1"/>
      <c r="K1121" s="1"/>
      <c r="L1121" s="1"/>
      <c r="M1121" s="1"/>
      <c r="N1121" s="1"/>
      <c r="O1121" s="1"/>
      <c r="P1121" s="1"/>
      <c r="Q1121" s="1"/>
      <c r="R1121" s="1"/>
      <c r="S1121" s="1"/>
      <c r="T1121" s="1"/>
      <c r="U1121" s="1"/>
      <c r="V1121" s="1"/>
      <c r="W1121" s="1"/>
      <c r="X1121" s="1"/>
      <c r="Y1121" s="1"/>
      <c r="Z1121" s="1"/>
    </row>
    <row r="1122" spans="1:26" ht="12.75" customHeight="1">
      <c r="A1122" s="1"/>
      <c r="B1122" s="1"/>
      <c r="C1122" s="1"/>
      <c r="D1122" s="8" t="s">
        <v>1145</v>
      </c>
      <c r="E1122" s="1"/>
      <c r="F1122" s="1"/>
      <c r="G1122" s="1"/>
      <c r="H1122" s="1"/>
      <c r="I1122" s="10"/>
      <c r="J1122" s="1"/>
      <c r="K1122" s="1"/>
      <c r="L1122" s="1"/>
      <c r="M1122" s="1"/>
      <c r="N1122" s="1"/>
      <c r="O1122" s="1"/>
      <c r="P1122" s="1"/>
      <c r="Q1122" s="1"/>
      <c r="R1122" s="1"/>
      <c r="S1122" s="1"/>
      <c r="T1122" s="1"/>
      <c r="U1122" s="1"/>
      <c r="V1122" s="1"/>
      <c r="W1122" s="1"/>
      <c r="X1122" s="1"/>
      <c r="Y1122" s="1"/>
      <c r="Z1122" s="1"/>
    </row>
    <row r="1123" spans="1:26" ht="12.75" customHeight="1">
      <c r="A1123" s="1"/>
      <c r="B1123" s="1"/>
      <c r="C1123" s="1"/>
      <c r="D1123" s="1" t="s">
        <v>1146</v>
      </c>
      <c r="E1123" s="1"/>
      <c r="F1123" s="1"/>
      <c r="G1123" s="1"/>
      <c r="H1123" s="1"/>
      <c r="I1123" s="10"/>
      <c r="J1123" s="1"/>
      <c r="K1123" s="1"/>
      <c r="L1123" s="1"/>
      <c r="M1123" s="1"/>
      <c r="N1123" s="1"/>
      <c r="O1123" s="1"/>
      <c r="P1123" s="1"/>
      <c r="Q1123" s="1"/>
      <c r="R1123" s="1"/>
      <c r="S1123" s="1"/>
      <c r="T1123" s="1"/>
      <c r="U1123" s="1"/>
      <c r="V1123" s="1"/>
      <c r="W1123" s="1"/>
      <c r="X1123" s="1"/>
      <c r="Y1123" s="1"/>
      <c r="Z1123" s="1"/>
    </row>
    <row r="1124" spans="1:26" ht="12.75" customHeight="1">
      <c r="A1124" s="1"/>
      <c r="B1124" s="1"/>
      <c r="C1124" s="1"/>
      <c r="D1124" s="8"/>
      <c r="E1124" s="1"/>
      <c r="F1124" s="1"/>
      <c r="G1124" s="1"/>
      <c r="H1124" s="1"/>
      <c r="I1124" s="10"/>
      <c r="J1124" s="1"/>
      <c r="K1124" s="1"/>
      <c r="L1124" s="1"/>
      <c r="M1124" s="1"/>
      <c r="N1124" s="1"/>
      <c r="O1124" s="1"/>
      <c r="P1124" s="1"/>
      <c r="Q1124" s="1"/>
      <c r="R1124" s="1"/>
      <c r="S1124" s="1"/>
      <c r="T1124" s="1"/>
      <c r="U1124" s="1"/>
      <c r="V1124" s="1"/>
      <c r="W1124" s="1"/>
      <c r="X1124" s="1"/>
      <c r="Y1124" s="1"/>
      <c r="Z1124" s="1"/>
    </row>
    <row r="1125" spans="1:26" ht="12.75" customHeight="1">
      <c r="A1125" s="1"/>
      <c r="B1125" s="21" t="s">
        <v>27</v>
      </c>
      <c r="C1125" s="1"/>
      <c r="D1125" s="894" t="s">
        <v>1150</v>
      </c>
      <c r="E1125" s="893"/>
      <c r="F1125" s="893"/>
      <c r="G1125" s="1"/>
      <c r="H1125" s="1"/>
      <c r="I1125" s="10"/>
      <c r="J1125" s="1"/>
      <c r="K1125" s="1"/>
      <c r="L1125" s="1"/>
      <c r="M1125" s="1"/>
      <c r="N1125" s="1"/>
      <c r="O1125" s="1"/>
      <c r="P1125" s="1"/>
      <c r="Q1125" s="1"/>
      <c r="R1125" s="1"/>
      <c r="S1125" s="1"/>
      <c r="T1125" s="1"/>
      <c r="U1125" s="1"/>
      <c r="V1125" s="1"/>
      <c r="W1125" s="1"/>
      <c r="X1125" s="1"/>
      <c r="Y1125" s="1"/>
      <c r="Z1125" s="1"/>
    </row>
    <row r="1126" spans="1:26" ht="12.75" customHeight="1">
      <c r="A1126" s="1"/>
      <c r="B1126" s="1"/>
      <c r="C1126" s="1"/>
      <c r="D1126" s="893"/>
      <c r="E1126" s="893"/>
      <c r="F1126" s="893"/>
      <c r="G1126" s="1"/>
      <c r="H1126" s="1"/>
      <c r="I1126" s="10"/>
      <c r="J1126" s="1"/>
      <c r="K1126" s="1"/>
      <c r="L1126" s="1"/>
      <c r="M1126" s="1"/>
      <c r="N1126" s="1"/>
      <c r="O1126" s="1"/>
      <c r="P1126" s="1"/>
      <c r="Q1126" s="1"/>
      <c r="R1126" s="1"/>
      <c r="S1126" s="1"/>
      <c r="T1126" s="1"/>
      <c r="U1126" s="1"/>
      <c r="V1126" s="1"/>
      <c r="W1126" s="1"/>
      <c r="X1126" s="1"/>
      <c r="Y1126" s="1"/>
      <c r="Z1126" s="1"/>
    </row>
    <row r="1127" spans="1:26" ht="12.75" customHeight="1">
      <c r="A1127" s="1"/>
      <c r="B1127" s="1"/>
      <c r="C1127" s="1"/>
      <c r="D1127" s="893"/>
      <c r="E1127" s="893"/>
      <c r="F1127" s="893"/>
      <c r="G1127" s="1"/>
      <c r="H1127" s="1"/>
      <c r="I1127" s="10"/>
      <c r="J1127" s="1"/>
      <c r="K1127" s="1"/>
      <c r="L1127" s="1"/>
      <c r="M1127" s="1"/>
      <c r="N1127" s="1"/>
      <c r="O1127" s="1"/>
      <c r="P1127" s="1"/>
      <c r="Q1127" s="1"/>
      <c r="R1127" s="1"/>
      <c r="S1127" s="1"/>
      <c r="T1127" s="1"/>
      <c r="U1127" s="1"/>
      <c r="V1127" s="1"/>
      <c r="W1127" s="1"/>
      <c r="X1127" s="1"/>
      <c r="Y1127" s="1"/>
      <c r="Z1127" s="1"/>
    </row>
    <row r="1128" spans="1:26" ht="12.75" customHeight="1">
      <c r="A1128" s="1"/>
      <c r="B1128" s="1"/>
      <c r="C1128" s="1"/>
      <c r="D1128" s="893"/>
      <c r="E1128" s="893"/>
      <c r="F1128" s="893"/>
      <c r="G1128" s="1"/>
      <c r="H1128" s="1"/>
      <c r="I1128" s="10"/>
      <c r="J1128" s="1"/>
      <c r="K1128" s="1"/>
      <c r="L1128" s="1"/>
      <c r="M1128" s="1"/>
      <c r="N1128" s="1"/>
      <c r="O1128" s="1"/>
      <c r="P1128" s="1"/>
      <c r="Q1128" s="1"/>
      <c r="R1128" s="1"/>
      <c r="S1128" s="1"/>
      <c r="T1128" s="1"/>
      <c r="U1128" s="1"/>
      <c r="V1128" s="1"/>
      <c r="W1128" s="1"/>
      <c r="X1128" s="1"/>
      <c r="Y1128" s="1"/>
      <c r="Z1128" s="1"/>
    </row>
    <row r="1129" spans="1:26" ht="12.75" customHeight="1">
      <c r="A1129" s="1"/>
      <c r="B1129" s="1"/>
      <c r="C1129" s="1"/>
      <c r="D1129" s="1"/>
      <c r="E1129" s="1"/>
      <c r="F1129" s="1"/>
      <c r="G1129" s="1"/>
      <c r="H1129" s="1"/>
      <c r="I1129" s="10"/>
      <c r="J1129" s="1"/>
      <c r="K1129" s="1"/>
      <c r="L1129" s="1"/>
      <c r="M1129" s="1"/>
      <c r="N1129" s="1"/>
      <c r="O1129" s="1"/>
      <c r="P1129" s="1"/>
      <c r="Q1129" s="1"/>
      <c r="R1129" s="1"/>
      <c r="S1129" s="1"/>
      <c r="T1129" s="1"/>
      <c r="U1129" s="1"/>
      <c r="V1129" s="1"/>
      <c r="W1129" s="1"/>
      <c r="X1129" s="1"/>
      <c r="Y1129" s="1"/>
      <c r="Z1129" s="1"/>
    </row>
    <row r="1130" spans="1:26" ht="12.75" customHeight="1">
      <c r="A1130" s="1"/>
      <c r="B1130" s="1"/>
      <c r="C1130" s="1"/>
      <c r="D1130" s="8" t="s">
        <v>1156</v>
      </c>
      <c r="E1130" s="1"/>
      <c r="F1130" s="1"/>
      <c r="G1130" s="1"/>
      <c r="H1130" s="1"/>
      <c r="I1130" s="10"/>
      <c r="J1130" s="1"/>
      <c r="K1130" s="1"/>
      <c r="L1130" s="1"/>
      <c r="M1130" s="1"/>
      <c r="N1130" s="1"/>
      <c r="O1130" s="1"/>
      <c r="P1130" s="1"/>
      <c r="Q1130" s="1"/>
      <c r="R1130" s="1"/>
      <c r="S1130" s="1"/>
      <c r="T1130" s="1"/>
      <c r="U1130" s="1"/>
      <c r="V1130" s="1"/>
      <c r="W1130" s="1"/>
      <c r="X1130" s="1"/>
      <c r="Y1130" s="1"/>
      <c r="Z1130" s="1"/>
    </row>
    <row r="1131" spans="1:26" ht="12.75" customHeight="1">
      <c r="A1131" s="1"/>
      <c r="B1131" s="1"/>
      <c r="C1131" s="1"/>
      <c r="D1131" s="1" t="s">
        <v>1158</v>
      </c>
      <c r="E1131" s="1"/>
      <c r="F1131" s="1"/>
      <c r="G1131" s="1"/>
      <c r="H1131" s="1"/>
      <c r="I1131" s="10"/>
      <c r="J1131" s="1"/>
      <c r="K1131" s="1"/>
      <c r="L1131" s="1"/>
      <c r="M1131" s="1"/>
      <c r="N1131" s="1"/>
      <c r="O1131" s="1"/>
      <c r="P1131" s="1"/>
      <c r="Q1131" s="1"/>
      <c r="R1131" s="1"/>
      <c r="S1131" s="1"/>
      <c r="T1131" s="1"/>
      <c r="U1131" s="1"/>
      <c r="V1131" s="1"/>
      <c r="W1131" s="1"/>
      <c r="X1131" s="1"/>
      <c r="Y1131" s="1"/>
      <c r="Z1131" s="1"/>
    </row>
    <row r="1132" spans="1:26" ht="12.75" customHeight="1">
      <c r="A1132" s="1"/>
      <c r="B1132" s="1"/>
      <c r="C1132" s="1"/>
      <c r="D1132" s="1"/>
      <c r="E1132" s="1"/>
      <c r="F1132" s="1"/>
      <c r="G1132" s="1"/>
      <c r="H1132" s="1"/>
      <c r="I1132" s="10"/>
      <c r="J1132" s="1"/>
      <c r="K1132" s="1"/>
      <c r="L1132" s="1"/>
      <c r="M1132" s="1"/>
      <c r="N1132" s="1"/>
      <c r="O1132" s="1"/>
      <c r="P1132" s="1"/>
      <c r="Q1132" s="1"/>
      <c r="R1132" s="1"/>
      <c r="S1132" s="1"/>
      <c r="T1132" s="1"/>
      <c r="U1132" s="1"/>
      <c r="V1132" s="1"/>
      <c r="W1132" s="1"/>
      <c r="X1132" s="1"/>
      <c r="Y1132" s="1"/>
      <c r="Z1132" s="1"/>
    </row>
    <row r="1133" spans="1:26" ht="12.75" customHeight="1">
      <c r="A1133" s="1"/>
      <c r="B1133" s="21" t="s">
        <v>27</v>
      </c>
      <c r="C1133" s="1"/>
      <c r="D1133" s="1" t="s">
        <v>967</v>
      </c>
      <c r="E1133" s="1"/>
      <c r="F1133" s="1"/>
      <c r="G1133" s="1"/>
      <c r="H1133" s="1"/>
      <c r="I1133" s="10"/>
      <c r="J1133" s="1"/>
      <c r="K1133" s="1"/>
      <c r="L1133" s="1"/>
      <c r="M1133" s="1"/>
      <c r="N1133" s="1"/>
      <c r="O1133" s="1"/>
      <c r="P1133" s="1"/>
      <c r="Q1133" s="1"/>
      <c r="R1133" s="1"/>
      <c r="S1133" s="1"/>
      <c r="T1133" s="1"/>
      <c r="U1133" s="1"/>
      <c r="V1133" s="1"/>
      <c r="W1133" s="1"/>
      <c r="X1133" s="1"/>
      <c r="Y1133" s="1"/>
      <c r="Z1133" s="1"/>
    </row>
    <row r="1134" spans="1:26" ht="12.75" customHeight="1">
      <c r="A1134" s="1"/>
      <c r="B1134" s="1"/>
      <c r="C1134" s="1"/>
      <c r="D1134" s="1"/>
      <c r="E1134" s="1"/>
      <c r="F1134" s="1"/>
      <c r="G1134" s="1"/>
      <c r="H1134" s="1"/>
      <c r="I1134" s="10"/>
      <c r="J1134" s="1"/>
      <c r="K1134" s="1"/>
      <c r="L1134" s="1"/>
      <c r="M1134" s="1"/>
      <c r="N1134" s="1"/>
      <c r="O1134" s="1"/>
      <c r="P1134" s="1"/>
      <c r="Q1134" s="1"/>
      <c r="R1134" s="1"/>
      <c r="S1134" s="1"/>
      <c r="T1134" s="1"/>
      <c r="U1134" s="1"/>
      <c r="V1134" s="1"/>
      <c r="W1134" s="1"/>
      <c r="X1134" s="1"/>
      <c r="Y1134" s="1"/>
      <c r="Z1134" s="1"/>
    </row>
    <row r="1135" spans="1:26" ht="12.75" customHeight="1">
      <c r="A1135" s="1"/>
      <c r="B1135" s="21" t="s">
        <v>27</v>
      </c>
      <c r="C1135" s="1"/>
      <c r="D1135" s="894" t="s">
        <v>1162</v>
      </c>
      <c r="E1135" s="893"/>
      <c r="F1135" s="893"/>
      <c r="G1135" s="1"/>
      <c r="H1135" s="1"/>
      <c r="I1135" s="10"/>
      <c r="J1135" s="1"/>
      <c r="K1135" s="1"/>
      <c r="L1135" s="1"/>
      <c r="M1135" s="1"/>
      <c r="N1135" s="1"/>
      <c r="O1135" s="1"/>
      <c r="P1135" s="1"/>
      <c r="Q1135" s="1"/>
      <c r="R1135" s="1"/>
      <c r="S1135" s="1"/>
      <c r="T1135" s="1"/>
      <c r="U1135" s="1"/>
      <c r="V1135" s="1"/>
      <c r="W1135" s="1"/>
      <c r="X1135" s="1"/>
      <c r="Y1135" s="1"/>
      <c r="Z1135" s="1"/>
    </row>
    <row r="1136" spans="1:26" ht="12.75" customHeight="1">
      <c r="A1136" s="1"/>
      <c r="B1136" s="1"/>
      <c r="C1136" s="1"/>
      <c r="D1136" s="893"/>
      <c r="E1136" s="893"/>
      <c r="F1136" s="893"/>
      <c r="G1136" s="1"/>
      <c r="H1136" s="1"/>
      <c r="I1136" s="10"/>
      <c r="J1136" s="1"/>
      <c r="K1136" s="1"/>
      <c r="L1136" s="1"/>
      <c r="M1136" s="1"/>
      <c r="N1136" s="1"/>
      <c r="O1136" s="1"/>
      <c r="P1136" s="1"/>
      <c r="Q1136" s="1"/>
      <c r="R1136" s="1"/>
      <c r="S1136" s="1"/>
      <c r="T1136" s="1"/>
      <c r="U1136" s="1"/>
      <c r="V1136" s="1"/>
      <c r="W1136" s="1"/>
      <c r="X1136" s="1"/>
      <c r="Y1136" s="1"/>
      <c r="Z1136" s="1"/>
    </row>
    <row r="1137" spans="1:26" ht="12.75" customHeight="1">
      <c r="A1137" s="1"/>
      <c r="B1137" s="1"/>
      <c r="C1137" s="1"/>
      <c r="D1137" s="893"/>
      <c r="E1137" s="893"/>
      <c r="F1137" s="893"/>
      <c r="G1137" s="1"/>
      <c r="H1137" s="1"/>
      <c r="I1137" s="10"/>
      <c r="J1137" s="1"/>
      <c r="K1137" s="1"/>
      <c r="L1137" s="1"/>
      <c r="M1137" s="1"/>
      <c r="N1137" s="1"/>
      <c r="O1137" s="1"/>
      <c r="P1137" s="1"/>
      <c r="Q1137" s="1"/>
      <c r="R1137" s="1"/>
      <c r="S1137" s="1"/>
      <c r="T1137" s="1"/>
      <c r="U1137" s="1"/>
      <c r="V1137" s="1"/>
      <c r="W1137" s="1"/>
      <c r="X1137" s="1"/>
      <c r="Y1137" s="1"/>
      <c r="Z1137" s="1"/>
    </row>
    <row r="1138" spans="1:26" ht="12.75" customHeight="1">
      <c r="A1138" s="1"/>
      <c r="B1138" s="1"/>
      <c r="C1138" s="1"/>
      <c r="D1138" s="893"/>
      <c r="E1138" s="893"/>
      <c r="F1138" s="893"/>
      <c r="G1138" s="1"/>
      <c r="H1138" s="1"/>
      <c r="I1138" s="10"/>
      <c r="J1138" s="1"/>
      <c r="K1138" s="1"/>
      <c r="L1138" s="1"/>
      <c r="M1138" s="1"/>
      <c r="N1138" s="1"/>
      <c r="O1138" s="1"/>
      <c r="P1138" s="1"/>
      <c r="Q1138" s="1"/>
      <c r="R1138" s="1"/>
      <c r="S1138" s="1"/>
      <c r="T1138" s="1"/>
      <c r="U1138" s="1"/>
      <c r="V1138" s="1"/>
      <c r="W1138" s="1"/>
      <c r="X1138" s="1"/>
      <c r="Y1138" s="1"/>
      <c r="Z1138" s="1"/>
    </row>
    <row r="1139" spans="1:26" ht="12.75" customHeight="1">
      <c r="A1139" s="1"/>
      <c r="B1139" s="1"/>
      <c r="C1139" s="1"/>
      <c r="D1139" s="893"/>
      <c r="E1139" s="893"/>
      <c r="F1139" s="893"/>
      <c r="G1139" s="1"/>
      <c r="H1139" s="1"/>
      <c r="I1139" s="10"/>
      <c r="J1139" s="1"/>
      <c r="K1139" s="1"/>
      <c r="L1139" s="1"/>
      <c r="M1139" s="1"/>
      <c r="N1139" s="1"/>
      <c r="O1139" s="1"/>
      <c r="P1139" s="1"/>
      <c r="Q1139" s="1"/>
      <c r="R1139" s="1"/>
      <c r="S1139" s="1"/>
      <c r="T1139" s="1"/>
      <c r="U1139" s="1"/>
      <c r="V1139" s="1"/>
      <c r="W1139" s="1"/>
      <c r="X1139" s="1"/>
      <c r="Y1139" s="1"/>
      <c r="Z1139" s="1"/>
    </row>
    <row r="1140" spans="1:26" ht="12.75" customHeight="1">
      <c r="A1140" s="1"/>
      <c r="B1140" s="1"/>
      <c r="C1140" s="1"/>
      <c r="D1140" s="1"/>
      <c r="E1140" s="1"/>
      <c r="F1140" s="1"/>
      <c r="G1140" s="1"/>
      <c r="H1140" s="1"/>
      <c r="I1140" s="10"/>
      <c r="J1140" s="1"/>
      <c r="K1140" s="1"/>
      <c r="L1140" s="1"/>
      <c r="M1140" s="1"/>
      <c r="N1140" s="1"/>
      <c r="O1140" s="1"/>
      <c r="P1140" s="1"/>
      <c r="Q1140" s="1"/>
      <c r="R1140" s="1"/>
      <c r="S1140" s="1"/>
      <c r="T1140" s="1"/>
      <c r="U1140" s="1"/>
      <c r="V1140" s="1"/>
      <c r="W1140" s="1"/>
      <c r="X1140" s="1"/>
      <c r="Y1140" s="1"/>
      <c r="Z1140" s="1"/>
    </row>
    <row r="1141" spans="1:26" ht="12.75" customHeight="1">
      <c r="A1141" s="920" t="s">
        <v>1171</v>
      </c>
      <c r="B1141" s="921"/>
      <c r="C1141" s="921"/>
      <c r="D1141" s="921"/>
      <c r="E1141" s="921"/>
      <c r="F1141" s="921"/>
      <c r="G1141" s="921"/>
      <c r="H1141" s="5"/>
      <c r="I1141" s="39"/>
      <c r="J1141" s="1"/>
      <c r="K1141" s="1"/>
      <c r="L1141" s="1"/>
      <c r="M1141" s="1"/>
      <c r="N1141" s="1"/>
      <c r="O1141" s="1"/>
      <c r="P1141" s="1"/>
      <c r="Q1141" s="1"/>
      <c r="R1141" s="1"/>
      <c r="S1141" s="1"/>
      <c r="T1141" s="1"/>
      <c r="U1141" s="1"/>
      <c r="V1141" s="1"/>
      <c r="W1141" s="1"/>
      <c r="X1141" s="1"/>
      <c r="Y1141" s="1"/>
      <c r="Z1141" s="1"/>
    </row>
    <row r="1142" spans="1:26" ht="12.75" customHeight="1">
      <c r="A1142" s="1"/>
      <c r="B1142" s="1"/>
      <c r="C1142" s="1"/>
      <c r="D1142" s="1"/>
      <c r="E1142" s="1"/>
      <c r="F1142" s="1"/>
      <c r="G1142" s="1"/>
      <c r="H1142" s="1"/>
      <c r="I1142" s="10"/>
      <c r="J1142" s="1"/>
      <c r="K1142" s="1"/>
      <c r="L1142" s="1"/>
      <c r="M1142" s="1"/>
      <c r="N1142" s="1"/>
      <c r="O1142" s="1"/>
      <c r="P1142" s="1"/>
      <c r="Q1142" s="1"/>
      <c r="R1142" s="1"/>
      <c r="S1142" s="1"/>
      <c r="T1142" s="1"/>
      <c r="U1142" s="1"/>
      <c r="V1142" s="1"/>
      <c r="W1142" s="1"/>
      <c r="X1142" s="1"/>
      <c r="Y1142" s="1"/>
      <c r="Z1142" s="1"/>
    </row>
    <row r="1143" spans="1:26" ht="12.75" customHeight="1">
      <c r="A1143" s="1"/>
      <c r="B1143" s="1"/>
      <c r="C1143" s="1"/>
      <c r="D1143" s="1"/>
      <c r="E1143" s="1"/>
      <c r="F1143" s="1"/>
      <c r="G1143" s="1"/>
      <c r="H1143" s="1"/>
      <c r="I1143" s="10"/>
      <c r="J1143" s="1"/>
      <c r="K1143" s="1"/>
      <c r="L1143" s="1"/>
      <c r="M1143" s="1"/>
      <c r="N1143" s="1"/>
      <c r="O1143" s="1"/>
      <c r="P1143" s="1"/>
      <c r="Q1143" s="1"/>
      <c r="R1143" s="1"/>
      <c r="S1143" s="1"/>
      <c r="T1143" s="1"/>
      <c r="U1143" s="1"/>
      <c r="V1143" s="1"/>
      <c r="W1143" s="1"/>
      <c r="X1143" s="1"/>
      <c r="Y1143" s="1"/>
      <c r="Z1143" s="1"/>
    </row>
    <row r="1144" spans="1:26" ht="12.75" customHeight="1">
      <c r="A1144" s="1"/>
      <c r="B1144" s="21" t="s">
        <v>27</v>
      </c>
      <c r="C1144" s="1"/>
      <c r="D1144" s="52" t="s">
        <v>1173</v>
      </c>
      <c r="E1144" s="1"/>
      <c r="F1144" s="1"/>
      <c r="G1144" s="1"/>
      <c r="H1144" s="1"/>
      <c r="I1144" s="10"/>
      <c r="J1144" s="1"/>
      <c r="K1144" s="1"/>
      <c r="L1144" s="1"/>
      <c r="M1144" s="1"/>
      <c r="N1144" s="1"/>
      <c r="O1144" s="1"/>
      <c r="P1144" s="1"/>
      <c r="Q1144" s="1"/>
      <c r="R1144" s="1"/>
      <c r="S1144" s="1"/>
      <c r="T1144" s="1"/>
      <c r="U1144" s="1"/>
      <c r="V1144" s="1"/>
      <c r="W1144" s="1"/>
      <c r="X1144" s="1"/>
      <c r="Y1144" s="1"/>
      <c r="Z1144" s="1"/>
    </row>
    <row r="1145" spans="1:26" ht="12.75" customHeight="1">
      <c r="A1145" s="1"/>
      <c r="B1145" s="1"/>
      <c r="C1145" s="1"/>
      <c r="D1145" s="52" t="s">
        <v>1175</v>
      </c>
      <c r="E1145" s="1"/>
      <c r="F1145" s="1"/>
      <c r="G1145" s="1"/>
      <c r="H1145" s="1"/>
      <c r="I1145" s="10"/>
      <c r="J1145" s="1"/>
      <c r="K1145" s="1"/>
      <c r="L1145" s="1"/>
      <c r="M1145" s="1"/>
      <c r="N1145" s="1"/>
      <c r="O1145" s="1"/>
      <c r="P1145" s="1"/>
      <c r="Q1145" s="1"/>
      <c r="R1145" s="1"/>
      <c r="S1145" s="1"/>
      <c r="T1145" s="1"/>
      <c r="U1145" s="1"/>
      <c r="V1145" s="1"/>
      <c r="W1145" s="1"/>
      <c r="X1145" s="1"/>
      <c r="Y1145" s="1"/>
      <c r="Z1145" s="1"/>
    </row>
    <row r="1146" spans="1:26" ht="12.75" customHeight="1">
      <c r="A1146" s="1"/>
      <c r="B1146" s="1"/>
      <c r="C1146" s="1"/>
      <c r="D1146" s="52"/>
      <c r="E1146" s="1"/>
      <c r="F1146" s="1"/>
      <c r="G1146" s="1"/>
      <c r="H1146" s="1"/>
      <c r="I1146" s="10"/>
      <c r="J1146" s="1"/>
      <c r="K1146" s="1"/>
      <c r="L1146" s="1"/>
      <c r="M1146" s="1"/>
      <c r="N1146" s="1"/>
      <c r="O1146" s="1"/>
      <c r="P1146" s="1"/>
      <c r="Q1146" s="1"/>
      <c r="R1146" s="1"/>
      <c r="S1146" s="1"/>
      <c r="T1146" s="1"/>
      <c r="U1146" s="1"/>
      <c r="V1146" s="1"/>
      <c r="W1146" s="1"/>
      <c r="X1146" s="1"/>
      <c r="Y1146" s="1"/>
      <c r="Z1146" s="1"/>
    </row>
    <row r="1147" spans="1:26" ht="12.75" customHeight="1">
      <c r="A1147" s="1"/>
      <c r="B1147" s="21" t="s">
        <v>27</v>
      </c>
      <c r="C1147" s="1"/>
      <c r="D1147" s="923" t="s">
        <v>1177</v>
      </c>
      <c r="E1147" s="893"/>
      <c r="F1147" s="893"/>
      <c r="G1147" s="1"/>
      <c r="H1147" s="1"/>
      <c r="I1147" s="10"/>
      <c r="J1147" s="1"/>
      <c r="K1147" s="1"/>
      <c r="L1147" s="1"/>
      <c r="M1147" s="1"/>
      <c r="N1147" s="1"/>
      <c r="O1147" s="1"/>
      <c r="P1147" s="1"/>
      <c r="Q1147" s="1"/>
      <c r="R1147" s="1"/>
      <c r="S1147" s="1"/>
      <c r="T1147" s="1"/>
      <c r="U1147" s="1"/>
      <c r="V1147" s="1"/>
      <c r="W1147" s="1"/>
      <c r="X1147" s="1"/>
      <c r="Y1147" s="1"/>
      <c r="Z1147" s="1"/>
    </row>
    <row r="1148" spans="1:26" ht="12.75" customHeight="1">
      <c r="A1148" s="1"/>
      <c r="B1148" s="1"/>
      <c r="C1148" s="1"/>
      <c r="D1148" s="893"/>
      <c r="E1148" s="893"/>
      <c r="F1148" s="893"/>
      <c r="G1148" s="1"/>
      <c r="H1148" s="1"/>
      <c r="I1148" s="10"/>
      <c r="J1148" s="1"/>
      <c r="K1148" s="1"/>
      <c r="L1148" s="1"/>
      <c r="M1148" s="1"/>
      <c r="N1148" s="1"/>
      <c r="O1148" s="1"/>
      <c r="P1148" s="1"/>
      <c r="Q1148" s="1"/>
      <c r="R1148" s="1"/>
      <c r="S1148" s="1"/>
      <c r="T1148" s="1"/>
      <c r="U1148" s="1"/>
      <c r="V1148" s="1"/>
      <c r="W1148" s="1"/>
      <c r="X1148" s="1"/>
      <c r="Y1148" s="1"/>
      <c r="Z1148" s="1"/>
    </row>
    <row r="1149" spans="1:26" ht="12.75" customHeight="1">
      <c r="A1149" s="1"/>
      <c r="B1149" s="1"/>
      <c r="C1149" s="1"/>
      <c r="D1149" s="52" t="s">
        <v>1178</v>
      </c>
      <c r="E1149" s="1"/>
      <c r="F1149" s="1"/>
      <c r="G1149" s="1"/>
      <c r="H1149" s="1"/>
      <c r="I1149" s="10"/>
      <c r="J1149" s="1"/>
      <c r="K1149" s="1"/>
      <c r="L1149" s="1"/>
      <c r="M1149" s="1"/>
      <c r="N1149" s="1"/>
      <c r="O1149" s="1"/>
      <c r="P1149" s="1"/>
      <c r="Q1149" s="1"/>
      <c r="R1149" s="1"/>
      <c r="S1149" s="1"/>
      <c r="T1149" s="1"/>
      <c r="U1149" s="1"/>
      <c r="V1149" s="1"/>
      <c r="W1149" s="1"/>
      <c r="X1149" s="1"/>
      <c r="Y1149" s="1"/>
      <c r="Z1149" s="1"/>
    </row>
    <row r="1150" spans="1:26" ht="12.75" customHeight="1">
      <c r="A1150" s="1"/>
      <c r="B1150" s="1"/>
      <c r="C1150" s="1"/>
      <c r="D1150" s="52"/>
      <c r="E1150" s="1"/>
      <c r="F1150" s="1"/>
      <c r="G1150" s="1"/>
      <c r="H1150" s="1"/>
      <c r="I1150" s="10"/>
      <c r="J1150" s="1"/>
      <c r="K1150" s="1"/>
      <c r="L1150" s="1"/>
      <c r="M1150" s="1"/>
      <c r="N1150" s="1"/>
      <c r="O1150" s="1"/>
      <c r="P1150" s="1"/>
      <c r="Q1150" s="1"/>
      <c r="R1150" s="1"/>
      <c r="S1150" s="1"/>
      <c r="T1150" s="1"/>
      <c r="U1150" s="1"/>
      <c r="V1150" s="1"/>
      <c r="W1150" s="1"/>
      <c r="X1150" s="1"/>
      <c r="Y1150" s="1"/>
      <c r="Z1150" s="1"/>
    </row>
    <row r="1151" spans="1:26" ht="12.75" customHeight="1">
      <c r="A1151" s="1"/>
      <c r="B1151" s="21" t="s">
        <v>27</v>
      </c>
      <c r="C1151" s="1"/>
      <c r="D1151" s="41" t="s">
        <v>1179</v>
      </c>
      <c r="E1151" s="1"/>
      <c r="F1151" s="1"/>
      <c r="G1151" s="1"/>
      <c r="H1151" s="1"/>
      <c r="I1151" s="10"/>
      <c r="J1151" s="1"/>
      <c r="K1151" s="1"/>
      <c r="L1151" s="1"/>
      <c r="M1151" s="1"/>
      <c r="N1151" s="1"/>
      <c r="O1151" s="1"/>
      <c r="P1151" s="1"/>
      <c r="Q1151" s="1"/>
      <c r="R1151" s="1"/>
      <c r="S1151" s="1"/>
      <c r="T1151" s="1"/>
      <c r="U1151" s="1"/>
      <c r="V1151" s="1"/>
      <c r="W1151" s="1"/>
      <c r="X1151" s="1"/>
      <c r="Y1151" s="1"/>
      <c r="Z1151" s="1"/>
    </row>
    <row r="1152" spans="1:26" ht="12.75" customHeight="1">
      <c r="A1152" s="1"/>
      <c r="B1152" s="1"/>
      <c r="C1152" s="1"/>
      <c r="D1152" s="895" t="s">
        <v>1180</v>
      </c>
      <c r="E1152" s="893"/>
      <c r="F1152" s="893"/>
      <c r="G1152" s="1"/>
      <c r="H1152" s="1"/>
      <c r="I1152" s="10"/>
      <c r="J1152" s="1"/>
      <c r="K1152" s="1"/>
      <c r="L1152" s="1"/>
      <c r="M1152" s="1"/>
      <c r="N1152" s="1"/>
      <c r="O1152" s="1"/>
      <c r="P1152" s="1"/>
      <c r="Q1152" s="1"/>
      <c r="R1152" s="1"/>
      <c r="S1152" s="1"/>
      <c r="T1152" s="1"/>
      <c r="U1152" s="1"/>
      <c r="V1152" s="1"/>
      <c r="W1152" s="1"/>
      <c r="X1152" s="1"/>
      <c r="Y1152" s="1"/>
      <c r="Z1152" s="1"/>
    </row>
    <row r="1153" spans="1:26" ht="12.75" customHeight="1">
      <c r="A1153" s="1"/>
      <c r="B1153" s="1"/>
      <c r="C1153" s="1"/>
      <c r="D1153" s="893"/>
      <c r="E1153" s="893"/>
      <c r="F1153" s="893"/>
      <c r="G1153" s="1"/>
      <c r="H1153" s="1"/>
      <c r="I1153" s="10"/>
      <c r="J1153" s="1"/>
      <c r="K1153" s="1"/>
      <c r="L1153" s="1"/>
      <c r="M1153" s="1"/>
      <c r="N1153" s="1"/>
      <c r="O1153" s="1"/>
      <c r="P1153" s="1"/>
      <c r="Q1153" s="1"/>
      <c r="R1153" s="1"/>
      <c r="S1153" s="1"/>
      <c r="T1153" s="1"/>
      <c r="U1153" s="1"/>
      <c r="V1153" s="1"/>
      <c r="W1153" s="1"/>
      <c r="X1153" s="1"/>
      <c r="Y1153" s="1"/>
      <c r="Z1153" s="1"/>
    </row>
    <row r="1154" spans="1:26" ht="12.75" customHeight="1">
      <c r="A1154" s="1"/>
      <c r="B1154" s="1"/>
      <c r="C1154" s="1"/>
      <c r="D1154" s="893"/>
      <c r="E1154" s="893"/>
      <c r="F1154" s="893"/>
      <c r="G1154" s="1"/>
      <c r="H1154" s="1"/>
      <c r="I1154" s="10"/>
      <c r="J1154" s="1"/>
      <c r="K1154" s="1"/>
      <c r="L1154" s="1"/>
      <c r="M1154" s="1"/>
      <c r="N1154" s="1"/>
      <c r="O1154" s="1"/>
      <c r="P1154" s="1"/>
      <c r="Q1154" s="1"/>
      <c r="R1154" s="1"/>
      <c r="S1154" s="1"/>
      <c r="T1154" s="1"/>
      <c r="U1154" s="1"/>
      <c r="V1154" s="1"/>
      <c r="W1154" s="1"/>
      <c r="X1154" s="1"/>
      <c r="Y1154" s="1"/>
      <c r="Z1154" s="1"/>
    </row>
    <row r="1155" spans="1:26" ht="12.75" customHeight="1">
      <c r="A1155" s="1"/>
      <c r="B1155" s="1"/>
      <c r="C1155" s="1"/>
      <c r="D1155" s="893"/>
      <c r="E1155" s="893"/>
      <c r="F1155" s="893"/>
      <c r="G1155" s="1"/>
      <c r="H1155" s="1"/>
      <c r="I1155" s="10"/>
      <c r="J1155" s="1"/>
      <c r="K1155" s="1"/>
      <c r="L1155" s="1"/>
      <c r="M1155" s="1"/>
      <c r="N1155" s="1"/>
      <c r="O1155" s="1"/>
      <c r="P1155" s="1"/>
      <c r="Q1155" s="1"/>
      <c r="R1155" s="1"/>
      <c r="S1155" s="1"/>
      <c r="T1155" s="1"/>
      <c r="U1155" s="1"/>
      <c r="V1155" s="1"/>
      <c r="W1155" s="1"/>
      <c r="X1155" s="1"/>
      <c r="Y1155" s="1"/>
      <c r="Z1155" s="1"/>
    </row>
    <row r="1156" spans="1:26" ht="12.75" customHeight="1">
      <c r="A1156" s="1"/>
      <c r="B1156" s="1"/>
      <c r="C1156" s="1"/>
      <c r="D1156" s="41" t="s">
        <v>1183</v>
      </c>
      <c r="E1156" s="1"/>
      <c r="F1156" s="1"/>
      <c r="G1156" s="1"/>
      <c r="H1156" s="1"/>
      <c r="I1156" s="10"/>
      <c r="J1156" s="1"/>
      <c r="K1156" s="1"/>
      <c r="L1156" s="1"/>
      <c r="M1156" s="1"/>
      <c r="N1156" s="1"/>
      <c r="O1156" s="1"/>
      <c r="P1156" s="1"/>
      <c r="Q1156" s="1"/>
      <c r="R1156" s="1"/>
      <c r="S1156" s="1"/>
      <c r="T1156" s="1"/>
      <c r="U1156" s="1"/>
      <c r="V1156" s="1"/>
      <c r="W1156" s="1"/>
      <c r="X1156" s="1"/>
      <c r="Y1156" s="1"/>
      <c r="Z1156" s="1"/>
    </row>
    <row r="1157" spans="1:26" ht="12.75" customHeight="1">
      <c r="A1157" s="1"/>
      <c r="B1157" s="1"/>
      <c r="C1157" s="1"/>
      <c r="D1157" s="41"/>
      <c r="E1157" s="1"/>
      <c r="F1157" s="1"/>
      <c r="G1157" s="1"/>
      <c r="H1157" s="1"/>
      <c r="I1157" s="10"/>
      <c r="J1157" s="1"/>
      <c r="K1157" s="1"/>
      <c r="L1157" s="1"/>
      <c r="M1157" s="1"/>
      <c r="N1157" s="1"/>
      <c r="O1157" s="1"/>
      <c r="P1157" s="1"/>
      <c r="Q1157" s="1"/>
      <c r="R1157" s="1"/>
      <c r="S1157" s="1"/>
      <c r="T1157" s="1"/>
      <c r="U1157" s="1"/>
      <c r="V1157" s="1"/>
      <c r="W1157" s="1"/>
      <c r="X1157" s="1"/>
      <c r="Y1157" s="1"/>
      <c r="Z1157" s="1"/>
    </row>
    <row r="1158" spans="1:26" ht="12.75" customHeight="1">
      <c r="A1158" s="1"/>
      <c r="B1158" s="1"/>
      <c r="C1158" s="1"/>
      <c r="D1158" s="52" t="s">
        <v>1185</v>
      </c>
      <c r="E1158" s="1"/>
      <c r="F1158" s="1"/>
      <c r="G1158" s="1"/>
      <c r="H1158" s="1"/>
      <c r="I1158" s="10"/>
      <c r="J1158" s="1"/>
      <c r="K1158" s="1"/>
      <c r="L1158" s="1"/>
      <c r="M1158" s="1"/>
      <c r="N1158" s="1"/>
      <c r="O1158" s="1"/>
      <c r="P1158" s="1"/>
      <c r="Q1158" s="1"/>
      <c r="R1158" s="1"/>
      <c r="S1158" s="1"/>
      <c r="T1158" s="1"/>
      <c r="U1158" s="1"/>
      <c r="V1158" s="1"/>
      <c r="W1158" s="1"/>
      <c r="X1158" s="1"/>
      <c r="Y1158" s="1"/>
      <c r="Z1158" s="1"/>
    </row>
    <row r="1159" spans="1:26" ht="12.75" customHeight="1">
      <c r="A1159" s="1"/>
      <c r="B1159" s="21" t="s">
        <v>27</v>
      </c>
      <c r="C1159" s="1"/>
      <c r="D1159" s="922" t="s">
        <v>1190</v>
      </c>
      <c r="E1159" s="893"/>
      <c r="F1159" s="893"/>
      <c r="G1159" s="1"/>
      <c r="H1159" s="1"/>
      <c r="I1159" s="10"/>
      <c r="J1159" s="1"/>
      <c r="K1159" s="1"/>
      <c r="L1159" s="1"/>
      <c r="M1159" s="1"/>
      <c r="N1159" s="1"/>
      <c r="O1159" s="1"/>
      <c r="P1159" s="1"/>
      <c r="Q1159" s="1"/>
      <c r="R1159" s="1"/>
      <c r="S1159" s="1"/>
      <c r="T1159" s="1"/>
      <c r="U1159" s="1"/>
      <c r="V1159" s="1"/>
      <c r="W1159" s="1"/>
      <c r="X1159" s="1"/>
      <c r="Y1159" s="1"/>
      <c r="Z1159" s="1"/>
    </row>
    <row r="1160" spans="1:26" ht="12.75" customHeight="1">
      <c r="A1160" s="1"/>
      <c r="B1160" s="1"/>
      <c r="C1160" s="1"/>
      <c r="D1160" s="893"/>
      <c r="E1160" s="893"/>
      <c r="F1160" s="893"/>
      <c r="G1160" s="1"/>
      <c r="H1160" s="1"/>
      <c r="I1160" s="10"/>
      <c r="J1160" s="1"/>
      <c r="K1160" s="1"/>
      <c r="L1160" s="1"/>
      <c r="M1160" s="1"/>
      <c r="N1160" s="1"/>
      <c r="O1160" s="1"/>
      <c r="P1160" s="1"/>
      <c r="Q1160" s="1"/>
      <c r="R1160" s="1"/>
      <c r="S1160" s="1"/>
      <c r="T1160" s="1"/>
      <c r="U1160" s="1"/>
      <c r="V1160" s="1"/>
      <c r="W1160" s="1"/>
      <c r="X1160" s="1"/>
      <c r="Y1160" s="1"/>
      <c r="Z1160" s="1"/>
    </row>
    <row r="1161" spans="1:26" ht="12.75" customHeight="1">
      <c r="A1161" s="1"/>
      <c r="B1161" s="1"/>
      <c r="C1161" s="1"/>
      <c r="D1161" s="893"/>
      <c r="E1161" s="893"/>
      <c r="F1161" s="893"/>
      <c r="G1161" s="1"/>
      <c r="H1161" s="1"/>
      <c r="I1161" s="10"/>
      <c r="J1161" s="1"/>
      <c r="K1161" s="1"/>
      <c r="L1161" s="1"/>
      <c r="M1161" s="1"/>
      <c r="N1161" s="1"/>
      <c r="O1161" s="1"/>
      <c r="P1161" s="1"/>
      <c r="Q1161" s="1"/>
      <c r="R1161" s="1"/>
      <c r="S1161" s="1"/>
      <c r="T1161" s="1"/>
      <c r="U1161" s="1"/>
      <c r="V1161" s="1"/>
      <c r="W1161" s="1"/>
      <c r="X1161" s="1"/>
      <c r="Y1161" s="1"/>
      <c r="Z1161" s="1"/>
    </row>
    <row r="1162" spans="1:26" ht="12.75" customHeight="1">
      <c r="A1162" s="1"/>
      <c r="B1162" s="1"/>
      <c r="C1162" s="1"/>
      <c r="D1162" s="893"/>
      <c r="E1162" s="893"/>
      <c r="F1162" s="893"/>
      <c r="G1162" s="1"/>
      <c r="H1162" s="1"/>
      <c r="I1162" s="10"/>
      <c r="J1162" s="1"/>
      <c r="K1162" s="1"/>
      <c r="L1162" s="1"/>
      <c r="M1162" s="1"/>
      <c r="N1162" s="1"/>
      <c r="O1162" s="1"/>
      <c r="P1162" s="1"/>
      <c r="Q1162" s="1"/>
      <c r="R1162" s="1"/>
      <c r="S1162" s="1"/>
      <c r="T1162" s="1"/>
      <c r="U1162" s="1"/>
      <c r="V1162" s="1"/>
      <c r="W1162" s="1"/>
      <c r="X1162" s="1"/>
      <c r="Y1162" s="1"/>
      <c r="Z1162" s="1"/>
    </row>
    <row r="1163" spans="1:26" ht="12.75" customHeight="1">
      <c r="A1163" s="1"/>
      <c r="B1163" s="1"/>
      <c r="C1163" s="1"/>
      <c r="D1163" s="893"/>
      <c r="E1163" s="893"/>
      <c r="F1163" s="893"/>
      <c r="G1163" s="1"/>
      <c r="H1163" s="1"/>
      <c r="I1163" s="10"/>
      <c r="J1163" s="1"/>
      <c r="K1163" s="1"/>
      <c r="L1163" s="1"/>
      <c r="M1163" s="1"/>
      <c r="N1163" s="1"/>
      <c r="O1163" s="1"/>
      <c r="P1163" s="1"/>
      <c r="Q1163" s="1"/>
      <c r="R1163" s="1"/>
      <c r="S1163" s="1"/>
      <c r="T1163" s="1"/>
      <c r="U1163" s="1"/>
      <c r="V1163" s="1"/>
      <c r="W1163" s="1"/>
      <c r="X1163" s="1"/>
      <c r="Y1163" s="1"/>
      <c r="Z1163" s="1"/>
    </row>
    <row r="1164" spans="1:26" ht="12.75" customHeight="1">
      <c r="A1164" s="1"/>
      <c r="B1164" s="1"/>
      <c r="C1164" s="1"/>
      <c r="D1164" s="52" t="s">
        <v>1195</v>
      </c>
      <c r="E1164" s="1"/>
      <c r="F1164" s="1"/>
      <c r="G1164" s="1"/>
      <c r="H1164" s="1"/>
      <c r="I1164" s="10"/>
      <c r="J1164" s="1"/>
      <c r="K1164" s="1"/>
      <c r="L1164" s="1"/>
      <c r="M1164" s="1"/>
      <c r="N1164" s="1"/>
      <c r="O1164" s="1"/>
      <c r="P1164" s="1"/>
      <c r="Q1164" s="1"/>
      <c r="R1164" s="1"/>
      <c r="S1164" s="1"/>
      <c r="T1164" s="1"/>
      <c r="U1164" s="1"/>
      <c r="V1164" s="1"/>
      <c r="W1164" s="1"/>
      <c r="X1164" s="1"/>
      <c r="Y1164" s="1"/>
      <c r="Z1164" s="1"/>
    </row>
    <row r="1165" spans="1:26" ht="12.75" customHeight="1">
      <c r="A1165" s="1"/>
      <c r="B1165" s="1"/>
      <c r="C1165" s="1"/>
      <c r="D1165" s="1"/>
      <c r="E1165" s="1"/>
      <c r="F1165" s="1"/>
      <c r="G1165" s="1"/>
      <c r="H1165" s="1"/>
      <c r="I1165" s="10"/>
      <c r="J1165" s="1"/>
      <c r="K1165" s="1"/>
      <c r="L1165" s="1"/>
      <c r="M1165" s="1"/>
      <c r="N1165" s="1"/>
      <c r="O1165" s="1"/>
      <c r="P1165" s="1"/>
      <c r="Q1165" s="1"/>
      <c r="R1165" s="1"/>
      <c r="S1165" s="1"/>
      <c r="T1165" s="1"/>
      <c r="U1165" s="1"/>
      <c r="V1165" s="1"/>
      <c r="W1165" s="1"/>
      <c r="X1165" s="1"/>
      <c r="Y1165" s="1"/>
      <c r="Z1165" s="1"/>
    </row>
    <row r="1166" spans="1:26" ht="12.75" customHeight="1">
      <c r="A1166" s="1"/>
      <c r="B1166" s="21" t="s">
        <v>27</v>
      </c>
      <c r="C1166" s="1"/>
      <c r="D1166" s="909" t="s">
        <v>1196</v>
      </c>
      <c r="E1166" s="893"/>
      <c r="F1166" s="893"/>
      <c r="G1166" s="1"/>
      <c r="H1166" s="1"/>
      <c r="I1166" s="10"/>
      <c r="J1166" s="1"/>
      <c r="K1166" s="1"/>
      <c r="L1166" s="1"/>
      <c r="M1166" s="1"/>
      <c r="N1166" s="1"/>
      <c r="O1166" s="1"/>
      <c r="P1166" s="1"/>
      <c r="Q1166" s="1"/>
      <c r="R1166" s="1"/>
      <c r="S1166" s="1"/>
      <c r="T1166" s="1"/>
      <c r="U1166" s="1"/>
      <c r="V1166" s="1"/>
      <c r="W1166" s="1"/>
      <c r="X1166" s="1"/>
      <c r="Y1166" s="1"/>
      <c r="Z1166" s="1"/>
    </row>
    <row r="1167" spans="1:26" ht="12.75" customHeight="1">
      <c r="A1167" s="1"/>
      <c r="B1167" s="1"/>
      <c r="C1167" s="1"/>
      <c r="D1167" s="893"/>
      <c r="E1167" s="893"/>
      <c r="F1167" s="893"/>
      <c r="G1167" s="1"/>
      <c r="H1167" s="1"/>
      <c r="I1167" s="10"/>
      <c r="J1167" s="1"/>
      <c r="K1167" s="1"/>
      <c r="L1167" s="1"/>
      <c r="M1167" s="1"/>
      <c r="N1167" s="1"/>
      <c r="O1167" s="1"/>
      <c r="P1167" s="1"/>
      <c r="Q1167" s="1"/>
      <c r="R1167" s="1"/>
      <c r="S1167" s="1"/>
      <c r="T1167" s="1"/>
      <c r="U1167" s="1"/>
      <c r="V1167" s="1"/>
      <c r="W1167" s="1"/>
      <c r="X1167" s="1"/>
      <c r="Y1167" s="1"/>
      <c r="Z1167" s="1"/>
    </row>
    <row r="1168" spans="1:26" ht="12.75" customHeight="1">
      <c r="A1168" s="1"/>
      <c r="B1168" s="1"/>
      <c r="C1168" s="1"/>
      <c r="D1168" s="893"/>
      <c r="E1168" s="893"/>
      <c r="F1168" s="893"/>
      <c r="G1168" s="1"/>
      <c r="H1168" s="1"/>
      <c r="I1168" s="10"/>
      <c r="J1168" s="1"/>
      <c r="K1168" s="1"/>
      <c r="L1168" s="1"/>
      <c r="M1168" s="1"/>
      <c r="N1168" s="1"/>
      <c r="O1168" s="1"/>
      <c r="P1168" s="1"/>
      <c r="Q1168" s="1"/>
      <c r="R1168" s="1"/>
      <c r="S1168" s="1"/>
      <c r="T1168" s="1"/>
      <c r="U1168" s="1"/>
      <c r="V1168" s="1"/>
      <c r="W1168" s="1"/>
      <c r="X1168" s="1"/>
      <c r="Y1168" s="1"/>
      <c r="Z1168" s="1"/>
    </row>
    <row r="1169" spans="1:26" ht="12.75" customHeight="1">
      <c r="A1169" s="1"/>
      <c r="B1169" s="1"/>
      <c r="C1169" s="1"/>
      <c r="D1169" s="1"/>
      <c r="E1169" s="1"/>
      <c r="F1169" s="1"/>
      <c r="G1169" s="1"/>
      <c r="H1169" s="1"/>
      <c r="I1169" s="10"/>
      <c r="J1169" s="1"/>
      <c r="K1169" s="1"/>
      <c r="L1169" s="1"/>
      <c r="M1169" s="1"/>
      <c r="N1169" s="1"/>
      <c r="O1169" s="1"/>
      <c r="P1169" s="1"/>
      <c r="Q1169" s="1"/>
      <c r="R1169" s="1"/>
      <c r="S1169" s="1"/>
      <c r="T1169" s="1"/>
      <c r="U1169" s="1"/>
      <c r="V1169" s="1"/>
      <c r="W1169" s="1"/>
      <c r="X1169" s="1"/>
      <c r="Y1169" s="1"/>
      <c r="Z1169" s="1"/>
    </row>
    <row r="1170" spans="1:26" ht="12.75" customHeight="1">
      <c r="A1170" s="920" t="s">
        <v>1198</v>
      </c>
      <c r="B1170" s="921"/>
      <c r="C1170" s="921"/>
      <c r="D1170" s="921"/>
      <c r="E1170" s="921"/>
      <c r="F1170" s="921"/>
      <c r="G1170" s="921"/>
      <c r="H1170" s="5"/>
      <c r="I1170" s="39"/>
      <c r="J1170" s="1"/>
      <c r="K1170" s="1"/>
      <c r="L1170" s="1"/>
      <c r="M1170" s="1"/>
      <c r="N1170" s="1"/>
      <c r="O1170" s="1"/>
      <c r="P1170" s="1"/>
      <c r="Q1170" s="1"/>
      <c r="R1170" s="1"/>
      <c r="S1170" s="1"/>
      <c r="T1170" s="1"/>
      <c r="U1170" s="1"/>
      <c r="V1170" s="1"/>
      <c r="W1170" s="1"/>
      <c r="X1170" s="1"/>
      <c r="Y1170" s="1"/>
      <c r="Z1170" s="1"/>
    </row>
    <row r="1171" spans="1:26" ht="12.75" customHeight="1">
      <c r="A1171" s="1"/>
      <c r="B1171" s="1"/>
      <c r="C1171" s="1"/>
      <c r="D1171" s="1"/>
      <c r="E1171" s="1"/>
      <c r="F1171" s="1"/>
      <c r="G1171" s="1"/>
      <c r="H1171" s="1"/>
      <c r="I1171" s="10"/>
      <c r="J1171" s="1"/>
      <c r="K1171" s="1"/>
      <c r="L1171" s="1"/>
      <c r="M1171" s="1"/>
      <c r="N1171" s="1"/>
      <c r="O1171" s="1"/>
      <c r="P1171" s="1"/>
      <c r="Q1171" s="1"/>
      <c r="R1171" s="1"/>
      <c r="S1171" s="1"/>
      <c r="T1171" s="1"/>
      <c r="U1171" s="1"/>
      <c r="V1171" s="1"/>
      <c r="W1171" s="1"/>
      <c r="X1171" s="1"/>
      <c r="Y1171" s="1"/>
      <c r="Z1171" s="1"/>
    </row>
    <row r="1172" spans="1:26" ht="12.75" customHeight="1">
      <c r="A1172" s="1"/>
      <c r="B1172" s="1"/>
      <c r="C1172" s="1"/>
      <c r="D1172" s="1"/>
      <c r="E1172" s="1"/>
      <c r="F1172" s="1"/>
      <c r="G1172" s="1"/>
      <c r="H1172" s="1"/>
      <c r="I1172" s="10"/>
      <c r="J1172" s="1"/>
      <c r="K1172" s="1"/>
      <c r="L1172" s="1"/>
      <c r="M1172" s="1"/>
      <c r="N1172" s="1"/>
      <c r="O1172" s="1"/>
      <c r="P1172" s="1"/>
      <c r="Q1172" s="1"/>
      <c r="R1172" s="1"/>
      <c r="S1172" s="1"/>
      <c r="T1172" s="1"/>
      <c r="U1172" s="1"/>
      <c r="V1172" s="1"/>
      <c r="W1172" s="1"/>
      <c r="X1172" s="1"/>
      <c r="Y1172" s="1"/>
      <c r="Z1172" s="1"/>
    </row>
    <row r="1173" spans="1:26" ht="12.75" customHeight="1">
      <c r="A1173" s="1"/>
      <c r="B1173" s="21" t="s">
        <v>27</v>
      </c>
      <c r="C1173" s="1"/>
      <c r="D1173" s="910" t="s">
        <v>1201</v>
      </c>
      <c r="E1173" s="893"/>
      <c r="F1173" s="893"/>
      <c r="G1173" s="1"/>
      <c r="H1173" s="1"/>
      <c r="I1173" s="10"/>
      <c r="J1173" s="1"/>
      <c r="K1173" s="1"/>
      <c r="L1173" s="1"/>
      <c r="M1173" s="1"/>
      <c r="N1173" s="1"/>
      <c r="O1173" s="1"/>
      <c r="P1173" s="1"/>
      <c r="Q1173" s="1"/>
      <c r="R1173" s="1"/>
      <c r="S1173" s="1"/>
      <c r="T1173" s="1"/>
      <c r="U1173" s="1"/>
      <c r="V1173" s="1"/>
      <c r="W1173" s="1"/>
      <c r="X1173" s="1"/>
      <c r="Y1173" s="1"/>
      <c r="Z1173" s="1"/>
    </row>
    <row r="1174" spans="1:26" ht="12.75" customHeight="1">
      <c r="A1174" s="1"/>
      <c r="B1174" s="1"/>
      <c r="C1174" s="1"/>
      <c r="D1174" s="893"/>
      <c r="E1174" s="893"/>
      <c r="F1174" s="893"/>
      <c r="G1174" s="1"/>
      <c r="H1174" s="1"/>
      <c r="I1174" s="10"/>
      <c r="J1174" s="1"/>
      <c r="K1174" s="1"/>
      <c r="L1174" s="1"/>
      <c r="M1174" s="1"/>
      <c r="N1174" s="1"/>
      <c r="O1174" s="1"/>
      <c r="P1174" s="1"/>
      <c r="Q1174" s="1"/>
      <c r="R1174" s="1"/>
      <c r="S1174" s="1"/>
      <c r="T1174" s="1"/>
      <c r="U1174" s="1"/>
      <c r="V1174" s="1"/>
      <c r="W1174" s="1"/>
      <c r="X1174" s="1"/>
      <c r="Y1174" s="1"/>
      <c r="Z1174" s="1"/>
    </row>
    <row r="1175" spans="1:26" ht="12.75" customHeight="1">
      <c r="A1175" s="1"/>
      <c r="B1175" s="1"/>
      <c r="C1175" s="1"/>
      <c r="D1175" s="924" t="s">
        <v>1203</v>
      </c>
      <c r="E1175" s="893"/>
      <c r="F1175" s="893"/>
      <c r="G1175" s="1"/>
      <c r="H1175" s="1"/>
      <c r="I1175" s="10"/>
      <c r="J1175" s="1"/>
      <c r="K1175" s="1"/>
      <c r="L1175" s="1"/>
      <c r="M1175" s="1"/>
      <c r="N1175" s="1"/>
      <c r="O1175" s="1"/>
      <c r="P1175" s="1"/>
      <c r="Q1175" s="1"/>
      <c r="R1175" s="1"/>
      <c r="S1175" s="1"/>
      <c r="T1175" s="1"/>
      <c r="U1175" s="1"/>
      <c r="V1175" s="1"/>
      <c r="W1175" s="1"/>
      <c r="X1175" s="1"/>
      <c r="Y1175" s="1"/>
      <c r="Z1175" s="1"/>
    </row>
    <row r="1176" spans="1:26" ht="12.75" customHeight="1">
      <c r="A1176" s="1"/>
      <c r="B1176" s="1"/>
      <c r="C1176" s="1"/>
      <c r="D1176" s="52"/>
      <c r="E1176" s="1"/>
      <c r="F1176" s="1"/>
      <c r="G1176" s="1"/>
      <c r="H1176" s="1"/>
      <c r="I1176" s="10"/>
      <c r="J1176" s="1"/>
      <c r="K1176" s="1"/>
      <c r="L1176" s="1"/>
      <c r="M1176" s="1"/>
      <c r="N1176" s="1"/>
      <c r="O1176" s="1"/>
      <c r="P1176" s="1"/>
      <c r="Q1176" s="1"/>
      <c r="R1176" s="1"/>
      <c r="S1176" s="1"/>
      <c r="T1176" s="1"/>
      <c r="U1176" s="1"/>
      <c r="V1176" s="1"/>
      <c r="W1176" s="1"/>
      <c r="X1176" s="1"/>
      <c r="Y1176" s="1"/>
      <c r="Z1176" s="1"/>
    </row>
    <row r="1177" spans="1:26" ht="12.75" customHeight="1">
      <c r="A1177" s="1"/>
      <c r="B1177" s="21" t="s">
        <v>27</v>
      </c>
      <c r="C1177" s="1"/>
      <c r="D1177" s="922" t="s">
        <v>1206</v>
      </c>
      <c r="E1177" s="893"/>
      <c r="F1177" s="893"/>
      <c r="G1177" s="1"/>
      <c r="H1177" s="1"/>
      <c r="I1177" s="10"/>
      <c r="J1177" s="1"/>
      <c r="K1177" s="1"/>
      <c r="L1177" s="1"/>
      <c r="M1177" s="1"/>
      <c r="N1177" s="1"/>
      <c r="O1177" s="1"/>
      <c r="P1177" s="1"/>
      <c r="Q1177" s="1"/>
      <c r="R1177" s="1"/>
      <c r="S1177" s="1"/>
      <c r="T1177" s="1"/>
      <c r="U1177" s="1"/>
      <c r="V1177" s="1"/>
      <c r="W1177" s="1"/>
      <c r="X1177" s="1"/>
      <c r="Y1177" s="1"/>
      <c r="Z1177" s="1"/>
    </row>
    <row r="1178" spans="1:26" ht="12.75" customHeight="1">
      <c r="A1178" s="1"/>
      <c r="B1178" s="1"/>
      <c r="C1178" s="1"/>
      <c r="D1178" s="893"/>
      <c r="E1178" s="893"/>
      <c r="F1178" s="893"/>
      <c r="G1178" s="1"/>
      <c r="H1178" s="1"/>
      <c r="I1178" s="10"/>
      <c r="J1178" s="1"/>
      <c r="K1178" s="1"/>
      <c r="L1178" s="1"/>
      <c r="M1178" s="1"/>
      <c r="N1178" s="1"/>
      <c r="O1178" s="1"/>
      <c r="P1178" s="1"/>
      <c r="Q1178" s="1"/>
      <c r="R1178" s="1"/>
      <c r="S1178" s="1"/>
      <c r="T1178" s="1"/>
      <c r="U1178" s="1"/>
      <c r="V1178" s="1"/>
      <c r="W1178" s="1"/>
      <c r="X1178" s="1"/>
      <c r="Y1178" s="1"/>
      <c r="Z1178" s="1"/>
    </row>
    <row r="1179" spans="1:26" ht="12.75" customHeight="1">
      <c r="A1179" s="1"/>
      <c r="B1179" s="1"/>
      <c r="C1179" s="1"/>
      <c r="D1179" s="893"/>
      <c r="E1179" s="893"/>
      <c r="F1179" s="893"/>
      <c r="G1179" s="1"/>
      <c r="H1179" s="1"/>
      <c r="I1179" s="10"/>
      <c r="J1179" s="1"/>
      <c r="K1179" s="1"/>
      <c r="L1179" s="1"/>
      <c r="M1179" s="1"/>
      <c r="N1179" s="1"/>
      <c r="O1179" s="1"/>
      <c r="P1179" s="1"/>
      <c r="Q1179" s="1"/>
      <c r="R1179" s="1"/>
      <c r="S1179" s="1"/>
      <c r="T1179" s="1"/>
      <c r="U1179" s="1"/>
      <c r="V1179" s="1"/>
      <c r="W1179" s="1"/>
      <c r="X1179" s="1"/>
      <c r="Y1179" s="1"/>
      <c r="Z1179" s="1"/>
    </row>
    <row r="1180" spans="1:26" ht="12.75" customHeight="1">
      <c r="A1180" s="1"/>
      <c r="B1180" s="1"/>
      <c r="C1180" s="1"/>
      <c r="D1180" s="52"/>
      <c r="E1180" s="1"/>
      <c r="F1180" s="1"/>
      <c r="G1180" s="1"/>
      <c r="H1180" s="1"/>
      <c r="I1180" s="10"/>
      <c r="J1180" s="1"/>
      <c r="K1180" s="1"/>
      <c r="L1180" s="1"/>
      <c r="M1180" s="1"/>
      <c r="N1180" s="1"/>
      <c r="O1180" s="1"/>
      <c r="P1180" s="1"/>
      <c r="Q1180" s="1"/>
      <c r="R1180" s="1"/>
      <c r="S1180" s="1"/>
      <c r="T1180" s="1"/>
      <c r="U1180" s="1"/>
      <c r="V1180" s="1"/>
      <c r="W1180" s="1"/>
      <c r="X1180" s="1"/>
      <c r="Y1180" s="1"/>
      <c r="Z1180" s="1"/>
    </row>
    <row r="1181" spans="1:26" ht="12.75" customHeight="1">
      <c r="A1181" s="1"/>
      <c r="B1181" s="21" t="s">
        <v>27</v>
      </c>
      <c r="C1181" s="1"/>
      <c r="D1181" s="922" t="s">
        <v>1209</v>
      </c>
      <c r="E1181" s="893"/>
      <c r="F1181" s="893"/>
      <c r="G1181" s="1"/>
      <c r="H1181" s="1"/>
      <c r="I1181" s="10"/>
      <c r="J1181" s="1"/>
      <c r="K1181" s="1"/>
      <c r="L1181" s="1"/>
      <c r="M1181" s="1"/>
      <c r="N1181" s="1"/>
      <c r="O1181" s="1"/>
      <c r="P1181" s="1"/>
      <c r="Q1181" s="1"/>
      <c r="R1181" s="1"/>
      <c r="S1181" s="1"/>
      <c r="T1181" s="1"/>
      <c r="U1181" s="1"/>
      <c r="V1181" s="1"/>
      <c r="W1181" s="1"/>
      <c r="X1181" s="1"/>
      <c r="Y1181" s="1"/>
      <c r="Z1181" s="1"/>
    </row>
    <row r="1182" spans="1:26" ht="12.75" customHeight="1">
      <c r="A1182" s="1"/>
      <c r="B1182" s="1"/>
      <c r="C1182" s="1"/>
      <c r="D1182" s="893"/>
      <c r="E1182" s="893"/>
      <c r="F1182" s="893"/>
      <c r="G1182" s="1"/>
      <c r="H1182" s="1"/>
      <c r="I1182" s="10"/>
      <c r="J1182" s="1"/>
      <c r="K1182" s="1"/>
      <c r="L1182" s="1"/>
      <c r="M1182" s="1"/>
      <c r="N1182" s="1"/>
      <c r="O1182" s="1"/>
      <c r="P1182" s="1"/>
      <c r="Q1182" s="1"/>
      <c r="R1182" s="1"/>
      <c r="S1182" s="1"/>
      <c r="T1182" s="1"/>
      <c r="U1182" s="1"/>
      <c r="V1182" s="1"/>
      <c r="W1182" s="1"/>
      <c r="X1182" s="1"/>
      <c r="Y1182" s="1"/>
      <c r="Z1182" s="1"/>
    </row>
    <row r="1183" spans="1:26" ht="12.75" customHeight="1">
      <c r="A1183" s="1"/>
      <c r="B1183" s="1"/>
      <c r="C1183" s="1"/>
      <c r="D1183" s="893"/>
      <c r="E1183" s="893"/>
      <c r="F1183" s="893"/>
      <c r="G1183" s="1"/>
      <c r="H1183" s="1"/>
      <c r="I1183" s="10"/>
      <c r="J1183" s="1"/>
      <c r="K1183" s="1"/>
      <c r="L1183" s="1"/>
      <c r="M1183" s="1"/>
      <c r="N1183" s="1"/>
      <c r="O1183" s="1"/>
      <c r="P1183" s="1"/>
      <c r="Q1183" s="1"/>
      <c r="R1183" s="1"/>
      <c r="S1183" s="1"/>
      <c r="T1183" s="1"/>
      <c r="U1183" s="1"/>
      <c r="V1183" s="1"/>
      <c r="W1183" s="1"/>
      <c r="X1183" s="1"/>
      <c r="Y1183" s="1"/>
      <c r="Z1183" s="1"/>
    </row>
    <row r="1184" spans="1:26" ht="12.75" customHeight="1">
      <c r="A1184" s="1"/>
      <c r="B1184" s="1"/>
      <c r="C1184" s="1"/>
      <c r="D1184" s="893"/>
      <c r="E1184" s="893"/>
      <c r="F1184" s="893"/>
      <c r="G1184" s="1"/>
      <c r="H1184" s="1"/>
      <c r="I1184" s="10"/>
      <c r="J1184" s="1"/>
      <c r="K1184" s="1"/>
      <c r="L1184" s="1"/>
      <c r="M1184" s="1"/>
      <c r="N1184" s="1"/>
      <c r="O1184" s="1"/>
      <c r="P1184" s="1"/>
      <c r="Q1184" s="1"/>
      <c r="R1184" s="1"/>
      <c r="S1184" s="1"/>
      <c r="T1184" s="1"/>
      <c r="U1184" s="1"/>
      <c r="V1184" s="1"/>
      <c r="W1184" s="1"/>
      <c r="X1184" s="1"/>
      <c r="Y1184" s="1"/>
      <c r="Z1184" s="1"/>
    </row>
    <row r="1185" spans="1:26" ht="12.75" customHeight="1">
      <c r="A1185" s="1"/>
      <c r="B1185" s="1"/>
      <c r="C1185" s="1"/>
      <c r="D1185" s="893"/>
      <c r="E1185" s="893"/>
      <c r="F1185" s="893"/>
      <c r="G1185" s="1"/>
      <c r="H1185" s="1"/>
      <c r="I1185" s="10"/>
      <c r="J1185" s="1"/>
      <c r="K1185" s="1"/>
      <c r="L1185" s="1"/>
      <c r="M1185" s="1"/>
      <c r="N1185" s="1"/>
      <c r="O1185" s="1"/>
      <c r="P1185" s="1"/>
      <c r="Q1185" s="1"/>
      <c r="R1185" s="1"/>
      <c r="S1185" s="1"/>
      <c r="T1185" s="1"/>
      <c r="U1185" s="1"/>
      <c r="V1185" s="1"/>
      <c r="W1185" s="1"/>
      <c r="X1185" s="1"/>
      <c r="Y1185" s="1"/>
      <c r="Z1185" s="1"/>
    </row>
    <row r="1186" spans="1:26" ht="12.75" customHeight="1">
      <c r="A1186" s="1"/>
      <c r="B1186" s="1"/>
      <c r="C1186" s="1"/>
      <c r="D1186" s="52"/>
      <c r="E1186" s="1"/>
      <c r="F1186" s="1"/>
      <c r="G1186" s="1"/>
      <c r="H1186" s="1"/>
      <c r="I1186" s="7"/>
      <c r="J1186" s="1"/>
      <c r="K1186" s="1"/>
      <c r="L1186" s="1"/>
      <c r="M1186" s="1"/>
      <c r="N1186" s="1"/>
      <c r="O1186" s="1"/>
      <c r="P1186" s="1"/>
      <c r="Q1186" s="1"/>
      <c r="R1186" s="1"/>
      <c r="S1186" s="1"/>
      <c r="T1186" s="1"/>
      <c r="U1186" s="1"/>
      <c r="V1186" s="1"/>
      <c r="W1186" s="1"/>
      <c r="X1186" s="1"/>
      <c r="Y1186" s="1"/>
      <c r="Z1186" s="1"/>
    </row>
    <row r="1187" spans="1:26" ht="12.75" customHeight="1">
      <c r="A1187" s="1"/>
      <c r="B1187" s="21" t="s">
        <v>27</v>
      </c>
      <c r="C1187" s="1"/>
      <c r="D1187" s="922" t="s">
        <v>1216</v>
      </c>
      <c r="E1187" s="893"/>
      <c r="F1187" s="893"/>
      <c r="G1187" s="1"/>
      <c r="H1187" s="1"/>
      <c r="I1187" s="10"/>
      <c r="J1187" s="1"/>
      <c r="K1187" s="1"/>
      <c r="L1187" s="1"/>
      <c r="M1187" s="1"/>
      <c r="N1187" s="1"/>
      <c r="O1187" s="1"/>
      <c r="P1187" s="1"/>
      <c r="Q1187" s="1"/>
      <c r="R1187" s="1"/>
      <c r="S1187" s="1"/>
      <c r="T1187" s="1"/>
      <c r="U1187" s="1"/>
      <c r="V1187" s="1"/>
      <c r="W1187" s="1"/>
      <c r="X1187" s="1"/>
      <c r="Y1187" s="1"/>
      <c r="Z1187" s="1"/>
    </row>
    <row r="1188" spans="1:26" ht="12.75" customHeight="1">
      <c r="A1188" s="1"/>
      <c r="B1188" s="1"/>
      <c r="C1188" s="1"/>
      <c r="D1188" s="893"/>
      <c r="E1188" s="893"/>
      <c r="F1188" s="893"/>
      <c r="G1188" s="1"/>
      <c r="H1188" s="1"/>
      <c r="I1188" s="10"/>
      <c r="J1188" s="1"/>
      <c r="K1188" s="1"/>
      <c r="L1188" s="1"/>
      <c r="M1188" s="1"/>
      <c r="N1188" s="1"/>
      <c r="O1188" s="1"/>
      <c r="P1188" s="1"/>
      <c r="Q1188" s="1"/>
      <c r="R1188" s="1"/>
      <c r="S1188" s="1"/>
      <c r="T1188" s="1"/>
      <c r="U1188" s="1"/>
      <c r="V1188" s="1"/>
      <c r="W1188" s="1"/>
      <c r="X1188" s="1"/>
      <c r="Y1188" s="1"/>
      <c r="Z1188" s="1"/>
    </row>
    <row r="1189" spans="1:26" ht="12.75" customHeight="1">
      <c r="A1189" s="1"/>
      <c r="B1189" s="1"/>
      <c r="C1189" s="1"/>
      <c r="D1189" s="893"/>
      <c r="E1189" s="893"/>
      <c r="F1189" s="893"/>
      <c r="G1189" s="1"/>
      <c r="H1189" s="1"/>
      <c r="I1189" s="10"/>
      <c r="J1189" s="1"/>
      <c r="K1189" s="1"/>
      <c r="L1189" s="1"/>
      <c r="M1189" s="1"/>
      <c r="N1189" s="1"/>
      <c r="O1189" s="1"/>
      <c r="P1189" s="1"/>
      <c r="Q1189" s="1"/>
      <c r="R1189" s="1"/>
      <c r="S1189" s="1"/>
      <c r="T1189" s="1"/>
      <c r="U1189" s="1"/>
      <c r="V1189" s="1"/>
      <c r="W1189" s="1"/>
      <c r="X1189" s="1"/>
      <c r="Y1189" s="1"/>
      <c r="Z1189" s="1"/>
    </row>
    <row r="1190" spans="1:26" ht="12.75" customHeight="1">
      <c r="A1190" s="1"/>
      <c r="B1190" s="1"/>
      <c r="C1190" s="1"/>
      <c r="D1190" s="52"/>
      <c r="E1190" s="1"/>
      <c r="F1190" s="1"/>
      <c r="G1190" s="1"/>
      <c r="H1190" s="1"/>
      <c r="I1190" s="10"/>
      <c r="J1190" s="1"/>
      <c r="K1190" s="1"/>
      <c r="L1190" s="1"/>
      <c r="M1190" s="1"/>
      <c r="N1190" s="1"/>
      <c r="O1190" s="1"/>
      <c r="P1190" s="1"/>
      <c r="Q1190" s="1"/>
      <c r="R1190" s="1"/>
      <c r="S1190" s="1"/>
      <c r="T1190" s="1"/>
      <c r="U1190" s="1"/>
      <c r="V1190" s="1"/>
      <c r="W1190" s="1"/>
      <c r="X1190" s="1"/>
      <c r="Y1190" s="1"/>
      <c r="Z1190" s="1"/>
    </row>
    <row r="1191" spans="1:26" ht="12.75" customHeight="1">
      <c r="A1191" s="1"/>
      <c r="B1191" s="21" t="s">
        <v>27</v>
      </c>
      <c r="C1191" s="1"/>
      <c r="D1191" s="894" t="s">
        <v>1217</v>
      </c>
      <c r="E1191" s="893"/>
      <c r="F1191" s="893"/>
      <c r="G1191" s="1"/>
      <c r="H1191" s="1"/>
      <c r="I1191" s="10"/>
      <c r="J1191" s="1"/>
      <c r="K1191" s="1"/>
      <c r="L1191" s="1"/>
      <c r="M1191" s="1"/>
      <c r="N1191" s="1"/>
      <c r="O1191" s="1"/>
      <c r="P1191" s="1"/>
      <c r="Q1191" s="1"/>
      <c r="R1191" s="1"/>
      <c r="S1191" s="1"/>
      <c r="T1191" s="1"/>
      <c r="U1191" s="1"/>
      <c r="V1191" s="1"/>
      <c r="W1191" s="1"/>
      <c r="X1191" s="1"/>
      <c r="Y1191" s="1"/>
      <c r="Z1191" s="1"/>
    </row>
    <row r="1192" spans="1:26" ht="12.75" customHeight="1">
      <c r="A1192" s="1"/>
      <c r="B1192" s="1"/>
      <c r="C1192" s="1"/>
      <c r="D1192" s="893"/>
      <c r="E1192" s="893"/>
      <c r="F1192" s="893"/>
      <c r="G1192" s="1"/>
      <c r="H1192" s="1"/>
      <c r="I1192" s="10"/>
      <c r="J1192" s="1"/>
      <c r="K1192" s="1"/>
      <c r="L1192" s="1"/>
      <c r="M1192" s="1"/>
      <c r="N1192" s="1"/>
      <c r="O1192" s="1"/>
      <c r="P1192" s="1"/>
      <c r="Q1192" s="1"/>
      <c r="R1192" s="1"/>
      <c r="S1192" s="1"/>
      <c r="T1192" s="1"/>
      <c r="U1192" s="1"/>
      <c r="V1192" s="1"/>
      <c r="W1192" s="1"/>
      <c r="X1192" s="1"/>
      <c r="Y1192" s="1"/>
      <c r="Z1192" s="1"/>
    </row>
    <row r="1193" spans="1:26" ht="12.75" customHeight="1">
      <c r="A1193" s="1"/>
      <c r="B1193" s="1"/>
      <c r="C1193" s="1"/>
      <c r="D1193" s="893"/>
      <c r="E1193" s="893"/>
      <c r="F1193" s="893"/>
      <c r="G1193" s="1"/>
      <c r="H1193" s="1"/>
      <c r="I1193" s="10"/>
      <c r="J1193" s="1"/>
      <c r="K1193" s="1"/>
      <c r="L1193" s="1"/>
      <c r="M1193" s="1"/>
      <c r="N1193" s="1"/>
      <c r="O1193" s="1"/>
      <c r="P1193" s="1"/>
      <c r="Q1193" s="1"/>
      <c r="R1193" s="1"/>
      <c r="S1193" s="1"/>
      <c r="T1193" s="1"/>
      <c r="U1193" s="1"/>
      <c r="V1193" s="1"/>
      <c r="W1193" s="1"/>
      <c r="X1193" s="1"/>
      <c r="Y1193" s="1"/>
      <c r="Z1193" s="1"/>
    </row>
    <row r="1194" spans="1:26" ht="12.75" customHeight="1">
      <c r="A1194" s="1"/>
      <c r="B1194" s="1"/>
      <c r="C1194" s="1"/>
      <c r="D1194" s="26"/>
      <c r="E1194" s="26"/>
      <c r="F1194" s="26"/>
      <c r="G1194" s="1"/>
      <c r="H1194" s="1"/>
      <c r="I1194" s="10"/>
      <c r="J1194" s="1"/>
      <c r="K1194" s="1"/>
      <c r="L1194" s="1"/>
      <c r="M1194" s="1"/>
      <c r="N1194" s="1"/>
      <c r="O1194" s="1"/>
      <c r="P1194" s="1"/>
      <c r="Q1194" s="1"/>
      <c r="R1194" s="1"/>
      <c r="S1194" s="1"/>
      <c r="T1194" s="1"/>
      <c r="U1194" s="1"/>
      <c r="V1194" s="1"/>
      <c r="W1194" s="1"/>
      <c r="X1194" s="1"/>
      <c r="Y1194" s="1"/>
      <c r="Z1194" s="1"/>
    </row>
    <row r="1195" spans="1:26" ht="15.75" customHeight="1">
      <c r="A1195" s="1"/>
      <c r="B1195" s="21" t="s">
        <v>27</v>
      </c>
      <c r="C1195" s="1"/>
      <c r="D1195" s="895" t="s">
        <v>1219</v>
      </c>
      <c r="E1195" s="893"/>
      <c r="F1195" s="893"/>
      <c r="G1195" s="1"/>
      <c r="H1195" s="1"/>
      <c r="I1195" s="10"/>
      <c r="J1195" s="1"/>
      <c r="K1195" s="1"/>
      <c r="L1195" s="1"/>
      <c r="M1195" s="1"/>
      <c r="N1195" s="1"/>
      <c r="O1195" s="1"/>
      <c r="P1195" s="1"/>
      <c r="Q1195" s="1"/>
      <c r="R1195" s="1"/>
      <c r="S1195" s="1"/>
      <c r="T1195" s="1"/>
      <c r="U1195" s="1"/>
      <c r="V1195" s="1"/>
      <c r="W1195" s="1"/>
      <c r="X1195" s="1"/>
      <c r="Y1195" s="1"/>
      <c r="Z1195" s="1"/>
    </row>
    <row r="1196" spans="1:26" ht="12.75" customHeight="1">
      <c r="A1196" s="1"/>
      <c r="B1196" s="1"/>
      <c r="C1196" s="1"/>
      <c r="D1196" s="893"/>
      <c r="E1196" s="893"/>
      <c r="F1196" s="893"/>
      <c r="G1196" s="1"/>
      <c r="H1196" s="1"/>
      <c r="I1196" s="10"/>
      <c r="J1196" s="1"/>
      <c r="K1196" s="1"/>
      <c r="L1196" s="1"/>
      <c r="M1196" s="1"/>
      <c r="N1196" s="1"/>
      <c r="O1196" s="1"/>
      <c r="P1196" s="1"/>
      <c r="Q1196" s="1"/>
      <c r="R1196" s="1"/>
      <c r="S1196" s="1"/>
      <c r="T1196" s="1"/>
      <c r="U1196" s="1"/>
      <c r="V1196" s="1"/>
      <c r="W1196" s="1"/>
      <c r="X1196" s="1"/>
      <c r="Y1196" s="1"/>
      <c r="Z1196" s="1"/>
    </row>
    <row r="1197" spans="1:26" ht="12.75" customHeight="1">
      <c r="A1197" s="1"/>
      <c r="B1197" s="1"/>
      <c r="C1197" s="1"/>
      <c r="D1197" s="893"/>
      <c r="E1197" s="893"/>
      <c r="F1197" s="893"/>
      <c r="G1197" s="1"/>
      <c r="H1197" s="1"/>
      <c r="I1197" s="10"/>
      <c r="J1197" s="1"/>
      <c r="K1197" s="1"/>
      <c r="L1197" s="1"/>
      <c r="M1197" s="1"/>
      <c r="N1197" s="1"/>
      <c r="O1197" s="1"/>
      <c r="P1197" s="1"/>
      <c r="Q1197" s="1"/>
      <c r="R1197" s="1"/>
      <c r="S1197" s="1"/>
      <c r="T1197" s="1"/>
      <c r="U1197" s="1"/>
      <c r="V1197" s="1"/>
      <c r="W1197" s="1"/>
      <c r="X1197" s="1"/>
      <c r="Y1197" s="1"/>
      <c r="Z1197" s="1"/>
    </row>
    <row r="1198" spans="1:26" ht="12.75" customHeight="1">
      <c r="A1198" s="1"/>
      <c r="B1198" s="1"/>
      <c r="C1198" s="1"/>
      <c r="D1198" s="893"/>
      <c r="E1198" s="893"/>
      <c r="F1198" s="893"/>
      <c r="G1198" s="1"/>
      <c r="H1198" s="1"/>
      <c r="I1198" s="10"/>
      <c r="J1198" s="1"/>
      <c r="K1198" s="1"/>
      <c r="L1198" s="1"/>
      <c r="M1198" s="1"/>
      <c r="N1198" s="1"/>
      <c r="O1198" s="1"/>
      <c r="P1198" s="1"/>
      <c r="Q1198" s="1"/>
      <c r="R1198" s="1"/>
      <c r="S1198" s="1"/>
      <c r="T1198" s="1"/>
      <c r="U1198" s="1"/>
      <c r="V1198" s="1"/>
      <c r="W1198" s="1"/>
      <c r="X1198" s="1"/>
      <c r="Y1198" s="1"/>
      <c r="Z1198" s="1"/>
    </row>
    <row r="1199" spans="1:26" ht="12.75" customHeight="1">
      <c r="A1199" s="1"/>
      <c r="B1199" s="1"/>
      <c r="C1199" s="1"/>
      <c r="D1199" s="26"/>
      <c r="E1199" s="26"/>
      <c r="F1199" s="26"/>
      <c r="G1199" s="1"/>
      <c r="H1199" s="1"/>
      <c r="I1199" s="10"/>
      <c r="J1199" s="1"/>
      <c r="K1199" s="1"/>
      <c r="L1199" s="1"/>
      <c r="M1199" s="1"/>
      <c r="N1199" s="1"/>
      <c r="O1199" s="1"/>
      <c r="P1199" s="1"/>
      <c r="Q1199" s="1"/>
      <c r="R1199" s="1"/>
      <c r="S1199" s="1"/>
      <c r="T1199" s="1"/>
      <c r="U1199" s="1"/>
      <c r="V1199" s="1"/>
      <c r="W1199" s="1"/>
      <c r="X1199" s="1"/>
      <c r="Y1199" s="1"/>
      <c r="Z1199" s="1"/>
    </row>
    <row r="1200" spans="1:26" ht="12.75" customHeight="1">
      <c r="A1200" s="1"/>
      <c r="B1200" s="21" t="s">
        <v>27</v>
      </c>
      <c r="C1200" s="1"/>
      <c r="D1200" s="894" t="s">
        <v>1226</v>
      </c>
      <c r="E1200" s="893"/>
      <c r="F1200" s="893"/>
      <c r="G1200" s="1"/>
      <c r="H1200" s="1"/>
      <c r="I1200" s="10"/>
      <c r="J1200" s="1"/>
      <c r="K1200" s="1"/>
      <c r="L1200" s="1"/>
      <c r="M1200" s="1"/>
      <c r="N1200" s="1"/>
      <c r="O1200" s="1"/>
      <c r="P1200" s="1"/>
      <c r="Q1200" s="1"/>
      <c r="R1200" s="1"/>
      <c r="S1200" s="1"/>
      <c r="T1200" s="1"/>
      <c r="U1200" s="1"/>
      <c r="V1200" s="1"/>
      <c r="W1200" s="1"/>
      <c r="X1200" s="1"/>
      <c r="Y1200" s="1"/>
      <c r="Z1200" s="1"/>
    </row>
    <row r="1201" spans="1:26" ht="12.75" customHeight="1">
      <c r="A1201" s="1"/>
      <c r="B1201" s="1"/>
      <c r="C1201" s="1"/>
      <c r="D1201" s="893"/>
      <c r="E1201" s="893"/>
      <c r="F1201" s="893"/>
      <c r="G1201" s="1"/>
      <c r="H1201" s="1"/>
      <c r="I1201" s="10"/>
      <c r="J1201" s="1"/>
      <c r="K1201" s="1"/>
      <c r="L1201" s="1"/>
      <c r="M1201" s="1"/>
      <c r="N1201" s="1"/>
      <c r="O1201" s="1"/>
      <c r="P1201" s="1"/>
      <c r="Q1201" s="1"/>
      <c r="R1201" s="1"/>
      <c r="S1201" s="1"/>
      <c r="T1201" s="1"/>
      <c r="U1201" s="1"/>
      <c r="V1201" s="1"/>
      <c r="W1201" s="1"/>
      <c r="X1201" s="1"/>
      <c r="Y1201" s="1"/>
      <c r="Z1201" s="1"/>
    </row>
    <row r="1202" spans="1:26" ht="12.75" customHeight="1">
      <c r="A1202" s="1"/>
      <c r="B1202" s="1"/>
      <c r="C1202" s="1"/>
      <c r="D1202" s="893"/>
      <c r="E1202" s="893"/>
      <c r="F1202" s="893"/>
      <c r="G1202" s="1"/>
      <c r="H1202" s="1"/>
      <c r="I1202" s="10"/>
      <c r="J1202" s="1"/>
      <c r="K1202" s="1"/>
      <c r="L1202" s="1"/>
      <c r="M1202" s="1"/>
      <c r="N1202" s="1"/>
      <c r="O1202" s="1"/>
      <c r="P1202" s="1"/>
      <c r="Q1202" s="1"/>
      <c r="R1202" s="1"/>
      <c r="S1202" s="1"/>
      <c r="T1202" s="1"/>
      <c r="U1202" s="1"/>
      <c r="V1202" s="1"/>
      <c r="W1202" s="1"/>
      <c r="X1202" s="1"/>
      <c r="Y1202" s="1"/>
      <c r="Z1202" s="1"/>
    </row>
    <row r="1203" spans="1:26" ht="12.75" customHeight="1">
      <c r="A1203" s="1"/>
      <c r="B1203" s="1"/>
      <c r="C1203" s="1"/>
      <c r="D1203" s="893"/>
      <c r="E1203" s="893"/>
      <c r="F1203" s="893"/>
      <c r="G1203" s="1"/>
      <c r="H1203" s="1"/>
      <c r="I1203" s="10"/>
      <c r="J1203" s="1"/>
      <c r="K1203" s="1"/>
      <c r="L1203" s="1"/>
      <c r="M1203" s="1"/>
      <c r="N1203" s="1"/>
      <c r="O1203" s="1"/>
      <c r="P1203" s="1"/>
      <c r="Q1203" s="1"/>
      <c r="R1203" s="1"/>
      <c r="S1203" s="1"/>
      <c r="T1203" s="1"/>
      <c r="U1203" s="1"/>
      <c r="V1203" s="1"/>
      <c r="W1203" s="1"/>
      <c r="X1203" s="1"/>
      <c r="Y1203" s="1"/>
      <c r="Z1203" s="1"/>
    </row>
    <row r="1204" spans="1:26" ht="12.75" customHeight="1">
      <c r="A1204" s="1"/>
      <c r="B1204" s="1"/>
      <c r="C1204" s="1"/>
      <c r="D1204" s="893"/>
      <c r="E1204" s="893"/>
      <c r="F1204" s="893"/>
      <c r="G1204" s="1"/>
      <c r="H1204" s="1"/>
      <c r="I1204" s="10"/>
      <c r="J1204" s="1"/>
      <c r="K1204" s="1"/>
      <c r="L1204" s="1"/>
      <c r="M1204" s="1"/>
      <c r="N1204" s="1"/>
      <c r="O1204" s="1"/>
      <c r="P1204" s="1"/>
      <c r="Q1204" s="1"/>
      <c r="R1204" s="1"/>
      <c r="S1204" s="1"/>
      <c r="T1204" s="1"/>
      <c r="U1204" s="1"/>
      <c r="V1204" s="1"/>
      <c r="W1204" s="1"/>
      <c r="X1204" s="1"/>
      <c r="Y1204" s="1"/>
      <c r="Z1204" s="1"/>
    </row>
    <row r="1205" spans="1:26" ht="12.75" customHeight="1">
      <c r="A1205" s="1"/>
      <c r="B1205" s="1"/>
      <c r="C1205" s="1"/>
      <c r="D1205" s="893"/>
      <c r="E1205" s="893"/>
      <c r="F1205" s="893"/>
      <c r="G1205" s="1"/>
      <c r="H1205" s="1"/>
      <c r="I1205" s="10"/>
      <c r="J1205" s="1"/>
      <c r="K1205" s="1"/>
      <c r="L1205" s="1"/>
      <c r="M1205" s="1"/>
      <c r="N1205" s="1"/>
      <c r="O1205" s="1"/>
      <c r="P1205" s="1"/>
      <c r="Q1205" s="1"/>
      <c r="R1205" s="1"/>
      <c r="S1205" s="1"/>
      <c r="T1205" s="1"/>
      <c r="U1205" s="1"/>
      <c r="V1205" s="1"/>
      <c r="W1205" s="1"/>
      <c r="X1205" s="1"/>
      <c r="Y1205" s="1"/>
      <c r="Z1205" s="1"/>
    </row>
    <row r="1206" spans="1:26" ht="12.75" customHeight="1">
      <c r="A1206" s="1"/>
      <c r="B1206" s="1"/>
      <c r="C1206" s="1"/>
      <c r="D1206" s="26"/>
      <c r="E1206" s="26"/>
      <c r="F1206" s="26"/>
      <c r="G1206" s="1"/>
      <c r="H1206" s="1"/>
      <c r="I1206" s="10"/>
      <c r="J1206" s="1"/>
      <c r="K1206" s="1"/>
      <c r="L1206" s="1"/>
      <c r="M1206" s="1"/>
      <c r="N1206" s="1"/>
      <c r="O1206" s="1"/>
      <c r="P1206" s="1"/>
      <c r="Q1206" s="1"/>
      <c r="R1206" s="1"/>
      <c r="S1206" s="1"/>
      <c r="T1206" s="1"/>
      <c r="U1206" s="1"/>
      <c r="V1206" s="1"/>
      <c r="W1206" s="1"/>
      <c r="X1206" s="1"/>
      <c r="Y1206" s="1"/>
      <c r="Z1206" s="1"/>
    </row>
    <row r="1207" spans="1:26" ht="12.75" customHeight="1">
      <c r="A1207" s="1"/>
      <c r="B1207" s="21" t="s">
        <v>27</v>
      </c>
      <c r="C1207" s="1"/>
      <c r="D1207" s="894" t="s">
        <v>1228</v>
      </c>
      <c r="E1207" s="893"/>
      <c r="F1207" s="893"/>
      <c r="G1207" s="1"/>
      <c r="H1207" s="1"/>
      <c r="I1207" s="233"/>
      <c r="J1207" s="1"/>
      <c r="K1207" s="1"/>
      <c r="L1207" s="1"/>
      <c r="M1207" s="1"/>
      <c r="N1207" s="1"/>
      <c r="O1207" s="1"/>
      <c r="P1207" s="1"/>
      <c r="Q1207" s="1"/>
      <c r="R1207" s="1"/>
      <c r="S1207" s="1"/>
      <c r="T1207" s="1"/>
      <c r="U1207" s="1"/>
      <c r="V1207" s="1"/>
      <c r="W1207" s="1"/>
      <c r="X1207" s="1"/>
      <c r="Y1207" s="1"/>
      <c r="Z1207" s="1"/>
    </row>
    <row r="1208" spans="1:26" ht="12.75" customHeight="1">
      <c r="A1208" s="1"/>
      <c r="B1208" s="1"/>
      <c r="C1208" s="1"/>
      <c r="D1208" s="893"/>
      <c r="E1208" s="893"/>
      <c r="F1208" s="893"/>
      <c r="G1208" s="1"/>
      <c r="H1208" s="1"/>
      <c r="I1208" s="10"/>
      <c r="J1208" s="1"/>
      <c r="K1208" s="1"/>
      <c r="L1208" s="1"/>
      <c r="M1208" s="1"/>
      <c r="N1208" s="1"/>
      <c r="O1208" s="1"/>
      <c r="P1208" s="1"/>
      <c r="Q1208" s="1"/>
      <c r="R1208" s="1"/>
      <c r="S1208" s="1"/>
      <c r="T1208" s="1"/>
      <c r="U1208" s="1"/>
      <c r="V1208" s="1"/>
      <c r="W1208" s="1"/>
      <c r="X1208" s="1"/>
      <c r="Y1208" s="1"/>
      <c r="Z1208" s="1"/>
    </row>
    <row r="1209" spans="1:26" ht="12.75" customHeight="1">
      <c r="A1209" s="1"/>
      <c r="B1209" s="1"/>
      <c r="C1209" s="1"/>
      <c r="D1209" s="893"/>
      <c r="E1209" s="893"/>
      <c r="F1209" s="893"/>
      <c r="G1209" s="1"/>
      <c r="H1209" s="1"/>
      <c r="I1209" s="8"/>
      <c r="J1209" s="1"/>
      <c r="K1209" s="1"/>
      <c r="L1209" s="1"/>
      <c r="M1209" s="1"/>
      <c r="N1209" s="1"/>
      <c r="O1209" s="1"/>
      <c r="P1209" s="1"/>
      <c r="Q1209" s="1"/>
      <c r="R1209" s="1"/>
      <c r="S1209" s="1"/>
      <c r="T1209" s="1"/>
      <c r="U1209" s="1"/>
      <c r="V1209" s="1"/>
      <c r="W1209" s="1"/>
      <c r="X1209" s="1"/>
      <c r="Y1209" s="1"/>
      <c r="Z1209" s="1"/>
    </row>
    <row r="1210" spans="1:26" ht="12.75" customHeight="1">
      <c r="A1210" s="1"/>
      <c r="B1210" s="1"/>
      <c r="C1210" s="1"/>
      <c r="D1210" s="893"/>
      <c r="E1210" s="893"/>
      <c r="F1210" s="893"/>
      <c r="G1210" s="1"/>
      <c r="H1210" s="1"/>
      <c r="I1210" s="8"/>
      <c r="J1210" s="1"/>
      <c r="K1210" s="1"/>
      <c r="L1210" s="1"/>
      <c r="M1210" s="1"/>
      <c r="N1210" s="1"/>
      <c r="O1210" s="1"/>
      <c r="P1210" s="1"/>
      <c r="Q1210" s="1"/>
      <c r="R1210" s="1"/>
      <c r="S1210" s="1"/>
      <c r="T1210" s="1"/>
      <c r="U1210" s="1"/>
      <c r="V1210" s="1"/>
      <c r="W1210" s="1"/>
      <c r="X1210" s="1"/>
      <c r="Y1210" s="1"/>
      <c r="Z1210" s="1"/>
    </row>
    <row r="1211" spans="1:26" ht="12.75" customHeight="1">
      <c r="A1211" s="1"/>
      <c r="B1211" s="1"/>
      <c r="C1211" s="1"/>
      <c r="D1211" s="893"/>
      <c r="E1211" s="893"/>
      <c r="F1211" s="893"/>
      <c r="G1211" s="1"/>
      <c r="H1211" s="1"/>
      <c r="I1211" s="8"/>
      <c r="J1211" s="1"/>
      <c r="K1211" s="1"/>
      <c r="L1211" s="1"/>
      <c r="M1211" s="1"/>
      <c r="N1211" s="1"/>
      <c r="O1211" s="1"/>
      <c r="P1211" s="1"/>
      <c r="Q1211" s="1"/>
      <c r="R1211" s="1"/>
      <c r="S1211" s="1"/>
      <c r="T1211" s="1"/>
      <c r="U1211" s="1"/>
      <c r="V1211" s="1"/>
      <c r="W1211" s="1"/>
      <c r="X1211" s="1"/>
      <c r="Y1211" s="1"/>
      <c r="Z1211" s="1"/>
    </row>
    <row r="1212" spans="1:26" ht="12.75" customHeight="1">
      <c r="A1212" s="1"/>
      <c r="B1212" s="1"/>
      <c r="C1212" s="1"/>
      <c r="D1212" s="1"/>
      <c r="E1212" s="1"/>
      <c r="F1212" s="1"/>
      <c r="G1212" s="1"/>
      <c r="H1212" s="1"/>
      <c r="I1212" s="8"/>
      <c r="J1212" s="1"/>
      <c r="K1212" s="1"/>
      <c r="L1212" s="1"/>
      <c r="M1212" s="1"/>
      <c r="N1212" s="1"/>
      <c r="O1212" s="1"/>
      <c r="P1212" s="1"/>
      <c r="Q1212" s="1"/>
      <c r="R1212" s="1"/>
      <c r="S1212" s="1"/>
      <c r="T1212" s="1"/>
      <c r="U1212" s="1"/>
      <c r="V1212" s="1"/>
      <c r="W1212" s="1"/>
      <c r="X1212" s="1"/>
      <c r="Y1212" s="1"/>
      <c r="Z1212" s="1"/>
    </row>
    <row r="1213" spans="1:26" ht="12.75" hidden="1" customHeight="1">
      <c r="A1213" s="1"/>
      <c r="B1213" s="1"/>
      <c r="C1213" s="1"/>
      <c r="D1213" s="1"/>
      <c r="E1213" s="1"/>
      <c r="F1213" s="1"/>
      <c r="G1213" s="1"/>
      <c r="H1213" s="1"/>
      <c r="I1213" s="8"/>
      <c r="J1213" s="1"/>
      <c r="K1213" s="1"/>
      <c r="L1213" s="1"/>
      <c r="M1213" s="1"/>
      <c r="N1213" s="1"/>
      <c r="O1213" s="1"/>
      <c r="P1213" s="1"/>
      <c r="Q1213" s="1"/>
      <c r="R1213" s="1"/>
      <c r="S1213" s="1"/>
      <c r="T1213" s="1"/>
      <c r="U1213" s="1"/>
      <c r="V1213" s="1"/>
      <c r="W1213" s="1"/>
      <c r="X1213" s="1"/>
      <c r="Y1213" s="1"/>
      <c r="Z1213" s="1"/>
    </row>
    <row r="1214" spans="1:26" ht="12.75" hidden="1" customHeight="1">
      <c r="A1214" s="1"/>
      <c r="B1214" s="1"/>
      <c r="C1214" s="1"/>
      <c r="D1214" s="1"/>
      <c r="E1214" s="1"/>
      <c r="F1214" s="1"/>
      <c r="G1214" s="1"/>
      <c r="H1214" s="1"/>
      <c r="I1214" s="8"/>
      <c r="J1214" s="1"/>
      <c r="K1214" s="1"/>
      <c r="L1214" s="1"/>
      <c r="M1214" s="1"/>
      <c r="N1214" s="1"/>
      <c r="O1214" s="1"/>
      <c r="P1214" s="1"/>
      <c r="Q1214" s="1"/>
      <c r="R1214" s="1"/>
      <c r="S1214" s="1"/>
      <c r="T1214" s="1"/>
      <c r="U1214" s="1"/>
      <c r="V1214" s="1"/>
      <c r="W1214" s="1"/>
      <c r="X1214" s="1"/>
      <c r="Y1214" s="1"/>
      <c r="Z1214" s="1"/>
    </row>
    <row r="1215" spans="1:26" ht="12.75" hidden="1" customHeight="1">
      <c r="A1215" s="1"/>
      <c r="B1215" s="1"/>
      <c r="C1215" s="1"/>
      <c r="D1215" s="1"/>
      <c r="E1215" s="1"/>
      <c r="F1215" s="1"/>
      <c r="G1215" s="1"/>
      <c r="H1215" s="1"/>
      <c r="I1215" s="8"/>
      <c r="J1215" s="1"/>
      <c r="K1215" s="1"/>
      <c r="L1215" s="1"/>
      <c r="M1215" s="1"/>
      <c r="N1215" s="1"/>
      <c r="O1215" s="1"/>
      <c r="P1215" s="1"/>
      <c r="Q1215" s="1"/>
      <c r="R1215" s="1"/>
      <c r="S1215" s="1"/>
      <c r="T1215" s="1"/>
      <c r="U1215" s="1"/>
      <c r="V1215" s="1"/>
      <c r="W1215" s="1"/>
      <c r="X1215" s="1"/>
      <c r="Y1215" s="1"/>
      <c r="Z1215" s="1"/>
    </row>
    <row r="1216" spans="1:26" ht="12.75" hidden="1" customHeight="1">
      <c r="A1216" s="1"/>
      <c r="B1216" s="1"/>
      <c r="C1216" s="1"/>
      <c r="D1216" s="1"/>
      <c r="E1216" s="1"/>
      <c r="F1216" s="1"/>
      <c r="G1216" s="1"/>
      <c r="H1216" s="1"/>
      <c r="I1216" s="8"/>
      <c r="J1216" s="1"/>
      <c r="K1216" s="1"/>
      <c r="L1216" s="1"/>
      <c r="M1216" s="1"/>
      <c r="N1216" s="1"/>
      <c r="O1216" s="1"/>
      <c r="P1216" s="1"/>
      <c r="Q1216" s="1"/>
      <c r="R1216" s="1"/>
      <c r="S1216" s="1"/>
      <c r="T1216" s="1"/>
      <c r="U1216" s="1"/>
      <c r="V1216" s="1"/>
      <c r="W1216" s="1"/>
      <c r="X1216" s="1"/>
      <c r="Y1216" s="1"/>
      <c r="Z1216" s="1"/>
    </row>
    <row r="1217" spans="1:26" ht="12.75" hidden="1" customHeight="1">
      <c r="A1217" s="1"/>
      <c r="B1217" s="1"/>
      <c r="C1217" s="1"/>
      <c r="D1217" s="1"/>
      <c r="E1217" s="1"/>
      <c r="F1217" s="1"/>
      <c r="G1217" s="1"/>
      <c r="H1217" s="1"/>
      <c r="I1217" s="8"/>
      <c r="J1217" s="1"/>
      <c r="K1217" s="1"/>
      <c r="L1217" s="1"/>
      <c r="M1217" s="1"/>
      <c r="N1217" s="1"/>
      <c r="O1217" s="1"/>
      <c r="P1217" s="1"/>
      <c r="Q1217" s="1"/>
      <c r="R1217" s="1"/>
      <c r="S1217" s="1"/>
      <c r="T1217" s="1"/>
      <c r="U1217" s="1"/>
      <c r="V1217" s="1"/>
      <c r="W1217" s="1"/>
      <c r="X1217" s="1"/>
      <c r="Y1217" s="1"/>
      <c r="Z1217" s="1"/>
    </row>
    <row r="1218" spans="1:26" ht="12.75" hidden="1" customHeight="1">
      <c r="A1218" s="1"/>
      <c r="B1218" s="1"/>
      <c r="C1218" s="1"/>
      <c r="D1218" s="1"/>
      <c r="E1218" s="1"/>
      <c r="F1218" s="1"/>
      <c r="G1218" s="1"/>
      <c r="H1218" s="1"/>
      <c r="I1218" s="8"/>
      <c r="J1218" s="1"/>
      <c r="K1218" s="1"/>
      <c r="L1218" s="1"/>
      <c r="M1218" s="1"/>
      <c r="N1218" s="1"/>
      <c r="O1218" s="1"/>
      <c r="P1218" s="1"/>
      <c r="Q1218" s="1"/>
      <c r="R1218" s="1"/>
      <c r="S1218" s="1"/>
      <c r="T1218" s="1"/>
      <c r="U1218" s="1"/>
      <c r="V1218" s="1"/>
      <c r="W1218" s="1"/>
      <c r="X1218" s="1"/>
      <c r="Y1218" s="1"/>
      <c r="Z1218" s="1"/>
    </row>
    <row r="1219" spans="1:26" ht="12.75" hidden="1" customHeight="1">
      <c r="A1219" s="1"/>
      <c r="B1219" s="1"/>
      <c r="C1219" s="1"/>
      <c r="D1219" s="1"/>
      <c r="E1219" s="1"/>
      <c r="F1219" s="1"/>
      <c r="G1219" s="1"/>
      <c r="H1219" s="1"/>
      <c r="I1219" s="8"/>
      <c r="J1219" s="1"/>
      <c r="K1219" s="1"/>
      <c r="L1219" s="1"/>
      <c r="M1219" s="1"/>
      <c r="N1219" s="1"/>
      <c r="O1219" s="1"/>
      <c r="P1219" s="1"/>
      <c r="Q1219" s="1"/>
      <c r="R1219" s="1"/>
      <c r="S1219" s="1"/>
      <c r="T1219" s="1"/>
      <c r="U1219" s="1"/>
      <c r="V1219" s="1"/>
      <c r="W1219" s="1"/>
      <c r="X1219" s="1"/>
      <c r="Y1219" s="1"/>
      <c r="Z1219" s="1"/>
    </row>
    <row r="1220" spans="1:26" ht="12.75" hidden="1" customHeight="1">
      <c r="A1220" s="1"/>
      <c r="B1220" s="1"/>
      <c r="C1220" s="1"/>
      <c r="D1220" s="1"/>
      <c r="E1220" s="1"/>
      <c r="F1220" s="1"/>
      <c r="G1220" s="1"/>
      <c r="H1220" s="1"/>
      <c r="I1220" s="8"/>
      <c r="J1220" s="1"/>
      <c r="K1220" s="1"/>
      <c r="L1220" s="1"/>
      <c r="M1220" s="1"/>
      <c r="N1220" s="1"/>
      <c r="O1220" s="1"/>
      <c r="P1220" s="1"/>
      <c r="Q1220" s="1"/>
      <c r="R1220" s="1"/>
      <c r="S1220" s="1"/>
      <c r="T1220" s="1"/>
      <c r="U1220" s="1"/>
      <c r="V1220" s="1"/>
      <c r="W1220" s="1"/>
      <c r="X1220" s="1"/>
      <c r="Y1220" s="1"/>
      <c r="Z1220" s="1"/>
    </row>
    <row r="1221" spans="1:26" ht="12.75" hidden="1" customHeight="1">
      <c r="A1221" s="1"/>
      <c r="B1221" s="1"/>
      <c r="C1221" s="1"/>
      <c r="D1221" s="1"/>
      <c r="E1221" s="1"/>
      <c r="F1221" s="1"/>
      <c r="G1221" s="1"/>
      <c r="H1221" s="1"/>
      <c r="I1221" s="8"/>
      <c r="J1221" s="1"/>
      <c r="K1221" s="1"/>
      <c r="L1221" s="1"/>
      <c r="M1221" s="1"/>
      <c r="N1221" s="1"/>
      <c r="O1221" s="1"/>
      <c r="P1221" s="1"/>
      <c r="Q1221" s="1"/>
      <c r="R1221" s="1"/>
      <c r="S1221" s="1"/>
      <c r="T1221" s="1"/>
      <c r="U1221" s="1"/>
      <c r="V1221" s="1"/>
      <c r="W1221" s="1"/>
      <c r="X1221" s="1"/>
      <c r="Y1221" s="1"/>
      <c r="Z1221" s="1"/>
    </row>
    <row r="1222" spans="1:26" ht="12.75" hidden="1" customHeight="1">
      <c r="A1222" s="1"/>
      <c r="B1222" s="1"/>
      <c r="C1222" s="1"/>
      <c r="D1222" s="1"/>
      <c r="E1222" s="1"/>
      <c r="F1222" s="1"/>
      <c r="G1222" s="1"/>
      <c r="H1222" s="1"/>
      <c r="I1222" s="8"/>
      <c r="J1222" s="1"/>
      <c r="K1222" s="1"/>
      <c r="L1222" s="1"/>
      <c r="M1222" s="1"/>
      <c r="N1222" s="1"/>
      <c r="O1222" s="1"/>
      <c r="P1222" s="1"/>
      <c r="Q1222" s="1"/>
      <c r="R1222" s="1"/>
      <c r="S1222" s="1"/>
      <c r="T1222" s="1"/>
      <c r="U1222" s="1"/>
      <c r="V1222" s="1"/>
      <c r="W1222" s="1"/>
      <c r="X1222" s="1"/>
      <c r="Y1222" s="1"/>
      <c r="Z1222" s="1"/>
    </row>
    <row r="1223" spans="1:26" ht="12.75" hidden="1" customHeight="1">
      <c r="A1223" s="1"/>
      <c r="B1223" s="1"/>
      <c r="C1223" s="1"/>
      <c r="D1223" s="1"/>
      <c r="E1223" s="1"/>
      <c r="F1223" s="1"/>
      <c r="G1223" s="1"/>
      <c r="H1223" s="1"/>
      <c r="I1223" s="8"/>
      <c r="J1223" s="1"/>
      <c r="K1223" s="1"/>
      <c r="L1223" s="1"/>
      <c r="M1223" s="1"/>
      <c r="N1223" s="1"/>
      <c r="O1223" s="1"/>
      <c r="P1223" s="1"/>
      <c r="Q1223" s="1"/>
      <c r="R1223" s="1"/>
      <c r="S1223" s="1"/>
      <c r="T1223" s="1"/>
      <c r="U1223" s="1"/>
      <c r="V1223" s="1"/>
      <c r="W1223" s="1"/>
      <c r="X1223" s="1"/>
      <c r="Y1223" s="1"/>
      <c r="Z1223" s="1"/>
    </row>
    <row r="1224" spans="1:26" ht="12.75" customHeight="1">
      <c r="A1224" s="7"/>
      <c r="B1224" s="7"/>
      <c r="C1224" s="7"/>
      <c r="D1224" s="1"/>
      <c r="E1224" s="1"/>
      <c r="F1224" s="1"/>
      <c r="G1224" s="1"/>
      <c r="H1224" s="1"/>
      <c r="I1224" s="8"/>
      <c r="J1224" s="1"/>
      <c r="K1224" s="1"/>
      <c r="L1224" s="1"/>
      <c r="M1224" s="1"/>
      <c r="N1224" s="1"/>
      <c r="O1224" s="1"/>
      <c r="P1224" s="1"/>
      <c r="Q1224" s="1"/>
      <c r="R1224" s="1"/>
      <c r="S1224" s="1"/>
      <c r="T1224" s="1"/>
      <c r="U1224" s="1"/>
      <c r="V1224" s="1"/>
      <c r="W1224" s="1"/>
      <c r="X1224" s="1"/>
      <c r="Y1224" s="1"/>
      <c r="Z1224" s="1"/>
    </row>
    <row r="1225" spans="1:26" ht="12.75" customHeight="1">
      <c r="A1225" s="7"/>
      <c r="B1225" s="7"/>
      <c r="C1225" s="7"/>
      <c r="D1225" s="1"/>
      <c r="E1225" s="1"/>
      <c r="F1225" s="1"/>
      <c r="G1225" s="1"/>
      <c r="H1225" s="1"/>
      <c r="I1225" s="8"/>
      <c r="J1225" s="1"/>
      <c r="K1225" s="1"/>
      <c r="L1225" s="1"/>
      <c r="M1225" s="1"/>
      <c r="N1225" s="1"/>
      <c r="O1225" s="1"/>
      <c r="P1225" s="1"/>
      <c r="Q1225" s="1"/>
      <c r="R1225" s="1"/>
      <c r="S1225" s="1"/>
      <c r="T1225" s="1"/>
      <c r="U1225" s="1"/>
      <c r="V1225" s="1"/>
      <c r="W1225" s="1"/>
      <c r="X1225" s="1"/>
      <c r="Y1225" s="1"/>
      <c r="Z1225" s="1"/>
    </row>
    <row r="1226" spans="1:26" ht="12.75" customHeight="1">
      <c r="A1226" s="7"/>
      <c r="B1226" s="7"/>
      <c r="C1226" s="7"/>
      <c r="D1226" s="1"/>
      <c r="E1226" s="1"/>
      <c r="F1226" s="1"/>
      <c r="G1226" s="1"/>
      <c r="H1226" s="1"/>
      <c r="I1226" s="8"/>
      <c r="J1226" s="1"/>
      <c r="K1226" s="1"/>
      <c r="L1226" s="1"/>
      <c r="M1226" s="1"/>
      <c r="N1226" s="1"/>
      <c r="O1226" s="1"/>
      <c r="P1226" s="1"/>
      <c r="Q1226" s="1"/>
      <c r="R1226" s="1"/>
      <c r="S1226" s="1"/>
      <c r="T1226" s="1"/>
      <c r="U1226" s="1"/>
      <c r="V1226" s="1"/>
      <c r="W1226" s="1"/>
      <c r="X1226" s="1"/>
      <c r="Y1226" s="1"/>
      <c r="Z1226" s="1"/>
    </row>
    <row r="1227" spans="1:26" ht="12.75" customHeight="1">
      <c r="A1227" s="7"/>
      <c r="B1227" s="7"/>
      <c r="C1227" s="7"/>
      <c r="D1227" s="1"/>
      <c r="E1227" s="1"/>
      <c r="F1227" s="1"/>
      <c r="G1227" s="1"/>
      <c r="H1227" s="1"/>
      <c r="I1227" s="8"/>
      <c r="J1227" s="1"/>
      <c r="K1227" s="1"/>
      <c r="L1227" s="1"/>
      <c r="M1227" s="1"/>
      <c r="N1227" s="1"/>
      <c r="O1227" s="1"/>
      <c r="P1227" s="1"/>
      <c r="Q1227" s="1"/>
      <c r="R1227" s="1"/>
      <c r="S1227" s="1"/>
      <c r="T1227" s="1"/>
      <c r="U1227" s="1"/>
      <c r="V1227" s="1"/>
      <c r="W1227" s="1"/>
      <c r="X1227" s="1"/>
      <c r="Y1227" s="1"/>
      <c r="Z1227" s="1"/>
    </row>
    <row r="1228" spans="1:26" ht="12.75" customHeight="1">
      <c r="A1228" s="7"/>
      <c r="B1228" s="7"/>
      <c r="C1228" s="7"/>
      <c r="D1228" s="1"/>
      <c r="E1228" s="1"/>
      <c r="F1228" s="1"/>
      <c r="G1228" s="1"/>
      <c r="H1228" s="1"/>
      <c r="I1228" s="8"/>
      <c r="J1228" s="1"/>
      <c r="K1228" s="1"/>
      <c r="L1228" s="1"/>
      <c r="M1228" s="1"/>
      <c r="N1228" s="1"/>
      <c r="O1228" s="1"/>
      <c r="P1228" s="1"/>
      <c r="Q1228" s="1"/>
      <c r="R1228" s="1"/>
      <c r="S1228" s="1"/>
      <c r="T1228" s="1"/>
      <c r="U1228" s="1"/>
      <c r="V1228" s="1"/>
      <c r="W1228" s="1"/>
      <c r="X1228" s="1"/>
      <c r="Y1228" s="1"/>
      <c r="Z1228" s="1"/>
    </row>
    <row r="1229" spans="1:26" ht="12.75" customHeight="1">
      <c r="A1229" s="7"/>
      <c r="B1229" s="7"/>
      <c r="C1229" s="7"/>
      <c r="D1229" s="1"/>
      <c r="E1229" s="1"/>
      <c r="F1229" s="1"/>
      <c r="G1229" s="1"/>
      <c r="H1229" s="1"/>
      <c r="I1229" s="8"/>
      <c r="J1229" s="1"/>
      <c r="K1229" s="1"/>
      <c r="L1229" s="1"/>
      <c r="M1229" s="1"/>
      <c r="N1229" s="1"/>
      <c r="O1229" s="1"/>
      <c r="P1229" s="1"/>
      <c r="Q1229" s="1"/>
      <c r="R1229" s="1"/>
      <c r="S1229" s="1"/>
      <c r="T1229" s="1"/>
      <c r="U1229" s="1"/>
      <c r="V1229" s="1"/>
      <c r="W1229" s="1"/>
      <c r="X1229" s="1"/>
      <c r="Y1229" s="1"/>
      <c r="Z1229" s="1"/>
    </row>
    <row r="1230" spans="1:26" ht="12.75" customHeight="1">
      <c r="A1230" s="7"/>
      <c r="B1230" s="7"/>
      <c r="C1230" s="7"/>
      <c r="D1230" s="1"/>
      <c r="E1230" s="1"/>
      <c r="F1230" s="1"/>
      <c r="G1230" s="1"/>
      <c r="H1230" s="1"/>
      <c r="I1230" s="8"/>
      <c r="J1230" s="1"/>
      <c r="K1230" s="1"/>
      <c r="L1230" s="1"/>
      <c r="M1230" s="1"/>
      <c r="N1230" s="1"/>
      <c r="O1230" s="1"/>
      <c r="P1230" s="1"/>
      <c r="Q1230" s="1"/>
      <c r="R1230" s="1"/>
      <c r="S1230" s="1"/>
      <c r="T1230" s="1"/>
      <c r="U1230" s="1"/>
      <c r="V1230" s="1"/>
      <c r="W1230" s="1"/>
      <c r="X1230" s="1"/>
      <c r="Y1230" s="1"/>
      <c r="Z1230" s="1"/>
    </row>
    <row r="1231" spans="1:26" ht="12.75" hidden="1" customHeight="1">
      <c r="A1231" s="1"/>
      <c r="B1231" s="1"/>
      <c r="C1231" s="1"/>
      <c r="D1231" s="1"/>
      <c r="E1231" s="1"/>
      <c r="F1231" s="1"/>
      <c r="G1231" s="1"/>
      <c r="H1231" s="1"/>
      <c r="I1231" s="8"/>
      <c r="J1231" s="1"/>
      <c r="K1231" s="1"/>
      <c r="L1231" s="1"/>
      <c r="M1231" s="1"/>
      <c r="N1231" s="1"/>
      <c r="O1231" s="1"/>
      <c r="P1231" s="1"/>
      <c r="Q1231" s="1"/>
      <c r="R1231" s="1"/>
      <c r="S1231" s="1"/>
      <c r="T1231" s="1"/>
      <c r="U1231" s="1"/>
      <c r="V1231" s="1"/>
      <c r="W1231" s="1"/>
      <c r="X1231" s="1"/>
      <c r="Y1231" s="1"/>
      <c r="Z1231" s="1"/>
    </row>
    <row r="1232" spans="1:26" ht="12.75" hidden="1" customHeight="1">
      <c r="A1232" s="1"/>
      <c r="B1232" s="1"/>
      <c r="C1232" s="1"/>
      <c r="D1232" s="1"/>
      <c r="E1232" s="1"/>
      <c r="F1232" s="1"/>
      <c r="G1232" s="1"/>
      <c r="H1232" s="1"/>
      <c r="I1232" s="8"/>
      <c r="J1232" s="1"/>
      <c r="K1232" s="1"/>
      <c r="L1232" s="1"/>
      <c r="M1232" s="1"/>
      <c r="N1232" s="1"/>
      <c r="O1232" s="1"/>
      <c r="P1232" s="1"/>
      <c r="Q1232" s="1"/>
      <c r="R1232" s="1"/>
      <c r="S1232" s="1"/>
      <c r="T1232" s="1"/>
      <c r="U1232" s="1"/>
      <c r="V1232" s="1"/>
      <c r="W1232" s="1"/>
      <c r="X1232" s="1"/>
      <c r="Y1232" s="1"/>
      <c r="Z1232" s="1"/>
    </row>
    <row r="1233" spans="1:26" ht="12.75" hidden="1" customHeight="1">
      <c r="A1233" s="1"/>
      <c r="B1233" s="1"/>
      <c r="C1233" s="1"/>
      <c r="D1233" s="1"/>
      <c r="E1233" s="1"/>
      <c r="F1233" s="1"/>
      <c r="G1233" s="1"/>
      <c r="H1233" s="1"/>
      <c r="I1233" s="8"/>
      <c r="J1233" s="1"/>
      <c r="K1233" s="1"/>
      <c r="L1233" s="1"/>
      <c r="M1233" s="1"/>
      <c r="N1233" s="1"/>
      <c r="O1233" s="1"/>
      <c r="P1233" s="1"/>
      <c r="Q1233" s="1"/>
      <c r="R1233" s="1"/>
      <c r="S1233" s="1"/>
      <c r="T1233" s="1"/>
      <c r="U1233" s="1"/>
      <c r="V1233" s="1"/>
      <c r="W1233" s="1"/>
      <c r="X1233" s="1"/>
      <c r="Y1233" s="1"/>
      <c r="Z1233" s="1"/>
    </row>
    <row r="1234" spans="1:26" ht="12.75" hidden="1" customHeight="1">
      <c r="A1234" s="1"/>
      <c r="B1234" s="1"/>
      <c r="C1234" s="1"/>
      <c r="D1234" s="1"/>
      <c r="E1234" s="1"/>
      <c r="F1234" s="1"/>
      <c r="G1234" s="1"/>
      <c r="H1234" s="1"/>
      <c r="I1234" s="8"/>
      <c r="J1234" s="1"/>
      <c r="K1234" s="1"/>
      <c r="L1234" s="1"/>
      <c r="M1234" s="1"/>
      <c r="N1234" s="1"/>
      <c r="O1234" s="1"/>
      <c r="P1234" s="1"/>
      <c r="Q1234" s="1"/>
      <c r="R1234" s="1"/>
      <c r="S1234" s="1"/>
      <c r="T1234" s="1"/>
      <c r="U1234" s="1"/>
      <c r="V1234" s="1"/>
      <c r="W1234" s="1"/>
      <c r="X1234" s="1"/>
      <c r="Y1234" s="1"/>
      <c r="Z1234" s="1"/>
    </row>
    <row r="1235" spans="1:26" ht="12.75" hidden="1" customHeight="1">
      <c r="A1235" s="1"/>
      <c r="B1235" s="1"/>
      <c r="C1235" s="1"/>
      <c r="D1235" s="1"/>
      <c r="E1235" s="1"/>
      <c r="F1235" s="1"/>
      <c r="G1235" s="1"/>
      <c r="H1235" s="1"/>
      <c r="I1235" s="8"/>
      <c r="J1235" s="1"/>
      <c r="K1235" s="1"/>
      <c r="L1235" s="1"/>
      <c r="M1235" s="1"/>
      <c r="N1235" s="1"/>
      <c r="O1235" s="1"/>
      <c r="P1235" s="1"/>
      <c r="Q1235" s="1"/>
      <c r="R1235" s="1"/>
      <c r="S1235" s="1"/>
      <c r="T1235" s="1"/>
      <c r="U1235" s="1"/>
      <c r="V1235" s="1"/>
      <c r="W1235" s="1"/>
      <c r="X1235" s="1"/>
      <c r="Y1235" s="1"/>
      <c r="Z1235" s="1"/>
    </row>
    <row r="1236" spans="1:26" ht="12.75" hidden="1" customHeight="1">
      <c r="A1236" s="1"/>
      <c r="B1236" s="1"/>
      <c r="C1236" s="1"/>
      <c r="D1236" s="1"/>
      <c r="E1236" s="1"/>
      <c r="F1236" s="1"/>
      <c r="G1236" s="1"/>
      <c r="H1236" s="1"/>
      <c r="I1236" s="8"/>
      <c r="J1236" s="1"/>
      <c r="K1236" s="1"/>
      <c r="L1236" s="1"/>
      <c r="M1236" s="1"/>
      <c r="N1236" s="1"/>
      <c r="O1236" s="1"/>
      <c r="P1236" s="1"/>
      <c r="Q1236" s="1"/>
      <c r="R1236" s="1"/>
      <c r="S1236" s="1"/>
      <c r="T1236" s="1"/>
      <c r="U1236" s="1"/>
      <c r="V1236" s="1"/>
      <c r="W1236" s="1"/>
      <c r="X1236" s="1"/>
      <c r="Y1236" s="1"/>
      <c r="Z1236" s="1"/>
    </row>
    <row r="1237" spans="1:26" ht="12.75" hidden="1" customHeight="1">
      <c r="A1237" s="1"/>
      <c r="B1237" s="1"/>
      <c r="C1237" s="1"/>
      <c r="D1237" s="1"/>
      <c r="E1237" s="1"/>
      <c r="F1237" s="1"/>
      <c r="G1237" s="1"/>
      <c r="H1237" s="1"/>
      <c r="I1237" s="8"/>
      <c r="J1237" s="1"/>
      <c r="K1237" s="1"/>
      <c r="L1237" s="1"/>
      <c r="M1237" s="1"/>
      <c r="N1237" s="1"/>
      <c r="O1237" s="1"/>
      <c r="P1237" s="1"/>
      <c r="Q1237" s="1"/>
      <c r="R1237" s="1"/>
      <c r="S1237" s="1"/>
      <c r="T1237" s="1"/>
      <c r="U1237" s="1"/>
      <c r="V1237" s="1"/>
      <c r="W1237" s="1"/>
      <c r="X1237" s="1"/>
      <c r="Y1237" s="1"/>
      <c r="Z1237" s="1"/>
    </row>
    <row r="1238" spans="1:26" ht="12.75" hidden="1" customHeight="1">
      <c r="A1238" s="1"/>
      <c r="B1238" s="1"/>
      <c r="C1238" s="1"/>
      <c r="D1238" s="1"/>
      <c r="E1238" s="1"/>
      <c r="F1238" s="1"/>
      <c r="G1238" s="1"/>
      <c r="H1238" s="1"/>
      <c r="I1238" s="8"/>
      <c r="J1238" s="1"/>
      <c r="K1238" s="1"/>
      <c r="L1238" s="1"/>
      <c r="M1238" s="1"/>
      <c r="N1238" s="1"/>
      <c r="O1238" s="1"/>
      <c r="P1238" s="1"/>
      <c r="Q1238" s="1"/>
      <c r="R1238" s="1"/>
      <c r="S1238" s="1"/>
      <c r="T1238" s="1"/>
      <c r="U1238" s="1"/>
      <c r="V1238" s="1"/>
      <c r="W1238" s="1"/>
      <c r="X1238" s="1"/>
      <c r="Y1238" s="1"/>
      <c r="Z1238" s="1"/>
    </row>
    <row r="1239" spans="1:26" ht="12.75" hidden="1" customHeight="1">
      <c r="A1239" s="1"/>
      <c r="B1239" s="1"/>
      <c r="C1239" s="1"/>
      <c r="D1239" s="1"/>
      <c r="E1239" s="1"/>
      <c r="F1239" s="1"/>
      <c r="G1239" s="1"/>
      <c r="H1239" s="1"/>
      <c r="I1239" s="8"/>
      <c r="J1239" s="1"/>
      <c r="K1239" s="1"/>
      <c r="L1239" s="1"/>
      <c r="M1239" s="1"/>
      <c r="N1239" s="1"/>
      <c r="O1239" s="1"/>
      <c r="P1239" s="1"/>
      <c r="Q1239" s="1"/>
      <c r="R1239" s="1"/>
      <c r="S1239" s="1"/>
      <c r="T1239" s="1"/>
      <c r="U1239" s="1"/>
      <c r="V1239" s="1"/>
      <c r="W1239" s="1"/>
      <c r="X1239" s="1"/>
      <c r="Y1239" s="1"/>
      <c r="Z1239" s="1"/>
    </row>
    <row r="1240" spans="1:26" ht="12.75" hidden="1" customHeight="1">
      <c r="A1240" s="1"/>
      <c r="B1240" s="1"/>
      <c r="C1240" s="1"/>
      <c r="D1240" s="1"/>
      <c r="E1240" s="1"/>
      <c r="F1240" s="1"/>
      <c r="G1240" s="1"/>
      <c r="H1240" s="1"/>
      <c r="I1240" s="8"/>
      <c r="J1240" s="1"/>
      <c r="K1240" s="1"/>
      <c r="L1240" s="1"/>
      <c r="M1240" s="1"/>
      <c r="N1240" s="1"/>
      <c r="O1240" s="1"/>
      <c r="P1240" s="1"/>
      <c r="Q1240" s="1"/>
      <c r="R1240" s="1"/>
      <c r="S1240" s="1"/>
      <c r="T1240" s="1"/>
      <c r="U1240" s="1"/>
      <c r="V1240" s="1"/>
      <c r="W1240" s="1"/>
      <c r="X1240" s="1"/>
      <c r="Y1240" s="1"/>
      <c r="Z1240" s="1"/>
    </row>
    <row r="1241" spans="1:26" ht="12.75" hidden="1" customHeight="1">
      <c r="A1241" s="1"/>
      <c r="B1241" s="1"/>
      <c r="C1241" s="1"/>
      <c r="D1241" s="1"/>
      <c r="E1241" s="1"/>
      <c r="F1241" s="1"/>
      <c r="G1241" s="1"/>
      <c r="H1241" s="1"/>
      <c r="I1241" s="8"/>
      <c r="J1241" s="1"/>
      <c r="K1241" s="1"/>
      <c r="L1241" s="1"/>
      <c r="M1241" s="1"/>
      <c r="N1241" s="1"/>
      <c r="O1241" s="1"/>
      <c r="P1241" s="1"/>
      <c r="Q1241" s="1"/>
      <c r="R1241" s="1"/>
      <c r="S1241" s="1"/>
      <c r="T1241" s="1"/>
      <c r="U1241" s="1"/>
      <c r="V1241" s="1"/>
      <c r="W1241" s="1"/>
      <c r="X1241" s="1"/>
      <c r="Y1241" s="1"/>
      <c r="Z1241" s="1"/>
    </row>
    <row r="1242" spans="1:26" ht="12.75" hidden="1" customHeight="1">
      <c r="A1242" s="1"/>
      <c r="B1242" s="1"/>
      <c r="C1242" s="1"/>
      <c r="D1242" s="1"/>
      <c r="E1242" s="1"/>
      <c r="F1242" s="1"/>
      <c r="G1242" s="1"/>
      <c r="H1242" s="1"/>
      <c r="I1242" s="8"/>
      <c r="J1242" s="1"/>
      <c r="K1242" s="1"/>
      <c r="L1242" s="1"/>
      <c r="M1242" s="1"/>
      <c r="N1242" s="1"/>
      <c r="O1242" s="1"/>
      <c r="P1242" s="1"/>
      <c r="Q1242" s="1"/>
      <c r="R1242" s="1"/>
      <c r="S1242" s="1"/>
      <c r="T1242" s="1"/>
      <c r="U1242" s="1"/>
      <c r="V1242" s="1"/>
      <c r="W1242" s="1"/>
      <c r="X1242" s="1"/>
      <c r="Y1242" s="1"/>
      <c r="Z1242" s="1"/>
    </row>
    <row r="1243" spans="1:26" ht="12.75" hidden="1" customHeight="1">
      <c r="A1243" s="1"/>
      <c r="B1243" s="1"/>
      <c r="C1243" s="1"/>
      <c r="D1243" s="1"/>
      <c r="E1243" s="1"/>
      <c r="F1243" s="1"/>
      <c r="G1243" s="1"/>
      <c r="H1243" s="1"/>
      <c r="I1243" s="8"/>
      <c r="J1243" s="1"/>
      <c r="K1243" s="1"/>
      <c r="L1243" s="1"/>
      <c r="M1243" s="1"/>
      <c r="N1243" s="1"/>
      <c r="O1243" s="1"/>
      <c r="P1243" s="1"/>
      <c r="Q1243" s="1"/>
      <c r="R1243" s="1"/>
      <c r="S1243" s="1"/>
      <c r="T1243" s="1"/>
      <c r="U1243" s="1"/>
      <c r="V1243" s="1"/>
      <c r="W1243" s="1"/>
      <c r="X1243" s="1"/>
      <c r="Y1243" s="1"/>
      <c r="Z1243" s="1"/>
    </row>
    <row r="1244" spans="1:26" ht="12.75" hidden="1" customHeight="1">
      <c r="A1244" s="1"/>
      <c r="B1244" s="1"/>
      <c r="C1244" s="1"/>
      <c r="D1244" s="1"/>
      <c r="E1244" s="1"/>
      <c r="F1244" s="1"/>
      <c r="G1244" s="1"/>
      <c r="H1244" s="1"/>
      <c r="I1244" s="8"/>
      <c r="J1244" s="1"/>
      <c r="K1244" s="1"/>
      <c r="L1244" s="1"/>
      <c r="M1244" s="1"/>
      <c r="N1244" s="1"/>
      <c r="O1244" s="1"/>
      <c r="P1244" s="1"/>
      <c r="Q1244" s="1"/>
      <c r="R1244" s="1"/>
      <c r="S1244" s="1"/>
      <c r="T1244" s="1"/>
      <c r="U1244" s="1"/>
      <c r="V1244" s="1"/>
      <c r="W1244" s="1"/>
      <c r="X1244" s="1"/>
      <c r="Y1244" s="1"/>
      <c r="Z1244" s="1"/>
    </row>
    <row r="1245" spans="1:26" ht="12.75" hidden="1" customHeight="1">
      <c r="A1245" s="1"/>
      <c r="B1245" s="1"/>
      <c r="C1245" s="1"/>
      <c r="D1245" s="1"/>
      <c r="E1245" s="1"/>
      <c r="F1245" s="1"/>
      <c r="G1245" s="1"/>
      <c r="H1245" s="1"/>
      <c r="I1245" s="8"/>
      <c r="J1245" s="1"/>
      <c r="K1245" s="1"/>
      <c r="L1245" s="1"/>
      <c r="M1245" s="1"/>
      <c r="N1245" s="1"/>
      <c r="O1245" s="1"/>
      <c r="P1245" s="1"/>
      <c r="Q1245" s="1"/>
      <c r="R1245" s="1"/>
      <c r="S1245" s="1"/>
      <c r="T1245" s="1"/>
      <c r="U1245" s="1"/>
      <c r="V1245" s="1"/>
      <c r="W1245" s="1"/>
      <c r="X1245" s="1"/>
      <c r="Y1245" s="1"/>
      <c r="Z1245" s="1"/>
    </row>
    <row r="1246" spans="1:26" ht="12.75" hidden="1" customHeight="1">
      <c r="A1246" s="1"/>
      <c r="B1246" s="1"/>
      <c r="C1246" s="1"/>
      <c r="D1246" s="1"/>
      <c r="E1246" s="1"/>
      <c r="F1246" s="1"/>
      <c r="G1246" s="1"/>
      <c r="H1246" s="1"/>
      <c r="I1246" s="8"/>
      <c r="J1246" s="1"/>
      <c r="K1246" s="1"/>
      <c r="L1246" s="1"/>
      <c r="M1246" s="1"/>
      <c r="N1246" s="1"/>
      <c r="O1246" s="1"/>
      <c r="P1246" s="1"/>
      <c r="Q1246" s="1"/>
      <c r="R1246" s="1"/>
      <c r="S1246" s="1"/>
      <c r="T1246" s="1"/>
      <c r="U1246" s="1"/>
      <c r="V1246" s="1"/>
      <c r="W1246" s="1"/>
      <c r="X1246" s="1"/>
      <c r="Y1246" s="1"/>
      <c r="Z1246" s="1"/>
    </row>
    <row r="1247" spans="1:26" ht="12.75" hidden="1" customHeight="1">
      <c r="A1247" s="1"/>
      <c r="B1247" s="1"/>
      <c r="C1247" s="1"/>
      <c r="D1247" s="1"/>
      <c r="E1247" s="1"/>
      <c r="F1247" s="1"/>
      <c r="G1247" s="1"/>
      <c r="H1247" s="1"/>
      <c r="I1247" s="8"/>
      <c r="J1247" s="1"/>
      <c r="K1247" s="1"/>
      <c r="L1247" s="1"/>
      <c r="M1247" s="1"/>
      <c r="N1247" s="1"/>
      <c r="O1247" s="1"/>
      <c r="P1247" s="1"/>
      <c r="Q1247" s="1"/>
      <c r="R1247" s="1"/>
      <c r="S1247" s="1"/>
      <c r="T1247" s="1"/>
      <c r="U1247" s="1"/>
      <c r="V1247" s="1"/>
      <c r="W1247" s="1"/>
      <c r="X1247" s="1"/>
      <c r="Y1247" s="1"/>
      <c r="Z1247" s="1"/>
    </row>
    <row r="1248" spans="1:26" ht="12.75" hidden="1" customHeight="1">
      <c r="A1248" s="1"/>
      <c r="B1248" s="1"/>
      <c r="C1248" s="1"/>
      <c r="D1248" s="1"/>
      <c r="E1248" s="1"/>
      <c r="F1248" s="1"/>
      <c r="G1248" s="1"/>
      <c r="H1248" s="1"/>
      <c r="I1248" s="8"/>
      <c r="J1248" s="1"/>
      <c r="K1248" s="1"/>
      <c r="L1248" s="1"/>
      <c r="M1248" s="1"/>
      <c r="N1248" s="1"/>
      <c r="O1248" s="1"/>
      <c r="P1248" s="1"/>
      <c r="Q1248" s="1"/>
      <c r="R1248" s="1"/>
      <c r="S1248" s="1"/>
      <c r="T1248" s="1"/>
      <c r="U1248" s="1"/>
      <c r="V1248" s="1"/>
      <c r="W1248" s="1"/>
      <c r="X1248" s="1"/>
      <c r="Y1248" s="1"/>
      <c r="Z1248" s="1"/>
    </row>
    <row r="1249" spans="1:26" ht="12.75" hidden="1" customHeight="1">
      <c r="A1249" s="1"/>
      <c r="B1249" s="1"/>
      <c r="C1249" s="1"/>
      <c r="D1249" s="1"/>
      <c r="E1249" s="1"/>
      <c r="F1249" s="1"/>
      <c r="G1249" s="1"/>
      <c r="H1249" s="1"/>
      <c r="I1249" s="8"/>
      <c r="J1249" s="1"/>
      <c r="K1249" s="1"/>
      <c r="L1249" s="1"/>
      <c r="M1249" s="1"/>
      <c r="N1249" s="1"/>
      <c r="O1249" s="1"/>
      <c r="P1249" s="1"/>
      <c r="Q1249" s="1"/>
      <c r="R1249" s="1"/>
      <c r="S1249" s="1"/>
      <c r="T1249" s="1"/>
      <c r="U1249" s="1"/>
      <c r="V1249" s="1"/>
      <c r="W1249" s="1"/>
      <c r="X1249" s="1"/>
      <c r="Y1249" s="1"/>
      <c r="Z1249" s="1"/>
    </row>
    <row r="1250" spans="1:26" ht="12.75" hidden="1" customHeight="1">
      <c r="A1250" s="1"/>
      <c r="B1250" s="1"/>
      <c r="C1250" s="1"/>
      <c r="D1250" s="1"/>
      <c r="E1250" s="1"/>
      <c r="F1250" s="1"/>
      <c r="G1250" s="1"/>
      <c r="H1250" s="1"/>
      <c r="I1250" s="8"/>
      <c r="J1250" s="1"/>
      <c r="K1250" s="1"/>
      <c r="L1250" s="1"/>
      <c r="M1250" s="1"/>
      <c r="N1250" s="1"/>
      <c r="O1250" s="1"/>
      <c r="P1250" s="1"/>
      <c r="Q1250" s="1"/>
      <c r="R1250" s="1"/>
      <c r="S1250" s="1"/>
      <c r="T1250" s="1"/>
      <c r="U1250" s="1"/>
      <c r="V1250" s="1"/>
      <c r="W1250" s="1"/>
      <c r="X1250" s="1"/>
      <c r="Y1250" s="1"/>
      <c r="Z1250" s="1"/>
    </row>
    <row r="1251" spans="1:26" ht="12.75" hidden="1" customHeight="1">
      <c r="A1251" s="1"/>
      <c r="B1251" s="1"/>
      <c r="C1251" s="1"/>
      <c r="D1251" s="1"/>
      <c r="E1251" s="1"/>
      <c r="F1251" s="1"/>
      <c r="G1251" s="1"/>
      <c r="H1251" s="1"/>
      <c r="I1251" s="8"/>
      <c r="J1251" s="1"/>
      <c r="K1251" s="1"/>
      <c r="L1251" s="1"/>
      <c r="M1251" s="1"/>
      <c r="N1251" s="1"/>
      <c r="O1251" s="1"/>
      <c r="P1251" s="1"/>
      <c r="Q1251" s="1"/>
      <c r="R1251" s="1"/>
      <c r="S1251" s="1"/>
      <c r="T1251" s="1"/>
      <c r="U1251" s="1"/>
      <c r="V1251" s="1"/>
      <c r="W1251" s="1"/>
      <c r="X1251" s="1"/>
      <c r="Y1251" s="1"/>
      <c r="Z1251" s="1"/>
    </row>
    <row r="1252" spans="1:26" ht="12.75" hidden="1" customHeight="1">
      <c r="A1252" s="1"/>
      <c r="B1252" s="1"/>
      <c r="C1252" s="1"/>
      <c r="D1252" s="1"/>
      <c r="E1252" s="1"/>
      <c r="F1252" s="1"/>
      <c r="G1252" s="1"/>
      <c r="H1252" s="1"/>
      <c r="I1252" s="8"/>
      <c r="J1252" s="1"/>
      <c r="K1252" s="1"/>
      <c r="L1252" s="1"/>
      <c r="M1252" s="1"/>
      <c r="N1252" s="1"/>
      <c r="O1252" s="1"/>
      <c r="P1252" s="1"/>
      <c r="Q1252" s="1"/>
      <c r="R1252" s="1"/>
      <c r="S1252" s="1"/>
      <c r="T1252" s="1"/>
      <c r="U1252" s="1"/>
      <c r="V1252" s="1"/>
      <c r="W1252" s="1"/>
      <c r="X1252" s="1"/>
      <c r="Y1252" s="1"/>
      <c r="Z1252" s="1"/>
    </row>
    <row r="1253" spans="1:26" ht="12.75" hidden="1" customHeight="1">
      <c r="A1253" s="1"/>
      <c r="B1253" s="1"/>
      <c r="C1253" s="1"/>
      <c r="D1253" s="1"/>
      <c r="E1253" s="1"/>
      <c r="F1253" s="1"/>
      <c r="G1253" s="1"/>
      <c r="H1253" s="1"/>
      <c r="I1253" s="8"/>
      <c r="J1253" s="1"/>
      <c r="K1253" s="1"/>
      <c r="L1253" s="1"/>
      <c r="M1253" s="1"/>
      <c r="N1253" s="1"/>
      <c r="O1253" s="1"/>
      <c r="P1253" s="1"/>
      <c r="Q1253" s="1"/>
      <c r="R1253" s="1"/>
      <c r="S1253" s="1"/>
      <c r="T1253" s="1"/>
      <c r="U1253" s="1"/>
      <c r="V1253" s="1"/>
      <c r="W1253" s="1"/>
      <c r="X1253" s="1"/>
      <c r="Y1253" s="1"/>
      <c r="Z1253" s="1"/>
    </row>
    <row r="1254" spans="1:26" ht="12.75" hidden="1" customHeight="1">
      <c r="A1254" s="1"/>
      <c r="B1254" s="1"/>
      <c r="C1254" s="1"/>
      <c r="D1254" s="1"/>
      <c r="E1254" s="1"/>
      <c r="F1254" s="1"/>
      <c r="G1254" s="1"/>
      <c r="H1254" s="1"/>
      <c r="I1254" s="8"/>
      <c r="J1254" s="1"/>
      <c r="K1254" s="1"/>
      <c r="L1254" s="1"/>
      <c r="M1254" s="1"/>
      <c r="N1254" s="1"/>
      <c r="O1254" s="1"/>
      <c r="P1254" s="1"/>
      <c r="Q1254" s="1"/>
      <c r="R1254" s="1"/>
      <c r="S1254" s="1"/>
      <c r="T1254" s="1"/>
      <c r="U1254" s="1"/>
      <c r="V1254" s="1"/>
      <c r="W1254" s="1"/>
      <c r="X1254" s="1"/>
      <c r="Y1254" s="1"/>
      <c r="Z1254" s="1"/>
    </row>
    <row r="1255" spans="1:26" ht="12.75" hidden="1" customHeight="1">
      <c r="A1255" s="1"/>
      <c r="B1255" s="1"/>
      <c r="C1255" s="1"/>
      <c r="D1255" s="1"/>
      <c r="E1255" s="1"/>
      <c r="F1255" s="1"/>
      <c r="G1255" s="1"/>
      <c r="H1255" s="1"/>
      <c r="I1255" s="8"/>
      <c r="J1255" s="1"/>
      <c r="K1255" s="1"/>
      <c r="L1255" s="1"/>
      <c r="M1255" s="1"/>
      <c r="N1255" s="1"/>
      <c r="O1255" s="1"/>
      <c r="P1255" s="1"/>
      <c r="Q1255" s="1"/>
      <c r="R1255" s="1"/>
      <c r="S1255" s="1"/>
      <c r="T1255" s="1"/>
      <c r="U1255" s="1"/>
      <c r="V1255" s="1"/>
      <c r="W1255" s="1"/>
      <c r="X1255" s="1"/>
      <c r="Y1255" s="1"/>
      <c r="Z1255" s="1"/>
    </row>
    <row r="1256" spans="1:26" ht="12.75" hidden="1" customHeight="1">
      <c r="A1256" s="1"/>
      <c r="B1256" s="1"/>
      <c r="C1256" s="1"/>
      <c r="D1256" s="1"/>
      <c r="E1256" s="1"/>
      <c r="F1256" s="1"/>
      <c r="G1256" s="1"/>
      <c r="H1256" s="1"/>
      <c r="I1256" s="8"/>
      <c r="J1256" s="1"/>
      <c r="K1256" s="1"/>
      <c r="L1256" s="1"/>
      <c r="M1256" s="1"/>
      <c r="N1256" s="1"/>
      <c r="O1256" s="1"/>
      <c r="P1256" s="1"/>
      <c r="Q1256" s="1"/>
      <c r="R1256" s="1"/>
      <c r="S1256" s="1"/>
      <c r="T1256" s="1"/>
      <c r="U1256" s="1"/>
      <c r="V1256" s="1"/>
      <c r="W1256" s="1"/>
      <c r="X1256" s="1"/>
      <c r="Y1256" s="1"/>
      <c r="Z1256" s="1"/>
    </row>
    <row r="1257" spans="1:26" ht="12.75" hidden="1" customHeight="1">
      <c r="A1257" s="1"/>
      <c r="B1257" s="1"/>
      <c r="C1257" s="1"/>
      <c r="D1257" s="1"/>
      <c r="E1257" s="1"/>
      <c r="F1257" s="1"/>
      <c r="G1257" s="1"/>
      <c r="H1257" s="1"/>
      <c r="I1257" s="8"/>
      <c r="J1257" s="1"/>
      <c r="K1257" s="1"/>
      <c r="L1257" s="1"/>
      <c r="M1257" s="1"/>
      <c r="N1257" s="1"/>
      <c r="O1257" s="1"/>
      <c r="P1257" s="1"/>
      <c r="Q1257" s="1"/>
      <c r="R1257" s="1"/>
      <c r="S1257" s="1"/>
      <c r="T1257" s="1"/>
      <c r="U1257" s="1"/>
      <c r="V1257" s="1"/>
      <c r="W1257" s="1"/>
      <c r="X1257" s="1"/>
      <c r="Y1257" s="1"/>
      <c r="Z1257" s="1"/>
    </row>
    <row r="1258" spans="1:26" ht="12.75" hidden="1" customHeight="1">
      <c r="A1258" s="1"/>
      <c r="B1258" s="1"/>
      <c r="C1258" s="1"/>
      <c r="D1258" s="1"/>
      <c r="E1258" s="1"/>
      <c r="F1258" s="1"/>
      <c r="G1258" s="1"/>
      <c r="H1258" s="1"/>
      <c r="I1258" s="8"/>
      <c r="J1258" s="1"/>
      <c r="K1258" s="1"/>
      <c r="L1258" s="1"/>
      <c r="M1258" s="1"/>
      <c r="N1258" s="1"/>
      <c r="O1258" s="1"/>
      <c r="P1258" s="1"/>
      <c r="Q1258" s="1"/>
      <c r="R1258" s="1"/>
      <c r="S1258" s="1"/>
      <c r="T1258" s="1"/>
      <c r="U1258" s="1"/>
      <c r="V1258" s="1"/>
      <c r="W1258" s="1"/>
      <c r="X1258" s="1"/>
      <c r="Y1258" s="1"/>
      <c r="Z1258" s="1"/>
    </row>
    <row r="1259" spans="1:26" ht="12.75" hidden="1" customHeight="1">
      <c r="A1259" s="1"/>
      <c r="B1259" s="1"/>
      <c r="C1259" s="1"/>
      <c r="D1259" s="1"/>
      <c r="E1259" s="1"/>
      <c r="F1259" s="1"/>
      <c r="G1259" s="1"/>
      <c r="H1259" s="1"/>
      <c r="I1259" s="8"/>
      <c r="J1259" s="1"/>
      <c r="K1259" s="1"/>
      <c r="L1259" s="1"/>
      <c r="M1259" s="1"/>
      <c r="N1259" s="1"/>
      <c r="O1259" s="1"/>
      <c r="P1259" s="1"/>
      <c r="Q1259" s="1"/>
      <c r="R1259" s="1"/>
      <c r="S1259" s="1"/>
      <c r="T1259" s="1"/>
      <c r="U1259" s="1"/>
      <c r="V1259" s="1"/>
      <c r="W1259" s="1"/>
      <c r="X1259" s="1"/>
      <c r="Y1259" s="1"/>
      <c r="Z1259" s="1"/>
    </row>
    <row r="1260" spans="1:26" ht="12.75" hidden="1" customHeight="1">
      <c r="A1260" s="1"/>
      <c r="B1260" s="1"/>
      <c r="C1260" s="1"/>
      <c r="D1260" s="1"/>
      <c r="E1260" s="1"/>
      <c r="F1260" s="1"/>
      <c r="G1260" s="1"/>
      <c r="H1260" s="1"/>
      <c r="I1260" s="8"/>
      <c r="J1260" s="1"/>
      <c r="K1260" s="1"/>
      <c r="L1260" s="1"/>
      <c r="M1260" s="1"/>
      <c r="N1260" s="1"/>
      <c r="O1260" s="1"/>
      <c r="P1260" s="1"/>
      <c r="Q1260" s="1"/>
      <c r="R1260" s="1"/>
      <c r="S1260" s="1"/>
      <c r="T1260" s="1"/>
      <c r="U1260" s="1"/>
      <c r="V1260" s="1"/>
      <c r="W1260" s="1"/>
      <c r="X1260" s="1"/>
      <c r="Y1260" s="1"/>
      <c r="Z1260" s="1"/>
    </row>
    <row r="1261" spans="1:26" ht="12.75" hidden="1" customHeight="1">
      <c r="A1261" s="1"/>
      <c r="B1261" s="1"/>
      <c r="C1261" s="1"/>
      <c r="D1261" s="1"/>
      <c r="E1261" s="1"/>
      <c r="F1261" s="1"/>
      <c r="G1261" s="1"/>
      <c r="H1261" s="1"/>
      <c r="I1261" s="8"/>
      <c r="J1261" s="1"/>
      <c r="K1261" s="1"/>
      <c r="L1261" s="1"/>
      <c r="M1261" s="1"/>
      <c r="N1261" s="1"/>
      <c r="O1261" s="1"/>
      <c r="P1261" s="1"/>
      <c r="Q1261" s="1"/>
      <c r="R1261" s="1"/>
      <c r="S1261" s="1"/>
      <c r="T1261" s="1"/>
      <c r="U1261" s="1"/>
      <c r="V1261" s="1"/>
      <c r="W1261" s="1"/>
      <c r="X1261" s="1"/>
      <c r="Y1261" s="1"/>
      <c r="Z1261" s="1"/>
    </row>
    <row r="1262" spans="1:26" ht="12.75" hidden="1" customHeight="1">
      <c r="A1262" s="1"/>
      <c r="B1262" s="1"/>
      <c r="C1262" s="1"/>
      <c r="D1262" s="1"/>
      <c r="E1262" s="1"/>
      <c r="F1262" s="1"/>
      <c r="G1262" s="1"/>
      <c r="H1262" s="1"/>
      <c r="I1262" s="8"/>
      <c r="J1262" s="1"/>
      <c r="K1262" s="1"/>
      <c r="L1262" s="1"/>
      <c r="M1262" s="1"/>
      <c r="N1262" s="1"/>
      <c r="O1262" s="1"/>
      <c r="P1262" s="1"/>
      <c r="Q1262" s="1"/>
      <c r="R1262" s="1"/>
      <c r="S1262" s="1"/>
      <c r="T1262" s="1"/>
      <c r="U1262" s="1"/>
      <c r="V1262" s="1"/>
      <c r="W1262" s="1"/>
      <c r="X1262" s="1"/>
      <c r="Y1262" s="1"/>
      <c r="Z1262" s="1"/>
    </row>
    <row r="1263" spans="1:26" ht="12.75" hidden="1" customHeight="1">
      <c r="A1263" s="1"/>
      <c r="B1263" s="1"/>
      <c r="C1263" s="1"/>
      <c r="D1263" s="1"/>
      <c r="E1263" s="1"/>
      <c r="F1263" s="1"/>
      <c r="G1263" s="1"/>
      <c r="H1263" s="1"/>
      <c r="I1263" s="8"/>
      <c r="J1263" s="1"/>
      <c r="K1263" s="1"/>
      <c r="L1263" s="1"/>
      <c r="M1263" s="1"/>
      <c r="N1263" s="1"/>
      <c r="O1263" s="1"/>
      <c r="P1263" s="1"/>
      <c r="Q1263" s="1"/>
      <c r="R1263" s="1"/>
      <c r="S1263" s="1"/>
      <c r="T1263" s="1"/>
      <c r="U1263" s="1"/>
      <c r="V1263" s="1"/>
      <c r="W1263" s="1"/>
      <c r="X1263" s="1"/>
      <c r="Y1263" s="1"/>
      <c r="Z1263" s="1"/>
    </row>
    <row r="1264" spans="1:26" ht="12.75" hidden="1" customHeight="1">
      <c r="A1264" s="1"/>
      <c r="B1264" s="1"/>
      <c r="C1264" s="1"/>
      <c r="D1264" s="1"/>
      <c r="E1264" s="1"/>
      <c r="F1264" s="1"/>
      <c r="G1264" s="1"/>
      <c r="H1264" s="1"/>
      <c r="I1264" s="8"/>
      <c r="J1264" s="1"/>
      <c r="K1264" s="1"/>
      <c r="L1264" s="1"/>
      <c r="M1264" s="1"/>
      <c r="N1264" s="1"/>
      <c r="O1264" s="1"/>
      <c r="P1264" s="1"/>
      <c r="Q1264" s="1"/>
      <c r="R1264" s="1"/>
      <c r="S1264" s="1"/>
      <c r="T1264" s="1"/>
      <c r="U1264" s="1"/>
      <c r="V1264" s="1"/>
      <c r="W1264" s="1"/>
      <c r="X1264" s="1"/>
      <c r="Y1264" s="1"/>
      <c r="Z1264" s="1"/>
    </row>
    <row r="1265" spans="1:26" ht="12.75" hidden="1" customHeight="1">
      <c r="A1265" s="1"/>
      <c r="B1265" s="1"/>
      <c r="C1265" s="1"/>
      <c r="D1265" s="1"/>
      <c r="E1265" s="1"/>
      <c r="F1265" s="1"/>
      <c r="G1265" s="1"/>
      <c r="H1265" s="1"/>
      <c r="I1265" s="8"/>
      <c r="J1265" s="1"/>
      <c r="K1265" s="1"/>
      <c r="L1265" s="1"/>
      <c r="M1265" s="1"/>
      <c r="N1265" s="1"/>
      <c r="O1265" s="1"/>
      <c r="P1265" s="1"/>
      <c r="Q1265" s="1"/>
      <c r="R1265" s="1"/>
      <c r="S1265" s="1"/>
      <c r="T1265" s="1"/>
      <c r="U1265" s="1"/>
      <c r="V1265" s="1"/>
      <c r="W1265" s="1"/>
      <c r="X1265" s="1"/>
      <c r="Y1265" s="1"/>
      <c r="Z1265" s="1"/>
    </row>
    <row r="1266" spans="1:26" ht="12.75" hidden="1" customHeight="1">
      <c r="A1266" s="1"/>
      <c r="B1266" s="1"/>
      <c r="C1266" s="1"/>
      <c r="D1266" s="1"/>
      <c r="E1266" s="1"/>
      <c r="F1266" s="1"/>
      <c r="G1266" s="1"/>
      <c r="H1266" s="1"/>
      <c r="I1266" s="8"/>
      <c r="J1266" s="1"/>
      <c r="K1266" s="1"/>
      <c r="L1266" s="1"/>
      <c r="M1266" s="1"/>
      <c r="N1266" s="1"/>
      <c r="O1266" s="1"/>
      <c r="P1266" s="1"/>
      <c r="Q1266" s="1"/>
      <c r="R1266" s="1"/>
      <c r="S1266" s="1"/>
      <c r="T1266" s="1"/>
      <c r="U1266" s="1"/>
      <c r="V1266" s="1"/>
      <c r="W1266" s="1"/>
      <c r="X1266" s="1"/>
      <c r="Y1266" s="1"/>
      <c r="Z1266" s="1"/>
    </row>
    <row r="1267" spans="1:26" ht="12.75" hidden="1" customHeight="1">
      <c r="A1267" s="1"/>
      <c r="B1267" s="1"/>
      <c r="C1267" s="1"/>
      <c r="D1267" s="1"/>
      <c r="E1267" s="1"/>
      <c r="F1267" s="1"/>
      <c r="G1267" s="1"/>
      <c r="H1267" s="1"/>
      <c r="I1267" s="8"/>
      <c r="J1267" s="1"/>
      <c r="K1267" s="1"/>
      <c r="L1267" s="1"/>
      <c r="M1267" s="1"/>
      <c r="N1267" s="1"/>
      <c r="O1267" s="1"/>
      <c r="P1267" s="1"/>
      <c r="Q1267" s="1"/>
      <c r="R1267" s="1"/>
      <c r="S1267" s="1"/>
      <c r="T1267" s="1"/>
      <c r="U1267" s="1"/>
      <c r="V1267" s="1"/>
      <c r="W1267" s="1"/>
      <c r="X1267" s="1"/>
      <c r="Y1267" s="1"/>
      <c r="Z1267" s="1"/>
    </row>
    <row r="1268" spans="1:26" ht="12.75" hidden="1" customHeight="1">
      <c r="A1268" s="1"/>
      <c r="B1268" s="1"/>
      <c r="C1268" s="1"/>
      <c r="D1268" s="1"/>
      <c r="E1268" s="1"/>
      <c r="F1268" s="1"/>
      <c r="G1268" s="1"/>
      <c r="H1268" s="1"/>
      <c r="I1268" s="8"/>
      <c r="J1268" s="1"/>
      <c r="K1268" s="1"/>
      <c r="L1268" s="1"/>
      <c r="M1268" s="1"/>
      <c r="N1268" s="1"/>
      <c r="O1268" s="1"/>
      <c r="P1268" s="1"/>
      <c r="Q1268" s="1"/>
      <c r="R1268" s="1"/>
      <c r="S1268" s="1"/>
      <c r="T1268" s="1"/>
      <c r="U1268" s="1"/>
      <c r="V1268" s="1"/>
      <c r="W1268" s="1"/>
      <c r="X1268" s="1"/>
      <c r="Y1268" s="1"/>
      <c r="Z1268" s="1"/>
    </row>
    <row r="1269" spans="1:26" ht="12.75" hidden="1" customHeight="1">
      <c r="A1269" s="1"/>
      <c r="B1269" s="1"/>
      <c r="C1269" s="1"/>
      <c r="D1269" s="1"/>
      <c r="E1269" s="1"/>
      <c r="F1269" s="1"/>
      <c r="G1269" s="1"/>
      <c r="H1269" s="1"/>
      <c r="I1269" s="8"/>
      <c r="J1269" s="1"/>
      <c r="K1269" s="1"/>
      <c r="L1269" s="1"/>
      <c r="M1269" s="1"/>
      <c r="N1269" s="1"/>
      <c r="O1269" s="1"/>
      <c r="P1269" s="1"/>
      <c r="Q1269" s="1"/>
      <c r="R1269" s="1"/>
      <c r="S1269" s="1"/>
      <c r="T1269" s="1"/>
      <c r="U1269" s="1"/>
      <c r="V1269" s="1"/>
      <c r="W1269" s="1"/>
      <c r="X1269" s="1"/>
      <c r="Y1269" s="1"/>
      <c r="Z1269" s="1"/>
    </row>
    <row r="1270" spans="1:26" ht="12.75" hidden="1" customHeight="1">
      <c r="A1270" s="1"/>
      <c r="B1270" s="1"/>
      <c r="C1270" s="1"/>
      <c r="D1270" s="1"/>
      <c r="E1270" s="1"/>
      <c r="F1270" s="1"/>
      <c r="G1270" s="1"/>
      <c r="H1270" s="1"/>
      <c r="I1270" s="8"/>
      <c r="J1270" s="1"/>
      <c r="K1270" s="1"/>
      <c r="L1270" s="1"/>
      <c r="M1270" s="1"/>
      <c r="N1270" s="1"/>
      <c r="O1270" s="1"/>
      <c r="P1270" s="1"/>
      <c r="Q1270" s="1"/>
      <c r="R1270" s="1"/>
      <c r="S1270" s="1"/>
      <c r="T1270" s="1"/>
      <c r="U1270" s="1"/>
      <c r="V1270" s="1"/>
      <c r="W1270" s="1"/>
      <c r="X1270" s="1"/>
      <c r="Y1270" s="1"/>
      <c r="Z1270" s="1"/>
    </row>
    <row r="1271" spans="1:26" ht="12.75" hidden="1" customHeight="1">
      <c r="A1271" s="1"/>
      <c r="B1271" s="1"/>
      <c r="C1271" s="1"/>
      <c r="D1271" s="1"/>
      <c r="E1271" s="1"/>
      <c r="F1271" s="1"/>
      <c r="G1271" s="1"/>
      <c r="H1271" s="1"/>
      <c r="I1271" s="8"/>
      <c r="J1271" s="1"/>
      <c r="K1271" s="1"/>
      <c r="L1271" s="1"/>
      <c r="M1271" s="1"/>
      <c r="N1271" s="1"/>
      <c r="O1271" s="1"/>
      <c r="P1271" s="1"/>
      <c r="Q1271" s="1"/>
      <c r="R1271" s="1"/>
      <c r="S1271" s="1"/>
      <c r="T1271" s="1"/>
      <c r="U1271" s="1"/>
      <c r="V1271" s="1"/>
      <c r="W1271" s="1"/>
      <c r="X1271" s="1"/>
      <c r="Y1271" s="1"/>
      <c r="Z1271" s="1"/>
    </row>
    <row r="1272" spans="1:26" ht="12.75" hidden="1" customHeight="1">
      <c r="A1272" s="1"/>
      <c r="B1272" s="1"/>
      <c r="C1272" s="1"/>
      <c r="D1272" s="1"/>
      <c r="E1272" s="1"/>
      <c r="F1272" s="1"/>
      <c r="G1272" s="1"/>
      <c r="H1272" s="1"/>
      <c r="I1272" s="8"/>
      <c r="J1272" s="1"/>
      <c r="K1272" s="1"/>
      <c r="L1272" s="1"/>
      <c r="M1272" s="1"/>
      <c r="N1272" s="1"/>
      <c r="O1272" s="1"/>
      <c r="P1272" s="1"/>
      <c r="Q1272" s="1"/>
      <c r="R1272" s="1"/>
      <c r="S1272" s="1"/>
      <c r="T1272" s="1"/>
      <c r="U1272" s="1"/>
      <c r="V1272" s="1"/>
      <c r="W1272" s="1"/>
      <c r="X1272" s="1"/>
      <c r="Y1272" s="1"/>
      <c r="Z1272" s="1"/>
    </row>
    <row r="1273" spans="1:26" ht="12.75" hidden="1" customHeight="1">
      <c r="A1273" s="1"/>
      <c r="B1273" s="1"/>
      <c r="C1273" s="1"/>
      <c r="D1273" s="1"/>
      <c r="E1273" s="1"/>
      <c r="F1273" s="1"/>
      <c r="G1273" s="1"/>
      <c r="H1273" s="1"/>
      <c r="I1273" s="8"/>
      <c r="J1273" s="1"/>
      <c r="K1273" s="1"/>
      <c r="L1273" s="1"/>
      <c r="M1273" s="1"/>
      <c r="N1273" s="1"/>
      <c r="O1273" s="1"/>
      <c r="P1273" s="1"/>
      <c r="Q1273" s="1"/>
      <c r="R1273" s="1"/>
      <c r="S1273" s="1"/>
      <c r="T1273" s="1"/>
      <c r="U1273" s="1"/>
      <c r="V1273" s="1"/>
      <c r="W1273" s="1"/>
      <c r="X1273" s="1"/>
      <c r="Y1273" s="1"/>
      <c r="Z1273" s="1"/>
    </row>
    <row r="1274" spans="1:26" ht="12.75" hidden="1" customHeight="1">
      <c r="A1274" s="1"/>
      <c r="B1274" s="1"/>
      <c r="C1274" s="1"/>
      <c r="D1274" s="1"/>
      <c r="E1274" s="1"/>
      <c r="F1274" s="1"/>
      <c r="G1274" s="1"/>
      <c r="H1274" s="1"/>
      <c r="I1274" s="8"/>
      <c r="J1274" s="1"/>
      <c r="K1274" s="1"/>
      <c r="L1274" s="1"/>
      <c r="M1274" s="1"/>
      <c r="N1274" s="1"/>
      <c r="O1274" s="1"/>
      <c r="P1274" s="1"/>
      <c r="Q1274" s="1"/>
      <c r="R1274" s="1"/>
      <c r="S1274" s="1"/>
      <c r="T1274" s="1"/>
      <c r="U1274" s="1"/>
      <c r="V1274" s="1"/>
      <c r="W1274" s="1"/>
      <c r="X1274" s="1"/>
      <c r="Y1274" s="1"/>
      <c r="Z1274" s="1"/>
    </row>
    <row r="1275" spans="1:26" ht="12.75" hidden="1" customHeight="1">
      <c r="A1275" s="1"/>
      <c r="B1275" s="1"/>
      <c r="C1275" s="1"/>
      <c r="D1275" s="1"/>
      <c r="E1275" s="1"/>
      <c r="F1275" s="1"/>
      <c r="G1275" s="1"/>
      <c r="H1275" s="1"/>
      <c r="I1275" s="8"/>
      <c r="J1275" s="1"/>
      <c r="K1275" s="1"/>
      <c r="L1275" s="1"/>
      <c r="M1275" s="1"/>
      <c r="N1275" s="1"/>
      <c r="O1275" s="1"/>
      <c r="P1275" s="1"/>
      <c r="Q1275" s="1"/>
      <c r="R1275" s="1"/>
      <c r="S1275" s="1"/>
      <c r="T1275" s="1"/>
      <c r="U1275" s="1"/>
      <c r="V1275" s="1"/>
      <c r="W1275" s="1"/>
      <c r="X1275" s="1"/>
      <c r="Y1275" s="1"/>
      <c r="Z1275" s="1"/>
    </row>
    <row r="1276" spans="1:26" ht="12.75" hidden="1" customHeight="1">
      <c r="A1276" s="1"/>
      <c r="B1276" s="1"/>
      <c r="C1276" s="1"/>
      <c r="D1276" s="1"/>
      <c r="E1276" s="1"/>
      <c r="F1276" s="1"/>
      <c r="G1276" s="1"/>
      <c r="H1276" s="1"/>
      <c r="I1276" s="8"/>
      <c r="J1276" s="1"/>
      <c r="K1276" s="1"/>
      <c r="L1276" s="1"/>
      <c r="M1276" s="1"/>
      <c r="N1276" s="1"/>
      <c r="O1276" s="1"/>
      <c r="P1276" s="1"/>
      <c r="Q1276" s="1"/>
      <c r="R1276" s="1"/>
      <c r="S1276" s="1"/>
      <c r="T1276" s="1"/>
      <c r="U1276" s="1"/>
      <c r="V1276" s="1"/>
      <c r="W1276" s="1"/>
      <c r="X1276" s="1"/>
      <c r="Y1276" s="1"/>
      <c r="Z1276" s="1"/>
    </row>
    <row r="1277" spans="1:26" ht="12.75" hidden="1" customHeight="1">
      <c r="A1277" s="1"/>
      <c r="B1277" s="1"/>
      <c r="C1277" s="1"/>
      <c r="D1277" s="1"/>
      <c r="E1277" s="1"/>
      <c r="F1277" s="1"/>
      <c r="G1277" s="1"/>
      <c r="H1277" s="1"/>
      <c r="I1277" s="8"/>
      <c r="J1277" s="1"/>
      <c r="K1277" s="1"/>
      <c r="L1277" s="1"/>
      <c r="M1277" s="1"/>
      <c r="N1277" s="1"/>
      <c r="O1277" s="1"/>
      <c r="P1277" s="1"/>
      <c r="Q1277" s="1"/>
      <c r="R1277" s="1"/>
      <c r="S1277" s="1"/>
      <c r="T1277" s="1"/>
      <c r="U1277" s="1"/>
      <c r="V1277" s="1"/>
      <c r="W1277" s="1"/>
      <c r="X1277" s="1"/>
      <c r="Y1277" s="1"/>
      <c r="Z1277" s="1"/>
    </row>
    <row r="1278" spans="1:26" ht="12.75" hidden="1" customHeight="1">
      <c r="A1278" s="1"/>
      <c r="B1278" s="1"/>
      <c r="C1278" s="1"/>
      <c r="D1278" s="1"/>
      <c r="E1278" s="1"/>
      <c r="F1278" s="1"/>
      <c r="G1278" s="1"/>
      <c r="H1278" s="1"/>
      <c r="I1278" s="8"/>
      <c r="J1278" s="1"/>
      <c r="K1278" s="1"/>
      <c r="L1278" s="1"/>
      <c r="M1278" s="1"/>
      <c r="N1278" s="1"/>
      <c r="O1278" s="1"/>
      <c r="P1278" s="1"/>
      <c r="Q1278" s="1"/>
      <c r="R1278" s="1"/>
      <c r="S1278" s="1"/>
      <c r="T1278" s="1"/>
      <c r="U1278" s="1"/>
      <c r="V1278" s="1"/>
      <c r="W1278" s="1"/>
      <c r="X1278" s="1"/>
      <c r="Y1278" s="1"/>
      <c r="Z1278" s="1"/>
    </row>
    <row r="1279" spans="1:26" ht="12.75" hidden="1" customHeight="1">
      <c r="A1279" s="1"/>
      <c r="B1279" s="1"/>
      <c r="C1279" s="1"/>
      <c r="D1279" s="1"/>
      <c r="E1279" s="1"/>
      <c r="F1279" s="1"/>
      <c r="G1279" s="1"/>
      <c r="H1279" s="1"/>
      <c r="I1279" s="8"/>
      <c r="J1279" s="1"/>
      <c r="K1279" s="1"/>
      <c r="L1279" s="1"/>
      <c r="M1279" s="1"/>
      <c r="N1279" s="1"/>
      <c r="O1279" s="1"/>
      <c r="P1279" s="1"/>
      <c r="Q1279" s="1"/>
      <c r="R1279" s="1"/>
      <c r="S1279" s="1"/>
      <c r="T1279" s="1"/>
      <c r="U1279" s="1"/>
      <c r="V1279" s="1"/>
      <c r="W1279" s="1"/>
      <c r="X1279" s="1"/>
      <c r="Y1279" s="1"/>
      <c r="Z1279" s="1"/>
    </row>
    <row r="1280" spans="1:26" ht="12.75" hidden="1" customHeight="1">
      <c r="A1280" s="1"/>
      <c r="B1280" s="1"/>
      <c r="C1280" s="1"/>
      <c r="D1280" s="1"/>
      <c r="E1280" s="1"/>
      <c r="F1280" s="1"/>
      <c r="G1280" s="1"/>
      <c r="H1280" s="1"/>
      <c r="I1280" s="8"/>
      <c r="J1280" s="1"/>
      <c r="K1280" s="1"/>
      <c r="L1280" s="1"/>
      <c r="M1280" s="1"/>
      <c r="N1280" s="1"/>
      <c r="O1280" s="1"/>
      <c r="P1280" s="1"/>
      <c r="Q1280" s="1"/>
      <c r="R1280" s="1"/>
      <c r="S1280" s="1"/>
      <c r="T1280" s="1"/>
      <c r="U1280" s="1"/>
      <c r="V1280" s="1"/>
      <c r="W1280" s="1"/>
      <c r="X1280" s="1"/>
      <c r="Y1280" s="1"/>
      <c r="Z1280" s="1"/>
    </row>
    <row r="1281" spans="1:26" ht="12.75" hidden="1" customHeight="1">
      <c r="A1281" s="1"/>
      <c r="B1281" s="1"/>
      <c r="C1281" s="1"/>
      <c r="D1281" s="1"/>
      <c r="E1281" s="1"/>
      <c r="F1281" s="1"/>
      <c r="G1281" s="1"/>
      <c r="H1281" s="1"/>
      <c r="I1281" s="8"/>
      <c r="J1281" s="1"/>
      <c r="K1281" s="1"/>
      <c r="L1281" s="1"/>
      <c r="M1281" s="1"/>
      <c r="N1281" s="1"/>
      <c r="O1281" s="1"/>
      <c r="P1281" s="1"/>
      <c r="Q1281" s="1"/>
      <c r="R1281" s="1"/>
      <c r="S1281" s="1"/>
      <c r="T1281" s="1"/>
      <c r="U1281" s="1"/>
      <c r="V1281" s="1"/>
      <c r="W1281" s="1"/>
      <c r="X1281" s="1"/>
      <c r="Y1281" s="1"/>
      <c r="Z1281" s="1"/>
    </row>
    <row r="1282" spans="1:26" ht="12.75" hidden="1" customHeight="1">
      <c r="A1282" s="1"/>
      <c r="B1282" s="1"/>
      <c r="C1282" s="1"/>
      <c r="D1282" s="1"/>
      <c r="E1282" s="1"/>
      <c r="F1282" s="1"/>
      <c r="G1282" s="1"/>
      <c r="H1282" s="1"/>
      <c r="I1282" s="8"/>
      <c r="J1282" s="1"/>
      <c r="K1282" s="1"/>
      <c r="L1282" s="1"/>
      <c r="M1282" s="1"/>
      <c r="N1282" s="1"/>
      <c r="O1282" s="1"/>
      <c r="P1282" s="1"/>
      <c r="Q1282" s="1"/>
      <c r="R1282" s="1"/>
      <c r="S1282" s="1"/>
      <c r="T1282" s="1"/>
      <c r="U1282" s="1"/>
      <c r="V1282" s="1"/>
      <c r="W1282" s="1"/>
      <c r="X1282" s="1"/>
      <c r="Y1282" s="1"/>
      <c r="Z1282" s="1"/>
    </row>
    <row r="1283" spans="1:26" ht="12.75" hidden="1" customHeight="1">
      <c r="A1283" s="1"/>
      <c r="B1283" s="1"/>
      <c r="C1283" s="1"/>
      <c r="D1283" s="1"/>
      <c r="E1283" s="1"/>
      <c r="F1283" s="1"/>
      <c r="G1283" s="1"/>
      <c r="H1283" s="1"/>
      <c r="I1283" s="8"/>
      <c r="J1283" s="1"/>
      <c r="K1283" s="1"/>
      <c r="L1283" s="1"/>
      <c r="M1283" s="1"/>
      <c r="N1283" s="1"/>
      <c r="O1283" s="1"/>
      <c r="P1283" s="1"/>
      <c r="Q1283" s="1"/>
      <c r="R1283" s="1"/>
      <c r="S1283" s="1"/>
      <c r="T1283" s="1"/>
      <c r="U1283" s="1"/>
      <c r="V1283" s="1"/>
      <c r="W1283" s="1"/>
      <c r="X1283" s="1"/>
      <c r="Y1283" s="1"/>
      <c r="Z1283" s="1"/>
    </row>
    <row r="1284" spans="1:26" ht="12.75" hidden="1" customHeight="1">
      <c r="A1284" s="1"/>
      <c r="B1284" s="1"/>
      <c r="C1284" s="1"/>
      <c r="D1284" s="1"/>
      <c r="E1284" s="1"/>
      <c r="F1284" s="1"/>
      <c r="G1284" s="1"/>
      <c r="H1284" s="1"/>
      <c r="I1284" s="8"/>
      <c r="J1284" s="1"/>
      <c r="K1284" s="1"/>
      <c r="L1284" s="1"/>
      <c r="M1284" s="1"/>
      <c r="N1284" s="1"/>
      <c r="O1284" s="1"/>
      <c r="P1284" s="1"/>
      <c r="Q1284" s="1"/>
      <c r="R1284" s="1"/>
      <c r="S1284" s="1"/>
      <c r="T1284" s="1"/>
      <c r="U1284" s="1"/>
      <c r="V1284" s="1"/>
      <c r="W1284" s="1"/>
      <c r="X1284" s="1"/>
      <c r="Y1284" s="1"/>
      <c r="Z1284" s="1"/>
    </row>
    <row r="1285" spans="1:26" ht="12.75" hidden="1" customHeight="1">
      <c r="A1285" s="1"/>
      <c r="B1285" s="1"/>
      <c r="C1285" s="1"/>
      <c r="D1285" s="1"/>
      <c r="E1285" s="1"/>
      <c r="F1285" s="1"/>
      <c r="G1285" s="1"/>
      <c r="H1285" s="1"/>
      <c r="I1285" s="8"/>
      <c r="J1285" s="1"/>
      <c r="K1285" s="1"/>
      <c r="L1285" s="1"/>
      <c r="M1285" s="1"/>
      <c r="N1285" s="1"/>
      <c r="O1285" s="1"/>
      <c r="P1285" s="1"/>
      <c r="Q1285" s="1"/>
      <c r="R1285" s="1"/>
      <c r="S1285" s="1"/>
      <c r="T1285" s="1"/>
      <c r="U1285" s="1"/>
      <c r="V1285" s="1"/>
      <c r="W1285" s="1"/>
      <c r="X1285" s="1"/>
      <c r="Y1285" s="1"/>
      <c r="Z1285" s="1"/>
    </row>
    <row r="1286" spans="1:26" ht="12.75" hidden="1" customHeight="1">
      <c r="A1286" s="1"/>
      <c r="B1286" s="1"/>
      <c r="C1286" s="1"/>
      <c r="D1286" s="1"/>
      <c r="E1286" s="1"/>
      <c r="F1286" s="1"/>
      <c r="G1286" s="1"/>
      <c r="H1286" s="1"/>
      <c r="I1286" s="8"/>
      <c r="J1286" s="1"/>
      <c r="K1286" s="1"/>
      <c r="L1286" s="1"/>
      <c r="M1286" s="1"/>
      <c r="N1286" s="1"/>
      <c r="O1286" s="1"/>
      <c r="P1286" s="1"/>
      <c r="Q1286" s="1"/>
      <c r="R1286" s="1"/>
      <c r="S1286" s="1"/>
      <c r="T1286" s="1"/>
      <c r="U1286" s="1"/>
      <c r="V1286" s="1"/>
      <c r="W1286" s="1"/>
      <c r="X1286" s="1"/>
      <c r="Y1286" s="1"/>
      <c r="Z1286" s="1"/>
    </row>
    <row r="1287" spans="1:26" ht="12.75" hidden="1" customHeight="1">
      <c r="A1287" s="1"/>
      <c r="B1287" s="1"/>
      <c r="C1287" s="1"/>
      <c r="D1287" s="1"/>
      <c r="E1287" s="1"/>
      <c r="F1287" s="1"/>
      <c r="G1287" s="1"/>
      <c r="H1287" s="1"/>
      <c r="I1287" s="8"/>
      <c r="J1287" s="1"/>
      <c r="K1287" s="1"/>
      <c r="L1287" s="1"/>
      <c r="M1287" s="1"/>
      <c r="N1287" s="1"/>
      <c r="O1287" s="1"/>
      <c r="P1287" s="1"/>
      <c r="Q1287" s="1"/>
      <c r="R1287" s="1"/>
      <c r="S1287" s="1"/>
      <c r="T1287" s="1"/>
      <c r="U1287" s="1"/>
      <c r="V1287" s="1"/>
      <c r="W1287" s="1"/>
      <c r="X1287" s="1"/>
      <c r="Y1287" s="1"/>
      <c r="Z1287" s="1"/>
    </row>
    <row r="1288" spans="1:26" ht="12.75" hidden="1" customHeight="1">
      <c r="A1288" s="1"/>
      <c r="B1288" s="1"/>
      <c r="C1288" s="1"/>
      <c r="D1288" s="1"/>
      <c r="E1288" s="1"/>
      <c r="F1288" s="1"/>
      <c r="G1288" s="1"/>
      <c r="H1288" s="1"/>
      <c r="I1288" s="8"/>
      <c r="J1288" s="1"/>
      <c r="K1288" s="1"/>
      <c r="L1288" s="1"/>
      <c r="M1288" s="1"/>
      <c r="N1288" s="1"/>
      <c r="O1288" s="1"/>
      <c r="P1288" s="1"/>
      <c r="Q1288" s="1"/>
      <c r="R1288" s="1"/>
      <c r="S1288" s="1"/>
      <c r="T1288" s="1"/>
      <c r="U1288" s="1"/>
      <c r="V1288" s="1"/>
      <c r="W1288" s="1"/>
      <c r="X1288" s="1"/>
      <c r="Y1288" s="1"/>
      <c r="Z1288" s="1"/>
    </row>
    <row r="1289" spans="1:26" ht="12.75" hidden="1" customHeight="1">
      <c r="A1289" s="1"/>
      <c r="B1289" s="1"/>
      <c r="C1289" s="1"/>
      <c r="D1289" s="1"/>
      <c r="E1289" s="1"/>
      <c r="F1289" s="1"/>
      <c r="G1289" s="1"/>
      <c r="H1289" s="1"/>
      <c r="I1289" s="8"/>
      <c r="J1289" s="1"/>
      <c r="K1289" s="1"/>
      <c r="L1289" s="1"/>
      <c r="M1289" s="1"/>
      <c r="N1289" s="1"/>
      <c r="O1289" s="1"/>
      <c r="P1289" s="1"/>
      <c r="Q1289" s="1"/>
      <c r="R1289" s="1"/>
      <c r="S1289" s="1"/>
      <c r="T1289" s="1"/>
      <c r="U1289" s="1"/>
      <c r="V1289" s="1"/>
      <c r="W1289" s="1"/>
      <c r="X1289" s="1"/>
      <c r="Y1289" s="1"/>
      <c r="Z1289" s="1"/>
    </row>
    <row r="1290" spans="1:26" ht="12.75" hidden="1" customHeight="1">
      <c r="A1290" s="1"/>
      <c r="B1290" s="1"/>
      <c r="C1290" s="1"/>
      <c r="D1290" s="1"/>
      <c r="E1290" s="1"/>
      <c r="F1290" s="1"/>
      <c r="G1290" s="1"/>
      <c r="H1290" s="1"/>
      <c r="I1290" s="8"/>
      <c r="J1290" s="1"/>
      <c r="K1290" s="1"/>
      <c r="L1290" s="1"/>
      <c r="M1290" s="1"/>
      <c r="N1290" s="1"/>
      <c r="O1290" s="1"/>
      <c r="P1290" s="1"/>
      <c r="Q1290" s="1"/>
      <c r="R1290" s="1"/>
      <c r="S1290" s="1"/>
      <c r="T1290" s="1"/>
      <c r="U1290" s="1"/>
      <c r="V1290" s="1"/>
      <c r="W1290" s="1"/>
      <c r="X1290" s="1"/>
      <c r="Y1290" s="1"/>
      <c r="Z1290" s="1"/>
    </row>
    <row r="1291" spans="1:26" ht="12.75" hidden="1" customHeight="1">
      <c r="A1291" s="1"/>
      <c r="B1291" s="1"/>
      <c r="C1291" s="1"/>
      <c r="D1291" s="1"/>
      <c r="E1291" s="1"/>
      <c r="F1291" s="1"/>
      <c r="G1291" s="1"/>
      <c r="H1291" s="1"/>
      <c r="I1291" s="8"/>
      <c r="J1291" s="1"/>
      <c r="K1291" s="1"/>
      <c r="L1291" s="1"/>
      <c r="M1291" s="1"/>
      <c r="N1291" s="1"/>
      <c r="O1291" s="1"/>
      <c r="P1291" s="1"/>
      <c r="Q1291" s="1"/>
      <c r="R1291" s="1"/>
      <c r="S1291" s="1"/>
      <c r="T1291" s="1"/>
      <c r="U1291" s="1"/>
      <c r="V1291" s="1"/>
      <c r="W1291" s="1"/>
      <c r="X1291" s="1"/>
      <c r="Y1291" s="1"/>
      <c r="Z1291" s="1"/>
    </row>
    <row r="1292" spans="1:26" ht="12.75" hidden="1" customHeight="1">
      <c r="A1292" s="1"/>
      <c r="B1292" s="1"/>
      <c r="C1292" s="1"/>
      <c r="D1292" s="1"/>
      <c r="E1292" s="1"/>
      <c r="F1292" s="1"/>
      <c r="G1292" s="1"/>
      <c r="H1292" s="1"/>
      <c r="I1292" s="8"/>
      <c r="J1292" s="1"/>
      <c r="K1292" s="1"/>
      <c r="L1292" s="1"/>
      <c r="M1292" s="1"/>
      <c r="N1292" s="1"/>
      <c r="O1292" s="1"/>
      <c r="P1292" s="1"/>
      <c r="Q1292" s="1"/>
      <c r="R1292" s="1"/>
      <c r="S1292" s="1"/>
      <c r="T1292" s="1"/>
      <c r="U1292" s="1"/>
      <c r="V1292" s="1"/>
      <c r="W1292" s="1"/>
      <c r="X1292" s="1"/>
      <c r="Y1292" s="1"/>
      <c r="Z1292" s="1"/>
    </row>
    <row r="1293" spans="1:26" ht="12.75" hidden="1" customHeight="1">
      <c r="A1293" s="1"/>
      <c r="B1293" s="1"/>
      <c r="C1293" s="1"/>
      <c r="D1293" s="1"/>
      <c r="E1293" s="1"/>
      <c r="F1293" s="1"/>
      <c r="G1293" s="1"/>
      <c r="H1293" s="1"/>
      <c r="I1293" s="8"/>
      <c r="J1293" s="1"/>
      <c r="K1293" s="1"/>
      <c r="L1293" s="1"/>
      <c r="M1293" s="1"/>
      <c r="N1293" s="1"/>
      <c r="O1293" s="1"/>
      <c r="P1293" s="1"/>
      <c r="Q1293" s="1"/>
      <c r="R1293" s="1"/>
      <c r="S1293" s="1"/>
      <c r="T1293" s="1"/>
      <c r="U1293" s="1"/>
      <c r="V1293" s="1"/>
      <c r="W1293" s="1"/>
      <c r="X1293" s="1"/>
      <c r="Y1293" s="1"/>
      <c r="Z1293" s="1"/>
    </row>
    <row r="1294" spans="1:26" ht="12.75" hidden="1" customHeight="1">
      <c r="A1294" s="1"/>
      <c r="B1294" s="1"/>
      <c r="C1294" s="1"/>
      <c r="D1294" s="1"/>
      <c r="E1294" s="1"/>
      <c r="F1294" s="1"/>
      <c r="G1294" s="1"/>
      <c r="H1294" s="1"/>
      <c r="I1294" s="8"/>
      <c r="J1294" s="1"/>
      <c r="K1294" s="1"/>
      <c r="L1294" s="1"/>
      <c r="M1294" s="1"/>
      <c r="N1294" s="1"/>
      <c r="O1294" s="1"/>
      <c r="P1294" s="1"/>
      <c r="Q1294" s="1"/>
      <c r="R1294" s="1"/>
      <c r="S1294" s="1"/>
      <c r="T1294" s="1"/>
      <c r="U1294" s="1"/>
      <c r="V1294" s="1"/>
      <c r="W1294" s="1"/>
      <c r="X1294" s="1"/>
      <c r="Y1294" s="1"/>
      <c r="Z1294" s="1"/>
    </row>
    <row r="1295" spans="1:26" ht="12.75" hidden="1" customHeight="1">
      <c r="A1295" s="1"/>
      <c r="B1295" s="1"/>
      <c r="C1295" s="1"/>
      <c r="D1295" s="1"/>
      <c r="E1295" s="1"/>
      <c r="F1295" s="1"/>
      <c r="G1295" s="1"/>
      <c r="H1295" s="1"/>
      <c r="I1295" s="8"/>
      <c r="J1295" s="1"/>
      <c r="K1295" s="1"/>
      <c r="L1295" s="1"/>
      <c r="M1295" s="1"/>
      <c r="N1295" s="1"/>
      <c r="O1295" s="1"/>
      <c r="P1295" s="1"/>
      <c r="Q1295" s="1"/>
      <c r="R1295" s="1"/>
      <c r="S1295" s="1"/>
      <c r="T1295" s="1"/>
      <c r="U1295" s="1"/>
      <c r="V1295" s="1"/>
      <c r="W1295" s="1"/>
      <c r="X1295" s="1"/>
      <c r="Y1295" s="1"/>
      <c r="Z1295" s="1"/>
    </row>
    <row r="1296" spans="1:26" ht="12.75" hidden="1" customHeight="1">
      <c r="A1296" s="1"/>
      <c r="B1296" s="1"/>
      <c r="C1296" s="1"/>
      <c r="D1296" s="1"/>
      <c r="E1296" s="1"/>
      <c r="F1296" s="1"/>
      <c r="G1296" s="1"/>
      <c r="H1296" s="1"/>
      <c r="I1296" s="8"/>
      <c r="J1296" s="1"/>
      <c r="K1296" s="1"/>
      <c r="L1296" s="1"/>
      <c r="M1296" s="1"/>
      <c r="N1296" s="1"/>
      <c r="O1296" s="1"/>
      <c r="P1296" s="1"/>
      <c r="Q1296" s="1"/>
      <c r="R1296" s="1"/>
      <c r="S1296" s="1"/>
      <c r="T1296" s="1"/>
      <c r="U1296" s="1"/>
      <c r="V1296" s="1"/>
      <c r="W1296" s="1"/>
      <c r="X1296" s="1"/>
      <c r="Y1296" s="1"/>
      <c r="Z1296" s="1"/>
    </row>
    <row r="1297" spans="1:26" ht="12.75" hidden="1" customHeight="1">
      <c r="A1297" s="1"/>
      <c r="B1297" s="1"/>
      <c r="C1297" s="1"/>
      <c r="D1297" s="1"/>
      <c r="E1297" s="1"/>
      <c r="F1297" s="1"/>
      <c r="G1297" s="1"/>
      <c r="H1297" s="1"/>
      <c r="I1297" s="8"/>
      <c r="J1297" s="1"/>
      <c r="K1297" s="1"/>
      <c r="L1297" s="1"/>
      <c r="M1297" s="1"/>
      <c r="N1297" s="1"/>
      <c r="O1297" s="1"/>
      <c r="P1297" s="1"/>
      <c r="Q1297" s="1"/>
      <c r="R1297" s="1"/>
      <c r="S1297" s="1"/>
      <c r="T1297" s="1"/>
      <c r="U1297" s="1"/>
      <c r="V1297" s="1"/>
      <c r="W1297" s="1"/>
      <c r="X1297" s="1"/>
      <c r="Y1297" s="1"/>
      <c r="Z1297" s="1"/>
    </row>
    <row r="1298" spans="1:26" ht="12.75" hidden="1" customHeight="1">
      <c r="A1298" s="1"/>
      <c r="B1298" s="1"/>
      <c r="C1298" s="1"/>
      <c r="D1298" s="1"/>
      <c r="E1298" s="1"/>
      <c r="F1298" s="1"/>
      <c r="G1298" s="1"/>
      <c r="H1298" s="1"/>
      <c r="I1298" s="8"/>
      <c r="J1298" s="1"/>
      <c r="K1298" s="1"/>
      <c r="L1298" s="1"/>
      <c r="M1298" s="1"/>
      <c r="N1298" s="1"/>
      <c r="O1298" s="1"/>
      <c r="P1298" s="1"/>
      <c r="Q1298" s="1"/>
      <c r="R1298" s="1"/>
      <c r="S1298" s="1"/>
      <c r="T1298" s="1"/>
      <c r="U1298" s="1"/>
      <c r="V1298" s="1"/>
      <c r="W1298" s="1"/>
      <c r="X1298" s="1"/>
      <c r="Y1298" s="1"/>
      <c r="Z1298" s="1"/>
    </row>
    <row r="1299" spans="1:26" ht="12.75" hidden="1" customHeight="1">
      <c r="A1299" s="1"/>
      <c r="B1299" s="1"/>
      <c r="C1299" s="1"/>
      <c r="D1299" s="1"/>
      <c r="E1299" s="1"/>
      <c r="F1299" s="1"/>
      <c r="G1299" s="1"/>
      <c r="H1299" s="1"/>
      <c r="I1299" s="8"/>
      <c r="J1299" s="1"/>
      <c r="K1299" s="1"/>
      <c r="L1299" s="1"/>
      <c r="M1299" s="1"/>
      <c r="N1299" s="1"/>
      <c r="O1299" s="1"/>
      <c r="P1299" s="1"/>
      <c r="Q1299" s="1"/>
      <c r="R1299" s="1"/>
      <c r="S1299" s="1"/>
      <c r="T1299" s="1"/>
      <c r="U1299" s="1"/>
      <c r="V1299" s="1"/>
      <c r="W1299" s="1"/>
      <c r="X1299" s="1"/>
      <c r="Y1299" s="1"/>
      <c r="Z1299" s="1"/>
    </row>
    <row r="1300" spans="1:26" ht="12.75" hidden="1" customHeight="1">
      <c r="A1300" s="1"/>
      <c r="B1300" s="1"/>
      <c r="C1300" s="1"/>
      <c r="D1300" s="1"/>
      <c r="E1300" s="1"/>
      <c r="F1300" s="1"/>
      <c r="G1300" s="1"/>
      <c r="H1300" s="1"/>
      <c r="I1300" s="8"/>
      <c r="J1300" s="1"/>
      <c r="K1300" s="1"/>
      <c r="L1300" s="1"/>
      <c r="M1300" s="1"/>
      <c r="N1300" s="1"/>
      <c r="O1300" s="1"/>
      <c r="P1300" s="1"/>
      <c r="Q1300" s="1"/>
      <c r="R1300" s="1"/>
      <c r="S1300" s="1"/>
      <c r="T1300" s="1"/>
      <c r="U1300" s="1"/>
      <c r="V1300" s="1"/>
      <c r="W1300" s="1"/>
      <c r="X1300" s="1"/>
      <c r="Y1300" s="1"/>
      <c r="Z1300" s="1"/>
    </row>
    <row r="1301" spans="1:26" ht="12.75" hidden="1" customHeight="1">
      <c r="A1301" s="1"/>
      <c r="B1301" s="1"/>
      <c r="C1301" s="1"/>
      <c r="D1301" s="1"/>
      <c r="E1301" s="1"/>
      <c r="F1301" s="1"/>
      <c r="G1301" s="1"/>
      <c r="H1301" s="1"/>
      <c r="I1301" s="8"/>
      <c r="J1301" s="1"/>
      <c r="K1301" s="1"/>
      <c r="L1301" s="1"/>
      <c r="M1301" s="1"/>
      <c r="N1301" s="1"/>
      <c r="O1301" s="1"/>
      <c r="P1301" s="1"/>
      <c r="Q1301" s="1"/>
      <c r="R1301" s="1"/>
      <c r="S1301" s="1"/>
      <c r="T1301" s="1"/>
      <c r="U1301" s="1"/>
      <c r="V1301" s="1"/>
      <c r="W1301" s="1"/>
      <c r="X1301" s="1"/>
      <c r="Y1301" s="1"/>
      <c r="Z1301" s="1"/>
    </row>
    <row r="1302" spans="1:26" ht="12.75" hidden="1" customHeight="1">
      <c r="A1302" s="1"/>
      <c r="B1302" s="1"/>
      <c r="C1302" s="1"/>
      <c r="D1302" s="1"/>
      <c r="E1302" s="1"/>
      <c r="F1302" s="1"/>
      <c r="G1302" s="1"/>
      <c r="H1302" s="1"/>
      <c r="I1302" s="8"/>
      <c r="J1302" s="1"/>
      <c r="K1302" s="1"/>
      <c r="L1302" s="1"/>
      <c r="M1302" s="1"/>
      <c r="N1302" s="1"/>
      <c r="O1302" s="1"/>
      <c r="P1302" s="1"/>
      <c r="Q1302" s="1"/>
      <c r="R1302" s="1"/>
      <c r="S1302" s="1"/>
      <c r="T1302" s="1"/>
      <c r="U1302" s="1"/>
      <c r="V1302" s="1"/>
      <c r="W1302" s="1"/>
      <c r="X1302" s="1"/>
      <c r="Y1302" s="1"/>
      <c r="Z1302" s="1"/>
    </row>
    <row r="1303" spans="1:26" ht="12.75" hidden="1" customHeight="1">
      <c r="A1303" s="1"/>
      <c r="B1303" s="1"/>
      <c r="C1303" s="1"/>
      <c r="D1303" s="1"/>
      <c r="E1303" s="1"/>
      <c r="F1303" s="1"/>
      <c r="G1303" s="1"/>
      <c r="H1303" s="1"/>
      <c r="I1303" s="8"/>
      <c r="J1303" s="1"/>
      <c r="K1303" s="1"/>
      <c r="L1303" s="1"/>
      <c r="M1303" s="1"/>
      <c r="N1303" s="1"/>
      <c r="O1303" s="1"/>
      <c r="P1303" s="1"/>
      <c r="Q1303" s="1"/>
      <c r="R1303" s="1"/>
      <c r="S1303" s="1"/>
      <c r="T1303" s="1"/>
      <c r="U1303" s="1"/>
      <c r="V1303" s="1"/>
      <c r="W1303" s="1"/>
      <c r="X1303" s="1"/>
      <c r="Y1303" s="1"/>
      <c r="Z1303" s="1"/>
    </row>
    <row r="1304" spans="1:26" ht="12.75" hidden="1" customHeight="1">
      <c r="A1304" s="1"/>
      <c r="B1304" s="1"/>
      <c r="C1304" s="1"/>
      <c r="D1304" s="1"/>
      <c r="E1304" s="1"/>
      <c r="F1304" s="1"/>
      <c r="G1304" s="1"/>
      <c r="H1304" s="1"/>
      <c r="I1304" s="8"/>
      <c r="J1304" s="1"/>
      <c r="K1304" s="1"/>
      <c r="L1304" s="1"/>
      <c r="M1304" s="1"/>
      <c r="N1304" s="1"/>
      <c r="O1304" s="1"/>
      <c r="P1304" s="1"/>
      <c r="Q1304" s="1"/>
      <c r="R1304" s="1"/>
      <c r="S1304" s="1"/>
      <c r="T1304" s="1"/>
      <c r="U1304" s="1"/>
      <c r="V1304" s="1"/>
      <c r="W1304" s="1"/>
      <c r="X1304" s="1"/>
      <c r="Y1304" s="1"/>
      <c r="Z1304" s="1"/>
    </row>
    <row r="1305" spans="1:26" ht="12.75" hidden="1" customHeight="1">
      <c r="A1305" s="1"/>
      <c r="B1305" s="1"/>
      <c r="C1305" s="1"/>
      <c r="D1305" s="1"/>
      <c r="E1305" s="1"/>
      <c r="F1305" s="1"/>
      <c r="G1305" s="1"/>
      <c r="H1305" s="1"/>
      <c r="I1305" s="8"/>
      <c r="J1305" s="1"/>
      <c r="K1305" s="1"/>
      <c r="L1305" s="1"/>
      <c r="M1305" s="1"/>
      <c r="N1305" s="1"/>
      <c r="O1305" s="1"/>
      <c r="P1305" s="1"/>
      <c r="Q1305" s="1"/>
      <c r="R1305" s="1"/>
      <c r="S1305" s="1"/>
      <c r="T1305" s="1"/>
      <c r="U1305" s="1"/>
      <c r="V1305" s="1"/>
      <c r="W1305" s="1"/>
      <c r="X1305" s="1"/>
      <c r="Y1305" s="1"/>
      <c r="Z1305" s="1"/>
    </row>
    <row r="1306" spans="1:26" ht="12.75" hidden="1" customHeight="1">
      <c r="A1306" s="1"/>
      <c r="B1306" s="1"/>
      <c r="C1306" s="1"/>
      <c r="D1306" s="1"/>
      <c r="E1306" s="1"/>
      <c r="F1306" s="1"/>
      <c r="G1306" s="1"/>
      <c r="H1306" s="1"/>
      <c r="I1306" s="8"/>
      <c r="J1306" s="1"/>
      <c r="K1306" s="1"/>
      <c r="L1306" s="1"/>
      <c r="M1306" s="1"/>
      <c r="N1306" s="1"/>
      <c r="O1306" s="1"/>
      <c r="P1306" s="1"/>
      <c r="Q1306" s="1"/>
      <c r="R1306" s="1"/>
      <c r="S1306" s="1"/>
      <c r="T1306" s="1"/>
      <c r="U1306" s="1"/>
      <c r="V1306" s="1"/>
      <c r="W1306" s="1"/>
      <c r="X1306" s="1"/>
      <c r="Y1306" s="1"/>
      <c r="Z1306" s="1"/>
    </row>
    <row r="1307" spans="1:26" ht="12.75" hidden="1" customHeight="1">
      <c r="A1307" s="1"/>
      <c r="B1307" s="1"/>
      <c r="C1307" s="1"/>
      <c r="D1307" s="1"/>
      <c r="E1307" s="1"/>
      <c r="F1307" s="1"/>
      <c r="G1307" s="1"/>
      <c r="H1307" s="1"/>
      <c r="I1307" s="8"/>
      <c r="J1307" s="1"/>
      <c r="K1307" s="1"/>
      <c r="L1307" s="1"/>
      <c r="M1307" s="1"/>
      <c r="N1307" s="1"/>
      <c r="O1307" s="1"/>
      <c r="P1307" s="1"/>
      <c r="Q1307" s="1"/>
      <c r="R1307" s="1"/>
      <c r="S1307" s="1"/>
      <c r="T1307" s="1"/>
      <c r="U1307" s="1"/>
      <c r="V1307" s="1"/>
      <c r="W1307" s="1"/>
      <c r="X1307" s="1"/>
      <c r="Y1307" s="1"/>
      <c r="Z1307" s="1"/>
    </row>
    <row r="1308" spans="1:26" ht="12.75" hidden="1" customHeight="1">
      <c r="A1308" s="1"/>
      <c r="B1308" s="1"/>
      <c r="C1308" s="1"/>
      <c r="D1308" s="1"/>
      <c r="E1308" s="1"/>
      <c r="F1308" s="1"/>
      <c r="G1308" s="1"/>
      <c r="H1308" s="1"/>
      <c r="I1308" s="8"/>
      <c r="J1308" s="1"/>
      <c r="K1308" s="1"/>
      <c r="L1308" s="1"/>
      <c r="M1308" s="1"/>
      <c r="N1308" s="1"/>
      <c r="O1308" s="1"/>
      <c r="P1308" s="1"/>
      <c r="Q1308" s="1"/>
      <c r="R1308" s="1"/>
      <c r="S1308" s="1"/>
      <c r="T1308" s="1"/>
      <c r="U1308" s="1"/>
      <c r="V1308" s="1"/>
      <c r="W1308" s="1"/>
      <c r="X1308" s="1"/>
      <c r="Y1308" s="1"/>
      <c r="Z1308" s="1"/>
    </row>
    <row r="1309" spans="1:26" ht="12.75" hidden="1" customHeight="1">
      <c r="A1309" s="1"/>
      <c r="B1309" s="1"/>
      <c r="C1309" s="1"/>
      <c r="D1309" s="1"/>
      <c r="E1309" s="1"/>
      <c r="F1309" s="1"/>
      <c r="G1309" s="1"/>
      <c r="H1309" s="1"/>
      <c r="I1309" s="8"/>
      <c r="J1309" s="1"/>
      <c r="K1309" s="1"/>
      <c r="L1309" s="1"/>
      <c r="M1309" s="1"/>
      <c r="N1309" s="1"/>
      <c r="O1309" s="1"/>
      <c r="P1309" s="1"/>
      <c r="Q1309" s="1"/>
      <c r="R1309" s="1"/>
      <c r="S1309" s="1"/>
      <c r="T1309" s="1"/>
      <c r="U1309" s="1"/>
      <c r="V1309" s="1"/>
      <c r="W1309" s="1"/>
      <c r="X1309" s="1"/>
      <c r="Y1309" s="1"/>
      <c r="Z1309" s="1"/>
    </row>
    <row r="1310" spans="1:26" ht="12.75" hidden="1" customHeight="1">
      <c r="A1310" s="1"/>
      <c r="B1310" s="1"/>
      <c r="C1310" s="1"/>
      <c r="D1310" s="1"/>
      <c r="E1310" s="1"/>
      <c r="F1310" s="1"/>
      <c r="G1310" s="1"/>
      <c r="H1310" s="1"/>
      <c r="I1310" s="8"/>
      <c r="J1310" s="1"/>
      <c r="K1310" s="1"/>
      <c r="L1310" s="1"/>
      <c r="M1310" s="1"/>
      <c r="N1310" s="1"/>
      <c r="O1310" s="1"/>
      <c r="P1310" s="1"/>
      <c r="Q1310" s="1"/>
      <c r="R1310" s="1"/>
      <c r="S1310" s="1"/>
      <c r="T1310" s="1"/>
      <c r="U1310" s="1"/>
      <c r="V1310" s="1"/>
      <c r="W1310" s="1"/>
      <c r="X1310" s="1"/>
      <c r="Y1310" s="1"/>
      <c r="Z1310" s="1"/>
    </row>
    <row r="1311" spans="1:26" ht="12.75" hidden="1" customHeight="1">
      <c r="A1311" s="1"/>
      <c r="B1311" s="1"/>
      <c r="C1311" s="1"/>
      <c r="D1311" s="1"/>
      <c r="E1311" s="1"/>
      <c r="F1311" s="1"/>
      <c r="G1311" s="1"/>
      <c r="H1311" s="1"/>
      <c r="I1311" s="8"/>
      <c r="J1311" s="1"/>
      <c r="K1311" s="1"/>
      <c r="L1311" s="1"/>
      <c r="M1311" s="1"/>
      <c r="N1311" s="1"/>
      <c r="O1311" s="1"/>
      <c r="P1311" s="1"/>
      <c r="Q1311" s="1"/>
      <c r="R1311" s="1"/>
      <c r="S1311" s="1"/>
      <c r="T1311" s="1"/>
      <c r="U1311" s="1"/>
      <c r="V1311" s="1"/>
      <c r="W1311" s="1"/>
      <c r="X1311" s="1"/>
      <c r="Y1311" s="1"/>
      <c r="Z1311" s="1"/>
    </row>
    <row r="1312" spans="1:26" ht="12.75" hidden="1" customHeight="1">
      <c r="A1312" s="1"/>
      <c r="B1312" s="1"/>
      <c r="C1312" s="1"/>
      <c r="D1312" s="1"/>
      <c r="E1312" s="1"/>
      <c r="F1312" s="1"/>
      <c r="G1312" s="1"/>
      <c r="H1312" s="1"/>
      <c r="I1312" s="8"/>
      <c r="J1312" s="1"/>
      <c r="K1312" s="1"/>
      <c r="L1312" s="1"/>
      <c r="M1312" s="1"/>
      <c r="N1312" s="1"/>
      <c r="O1312" s="1"/>
      <c r="P1312" s="1"/>
      <c r="Q1312" s="1"/>
      <c r="R1312" s="1"/>
      <c r="S1312" s="1"/>
      <c r="T1312" s="1"/>
      <c r="U1312" s="1"/>
      <c r="V1312" s="1"/>
      <c r="W1312" s="1"/>
      <c r="X1312" s="1"/>
      <c r="Y1312" s="1"/>
      <c r="Z1312" s="1"/>
    </row>
    <row r="1313" spans="1:26" ht="12.75" hidden="1" customHeight="1">
      <c r="A1313" s="1"/>
      <c r="B1313" s="1"/>
      <c r="C1313" s="1"/>
      <c r="D1313" s="1"/>
      <c r="E1313" s="1"/>
      <c r="F1313" s="1"/>
      <c r="G1313" s="1"/>
      <c r="H1313" s="1"/>
      <c r="I1313" s="8"/>
      <c r="J1313" s="1"/>
      <c r="K1313" s="1"/>
      <c r="L1313" s="1"/>
      <c r="M1313" s="1"/>
      <c r="N1313" s="1"/>
      <c r="O1313" s="1"/>
      <c r="P1313" s="1"/>
      <c r="Q1313" s="1"/>
      <c r="R1313" s="1"/>
      <c r="S1313" s="1"/>
      <c r="T1313" s="1"/>
      <c r="U1313" s="1"/>
      <c r="V1313" s="1"/>
      <c r="W1313" s="1"/>
      <c r="X1313" s="1"/>
      <c r="Y1313" s="1"/>
      <c r="Z1313" s="1"/>
    </row>
    <row r="1314" spans="1:26" ht="12.75" hidden="1" customHeight="1">
      <c r="A1314" s="1"/>
      <c r="B1314" s="1"/>
      <c r="C1314" s="1"/>
      <c r="D1314" s="1"/>
      <c r="E1314" s="1"/>
      <c r="F1314" s="1"/>
      <c r="G1314" s="1"/>
      <c r="H1314" s="1"/>
      <c r="I1314" s="8"/>
      <c r="J1314" s="1"/>
      <c r="K1314" s="1"/>
      <c r="L1314" s="1"/>
      <c r="M1314" s="1"/>
      <c r="N1314" s="1"/>
      <c r="O1314" s="1"/>
      <c r="P1314" s="1"/>
      <c r="Q1314" s="1"/>
      <c r="R1314" s="1"/>
      <c r="S1314" s="1"/>
      <c r="T1314" s="1"/>
      <c r="U1314" s="1"/>
      <c r="V1314" s="1"/>
      <c r="W1314" s="1"/>
      <c r="X1314" s="1"/>
      <c r="Y1314" s="1"/>
      <c r="Z1314" s="1"/>
    </row>
    <row r="1315" spans="1:26" ht="12.75" hidden="1" customHeight="1">
      <c r="A1315" s="1"/>
      <c r="B1315" s="1"/>
      <c r="C1315" s="1"/>
      <c r="D1315" s="1"/>
      <c r="E1315" s="1"/>
      <c r="F1315" s="1"/>
      <c r="G1315" s="1"/>
      <c r="H1315" s="1"/>
      <c r="I1315" s="8"/>
      <c r="J1315" s="1"/>
      <c r="K1315" s="1"/>
      <c r="L1315" s="1"/>
      <c r="M1315" s="1"/>
      <c r="N1315" s="1"/>
      <c r="O1315" s="1"/>
      <c r="P1315" s="1"/>
      <c r="Q1315" s="1"/>
      <c r="R1315" s="1"/>
      <c r="S1315" s="1"/>
      <c r="T1315" s="1"/>
      <c r="U1315" s="1"/>
      <c r="V1315" s="1"/>
      <c r="W1315" s="1"/>
      <c r="X1315" s="1"/>
      <c r="Y1315" s="1"/>
      <c r="Z1315" s="1"/>
    </row>
    <row r="1316" spans="1:26" ht="12.75" hidden="1" customHeight="1">
      <c r="A1316" s="1"/>
      <c r="B1316" s="1"/>
      <c r="C1316" s="1"/>
      <c r="D1316" s="1"/>
      <c r="E1316" s="1"/>
      <c r="F1316" s="1"/>
      <c r="G1316" s="1"/>
      <c r="H1316" s="1"/>
      <c r="I1316" s="8"/>
      <c r="J1316" s="1"/>
      <c r="K1316" s="1"/>
      <c r="L1316" s="1"/>
      <c r="M1316" s="1"/>
      <c r="N1316" s="1"/>
      <c r="O1316" s="1"/>
      <c r="P1316" s="1"/>
      <c r="Q1316" s="1"/>
      <c r="R1316" s="1"/>
      <c r="S1316" s="1"/>
      <c r="T1316" s="1"/>
      <c r="U1316" s="1"/>
      <c r="V1316" s="1"/>
      <c r="W1316" s="1"/>
      <c r="X1316" s="1"/>
      <c r="Y1316" s="1"/>
      <c r="Z1316" s="1"/>
    </row>
    <row r="1317" spans="1:26" ht="12.75" hidden="1" customHeight="1">
      <c r="A1317" s="1"/>
      <c r="B1317" s="1"/>
      <c r="C1317" s="1"/>
      <c r="D1317" s="1"/>
      <c r="E1317" s="1"/>
      <c r="F1317" s="1"/>
      <c r="G1317" s="1"/>
      <c r="H1317" s="1"/>
      <c r="I1317" s="8"/>
      <c r="J1317" s="1"/>
      <c r="K1317" s="1"/>
      <c r="L1317" s="1"/>
      <c r="M1317" s="1"/>
      <c r="N1317" s="1"/>
      <c r="O1317" s="1"/>
      <c r="P1317" s="1"/>
      <c r="Q1317" s="1"/>
      <c r="R1317" s="1"/>
      <c r="S1317" s="1"/>
      <c r="T1317" s="1"/>
      <c r="U1317" s="1"/>
      <c r="V1317" s="1"/>
      <c r="W1317" s="1"/>
      <c r="X1317" s="1"/>
      <c r="Y1317" s="1"/>
      <c r="Z1317" s="1"/>
    </row>
    <row r="1318" spans="1:26" ht="12.75" hidden="1" customHeight="1">
      <c r="A1318" s="1"/>
      <c r="B1318" s="1"/>
      <c r="C1318" s="1"/>
      <c r="D1318" s="1"/>
      <c r="E1318" s="1"/>
      <c r="F1318" s="1"/>
      <c r="G1318" s="1"/>
      <c r="H1318" s="1"/>
      <c r="I1318" s="8"/>
      <c r="J1318" s="1"/>
      <c r="K1318" s="1"/>
      <c r="L1318" s="1"/>
      <c r="M1318" s="1"/>
      <c r="N1318" s="1"/>
      <c r="O1318" s="1"/>
      <c r="P1318" s="1"/>
      <c r="Q1318" s="1"/>
      <c r="R1318" s="1"/>
      <c r="S1318" s="1"/>
      <c r="T1318" s="1"/>
      <c r="U1318" s="1"/>
      <c r="V1318" s="1"/>
      <c r="W1318" s="1"/>
      <c r="X1318" s="1"/>
      <c r="Y1318" s="1"/>
      <c r="Z1318" s="1"/>
    </row>
    <row r="1319" spans="1:26" ht="12.75" hidden="1" customHeight="1">
      <c r="A1319" s="1"/>
      <c r="B1319" s="1"/>
      <c r="C1319" s="1"/>
      <c r="D1319" s="1"/>
      <c r="E1319" s="1"/>
      <c r="F1319" s="1"/>
      <c r="G1319" s="1"/>
      <c r="H1319" s="1"/>
      <c r="I1319" s="8"/>
      <c r="J1319" s="1"/>
      <c r="K1319" s="1"/>
      <c r="L1319" s="1"/>
      <c r="M1319" s="1"/>
      <c r="N1319" s="1"/>
      <c r="O1319" s="1"/>
      <c r="P1319" s="1"/>
      <c r="Q1319" s="1"/>
      <c r="R1319" s="1"/>
      <c r="S1319" s="1"/>
      <c r="T1319" s="1"/>
      <c r="U1319" s="1"/>
      <c r="V1319" s="1"/>
      <c r="W1319" s="1"/>
      <c r="X1319" s="1"/>
      <c r="Y1319" s="1"/>
      <c r="Z1319" s="1"/>
    </row>
    <row r="1320" spans="1:26" ht="12.75" hidden="1" customHeight="1">
      <c r="A1320" s="1"/>
      <c r="B1320" s="1"/>
      <c r="C1320" s="1"/>
      <c r="D1320" s="1"/>
      <c r="E1320" s="1"/>
      <c r="F1320" s="1"/>
      <c r="G1320" s="1"/>
      <c r="H1320" s="1"/>
      <c r="I1320" s="8"/>
      <c r="J1320" s="1"/>
      <c r="K1320" s="1"/>
      <c r="L1320" s="1"/>
      <c r="M1320" s="1"/>
      <c r="N1320" s="1"/>
      <c r="O1320" s="1"/>
      <c r="P1320" s="1"/>
      <c r="Q1320" s="1"/>
      <c r="R1320" s="1"/>
      <c r="S1320" s="1"/>
      <c r="T1320" s="1"/>
      <c r="U1320" s="1"/>
      <c r="V1320" s="1"/>
      <c r="W1320" s="1"/>
      <c r="X1320" s="1"/>
      <c r="Y1320" s="1"/>
      <c r="Z1320" s="1"/>
    </row>
    <row r="1321" spans="1:26" ht="12.75" hidden="1" customHeight="1">
      <c r="A1321" s="1"/>
      <c r="B1321" s="1"/>
      <c r="C1321" s="1"/>
      <c r="D1321" s="1"/>
      <c r="E1321" s="1"/>
      <c r="F1321" s="1"/>
      <c r="G1321" s="1"/>
      <c r="H1321" s="1"/>
      <c r="I1321" s="8"/>
      <c r="J1321" s="1"/>
      <c r="K1321" s="1"/>
      <c r="L1321" s="1"/>
      <c r="M1321" s="1"/>
      <c r="N1321" s="1"/>
      <c r="O1321" s="1"/>
      <c r="P1321" s="1"/>
      <c r="Q1321" s="1"/>
      <c r="R1321" s="1"/>
      <c r="S1321" s="1"/>
      <c r="T1321" s="1"/>
      <c r="U1321" s="1"/>
      <c r="V1321" s="1"/>
      <c r="W1321" s="1"/>
      <c r="X1321" s="1"/>
      <c r="Y1321" s="1"/>
      <c r="Z1321" s="1"/>
    </row>
    <row r="1322" spans="1:26" ht="12.75" hidden="1" customHeight="1">
      <c r="A1322" s="1"/>
      <c r="B1322" s="1"/>
      <c r="C1322" s="1"/>
      <c r="D1322" s="1"/>
      <c r="E1322" s="1"/>
      <c r="F1322" s="1"/>
      <c r="G1322" s="1"/>
      <c r="H1322" s="1"/>
      <c r="I1322" s="8"/>
      <c r="J1322" s="1"/>
      <c r="K1322" s="1"/>
      <c r="L1322" s="1"/>
      <c r="M1322" s="1"/>
      <c r="N1322" s="1"/>
      <c r="O1322" s="1"/>
      <c r="P1322" s="1"/>
      <c r="Q1322" s="1"/>
      <c r="R1322" s="1"/>
      <c r="S1322" s="1"/>
      <c r="T1322" s="1"/>
      <c r="U1322" s="1"/>
      <c r="V1322" s="1"/>
      <c r="W1322" s="1"/>
      <c r="X1322" s="1"/>
      <c r="Y1322" s="1"/>
      <c r="Z1322" s="1"/>
    </row>
    <row r="1323" spans="1:26" ht="12.75" hidden="1" customHeight="1">
      <c r="A1323" s="1"/>
      <c r="B1323" s="1"/>
      <c r="C1323" s="1"/>
      <c r="D1323" s="1"/>
      <c r="E1323" s="1"/>
      <c r="F1323" s="1"/>
      <c r="G1323" s="1"/>
      <c r="H1323" s="1"/>
      <c r="I1323" s="8"/>
      <c r="J1323" s="1"/>
      <c r="K1323" s="1"/>
      <c r="L1323" s="1"/>
      <c r="M1323" s="1"/>
      <c r="N1323" s="1"/>
      <c r="O1323" s="1"/>
      <c r="P1323" s="1"/>
      <c r="Q1323" s="1"/>
      <c r="R1323" s="1"/>
      <c r="S1323" s="1"/>
      <c r="T1323" s="1"/>
      <c r="U1323" s="1"/>
      <c r="V1323" s="1"/>
      <c r="W1323" s="1"/>
      <c r="X1323" s="1"/>
      <c r="Y1323" s="1"/>
      <c r="Z1323" s="1"/>
    </row>
    <row r="1324" spans="1:26" ht="12.75" hidden="1" customHeight="1">
      <c r="A1324" s="1"/>
      <c r="B1324" s="1"/>
      <c r="C1324" s="1"/>
      <c r="D1324" s="1"/>
      <c r="E1324" s="1"/>
      <c r="F1324" s="1"/>
      <c r="G1324" s="1"/>
      <c r="H1324" s="1"/>
      <c r="I1324" s="8"/>
      <c r="J1324" s="1"/>
      <c r="K1324" s="1"/>
      <c r="L1324" s="1"/>
      <c r="M1324" s="1"/>
      <c r="N1324" s="1"/>
      <c r="O1324" s="1"/>
      <c r="P1324" s="1"/>
      <c r="Q1324" s="1"/>
      <c r="R1324" s="1"/>
      <c r="S1324" s="1"/>
      <c r="T1324" s="1"/>
      <c r="U1324" s="1"/>
      <c r="V1324" s="1"/>
      <c r="W1324" s="1"/>
      <c r="X1324" s="1"/>
      <c r="Y1324" s="1"/>
      <c r="Z1324" s="1"/>
    </row>
    <row r="1325" spans="1:26" ht="12.75" hidden="1" customHeight="1">
      <c r="A1325" s="1"/>
      <c r="B1325" s="1"/>
      <c r="C1325" s="1"/>
      <c r="D1325" s="1"/>
      <c r="E1325" s="1"/>
      <c r="F1325" s="1"/>
      <c r="G1325" s="1"/>
      <c r="H1325" s="1"/>
      <c r="I1325" s="8"/>
      <c r="J1325" s="1"/>
      <c r="K1325" s="1"/>
      <c r="L1325" s="1"/>
      <c r="M1325" s="1"/>
      <c r="N1325" s="1"/>
      <c r="O1325" s="1"/>
      <c r="P1325" s="1"/>
      <c r="Q1325" s="1"/>
      <c r="R1325" s="1"/>
      <c r="S1325" s="1"/>
      <c r="T1325" s="1"/>
      <c r="U1325" s="1"/>
      <c r="V1325" s="1"/>
      <c r="W1325" s="1"/>
      <c r="X1325" s="1"/>
      <c r="Y1325" s="1"/>
      <c r="Z1325" s="1"/>
    </row>
    <row r="1326" spans="1:26" ht="12.75" hidden="1" customHeight="1">
      <c r="A1326" s="1"/>
      <c r="B1326" s="1"/>
      <c r="C1326" s="1"/>
      <c r="D1326" s="1"/>
      <c r="E1326" s="1"/>
      <c r="F1326" s="1"/>
      <c r="G1326" s="1"/>
      <c r="H1326" s="1"/>
      <c r="I1326" s="8"/>
      <c r="J1326" s="1"/>
      <c r="K1326" s="1"/>
      <c r="L1326" s="1"/>
      <c r="M1326" s="1"/>
      <c r="N1326" s="1"/>
      <c r="O1326" s="1"/>
      <c r="P1326" s="1"/>
      <c r="Q1326" s="1"/>
      <c r="R1326" s="1"/>
      <c r="S1326" s="1"/>
      <c r="T1326" s="1"/>
      <c r="U1326" s="1"/>
      <c r="V1326" s="1"/>
      <c r="W1326" s="1"/>
      <c r="X1326" s="1"/>
      <c r="Y1326" s="1"/>
      <c r="Z1326" s="1"/>
    </row>
    <row r="1327" spans="1:26" ht="12.75" hidden="1" customHeight="1">
      <c r="A1327" s="1"/>
      <c r="B1327" s="1"/>
      <c r="C1327" s="1"/>
      <c r="D1327" s="1"/>
      <c r="E1327" s="1"/>
      <c r="F1327" s="1"/>
      <c r="G1327" s="1"/>
      <c r="H1327" s="1"/>
      <c r="I1327" s="8"/>
      <c r="J1327" s="1"/>
      <c r="K1327" s="1"/>
      <c r="L1327" s="1"/>
      <c r="M1327" s="1"/>
      <c r="N1327" s="1"/>
      <c r="O1327" s="1"/>
      <c r="P1327" s="1"/>
      <c r="Q1327" s="1"/>
      <c r="R1327" s="1"/>
      <c r="S1327" s="1"/>
      <c r="T1327" s="1"/>
      <c r="U1327" s="1"/>
      <c r="V1327" s="1"/>
      <c r="W1327" s="1"/>
      <c r="X1327" s="1"/>
      <c r="Y1327" s="1"/>
      <c r="Z1327" s="1"/>
    </row>
    <row r="1328" spans="1:26" ht="12.75" hidden="1" customHeight="1">
      <c r="A1328" s="1"/>
      <c r="B1328" s="1"/>
      <c r="C1328" s="1"/>
      <c r="D1328" s="1"/>
      <c r="E1328" s="1"/>
      <c r="F1328" s="1"/>
      <c r="G1328" s="1"/>
      <c r="H1328" s="1"/>
      <c r="I1328" s="8"/>
      <c r="J1328" s="1"/>
      <c r="K1328" s="1"/>
      <c r="L1328" s="1"/>
      <c r="M1328" s="1"/>
      <c r="N1328" s="1"/>
      <c r="O1328" s="1"/>
      <c r="P1328" s="1"/>
      <c r="Q1328" s="1"/>
      <c r="R1328" s="1"/>
      <c r="S1328" s="1"/>
      <c r="T1328" s="1"/>
      <c r="U1328" s="1"/>
      <c r="V1328" s="1"/>
      <c r="W1328" s="1"/>
      <c r="X1328" s="1"/>
      <c r="Y1328" s="1"/>
      <c r="Z1328" s="1"/>
    </row>
    <row r="1329" spans="1:26" ht="12.75" hidden="1" customHeight="1">
      <c r="A1329" s="1"/>
      <c r="B1329" s="1"/>
      <c r="C1329" s="1"/>
      <c r="D1329" s="1"/>
      <c r="E1329" s="1"/>
      <c r="F1329" s="1"/>
      <c r="G1329" s="1"/>
      <c r="H1329" s="1"/>
      <c r="I1329" s="8"/>
      <c r="J1329" s="1"/>
      <c r="K1329" s="1"/>
      <c r="L1329" s="1"/>
      <c r="M1329" s="1"/>
      <c r="N1329" s="1"/>
      <c r="O1329" s="1"/>
      <c r="P1329" s="1"/>
      <c r="Q1329" s="1"/>
      <c r="R1329" s="1"/>
      <c r="S1329" s="1"/>
      <c r="T1329" s="1"/>
      <c r="U1329" s="1"/>
      <c r="V1329" s="1"/>
      <c r="W1329" s="1"/>
      <c r="X1329" s="1"/>
      <c r="Y1329" s="1"/>
      <c r="Z1329" s="1"/>
    </row>
    <row r="1330" spans="1:26" ht="12.75" hidden="1" customHeight="1">
      <c r="A1330" s="1"/>
      <c r="B1330" s="1"/>
      <c r="C1330" s="1"/>
      <c r="D1330" s="1"/>
      <c r="E1330" s="1"/>
      <c r="F1330" s="1"/>
      <c r="G1330" s="1"/>
      <c r="H1330" s="1"/>
      <c r="I1330" s="8"/>
      <c r="J1330" s="1"/>
      <c r="K1330" s="1"/>
      <c r="L1330" s="1"/>
      <c r="M1330" s="1"/>
      <c r="N1330" s="1"/>
      <c r="O1330" s="1"/>
      <c r="P1330" s="1"/>
      <c r="Q1330" s="1"/>
      <c r="R1330" s="1"/>
      <c r="S1330" s="1"/>
      <c r="T1330" s="1"/>
      <c r="U1330" s="1"/>
      <c r="V1330" s="1"/>
      <c r="W1330" s="1"/>
      <c r="X1330" s="1"/>
      <c r="Y1330" s="1"/>
      <c r="Z1330" s="1"/>
    </row>
    <row r="1331" spans="1:26" ht="12.75" hidden="1" customHeight="1">
      <c r="A1331" s="1"/>
      <c r="B1331" s="1"/>
      <c r="C1331" s="1"/>
      <c r="D1331" s="1"/>
      <c r="E1331" s="1"/>
      <c r="F1331" s="1"/>
      <c r="G1331" s="1"/>
      <c r="H1331" s="1"/>
      <c r="I1331" s="8"/>
      <c r="J1331" s="1"/>
      <c r="K1331" s="1"/>
      <c r="L1331" s="1"/>
      <c r="M1331" s="1"/>
      <c r="N1331" s="1"/>
      <c r="O1331" s="1"/>
      <c r="P1331" s="1"/>
      <c r="Q1331" s="1"/>
      <c r="R1331" s="1"/>
      <c r="S1331" s="1"/>
      <c r="T1331" s="1"/>
      <c r="U1331" s="1"/>
      <c r="V1331" s="1"/>
      <c r="W1331" s="1"/>
      <c r="X1331" s="1"/>
      <c r="Y1331" s="1"/>
      <c r="Z1331" s="1"/>
    </row>
    <row r="1332" spans="1:26" ht="12.75" hidden="1" customHeight="1">
      <c r="A1332" s="1"/>
      <c r="B1332" s="1"/>
      <c r="C1332" s="1"/>
      <c r="D1332" s="1"/>
      <c r="E1332" s="1"/>
      <c r="F1332" s="1"/>
      <c r="G1332" s="1"/>
      <c r="H1332" s="1"/>
      <c r="I1332" s="8"/>
      <c r="J1332" s="1"/>
      <c r="K1332" s="1"/>
      <c r="L1332" s="1"/>
      <c r="M1332" s="1"/>
      <c r="N1332" s="1"/>
      <c r="O1332" s="1"/>
      <c r="P1332" s="1"/>
      <c r="Q1332" s="1"/>
      <c r="R1332" s="1"/>
      <c r="S1332" s="1"/>
      <c r="T1332" s="1"/>
      <c r="U1332" s="1"/>
      <c r="V1332" s="1"/>
      <c r="W1332" s="1"/>
      <c r="X1332" s="1"/>
      <c r="Y1332" s="1"/>
      <c r="Z1332" s="1"/>
    </row>
    <row r="1333" spans="1:26" ht="12.75" hidden="1" customHeight="1">
      <c r="A1333" s="1"/>
      <c r="B1333" s="1"/>
      <c r="C1333" s="1"/>
      <c r="D1333" s="1"/>
      <c r="E1333" s="1"/>
      <c r="F1333" s="1"/>
      <c r="G1333" s="1"/>
      <c r="H1333" s="1"/>
      <c r="I1333" s="8"/>
      <c r="J1333" s="1"/>
      <c r="K1333" s="1"/>
      <c r="L1333" s="1"/>
      <c r="M1333" s="1"/>
      <c r="N1333" s="1"/>
      <c r="O1333" s="1"/>
      <c r="P1333" s="1"/>
      <c r="Q1333" s="1"/>
      <c r="R1333" s="1"/>
      <c r="S1333" s="1"/>
      <c r="T1333" s="1"/>
      <c r="U1333" s="1"/>
      <c r="V1333" s="1"/>
      <c r="W1333" s="1"/>
      <c r="X1333" s="1"/>
      <c r="Y1333" s="1"/>
      <c r="Z1333" s="1"/>
    </row>
    <row r="1334" spans="1:26" ht="12.75" hidden="1" customHeight="1">
      <c r="A1334" s="1"/>
      <c r="B1334" s="1"/>
      <c r="C1334" s="1"/>
      <c r="D1334" s="1"/>
      <c r="E1334" s="1"/>
      <c r="F1334" s="1"/>
      <c r="G1334" s="1"/>
      <c r="H1334" s="1"/>
      <c r="I1334" s="8"/>
      <c r="J1334" s="1"/>
      <c r="K1334" s="1"/>
      <c r="L1334" s="1"/>
      <c r="M1334" s="1"/>
      <c r="N1334" s="1"/>
      <c r="O1334" s="1"/>
      <c r="P1334" s="1"/>
      <c r="Q1334" s="1"/>
      <c r="R1334" s="1"/>
      <c r="S1334" s="1"/>
      <c r="T1334" s="1"/>
      <c r="U1334" s="1"/>
      <c r="V1334" s="1"/>
      <c r="W1334" s="1"/>
      <c r="X1334" s="1"/>
      <c r="Y1334" s="1"/>
      <c r="Z1334" s="1"/>
    </row>
    <row r="1335" spans="1:26" ht="12.75" hidden="1" customHeight="1">
      <c r="A1335" s="1"/>
      <c r="B1335" s="1"/>
      <c r="C1335" s="1"/>
      <c r="D1335" s="1"/>
      <c r="E1335" s="1"/>
      <c r="F1335" s="1"/>
      <c r="G1335" s="1"/>
      <c r="H1335" s="1"/>
      <c r="I1335" s="8"/>
      <c r="J1335" s="1"/>
      <c r="K1335" s="1"/>
      <c r="L1335" s="1"/>
      <c r="M1335" s="1"/>
      <c r="N1335" s="1"/>
      <c r="O1335" s="1"/>
      <c r="P1335" s="1"/>
      <c r="Q1335" s="1"/>
      <c r="R1335" s="1"/>
      <c r="S1335" s="1"/>
      <c r="T1335" s="1"/>
      <c r="U1335" s="1"/>
      <c r="V1335" s="1"/>
      <c r="W1335" s="1"/>
      <c r="X1335" s="1"/>
      <c r="Y1335" s="1"/>
      <c r="Z1335" s="1"/>
    </row>
    <row r="1336" spans="1:26" ht="12.75" hidden="1" customHeight="1">
      <c r="A1336" s="1"/>
      <c r="B1336" s="1"/>
      <c r="C1336" s="1"/>
      <c r="D1336" s="1"/>
      <c r="E1336" s="1"/>
      <c r="F1336" s="1"/>
      <c r="G1336" s="1"/>
      <c r="H1336" s="1"/>
      <c r="I1336" s="8"/>
      <c r="J1336" s="1"/>
      <c r="K1336" s="1"/>
      <c r="L1336" s="1"/>
      <c r="M1336" s="1"/>
      <c r="N1336" s="1"/>
      <c r="O1336" s="1"/>
      <c r="P1336" s="1"/>
      <c r="Q1336" s="1"/>
      <c r="R1336" s="1"/>
      <c r="S1336" s="1"/>
      <c r="T1336" s="1"/>
      <c r="U1336" s="1"/>
      <c r="V1336" s="1"/>
      <c r="W1336" s="1"/>
      <c r="X1336" s="1"/>
      <c r="Y1336" s="1"/>
      <c r="Z1336" s="1"/>
    </row>
    <row r="1337" spans="1:26" ht="12.75" hidden="1" customHeight="1">
      <c r="A1337" s="1"/>
      <c r="B1337" s="1"/>
      <c r="C1337" s="1"/>
      <c r="D1337" s="1"/>
      <c r="E1337" s="1"/>
      <c r="F1337" s="1"/>
      <c r="G1337" s="1"/>
      <c r="H1337" s="1"/>
      <c r="I1337" s="8"/>
      <c r="J1337" s="1"/>
      <c r="K1337" s="1"/>
      <c r="L1337" s="1"/>
      <c r="M1337" s="1"/>
      <c r="N1337" s="1"/>
      <c r="O1337" s="1"/>
      <c r="P1337" s="1"/>
      <c r="Q1337" s="1"/>
      <c r="R1337" s="1"/>
      <c r="S1337" s="1"/>
      <c r="T1337" s="1"/>
      <c r="U1337" s="1"/>
      <c r="V1337" s="1"/>
      <c r="W1337" s="1"/>
      <c r="X1337" s="1"/>
      <c r="Y1337" s="1"/>
      <c r="Z1337" s="1"/>
    </row>
    <row r="1338" spans="1:26" ht="12.75" hidden="1" customHeight="1">
      <c r="A1338" s="1"/>
      <c r="B1338" s="1"/>
      <c r="C1338" s="1"/>
      <c r="D1338" s="1"/>
      <c r="E1338" s="1"/>
      <c r="F1338" s="1"/>
      <c r="G1338" s="1"/>
      <c r="H1338" s="1"/>
      <c r="I1338" s="8"/>
      <c r="J1338" s="1"/>
      <c r="K1338" s="1"/>
      <c r="L1338" s="1"/>
      <c r="M1338" s="1"/>
      <c r="N1338" s="1"/>
      <c r="O1338" s="1"/>
      <c r="P1338" s="1"/>
      <c r="Q1338" s="1"/>
      <c r="R1338" s="1"/>
      <c r="S1338" s="1"/>
      <c r="T1338" s="1"/>
      <c r="U1338" s="1"/>
      <c r="V1338" s="1"/>
      <c r="W1338" s="1"/>
      <c r="X1338" s="1"/>
      <c r="Y1338" s="1"/>
      <c r="Z1338" s="1"/>
    </row>
    <row r="1339" spans="1:26" ht="12.75" hidden="1" customHeight="1">
      <c r="A1339" s="1"/>
      <c r="B1339" s="1"/>
      <c r="C1339" s="1"/>
      <c r="D1339" s="1"/>
      <c r="E1339" s="1"/>
      <c r="F1339" s="1"/>
      <c r="G1339" s="1"/>
      <c r="H1339" s="1"/>
      <c r="I1339" s="8"/>
      <c r="J1339" s="1"/>
      <c r="K1339" s="1"/>
      <c r="L1339" s="1"/>
      <c r="M1339" s="1"/>
      <c r="N1339" s="1"/>
      <c r="O1339" s="1"/>
      <c r="P1339" s="1"/>
      <c r="Q1339" s="1"/>
      <c r="R1339" s="1"/>
      <c r="S1339" s="1"/>
      <c r="T1339" s="1"/>
      <c r="U1339" s="1"/>
      <c r="V1339" s="1"/>
      <c r="W1339" s="1"/>
      <c r="X1339" s="1"/>
      <c r="Y1339" s="1"/>
      <c r="Z1339" s="1"/>
    </row>
    <row r="1340" spans="1:26" ht="12.75" hidden="1" customHeight="1">
      <c r="A1340" s="1"/>
      <c r="B1340" s="1"/>
      <c r="C1340" s="1"/>
      <c r="D1340" s="1"/>
      <c r="E1340" s="1"/>
      <c r="F1340" s="1"/>
      <c r="G1340" s="1"/>
      <c r="H1340" s="1"/>
      <c r="I1340" s="8"/>
      <c r="J1340" s="1"/>
      <c r="K1340" s="1"/>
      <c r="L1340" s="1"/>
      <c r="M1340" s="1"/>
      <c r="N1340" s="1"/>
      <c r="O1340" s="1"/>
      <c r="P1340" s="1"/>
      <c r="Q1340" s="1"/>
      <c r="R1340" s="1"/>
      <c r="S1340" s="1"/>
      <c r="T1340" s="1"/>
      <c r="U1340" s="1"/>
      <c r="V1340" s="1"/>
      <c r="W1340" s="1"/>
      <c r="X1340" s="1"/>
      <c r="Y1340" s="1"/>
      <c r="Z1340" s="1"/>
    </row>
    <row r="1341" spans="1:26" ht="12.75" hidden="1" customHeight="1">
      <c r="A1341" s="1"/>
      <c r="B1341" s="1"/>
      <c r="C1341" s="1"/>
      <c r="D1341" s="1"/>
      <c r="E1341" s="1"/>
      <c r="F1341" s="1"/>
      <c r="G1341" s="1"/>
      <c r="H1341" s="1"/>
      <c r="I1341" s="8"/>
      <c r="J1341" s="1"/>
      <c r="K1341" s="1"/>
      <c r="L1341" s="1"/>
      <c r="M1341" s="1"/>
      <c r="N1341" s="1"/>
      <c r="O1341" s="1"/>
      <c r="P1341" s="1"/>
      <c r="Q1341" s="1"/>
      <c r="R1341" s="1"/>
      <c r="S1341" s="1"/>
      <c r="T1341" s="1"/>
      <c r="U1341" s="1"/>
      <c r="V1341" s="1"/>
      <c r="W1341" s="1"/>
      <c r="X1341" s="1"/>
      <c r="Y1341" s="1"/>
      <c r="Z1341" s="1"/>
    </row>
    <row r="1342" spans="1:26" ht="12.75" hidden="1" customHeight="1">
      <c r="A1342" s="1"/>
      <c r="B1342" s="1"/>
      <c r="C1342" s="1"/>
      <c r="D1342" s="1"/>
      <c r="E1342" s="1"/>
      <c r="F1342" s="1"/>
      <c r="G1342" s="1"/>
      <c r="H1342" s="1"/>
      <c r="I1342" s="8"/>
      <c r="J1342" s="1"/>
      <c r="K1342" s="1"/>
      <c r="L1342" s="1"/>
      <c r="M1342" s="1"/>
      <c r="N1342" s="1"/>
      <c r="O1342" s="1"/>
      <c r="P1342" s="1"/>
      <c r="Q1342" s="1"/>
      <c r="R1342" s="1"/>
      <c r="S1342" s="1"/>
      <c r="T1342" s="1"/>
      <c r="U1342" s="1"/>
      <c r="V1342" s="1"/>
      <c r="W1342" s="1"/>
      <c r="X1342" s="1"/>
      <c r="Y1342" s="1"/>
      <c r="Z1342" s="1"/>
    </row>
    <row r="1343" spans="1:26" ht="12.75" hidden="1" customHeight="1">
      <c r="A1343" s="1"/>
      <c r="B1343" s="1"/>
      <c r="C1343" s="1"/>
      <c r="D1343" s="1"/>
      <c r="E1343" s="1"/>
      <c r="F1343" s="1"/>
      <c r="G1343" s="1"/>
      <c r="H1343" s="1"/>
      <c r="I1343" s="8"/>
      <c r="J1343" s="1"/>
      <c r="K1343" s="1"/>
      <c r="L1343" s="1"/>
      <c r="M1343" s="1"/>
      <c r="N1343" s="1"/>
      <c r="O1343" s="1"/>
      <c r="P1343" s="1"/>
      <c r="Q1343" s="1"/>
      <c r="R1343" s="1"/>
      <c r="S1343" s="1"/>
      <c r="T1343" s="1"/>
      <c r="U1343" s="1"/>
      <c r="V1343" s="1"/>
      <c r="W1343" s="1"/>
      <c r="X1343" s="1"/>
      <c r="Y1343" s="1"/>
      <c r="Z1343" s="1"/>
    </row>
    <row r="1344" spans="1:26" ht="12.75" hidden="1" customHeight="1">
      <c r="A1344" s="1"/>
      <c r="B1344" s="1"/>
      <c r="C1344" s="1"/>
      <c r="D1344" s="1"/>
      <c r="E1344" s="1"/>
      <c r="F1344" s="1"/>
      <c r="G1344" s="1"/>
      <c r="H1344" s="1"/>
      <c r="I1344" s="8"/>
      <c r="J1344" s="1"/>
      <c r="K1344" s="1"/>
      <c r="L1344" s="1"/>
      <c r="M1344" s="1"/>
      <c r="N1344" s="1"/>
      <c r="O1344" s="1"/>
      <c r="P1344" s="1"/>
      <c r="Q1344" s="1"/>
      <c r="R1344" s="1"/>
      <c r="S1344" s="1"/>
      <c r="T1344" s="1"/>
      <c r="U1344" s="1"/>
      <c r="V1344" s="1"/>
      <c r="W1344" s="1"/>
      <c r="X1344" s="1"/>
      <c r="Y1344" s="1"/>
      <c r="Z1344" s="1"/>
    </row>
    <row r="1345" spans="1:26" ht="12.75" hidden="1" customHeight="1">
      <c r="A1345" s="1"/>
      <c r="B1345" s="1"/>
      <c r="C1345" s="1"/>
      <c r="D1345" s="1"/>
      <c r="E1345" s="1"/>
      <c r="F1345" s="1"/>
      <c r="G1345" s="1"/>
      <c r="H1345" s="1"/>
      <c r="I1345" s="8"/>
      <c r="J1345" s="1"/>
      <c r="K1345" s="1"/>
      <c r="L1345" s="1"/>
      <c r="M1345" s="1"/>
      <c r="N1345" s="1"/>
      <c r="O1345" s="1"/>
      <c r="P1345" s="1"/>
      <c r="Q1345" s="1"/>
      <c r="R1345" s="1"/>
      <c r="S1345" s="1"/>
      <c r="T1345" s="1"/>
      <c r="U1345" s="1"/>
      <c r="V1345" s="1"/>
      <c r="W1345" s="1"/>
      <c r="X1345" s="1"/>
      <c r="Y1345" s="1"/>
      <c r="Z1345" s="1"/>
    </row>
    <row r="1346" spans="1:26" ht="12.75" hidden="1" customHeight="1">
      <c r="A1346" s="1"/>
      <c r="B1346" s="1"/>
      <c r="C1346" s="1"/>
      <c r="D1346" s="1"/>
      <c r="E1346" s="1"/>
      <c r="F1346" s="1"/>
      <c r="G1346" s="1"/>
      <c r="H1346" s="1"/>
      <c r="I1346" s="8"/>
      <c r="J1346" s="1"/>
      <c r="K1346" s="1"/>
      <c r="L1346" s="1"/>
      <c r="M1346" s="1"/>
      <c r="N1346" s="1"/>
      <c r="O1346" s="1"/>
      <c r="P1346" s="1"/>
      <c r="Q1346" s="1"/>
      <c r="R1346" s="1"/>
      <c r="S1346" s="1"/>
      <c r="T1346" s="1"/>
      <c r="U1346" s="1"/>
      <c r="V1346" s="1"/>
      <c r="W1346" s="1"/>
      <c r="X1346" s="1"/>
      <c r="Y1346" s="1"/>
      <c r="Z1346" s="1"/>
    </row>
    <row r="1347" spans="1:26" ht="12.75" hidden="1" customHeight="1">
      <c r="A1347" s="1"/>
      <c r="B1347" s="1"/>
      <c r="C1347" s="1"/>
      <c r="D1347" s="1"/>
      <c r="E1347" s="1"/>
      <c r="F1347" s="1"/>
      <c r="G1347" s="1"/>
      <c r="H1347" s="1"/>
      <c r="I1347" s="8"/>
      <c r="J1347" s="1"/>
      <c r="K1347" s="1"/>
      <c r="L1347" s="1"/>
      <c r="M1347" s="1"/>
      <c r="N1347" s="1"/>
      <c r="O1347" s="1"/>
      <c r="P1347" s="1"/>
      <c r="Q1347" s="1"/>
      <c r="R1347" s="1"/>
      <c r="S1347" s="1"/>
      <c r="T1347" s="1"/>
      <c r="U1347" s="1"/>
      <c r="V1347" s="1"/>
      <c r="W1347" s="1"/>
      <c r="X1347" s="1"/>
      <c r="Y1347" s="1"/>
      <c r="Z1347" s="1"/>
    </row>
    <row r="1348" spans="1:26" ht="12.75" hidden="1" customHeight="1">
      <c r="A1348" s="1"/>
      <c r="B1348" s="1"/>
      <c r="C1348" s="1"/>
      <c r="D1348" s="1"/>
      <c r="E1348" s="1"/>
      <c r="F1348" s="1"/>
      <c r="G1348" s="1"/>
      <c r="H1348" s="1"/>
      <c r="I1348" s="8"/>
      <c r="J1348" s="1"/>
      <c r="K1348" s="1"/>
      <c r="L1348" s="1"/>
      <c r="M1348" s="1"/>
      <c r="N1348" s="1"/>
      <c r="O1348" s="1"/>
      <c r="P1348" s="1"/>
      <c r="Q1348" s="1"/>
      <c r="R1348" s="1"/>
      <c r="S1348" s="1"/>
      <c r="T1348" s="1"/>
      <c r="U1348" s="1"/>
      <c r="V1348" s="1"/>
      <c r="W1348" s="1"/>
      <c r="X1348" s="1"/>
      <c r="Y1348" s="1"/>
      <c r="Z1348" s="1"/>
    </row>
    <row r="1349" spans="1:26" ht="12.75" hidden="1" customHeight="1">
      <c r="A1349" s="1"/>
      <c r="B1349" s="1"/>
      <c r="C1349" s="1"/>
      <c r="D1349" s="1"/>
      <c r="E1349" s="1"/>
      <c r="F1349" s="1"/>
      <c r="G1349" s="1"/>
      <c r="H1349" s="1"/>
      <c r="I1349" s="8"/>
      <c r="J1349" s="1"/>
      <c r="K1349" s="1"/>
      <c r="L1349" s="1"/>
      <c r="M1349" s="1"/>
      <c r="N1349" s="1"/>
      <c r="O1349" s="1"/>
      <c r="P1349" s="1"/>
      <c r="Q1349" s="1"/>
      <c r="R1349" s="1"/>
      <c r="S1349" s="1"/>
      <c r="T1349" s="1"/>
      <c r="U1349" s="1"/>
      <c r="V1349" s="1"/>
      <c r="W1349" s="1"/>
      <c r="X1349" s="1"/>
      <c r="Y1349" s="1"/>
      <c r="Z1349" s="1"/>
    </row>
    <row r="1350" spans="1:26" ht="12.75" hidden="1" customHeight="1">
      <c r="A1350" s="1"/>
      <c r="B1350" s="1"/>
      <c r="C1350" s="1"/>
      <c r="D1350" s="1"/>
      <c r="E1350" s="1"/>
      <c r="F1350" s="1"/>
      <c r="G1350" s="1"/>
      <c r="H1350" s="1"/>
      <c r="I1350" s="8"/>
      <c r="J1350" s="1"/>
      <c r="K1350" s="1"/>
      <c r="L1350" s="1"/>
      <c r="M1350" s="1"/>
      <c r="N1350" s="1"/>
      <c r="O1350" s="1"/>
      <c r="P1350" s="1"/>
      <c r="Q1350" s="1"/>
      <c r="R1350" s="1"/>
      <c r="S1350" s="1"/>
      <c r="T1350" s="1"/>
      <c r="U1350" s="1"/>
      <c r="V1350" s="1"/>
      <c r="W1350" s="1"/>
      <c r="X1350" s="1"/>
      <c r="Y1350" s="1"/>
      <c r="Z1350" s="1"/>
    </row>
    <row r="1351" spans="1:26" ht="12.75" hidden="1" customHeight="1">
      <c r="A1351" s="1"/>
      <c r="B1351" s="1"/>
      <c r="C1351" s="1"/>
      <c r="D1351" s="1"/>
      <c r="E1351" s="1"/>
      <c r="F1351" s="1"/>
      <c r="G1351" s="1"/>
      <c r="H1351" s="1"/>
      <c r="I1351" s="8"/>
      <c r="J1351" s="1"/>
      <c r="K1351" s="1"/>
      <c r="L1351" s="1"/>
      <c r="M1351" s="1"/>
      <c r="N1351" s="1"/>
      <c r="O1351" s="1"/>
      <c r="P1351" s="1"/>
      <c r="Q1351" s="1"/>
      <c r="R1351" s="1"/>
      <c r="S1351" s="1"/>
      <c r="T1351" s="1"/>
      <c r="U1351" s="1"/>
      <c r="V1351" s="1"/>
      <c r="W1351" s="1"/>
      <c r="X1351" s="1"/>
      <c r="Y1351" s="1"/>
      <c r="Z1351" s="1"/>
    </row>
    <row r="1352" spans="1:26" ht="12.75" hidden="1" customHeight="1">
      <c r="A1352" s="1"/>
      <c r="B1352" s="1"/>
      <c r="C1352" s="1"/>
      <c r="D1352" s="1"/>
      <c r="E1352" s="1"/>
      <c r="F1352" s="1"/>
      <c r="G1352" s="1"/>
      <c r="H1352" s="1"/>
      <c r="I1352" s="8"/>
      <c r="J1352" s="1"/>
      <c r="K1352" s="1"/>
      <c r="L1352" s="1"/>
      <c r="M1352" s="1"/>
      <c r="N1352" s="1"/>
      <c r="O1352" s="1"/>
      <c r="P1352" s="1"/>
      <c r="Q1352" s="1"/>
      <c r="R1352" s="1"/>
      <c r="S1352" s="1"/>
      <c r="T1352" s="1"/>
      <c r="U1352" s="1"/>
      <c r="V1352" s="1"/>
      <c r="W1352" s="1"/>
      <c r="X1352" s="1"/>
      <c r="Y1352" s="1"/>
      <c r="Z1352" s="1"/>
    </row>
    <row r="1353" spans="1:26" ht="12.75" hidden="1" customHeight="1">
      <c r="A1353" s="1"/>
      <c r="B1353" s="1"/>
      <c r="C1353" s="1"/>
      <c r="D1353" s="1"/>
      <c r="E1353" s="1"/>
      <c r="F1353" s="1"/>
      <c r="G1353" s="1"/>
      <c r="H1353" s="1"/>
      <c r="I1353" s="8"/>
      <c r="J1353" s="1"/>
      <c r="K1353" s="1"/>
      <c r="L1353" s="1"/>
      <c r="M1353" s="1"/>
      <c r="N1353" s="1"/>
      <c r="O1353" s="1"/>
      <c r="P1353" s="1"/>
      <c r="Q1353" s="1"/>
      <c r="R1353" s="1"/>
      <c r="S1353" s="1"/>
      <c r="T1353" s="1"/>
      <c r="U1353" s="1"/>
      <c r="V1353" s="1"/>
      <c r="W1353" s="1"/>
      <c r="X1353" s="1"/>
      <c r="Y1353" s="1"/>
      <c r="Z1353" s="1"/>
    </row>
    <row r="1354" spans="1:26" ht="12.75" hidden="1" customHeight="1">
      <c r="A1354" s="1"/>
      <c r="B1354" s="1"/>
      <c r="C1354" s="1"/>
      <c r="D1354" s="1"/>
      <c r="E1354" s="1"/>
      <c r="F1354" s="1"/>
      <c r="G1354" s="1"/>
      <c r="H1354" s="1"/>
      <c r="I1354" s="8"/>
      <c r="J1354" s="1"/>
      <c r="K1354" s="1"/>
      <c r="L1354" s="1"/>
      <c r="M1354" s="1"/>
      <c r="N1354" s="1"/>
      <c r="O1354" s="1"/>
      <c r="P1354" s="1"/>
      <c r="Q1354" s="1"/>
      <c r="R1354" s="1"/>
      <c r="S1354" s="1"/>
      <c r="T1354" s="1"/>
      <c r="U1354" s="1"/>
      <c r="V1354" s="1"/>
      <c r="W1354" s="1"/>
      <c r="X1354" s="1"/>
      <c r="Y1354" s="1"/>
      <c r="Z1354" s="1"/>
    </row>
    <row r="1355" spans="1:26" ht="12.75" hidden="1" customHeight="1">
      <c r="A1355" s="1"/>
      <c r="B1355" s="1"/>
      <c r="C1355" s="1"/>
      <c r="D1355" s="1"/>
      <c r="E1355" s="1"/>
      <c r="F1355" s="1"/>
      <c r="G1355" s="1"/>
      <c r="H1355" s="1"/>
      <c r="I1355" s="8"/>
      <c r="J1355" s="1"/>
      <c r="K1355" s="1"/>
      <c r="L1355" s="1"/>
      <c r="M1355" s="1"/>
      <c r="N1355" s="1"/>
      <c r="O1355" s="1"/>
      <c r="P1355" s="1"/>
      <c r="Q1355" s="1"/>
      <c r="R1355" s="1"/>
      <c r="S1355" s="1"/>
      <c r="T1355" s="1"/>
      <c r="U1355" s="1"/>
      <c r="V1355" s="1"/>
      <c r="W1355" s="1"/>
      <c r="X1355" s="1"/>
      <c r="Y1355" s="1"/>
      <c r="Z1355" s="1"/>
    </row>
    <row r="1356" spans="1:26" ht="12.75" hidden="1" customHeight="1">
      <c r="A1356" s="1"/>
      <c r="B1356" s="1"/>
      <c r="C1356" s="1"/>
      <c r="D1356" s="1"/>
      <c r="E1356" s="1"/>
      <c r="F1356" s="1"/>
      <c r="G1356" s="1"/>
      <c r="H1356" s="1"/>
      <c r="I1356" s="8"/>
      <c r="J1356" s="1"/>
      <c r="K1356" s="1"/>
      <c r="L1356" s="1"/>
      <c r="M1356" s="1"/>
      <c r="N1356" s="1"/>
      <c r="O1356" s="1"/>
      <c r="P1356" s="1"/>
      <c r="Q1356" s="1"/>
      <c r="R1356" s="1"/>
      <c r="S1356" s="1"/>
      <c r="T1356" s="1"/>
      <c r="U1356" s="1"/>
      <c r="V1356" s="1"/>
      <c r="W1356" s="1"/>
      <c r="X1356" s="1"/>
      <c r="Y1356" s="1"/>
      <c r="Z1356" s="1"/>
    </row>
    <row r="1357" spans="1:26" ht="12.75" hidden="1" customHeight="1">
      <c r="A1357" s="1"/>
      <c r="B1357" s="1"/>
      <c r="C1357" s="1"/>
      <c r="D1357" s="1"/>
      <c r="E1357" s="1"/>
      <c r="F1357" s="1"/>
      <c r="G1357" s="1"/>
      <c r="H1357" s="1"/>
      <c r="I1357" s="8"/>
      <c r="J1357" s="1"/>
      <c r="K1357" s="1"/>
      <c r="L1357" s="1"/>
      <c r="M1357" s="1"/>
      <c r="N1357" s="1"/>
      <c r="O1357" s="1"/>
      <c r="P1357" s="1"/>
      <c r="Q1357" s="1"/>
      <c r="R1357" s="1"/>
      <c r="S1357" s="1"/>
      <c r="T1357" s="1"/>
      <c r="U1357" s="1"/>
      <c r="V1357" s="1"/>
      <c r="W1357" s="1"/>
      <c r="X1357" s="1"/>
      <c r="Y1357" s="1"/>
      <c r="Z1357" s="1"/>
    </row>
    <row r="1358" spans="1:26" ht="12.75" hidden="1" customHeight="1">
      <c r="A1358" s="1"/>
      <c r="B1358" s="1"/>
      <c r="C1358" s="1"/>
      <c r="D1358" s="1"/>
      <c r="E1358" s="1"/>
      <c r="F1358" s="1"/>
      <c r="G1358" s="1"/>
      <c r="H1358" s="1"/>
      <c r="I1358" s="8"/>
      <c r="J1358" s="1"/>
      <c r="K1358" s="1"/>
      <c r="L1358" s="1"/>
      <c r="M1358" s="1"/>
      <c r="N1358" s="1"/>
      <c r="O1358" s="1"/>
      <c r="P1358" s="1"/>
      <c r="Q1358" s="1"/>
      <c r="R1358" s="1"/>
      <c r="S1358" s="1"/>
      <c r="T1358" s="1"/>
      <c r="U1358" s="1"/>
      <c r="V1358" s="1"/>
      <c r="W1358" s="1"/>
      <c r="X1358" s="1"/>
      <c r="Y1358" s="1"/>
      <c r="Z1358" s="1"/>
    </row>
    <row r="1359" spans="1:26" ht="12.75" hidden="1" customHeight="1">
      <c r="A1359" s="1"/>
      <c r="B1359" s="1"/>
      <c r="C1359" s="1"/>
      <c r="D1359" s="1"/>
      <c r="E1359" s="1"/>
      <c r="F1359" s="1"/>
      <c r="G1359" s="1"/>
      <c r="H1359" s="1"/>
      <c r="I1359" s="8"/>
      <c r="J1359" s="1"/>
      <c r="K1359" s="1"/>
      <c r="L1359" s="1"/>
      <c r="M1359" s="1"/>
      <c r="N1359" s="1"/>
      <c r="O1359" s="1"/>
      <c r="P1359" s="1"/>
      <c r="Q1359" s="1"/>
      <c r="R1359" s="1"/>
      <c r="S1359" s="1"/>
      <c r="T1359" s="1"/>
      <c r="U1359" s="1"/>
      <c r="V1359" s="1"/>
      <c r="W1359" s="1"/>
      <c r="X1359" s="1"/>
      <c r="Y1359" s="1"/>
      <c r="Z1359" s="1"/>
    </row>
    <row r="1360" spans="1:26" ht="12.75" hidden="1" customHeight="1">
      <c r="A1360" s="1"/>
      <c r="B1360" s="1"/>
      <c r="C1360" s="1"/>
      <c r="D1360" s="1"/>
      <c r="E1360" s="1"/>
      <c r="F1360" s="1"/>
      <c r="G1360" s="1"/>
      <c r="H1360" s="1"/>
      <c r="I1360" s="8"/>
      <c r="J1360" s="1"/>
      <c r="K1360" s="1"/>
      <c r="L1360" s="1"/>
      <c r="M1360" s="1"/>
      <c r="N1360" s="1"/>
      <c r="O1360" s="1"/>
      <c r="P1360" s="1"/>
      <c r="Q1360" s="1"/>
      <c r="R1360" s="1"/>
      <c r="S1360" s="1"/>
      <c r="T1360" s="1"/>
      <c r="U1360" s="1"/>
      <c r="V1360" s="1"/>
      <c r="W1360" s="1"/>
      <c r="X1360" s="1"/>
      <c r="Y1360" s="1"/>
      <c r="Z1360" s="1"/>
    </row>
    <row r="1361" spans="1:26" ht="12.75" hidden="1" customHeight="1">
      <c r="A1361" s="1"/>
      <c r="B1361" s="1"/>
      <c r="C1361" s="1"/>
      <c r="D1361" s="1"/>
      <c r="E1361" s="1"/>
      <c r="F1361" s="1"/>
      <c r="G1361" s="1"/>
      <c r="H1361" s="1"/>
      <c r="I1361" s="8"/>
      <c r="J1361" s="1"/>
      <c r="K1361" s="1"/>
      <c r="L1361" s="1"/>
      <c r="M1361" s="1"/>
      <c r="N1361" s="1"/>
      <c r="O1361" s="1"/>
      <c r="P1361" s="1"/>
      <c r="Q1361" s="1"/>
      <c r="R1361" s="1"/>
      <c r="S1361" s="1"/>
      <c r="T1361" s="1"/>
      <c r="U1361" s="1"/>
      <c r="V1361" s="1"/>
      <c r="W1361" s="1"/>
      <c r="X1361" s="1"/>
      <c r="Y1361" s="1"/>
      <c r="Z1361" s="1"/>
    </row>
    <row r="1362" spans="1:26" ht="12.75" hidden="1" customHeight="1">
      <c r="A1362" s="1"/>
      <c r="B1362" s="1"/>
      <c r="C1362" s="1"/>
      <c r="D1362" s="1"/>
      <c r="E1362" s="1"/>
      <c r="F1362" s="1"/>
      <c r="G1362" s="1"/>
      <c r="H1362" s="1"/>
      <c r="I1362" s="8"/>
      <c r="J1362" s="1"/>
      <c r="K1362" s="1"/>
      <c r="L1362" s="1"/>
      <c r="M1362" s="1"/>
      <c r="N1362" s="1"/>
      <c r="O1362" s="1"/>
      <c r="P1362" s="1"/>
      <c r="Q1362" s="1"/>
      <c r="R1362" s="1"/>
      <c r="S1362" s="1"/>
      <c r="T1362" s="1"/>
      <c r="U1362" s="1"/>
      <c r="V1362" s="1"/>
      <c r="W1362" s="1"/>
      <c r="X1362" s="1"/>
      <c r="Y1362" s="1"/>
      <c r="Z1362" s="1"/>
    </row>
    <row r="1363" spans="1:26" ht="12.75" hidden="1" customHeight="1">
      <c r="A1363" s="1"/>
      <c r="B1363" s="1"/>
      <c r="C1363" s="1"/>
      <c r="D1363" s="1"/>
      <c r="E1363" s="1"/>
      <c r="F1363" s="1"/>
      <c r="G1363" s="1"/>
      <c r="H1363" s="1"/>
      <c r="I1363" s="8"/>
      <c r="J1363" s="1"/>
      <c r="K1363" s="1"/>
      <c r="L1363" s="1"/>
      <c r="M1363" s="1"/>
      <c r="N1363" s="1"/>
      <c r="O1363" s="1"/>
      <c r="P1363" s="1"/>
      <c r="Q1363" s="1"/>
      <c r="R1363" s="1"/>
      <c r="S1363" s="1"/>
      <c r="T1363" s="1"/>
      <c r="U1363" s="1"/>
      <c r="V1363" s="1"/>
      <c r="W1363" s="1"/>
      <c r="X1363" s="1"/>
      <c r="Y1363" s="1"/>
      <c r="Z1363" s="1"/>
    </row>
    <row r="1364" spans="1:26" ht="12.75" hidden="1" customHeight="1">
      <c r="A1364" s="1"/>
      <c r="B1364" s="1"/>
      <c r="C1364" s="1"/>
      <c r="D1364" s="1"/>
      <c r="E1364" s="1"/>
      <c r="F1364" s="1"/>
      <c r="G1364" s="1"/>
      <c r="H1364" s="1"/>
      <c r="I1364" s="8"/>
      <c r="J1364" s="1"/>
      <c r="K1364" s="1"/>
      <c r="L1364" s="1"/>
      <c r="M1364" s="1"/>
      <c r="N1364" s="1"/>
      <c r="O1364" s="1"/>
      <c r="P1364" s="1"/>
      <c r="Q1364" s="1"/>
      <c r="R1364" s="1"/>
      <c r="S1364" s="1"/>
      <c r="T1364" s="1"/>
      <c r="U1364" s="1"/>
      <c r="V1364" s="1"/>
      <c r="W1364" s="1"/>
      <c r="X1364" s="1"/>
      <c r="Y1364" s="1"/>
      <c r="Z1364" s="1"/>
    </row>
    <row r="1365" spans="1:26" ht="12.75" hidden="1" customHeight="1">
      <c r="A1365" s="1"/>
      <c r="B1365" s="1"/>
      <c r="C1365" s="1"/>
      <c r="D1365" s="1"/>
      <c r="E1365" s="1"/>
      <c r="F1365" s="1"/>
      <c r="G1365" s="1"/>
      <c r="H1365" s="1"/>
      <c r="I1365" s="8"/>
      <c r="J1365" s="1"/>
      <c r="K1365" s="1"/>
      <c r="L1365" s="1"/>
      <c r="M1365" s="1"/>
      <c r="N1365" s="1"/>
      <c r="O1365" s="1"/>
      <c r="P1365" s="1"/>
      <c r="Q1365" s="1"/>
      <c r="R1365" s="1"/>
      <c r="S1365" s="1"/>
      <c r="T1365" s="1"/>
      <c r="U1365" s="1"/>
      <c r="V1365" s="1"/>
      <c r="W1365" s="1"/>
      <c r="X1365" s="1"/>
      <c r="Y1365" s="1"/>
      <c r="Z1365" s="1"/>
    </row>
    <row r="1366" spans="1:26" ht="12.75" hidden="1" customHeight="1">
      <c r="A1366" s="1"/>
      <c r="B1366" s="1"/>
      <c r="C1366" s="1"/>
      <c r="D1366" s="1"/>
      <c r="E1366" s="1"/>
      <c r="F1366" s="1"/>
      <c r="G1366" s="1"/>
      <c r="H1366" s="1"/>
      <c r="I1366" s="8"/>
      <c r="J1366" s="1"/>
      <c r="K1366" s="1"/>
      <c r="L1366" s="1"/>
      <c r="M1366" s="1"/>
      <c r="N1366" s="1"/>
      <c r="O1366" s="1"/>
      <c r="P1366" s="1"/>
      <c r="Q1366" s="1"/>
      <c r="R1366" s="1"/>
      <c r="S1366" s="1"/>
      <c r="T1366" s="1"/>
      <c r="U1366" s="1"/>
      <c r="V1366" s="1"/>
      <c r="W1366" s="1"/>
      <c r="X1366" s="1"/>
      <c r="Y1366" s="1"/>
      <c r="Z1366" s="1"/>
    </row>
    <row r="1367" spans="1:26" ht="12.75" hidden="1" customHeight="1">
      <c r="A1367" s="1"/>
      <c r="B1367" s="1"/>
      <c r="C1367" s="1"/>
      <c r="D1367" s="1"/>
      <c r="E1367" s="1"/>
      <c r="F1367" s="1"/>
      <c r="G1367" s="1"/>
      <c r="H1367" s="1"/>
      <c r="I1367" s="8"/>
      <c r="J1367" s="1"/>
      <c r="K1367" s="1"/>
      <c r="L1367" s="1"/>
      <c r="M1367" s="1"/>
      <c r="N1367" s="1"/>
      <c r="O1367" s="1"/>
      <c r="P1367" s="1"/>
      <c r="Q1367" s="1"/>
      <c r="R1367" s="1"/>
      <c r="S1367" s="1"/>
      <c r="T1367" s="1"/>
      <c r="U1367" s="1"/>
      <c r="V1367" s="1"/>
      <c r="W1367" s="1"/>
      <c r="X1367" s="1"/>
      <c r="Y1367" s="1"/>
      <c r="Z1367" s="1"/>
    </row>
    <row r="1368" spans="1:26" ht="12.75" hidden="1" customHeight="1">
      <c r="A1368" s="1"/>
      <c r="B1368" s="1"/>
      <c r="C1368" s="1"/>
      <c r="D1368" s="1"/>
      <c r="E1368" s="1"/>
      <c r="F1368" s="1"/>
      <c r="G1368" s="1"/>
      <c r="H1368" s="1"/>
      <c r="I1368" s="8"/>
      <c r="J1368" s="1"/>
      <c r="K1368" s="1"/>
      <c r="L1368" s="1"/>
      <c r="M1368" s="1"/>
      <c r="N1368" s="1"/>
      <c r="O1368" s="1"/>
      <c r="P1368" s="1"/>
      <c r="Q1368" s="1"/>
      <c r="R1368" s="1"/>
      <c r="S1368" s="1"/>
      <c r="T1368" s="1"/>
      <c r="U1368" s="1"/>
      <c r="V1368" s="1"/>
      <c r="W1368" s="1"/>
      <c r="X1368" s="1"/>
      <c r="Y1368" s="1"/>
      <c r="Z1368" s="1"/>
    </row>
    <row r="1369" spans="1:26" ht="12.75" hidden="1" customHeight="1">
      <c r="A1369" s="1"/>
      <c r="B1369" s="1"/>
      <c r="C1369" s="1"/>
      <c r="D1369" s="1"/>
      <c r="E1369" s="1"/>
      <c r="F1369" s="1"/>
      <c r="G1369" s="1"/>
      <c r="H1369" s="1"/>
      <c r="I1369" s="8"/>
      <c r="J1369" s="1"/>
      <c r="K1369" s="1"/>
      <c r="L1369" s="1"/>
      <c r="M1369" s="1"/>
      <c r="N1369" s="1"/>
      <c r="O1369" s="1"/>
      <c r="P1369" s="1"/>
      <c r="Q1369" s="1"/>
      <c r="R1369" s="1"/>
      <c r="S1369" s="1"/>
      <c r="T1369" s="1"/>
      <c r="U1369" s="1"/>
      <c r="V1369" s="1"/>
      <c r="W1369" s="1"/>
      <c r="X1369" s="1"/>
      <c r="Y1369" s="1"/>
      <c r="Z1369" s="1"/>
    </row>
    <row r="1370" spans="1:26" ht="12.75" hidden="1" customHeight="1">
      <c r="A1370" s="1"/>
      <c r="B1370" s="1"/>
      <c r="C1370" s="1"/>
      <c r="D1370" s="1"/>
      <c r="E1370" s="1"/>
      <c r="F1370" s="1"/>
      <c r="G1370" s="1"/>
      <c r="H1370" s="1"/>
      <c r="I1370" s="8"/>
      <c r="J1370" s="1"/>
      <c r="K1370" s="1"/>
      <c r="L1370" s="1"/>
      <c r="M1370" s="1"/>
      <c r="N1370" s="1"/>
      <c r="O1370" s="1"/>
      <c r="P1370" s="1"/>
      <c r="Q1370" s="1"/>
      <c r="R1370" s="1"/>
      <c r="S1370" s="1"/>
      <c r="T1370" s="1"/>
      <c r="U1370" s="1"/>
      <c r="V1370" s="1"/>
      <c r="W1370" s="1"/>
      <c r="X1370" s="1"/>
      <c r="Y1370" s="1"/>
      <c r="Z1370" s="1"/>
    </row>
    <row r="1371" spans="1:26" ht="12.75" hidden="1" customHeight="1">
      <c r="A1371" s="1"/>
      <c r="B1371" s="1"/>
      <c r="C1371" s="1"/>
      <c r="D1371" s="1"/>
      <c r="E1371" s="1"/>
      <c r="F1371" s="1"/>
      <c r="G1371" s="1"/>
      <c r="H1371" s="1"/>
      <c r="I1371" s="8"/>
      <c r="J1371" s="1"/>
      <c r="K1371" s="1"/>
      <c r="L1371" s="1"/>
      <c r="M1371" s="1"/>
      <c r="N1371" s="1"/>
      <c r="O1371" s="1"/>
      <c r="P1371" s="1"/>
      <c r="Q1371" s="1"/>
      <c r="R1371" s="1"/>
      <c r="S1371" s="1"/>
      <c r="T1371" s="1"/>
      <c r="U1371" s="1"/>
      <c r="V1371" s="1"/>
      <c r="W1371" s="1"/>
      <c r="X1371" s="1"/>
      <c r="Y1371" s="1"/>
      <c r="Z1371" s="1"/>
    </row>
    <row r="1372" spans="1:26" ht="12.75" hidden="1" customHeight="1">
      <c r="A1372" s="1"/>
      <c r="B1372" s="1"/>
      <c r="C1372" s="1"/>
      <c r="D1372" s="1"/>
      <c r="E1372" s="1"/>
      <c r="F1372" s="1"/>
      <c r="G1372" s="1"/>
      <c r="H1372" s="1"/>
      <c r="I1372" s="8"/>
      <c r="J1372" s="1"/>
      <c r="K1372" s="1"/>
      <c r="L1372" s="1"/>
      <c r="M1372" s="1"/>
      <c r="N1372" s="1"/>
      <c r="O1372" s="1"/>
      <c r="P1372" s="1"/>
      <c r="Q1372" s="1"/>
      <c r="R1372" s="1"/>
      <c r="S1372" s="1"/>
      <c r="T1372" s="1"/>
      <c r="U1372" s="1"/>
      <c r="V1372" s="1"/>
      <c r="W1372" s="1"/>
      <c r="X1372" s="1"/>
      <c r="Y1372" s="1"/>
      <c r="Z1372" s="1"/>
    </row>
    <row r="1373" spans="1:26" ht="12.75" hidden="1" customHeight="1">
      <c r="A1373" s="1"/>
      <c r="B1373" s="1"/>
      <c r="C1373" s="1"/>
      <c r="D1373" s="1"/>
      <c r="E1373" s="1"/>
      <c r="F1373" s="1"/>
      <c r="G1373" s="1"/>
      <c r="H1373" s="1"/>
      <c r="I1373" s="8"/>
      <c r="J1373" s="1"/>
      <c r="K1373" s="1"/>
      <c r="L1373" s="1"/>
      <c r="M1373" s="1"/>
      <c r="N1373" s="1"/>
      <c r="O1373" s="1"/>
      <c r="P1373" s="1"/>
      <c r="Q1373" s="1"/>
      <c r="R1373" s="1"/>
      <c r="S1373" s="1"/>
      <c r="T1373" s="1"/>
      <c r="U1373" s="1"/>
      <c r="V1373" s="1"/>
      <c r="W1373" s="1"/>
      <c r="X1373" s="1"/>
      <c r="Y1373" s="1"/>
      <c r="Z1373" s="1"/>
    </row>
    <row r="1374" spans="1:26" ht="12.75" hidden="1" customHeight="1">
      <c r="A1374" s="1"/>
      <c r="B1374" s="1"/>
      <c r="C1374" s="1"/>
      <c r="D1374" s="1"/>
      <c r="E1374" s="1"/>
      <c r="F1374" s="1"/>
      <c r="G1374" s="1"/>
      <c r="H1374" s="1"/>
      <c r="I1374" s="8"/>
      <c r="J1374" s="1"/>
      <c r="K1374" s="1"/>
      <c r="L1374" s="1"/>
      <c r="M1374" s="1"/>
      <c r="N1374" s="1"/>
      <c r="O1374" s="1"/>
      <c r="P1374" s="1"/>
      <c r="Q1374" s="1"/>
      <c r="R1374" s="1"/>
      <c r="S1374" s="1"/>
      <c r="T1374" s="1"/>
      <c r="U1374" s="1"/>
      <c r="V1374" s="1"/>
      <c r="W1374" s="1"/>
      <c r="X1374" s="1"/>
      <c r="Y1374" s="1"/>
      <c r="Z1374" s="1"/>
    </row>
    <row r="1375" spans="1:26" ht="12.75" hidden="1" customHeight="1">
      <c r="A1375" s="1"/>
      <c r="B1375" s="1"/>
      <c r="C1375" s="1"/>
      <c r="D1375" s="1"/>
      <c r="E1375" s="1"/>
      <c r="F1375" s="1"/>
      <c r="G1375" s="1"/>
      <c r="H1375" s="1"/>
      <c r="I1375" s="8"/>
      <c r="J1375" s="1"/>
      <c r="K1375" s="1"/>
      <c r="L1375" s="1"/>
      <c r="M1375" s="1"/>
      <c r="N1375" s="1"/>
      <c r="O1375" s="1"/>
      <c r="P1375" s="1"/>
      <c r="Q1375" s="1"/>
      <c r="R1375" s="1"/>
      <c r="S1375" s="1"/>
      <c r="T1375" s="1"/>
      <c r="U1375" s="1"/>
      <c r="V1375" s="1"/>
      <c r="W1375" s="1"/>
      <c r="X1375" s="1"/>
      <c r="Y1375" s="1"/>
      <c r="Z1375" s="1"/>
    </row>
    <row r="1376" spans="1:26" ht="12.75" hidden="1" customHeight="1">
      <c r="A1376" s="1"/>
      <c r="B1376" s="1"/>
      <c r="C1376" s="1"/>
      <c r="D1376" s="1"/>
      <c r="E1376" s="1"/>
      <c r="F1376" s="1"/>
      <c r="G1376" s="1"/>
      <c r="H1376" s="1"/>
      <c r="I1376" s="8"/>
      <c r="J1376" s="1"/>
      <c r="K1376" s="1"/>
      <c r="L1376" s="1"/>
      <c r="M1376" s="1"/>
      <c r="N1376" s="1"/>
      <c r="O1376" s="1"/>
      <c r="P1376" s="1"/>
      <c r="Q1376" s="1"/>
      <c r="R1376" s="1"/>
      <c r="S1376" s="1"/>
      <c r="T1376" s="1"/>
      <c r="U1376" s="1"/>
      <c r="V1376" s="1"/>
      <c r="W1376" s="1"/>
      <c r="X1376" s="1"/>
      <c r="Y1376" s="1"/>
      <c r="Z1376" s="1"/>
    </row>
    <row r="1377" spans="1:26" ht="12.75" hidden="1" customHeight="1">
      <c r="A1377" s="1"/>
      <c r="B1377" s="1"/>
      <c r="C1377" s="1"/>
      <c r="D1377" s="1"/>
      <c r="E1377" s="1"/>
      <c r="F1377" s="1"/>
      <c r="G1377" s="1"/>
      <c r="H1377" s="1"/>
      <c r="I1377" s="8"/>
      <c r="J1377" s="1"/>
      <c r="K1377" s="1"/>
      <c r="L1377" s="1"/>
      <c r="M1377" s="1"/>
      <c r="N1377" s="1"/>
      <c r="O1377" s="1"/>
      <c r="P1377" s="1"/>
      <c r="Q1377" s="1"/>
      <c r="R1377" s="1"/>
      <c r="S1377" s="1"/>
      <c r="T1377" s="1"/>
      <c r="U1377" s="1"/>
      <c r="V1377" s="1"/>
      <c r="W1377" s="1"/>
      <c r="X1377" s="1"/>
      <c r="Y1377" s="1"/>
      <c r="Z1377" s="1"/>
    </row>
    <row r="1378" spans="1:26" ht="12.75" hidden="1" customHeight="1">
      <c r="A1378" s="1"/>
      <c r="B1378" s="1"/>
      <c r="C1378" s="1"/>
      <c r="D1378" s="1"/>
      <c r="E1378" s="1"/>
      <c r="F1378" s="1"/>
      <c r="G1378" s="1"/>
      <c r="H1378" s="1"/>
      <c r="I1378" s="8"/>
      <c r="J1378" s="1"/>
      <c r="K1378" s="1"/>
      <c r="L1378" s="1"/>
      <c r="M1378" s="1"/>
      <c r="N1378" s="1"/>
      <c r="O1378" s="1"/>
      <c r="P1378" s="1"/>
      <c r="Q1378" s="1"/>
      <c r="R1378" s="1"/>
      <c r="S1378" s="1"/>
      <c r="T1378" s="1"/>
      <c r="U1378" s="1"/>
      <c r="V1378" s="1"/>
      <c r="W1378" s="1"/>
      <c r="X1378" s="1"/>
      <c r="Y1378" s="1"/>
      <c r="Z1378" s="1"/>
    </row>
    <row r="1379" spans="1:26" ht="12.75" hidden="1" customHeight="1">
      <c r="A1379" s="1"/>
      <c r="B1379" s="1"/>
      <c r="C1379" s="1"/>
      <c r="D1379" s="1"/>
      <c r="E1379" s="1"/>
      <c r="F1379" s="1"/>
      <c r="G1379" s="1"/>
      <c r="H1379" s="1"/>
      <c r="I1379" s="8"/>
      <c r="J1379" s="1"/>
      <c r="K1379" s="1"/>
      <c r="L1379" s="1"/>
      <c r="M1379" s="1"/>
      <c r="N1379" s="1"/>
      <c r="O1379" s="1"/>
      <c r="P1379" s="1"/>
      <c r="Q1379" s="1"/>
      <c r="R1379" s="1"/>
      <c r="S1379" s="1"/>
      <c r="T1379" s="1"/>
      <c r="U1379" s="1"/>
      <c r="V1379" s="1"/>
      <c r="W1379" s="1"/>
      <c r="X1379" s="1"/>
      <c r="Y1379" s="1"/>
      <c r="Z1379" s="1"/>
    </row>
    <row r="1380" spans="1:26" ht="12.75" hidden="1" customHeight="1">
      <c r="A1380" s="1"/>
      <c r="B1380" s="1"/>
      <c r="C1380" s="1"/>
      <c r="D1380" s="1"/>
      <c r="E1380" s="1"/>
      <c r="F1380" s="1"/>
      <c r="G1380" s="1"/>
      <c r="H1380" s="1"/>
      <c r="I1380" s="8"/>
      <c r="J1380" s="1"/>
      <c r="K1380" s="1"/>
      <c r="L1380" s="1"/>
      <c r="M1380" s="1"/>
      <c r="N1380" s="1"/>
      <c r="O1380" s="1"/>
      <c r="P1380" s="1"/>
      <c r="Q1380" s="1"/>
      <c r="R1380" s="1"/>
      <c r="S1380" s="1"/>
      <c r="T1380" s="1"/>
      <c r="U1380" s="1"/>
      <c r="V1380" s="1"/>
      <c r="W1380" s="1"/>
      <c r="X1380" s="1"/>
      <c r="Y1380" s="1"/>
      <c r="Z1380" s="1"/>
    </row>
    <row r="1381" spans="1:26" ht="12.75" hidden="1" customHeight="1">
      <c r="A1381" s="1"/>
      <c r="B1381" s="1"/>
      <c r="C1381" s="1"/>
      <c r="D1381" s="1"/>
      <c r="E1381" s="1"/>
      <c r="F1381" s="1"/>
      <c r="G1381" s="1"/>
      <c r="H1381" s="1"/>
      <c r="I1381" s="8"/>
      <c r="J1381" s="1"/>
      <c r="K1381" s="1"/>
      <c r="L1381" s="1"/>
      <c r="M1381" s="1"/>
      <c r="N1381" s="1"/>
      <c r="O1381" s="1"/>
      <c r="P1381" s="1"/>
      <c r="Q1381" s="1"/>
      <c r="R1381" s="1"/>
      <c r="S1381" s="1"/>
      <c r="T1381" s="1"/>
      <c r="U1381" s="1"/>
      <c r="V1381" s="1"/>
      <c r="W1381" s="1"/>
      <c r="X1381" s="1"/>
      <c r="Y1381" s="1"/>
      <c r="Z1381" s="1"/>
    </row>
    <row r="1382" spans="1:26" ht="12.75" hidden="1" customHeight="1">
      <c r="A1382" s="1"/>
      <c r="B1382" s="1"/>
      <c r="C1382" s="1"/>
      <c r="D1382" s="1"/>
      <c r="E1382" s="1"/>
      <c r="F1382" s="1"/>
      <c r="G1382" s="1"/>
      <c r="H1382" s="1"/>
      <c r="I1382" s="8"/>
      <c r="J1382" s="1"/>
      <c r="K1382" s="1"/>
      <c r="L1382" s="1"/>
      <c r="M1382" s="1"/>
      <c r="N1382" s="1"/>
      <c r="O1382" s="1"/>
      <c r="P1382" s="1"/>
      <c r="Q1382" s="1"/>
      <c r="R1382" s="1"/>
      <c r="S1382" s="1"/>
      <c r="T1382" s="1"/>
      <c r="U1382" s="1"/>
      <c r="V1382" s="1"/>
      <c r="W1382" s="1"/>
      <c r="X1382" s="1"/>
      <c r="Y1382" s="1"/>
      <c r="Z1382" s="1"/>
    </row>
    <row r="1383" spans="1:26" ht="12.75" hidden="1" customHeight="1">
      <c r="A1383" s="1"/>
      <c r="B1383" s="1"/>
      <c r="C1383" s="1"/>
      <c r="D1383" s="1"/>
      <c r="E1383" s="1"/>
      <c r="F1383" s="1"/>
      <c r="G1383" s="1"/>
      <c r="H1383" s="1"/>
      <c r="I1383" s="8"/>
      <c r="J1383" s="1"/>
      <c r="K1383" s="1"/>
      <c r="L1383" s="1"/>
      <c r="M1383" s="1"/>
      <c r="N1383" s="1"/>
      <c r="O1383" s="1"/>
      <c r="P1383" s="1"/>
      <c r="Q1383" s="1"/>
      <c r="R1383" s="1"/>
      <c r="S1383" s="1"/>
      <c r="T1383" s="1"/>
      <c r="U1383" s="1"/>
      <c r="V1383" s="1"/>
      <c r="W1383" s="1"/>
      <c r="X1383" s="1"/>
      <c r="Y1383" s="1"/>
      <c r="Z1383" s="1"/>
    </row>
    <row r="1384" spans="1:26" ht="12.75" hidden="1" customHeight="1">
      <c r="A1384" s="1"/>
      <c r="B1384" s="1"/>
      <c r="C1384" s="1"/>
      <c r="D1384" s="1"/>
      <c r="E1384" s="1"/>
      <c r="F1384" s="1"/>
      <c r="G1384" s="1"/>
      <c r="H1384" s="1"/>
      <c r="I1384" s="8"/>
      <c r="J1384" s="1"/>
      <c r="K1384" s="1"/>
      <c r="L1384" s="1"/>
      <c r="M1384" s="1"/>
      <c r="N1384" s="1"/>
      <c r="O1384" s="1"/>
      <c r="P1384" s="1"/>
      <c r="Q1384" s="1"/>
      <c r="R1384" s="1"/>
      <c r="S1384" s="1"/>
      <c r="T1384" s="1"/>
      <c r="U1384" s="1"/>
      <c r="V1384" s="1"/>
      <c r="W1384" s="1"/>
      <c r="X1384" s="1"/>
      <c r="Y1384" s="1"/>
      <c r="Z1384" s="1"/>
    </row>
    <row r="1385" spans="1:26" ht="12.75" hidden="1" customHeight="1">
      <c r="A1385" s="1"/>
      <c r="B1385" s="1"/>
      <c r="C1385" s="1"/>
      <c r="D1385" s="1"/>
      <c r="E1385" s="1"/>
      <c r="F1385" s="1"/>
      <c r="G1385" s="1"/>
      <c r="H1385" s="1"/>
      <c r="I1385" s="8"/>
      <c r="J1385" s="1"/>
      <c r="K1385" s="1"/>
      <c r="L1385" s="1"/>
      <c r="M1385" s="1"/>
      <c r="N1385" s="1"/>
      <c r="O1385" s="1"/>
      <c r="P1385" s="1"/>
      <c r="Q1385" s="1"/>
      <c r="R1385" s="1"/>
      <c r="S1385" s="1"/>
      <c r="T1385" s="1"/>
      <c r="U1385" s="1"/>
      <c r="V1385" s="1"/>
      <c r="W1385" s="1"/>
      <c r="X1385" s="1"/>
      <c r="Y1385" s="1"/>
      <c r="Z1385" s="1"/>
    </row>
    <row r="1386" spans="1:26" ht="12.75" hidden="1" customHeight="1">
      <c r="A1386" s="1"/>
      <c r="B1386" s="1"/>
      <c r="C1386" s="1"/>
      <c r="D1386" s="1"/>
      <c r="E1386" s="1"/>
      <c r="F1386" s="1"/>
      <c r="G1386" s="1"/>
      <c r="H1386" s="1"/>
      <c r="I1386" s="8"/>
      <c r="J1386" s="1"/>
      <c r="K1386" s="1"/>
      <c r="L1386" s="1"/>
      <c r="M1386" s="1"/>
      <c r="N1386" s="1"/>
      <c r="O1386" s="1"/>
      <c r="P1386" s="1"/>
      <c r="Q1386" s="1"/>
      <c r="R1386" s="1"/>
      <c r="S1386" s="1"/>
      <c r="T1386" s="1"/>
      <c r="U1386" s="1"/>
      <c r="V1386" s="1"/>
      <c r="W1386" s="1"/>
      <c r="X1386" s="1"/>
      <c r="Y1386" s="1"/>
      <c r="Z1386" s="1"/>
    </row>
    <row r="1387" spans="1:26" ht="12.75" hidden="1" customHeight="1">
      <c r="A1387" s="1"/>
      <c r="B1387" s="1"/>
      <c r="C1387" s="1"/>
      <c r="D1387" s="1"/>
      <c r="E1387" s="1"/>
      <c r="F1387" s="1"/>
      <c r="G1387" s="1"/>
      <c r="H1387" s="1"/>
      <c r="I1387" s="8"/>
      <c r="J1387" s="1"/>
      <c r="K1387" s="1"/>
      <c r="L1387" s="1"/>
      <c r="M1387" s="1"/>
      <c r="N1387" s="1"/>
      <c r="O1387" s="1"/>
      <c r="P1387" s="1"/>
      <c r="Q1387" s="1"/>
      <c r="R1387" s="1"/>
      <c r="S1387" s="1"/>
      <c r="T1387" s="1"/>
      <c r="U1387" s="1"/>
      <c r="V1387" s="1"/>
      <c r="W1387" s="1"/>
      <c r="X1387" s="1"/>
      <c r="Y1387" s="1"/>
      <c r="Z1387" s="1"/>
    </row>
    <row r="1388" spans="1:26" ht="12.75" hidden="1" customHeight="1">
      <c r="A1388" s="1"/>
      <c r="B1388" s="1"/>
      <c r="C1388" s="1"/>
      <c r="D1388" s="1"/>
      <c r="E1388" s="1"/>
      <c r="F1388" s="1"/>
      <c r="G1388" s="1"/>
      <c r="H1388" s="1"/>
      <c r="I1388" s="8"/>
      <c r="J1388" s="1"/>
      <c r="K1388" s="1"/>
      <c r="L1388" s="1"/>
      <c r="M1388" s="1"/>
      <c r="N1388" s="1"/>
      <c r="O1388" s="1"/>
      <c r="P1388" s="1"/>
      <c r="Q1388" s="1"/>
      <c r="R1388" s="1"/>
      <c r="S1388" s="1"/>
      <c r="T1388" s="1"/>
      <c r="U1388" s="1"/>
      <c r="V1388" s="1"/>
      <c r="W1388" s="1"/>
      <c r="X1388" s="1"/>
      <c r="Y1388" s="1"/>
      <c r="Z1388" s="1"/>
    </row>
    <row r="1389" spans="1:26" ht="12.75" hidden="1" customHeight="1">
      <c r="A1389" s="1"/>
      <c r="B1389" s="1"/>
      <c r="C1389" s="1"/>
      <c r="D1389" s="1"/>
      <c r="E1389" s="1"/>
      <c r="F1389" s="1"/>
      <c r="G1389" s="1"/>
      <c r="H1389" s="1"/>
      <c r="I1389" s="8"/>
      <c r="J1389" s="1"/>
      <c r="K1389" s="1"/>
      <c r="L1389" s="1"/>
      <c r="M1389" s="1"/>
      <c r="N1389" s="1"/>
      <c r="O1389" s="1"/>
      <c r="P1389" s="1"/>
      <c r="Q1389" s="1"/>
      <c r="R1389" s="1"/>
      <c r="S1389" s="1"/>
      <c r="T1389" s="1"/>
      <c r="U1389" s="1"/>
      <c r="V1389" s="1"/>
      <c r="W1389" s="1"/>
      <c r="X1389" s="1"/>
      <c r="Y1389" s="1"/>
      <c r="Z1389" s="1"/>
    </row>
    <row r="1390" spans="1:26" ht="12.75" hidden="1" customHeight="1">
      <c r="A1390" s="1"/>
      <c r="B1390" s="1"/>
      <c r="C1390" s="1"/>
      <c r="D1390" s="1"/>
      <c r="E1390" s="1"/>
      <c r="F1390" s="1"/>
      <c r="G1390" s="1"/>
      <c r="H1390" s="1"/>
      <c r="I1390" s="8"/>
      <c r="J1390" s="1"/>
      <c r="K1390" s="1"/>
      <c r="L1390" s="1"/>
      <c r="M1390" s="1"/>
      <c r="N1390" s="1"/>
      <c r="O1390" s="1"/>
      <c r="P1390" s="1"/>
      <c r="Q1390" s="1"/>
      <c r="R1390" s="1"/>
      <c r="S1390" s="1"/>
      <c r="T1390" s="1"/>
      <c r="U1390" s="1"/>
      <c r="V1390" s="1"/>
      <c r="W1390" s="1"/>
      <c r="X1390" s="1"/>
      <c r="Y1390" s="1"/>
      <c r="Z1390" s="1"/>
    </row>
    <row r="1391" spans="1:26" ht="12.75" hidden="1" customHeight="1">
      <c r="A1391" s="1"/>
      <c r="B1391" s="1"/>
      <c r="C1391" s="1"/>
      <c r="D1391" s="1"/>
      <c r="E1391" s="1"/>
      <c r="F1391" s="1"/>
      <c r="G1391" s="1"/>
      <c r="H1391" s="1"/>
      <c r="I1391" s="8"/>
      <c r="J1391" s="1"/>
      <c r="K1391" s="1"/>
      <c r="L1391" s="1"/>
      <c r="M1391" s="1"/>
      <c r="N1391" s="1"/>
      <c r="O1391" s="1"/>
      <c r="P1391" s="1"/>
      <c r="Q1391" s="1"/>
      <c r="R1391" s="1"/>
      <c r="S1391" s="1"/>
      <c r="T1391" s="1"/>
      <c r="U1391" s="1"/>
      <c r="V1391" s="1"/>
      <c r="W1391" s="1"/>
      <c r="X1391" s="1"/>
      <c r="Y1391" s="1"/>
      <c r="Z1391" s="1"/>
    </row>
    <row r="1392" spans="1:26" ht="12.75" hidden="1" customHeight="1">
      <c r="A1392" s="1"/>
      <c r="B1392" s="1"/>
      <c r="C1392" s="1"/>
      <c r="D1392" s="1"/>
      <c r="E1392" s="1"/>
      <c r="F1392" s="1"/>
      <c r="G1392" s="1"/>
      <c r="H1392" s="1"/>
      <c r="I1392" s="8"/>
      <c r="J1392" s="1"/>
      <c r="K1392" s="1"/>
      <c r="L1392" s="1"/>
      <c r="M1392" s="1"/>
      <c r="N1392" s="1"/>
      <c r="O1392" s="1"/>
      <c r="P1392" s="1"/>
      <c r="Q1392" s="1"/>
      <c r="R1392" s="1"/>
      <c r="S1392" s="1"/>
      <c r="T1392" s="1"/>
      <c r="U1392" s="1"/>
      <c r="V1392" s="1"/>
      <c r="W1392" s="1"/>
      <c r="X1392" s="1"/>
      <c r="Y1392" s="1"/>
      <c r="Z1392" s="1"/>
    </row>
    <row r="1393" spans="1:26" ht="12.75" hidden="1" customHeight="1">
      <c r="A1393" s="1"/>
      <c r="B1393" s="1"/>
      <c r="C1393" s="1"/>
      <c r="D1393" s="1"/>
      <c r="E1393" s="1"/>
      <c r="F1393" s="1"/>
      <c r="G1393" s="1"/>
      <c r="H1393" s="1"/>
      <c r="I1393" s="8"/>
      <c r="J1393" s="1"/>
      <c r="K1393" s="1"/>
      <c r="L1393" s="1"/>
      <c r="M1393" s="1"/>
      <c r="N1393" s="1"/>
      <c r="O1393" s="1"/>
      <c r="P1393" s="1"/>
      <c r="Q1393" s="1"/>
      <c r="R1393" s="1"/>
      <c r="S1393" s="1"/>
      <c r="T1393" s="1"/>
      <c r="U1393" s="1"/>
      <c r="V1393" s="1"/>
      <c r="W1393" s="1"/>
      <c r="X1393" s="1"/>
      <c r="Y1393" s="1"/>
      <c r="Z1393" s="1"/>
    </row>
    <row r="1394" spans="1:26" ht="12.75" hidden="1" customHeight="1">
      <c r="A1394" s="1"/>
      <c r="B1394" s="1"/>
      <c r="C1394" s="1"/>
      <c r="D1394" s="1"/>
      <c r="E1394" s="1"/>
      <c r="F1394" s="1"/>
      <c r="G1394" s="1"/>
      <c r="H1394" s="1"/>
      <c r="I1394" s="8"/>
      <c r="J1394" s="1"/>
      <c r="K1394" s="1"/>
      <c r="L1394" s="1"/>
      <c r="M1394" s="1"/>
      <c r="N1394" s="1"/>
      <c r="O1394" s="1"/>
      <c r="P1394" s="1"/>
      <c r="Q1394" s="1"/>
      <c r="R1394" s="1"/>
      <c r="S1394" s="1"/>
      <c r="T1394" s="1"/>
      <c r="U1394" s="1"/>
      <c r="V1394" s="1"/>
      <c r="W1394" s="1"/>
      <c r="X1394" s="1"/>
      <c r="Y1394" s="1"/>
      <c r="Z1394" s="1"/>
    </row>
    <row r="1395" spans="1:26" ht="12.75" hidden="1" customHeight="1">
      <c r="A1395" s="1"/>
      <c r="B1395" s="1"/>
      <c r="C1395" s="1"/>
      <c r="D1395" s="1"/>
      <c r="E1395" s="1"/>
      <c r="F1395" s="1"/>
      <c r="G1395" s="1"/>
      <c r="H1395" s="1"/>
      <c r="I1395" s="8"/>
      <c r="J1395" s="1"/>
      <c r="K1395" s="1"/>
      <c r="L1395" s="1"/>
      <c r="M1395" s="1"/>
      <c r="N1395" s="1"/>
      <c r="O1395" s="1"/>
      <c r="P1395" s="1"/>
      <c r="Q1395" s="1"/>
      <c r="R1395" s="1"/>
      <c r="S1395" s="1"/>
      <c r="T1395" s="1"/>
      <c r="U1395" s="1"/>
      <c r="V1395" s="1"/>
      <c r="W1395" s="1"/>
      <c r="X1395" s="1"/>
      <c r="Y1395" s="1"/>
      <c r="Z1395" s="1"/>
    </row>
    <row r="1396" spans="1:26" ht="12.75" hidden="1" customHeight="1">
      <c r="A1396" s="1"/>
      <c r="B1396" s="1"/>
      <c r="C1396" s="1"/>
      <c r="D1396" s="1"/>
      <c r="E1396" s="1"/>
      <c r="F1396" s="1"/>
      <c r="G1396" s="1"/>
      <c r="H1396" s="1"/>
      <c r="I1396" s="8"/>
      <c r="J1396" s="1"/>
      <c r="K1396" s="1"/>
      <c r="L1396" s="1"/>
      <c r="M1396" s="1"/>
      <c r="N1396" s="1"/>
      <c r="O1396" s="1"/>
      <c r="P1396" s="1"/>
      <c r="Q1396" s="1"/>
      <c r="R1396" s="1"/>
      <c r="S1396" s="1"/>
      <c r="T1396" s="1"/>
      <c r="U1396" s="1"/>
      <c r="V1396" s="1"/>
      <c r="W1396" s="1"/>
      <c r="X1396" s="1"/>
      <c r="Y1396" s="1"/>
      <c r="Z1396" s="1"/>
    </row>
    <row r="1397" spans="1:26" ht="12.75" hidden="1" customHeight="1">
      <c r="A1397" s="1"/>
      <c r="B1397" s="1"/>
      <c r="C1397" s="1"/>
      <c r="D1397" s="1"/>
      <c r="E1397" s="1"/>
      <c r="F1397" s="1"/>
      <c r="G1397" s="1"/>
      <c r="H1397" s="1"/>
      <c r="I1397" s="8"/>
      <c r="J1397" s="1"/>
      <c r="K1397" s="1"/>
      <c r="L1397" s="1"/>
      <c r="M1397" s="1"/>
      <c r="N1397" s="1"/>
      <c r="O1397" s="1"/>
      <c r="P1397" s="1"/>
      <c r="Q1397" s="1"/>
      <c r="R1397" s="1"/>
      <c r="S1397" s="1"/>
      <c r="T1397" s="1"/>
      <c r="U1397" s="1"/>
      <c r="V1397" s="1"/>
      <c r="W1397" s="1"/>
      <c r="X1397" s="1"/>
      <c r="Y1397" s="1"/>
      <c r="Z1397" s="1"/>
    </row>
    <row r="1398" spans="1:26" ht="12.75" hidden="1" customHeight="1">
      <c r="A1398" s="1"/>
      <c r="B1398" s="1"/>
      <c r="C1398" s="1"/>
      <c r="D1398" s="1"/>
      <c r="E1398" s="1"/>
      <c r="F1398" s="1"/>
      <c r="G1398" s="1"/>
      <c r="H1398" s="1"/>
      <c r="I1398" s="8"/>
      <c r="J1398" s="1"/>
      <c r="K1398" s="1"/>
      <c r="L1398" s="1"/>
      <c r="M1398" s="1"/>
      <c r="N1398" s="1"/>
      <c r="O1398" s="1"/>
      <c r="P1398" s="1"/>
      <c r="Q1398" s="1"/>
      <c r="R1398" s="1"/>
      <c r="S1398" s="1"/>
      <c r="T1398" s="1"/>
      <c r="U1398" s="1"/>
      <c r="V1398" s="1"/>
      <c r="W1398" s="1"/>
      <c r="X1398" s="1"/>
      <c r="Y1398" s="1"/>
      <c r="Z1398" s="1"/>
    </row>
    <row r="1399" spans="1:26" ht="12.75" hidden="1" customHeight="1">
      <c r="A1399" s="1"/>
      <c r="B1399" s="1"/>
      <c r="C1399" s="1"/>
      <c r="D1399" s="1"/>
      <c r="E1399" s="1"/>
      <c r="F1399" s="1"/>
      <c r="G1399" s="1"/>
      <c r="H1399" s="1"/>
      <c r="I1399" s="8"/>
      <c r="J1399" s="1"/>
      <c r="K1399" s="1"/>
      <c r="L1399" s="1"/>
      <c r="M1399" s="1"/>
      <c r="N1399" s="1"/>
      <c r="O1399" s="1"/>
      <c r="P1399" s="1"/>
      <c r="Q1399" s="1"/>
      <c r="R1399" s="1"/>
      <c r="S1399" s="1"/>
      <c r="T1399" s="1"/>
      <c r="U1399" s="1"/>
      <c r="V1399" s="1"/>
      <c r="W1399" s="1"/>
      <c r="X1399" s="1"/>
      <c r="Y1399" s="1"/>
      <c r="Z1399" s="1"/>
    </row>
    <row r="1400" spans="1:26" ht="12.75" hidden="1" customHeight="1">
      <c r="A1400" s="1"/>
      <c r="B1400" s="1"/>
      <c r="C1400" s="1"/>
      <c r="D1400" s="1"/>
      <c r="E1400" s="1"/>
      <c r="F1400" s="1"/>
      <c r="G1400" s="1"/>
      <c r="H1400" s="1"/>
      <c r="I1400" s="8"/>
      <c r="J1400" s="1"/>
      <c r="K1400" s="1"/>
      <c r="L1400" s="1"/>
      <c r="M1400" s="1"/>
      <c r="N1400" s="1"/>
      <c r="O1400" s="1"/>
      <c r="P1400" s="1"/>
      <c r="Q1400" s="1"/>
      <c r="R1400" s="1"/>
      <c r="S1400" s="1"/>
      <c r="T1400" s="1"/>
      <c r="U1400" s="1"/>
      <c r="V1400" s="1"/>
      <c r="W1400" s="1"/>
      <c r="X1400" s="1"/>
      <c r="Y1400" s="1"/>
      <c r="Z1400" s="1"/>
    </row>
    <row r="1401" spans="1:26" ht="12.75" hidden="1" customHeight="1">
      <c r="A1401" s="1"/>
      <c r="B1401" s="1"/>
      <c r="C1401" s="1"/>
      <c r="D1401" s="1"/>
      <c r="E1401" s="1"/>
      <c r="F1401" s="1"/>
      <c r="G1401" s="1"/>
      <c r="H1401" s="1"/>
      <c r="I1401" s="8"/>
      <c r="J1401" s="1"/>
      <c r="K1401" s="1"/>
      <c r="L1401" s="1"/>
      <c r="M1401" s="1"/>
      <c r="N1401" s="1"/>
      <c r="O1401" s="1"/>
      <c r="P1401" s="1"/>
      <c r="Q1401" s="1"/>
      <c r="R1401" s="1"/>
      <c r="S1401" s="1"/>
      <c r="T1401" s="1"/>
      <c r="U1401" s="1"/>
      <c r="V1401" s="1"/>
      <c r="W1401" s="1"/>
      <c r="X1401" s="1"/>
      <c r="Y1401" s="1"/>
      <c r="Z1401" s="1"/>
    </row>
    <row r="1402" spans="1:26" ht="12.75" hidden="1" customHeight="1">
      <c r="A1402" s="1"/>
      <c r="B1402" s="1"/>
      <c r="C1402" s="1"/>
      <c r="D1402" s="1"/>
      <c r="E1402" s="1"/>
      <c r="F1402" s="1"/>
      <c r="G1402" s="1"/>
      <c r="H1402" s="1"/>
      <c r="I1402" s="8"/>
      <c r="J1402" s="1"/>
      <c r="K1402" s="1"/>
      <c r="L1402" s="1"/>
      <c r="M1402" s="1"/>
      <c r="N1402" s="1"/>
      <c r="O1402" s="1"/>
      <c r="P1402" s="1"/>
      <c r="Q1402" s="1"/>
      <c r="R1402" s="1"/>
      <c r="S1402" s="1"/>
      <c r="T1402" s="1"/>
      <c r="U1402" s="1"/>
      <c r="V1402" s="1"/>
      <c r="W1402" s="1"/>
      <c r="X1402" s="1"/>
      <c r="Y1402" s="1"/>
      <c r="Z1402" s="1"/>
    </row>
    <row r="1403" spans="1:26" ht="12.75" hidden="1" customHeight="1">
      <c r="A1403" s="1"/>
      <c r="B1403" s="1"/>
      <c r="C1403" s="1"/>
      <c r="D1403" s="1"/>
      <c r="E1403" s="1"/>
      <c r="F1403" s="1"/>
      <c r="G1403" s="1"/>
      <c r="H1403" s="1"/>
      <c r="I1403" s="8"/>
      <c r="J1403" s="1"/>
      <c r="K1403" s="1"/>
      <c r="L1403" s="1"/>
      <c r="M1403" s="1"/>
      <c r="N1403" s="1"/>
      <c r="O1403" s="1"/>
      <c r="P1403" s="1"/>
      <c r="Q1403" s="1"/>
      <c r="R1403" s="1"/>
      <c r="S1403" s="1"/>
      <c r="T1403" s="1"/>
      <c r="U1403" s="1"/>
      <c r="V1403" s="1"/>
      <c r="W1403" s="1"/>
      <c r="X1403" s="1"/>
      <c r="Y1403" s="1"/>
      <c r="Z1403" s="1"/>
    </row>
    <row r="1404" spans="1:26" ht="12.75" hidden="1" customHeight="1">
      <c r="A1404" s="1"/>
      <c r="B1404" s="1"/>
      <c r="C1404" s="1"/>
      <c r="D1404" s="1"/>
      <c r="E1404" s="1"/>
      <c r="F1404" s="1"/>
      <c r="G1404" s="1"/>
      <c r="H1404" s="1"/>
      <c r="I1404" s="8"/>
      <c r="J1404" s="1"/>
      <c r="K1404" s="1"/>
      <c r="L1404" s="1"/>
      <c r="M1404" s="1"/>
      <c r="N1404" s="1"/>
      <c r="O1404" s="1"/>
      <c r="P1404" s="1"/>
      <c r="Q1404" s="1"/>
      <c r="R1404" s="1"/>
      <c r="S1404" s="1"/>
      <c r="T1404" s="1"/>
      <c r="U1404" s="1"/>
      <c r="V1404" s="1"/>
      <c r="W1404" s="1"/>
      <c r="X1404" s="1"/>
      <c r="Y1404" s="1"/>
      <c r="Z1404" s="1"/>
    </row>
    <row r="1405" spans="1:26" ht="12.75" hidden="1" customHeight="1">
      <c r="A1405" s="1"/>
      <c r="B1405" s="1"/>
      <c r="C1405" s="1"/>
      <c r="D1405" s="1"/>
      <c r="E1405" s="1"/>
      <c r="F1405" s="1"/>
      <c r="G1405" s="1"/>
      <c r="H1405" s="1"/>
      <c r="I1405" s="8"/>
      <c r="J1405" s="1"/>
      <c r="K1405" s="1"/>
      <c r="L1405" s="1"/>
      <c r="M1405" s="1"/>
      <c r="N1405" s="1"/>
      <c r="O1405" s="1"/>
      <c r="P1405" s="1"/>
      <c r="Q1405" s="1"/>
      <c r="R1405" s="1"/>
      <c r="S1405" s="1"/>
      <c r="T1405" s="1"/>
      <c r="U1405" s="1"/>
      <c r="V1405" s="1"/>
      <c r="W1405" s="1"/>
      <c r="X1405" s="1"/>
      <c r="Y1405" s="1"/>
      <c r="Z1405" s="1"/>
    </row>
    <row r="1406" spans="1:26" ht="12.75" hidden="1" customHeight="1">
      <c r="A1406" s="1"/>
      <c r="B1406" s="1"/>
      <c r="C1406" s="1"/>
      <c r="D1406" s="1"/>
      <c r="E1406" s="1"/>
      <c r="F1406" s="1"/>
      <c r="G1406" s="1"/>
      <c r="H1406" s="1"/>
      <c r="I1406" s="8"/>
      <c r="J1406" s="1"/>
      <c r="K1406" s="1"/>
      <c r="L1406" s="1"/>
      <c r="M1406" s="1"/>
      <c r="N1406" s="1"/>
      <c r="O1406" s="1"/>
      <c r="P1406" s="1"/>
      <c r="Q1406" s="1"/>
      <c r="R1406" s="1"/>
      <c r="S1406" s="1"/>
      <c r="T1406" s="1"/>
      <c r="U1406" s="1"/>
      <c r="V1406" s="1"/>
      <c r="W1406" s="1"/>
      <c r="X1406" s="1"/>
      <c r="Y1406" s="1"/>
      <c r="Z1406" s="1"/>
    </row>
    <row r="1407" spans="1:26" ht="12.75" hidden="1" customHeight="1">
      <c r="A1407" s="1"/>
      <c r="B1407" s="1"/>
      <c r="C1407" s="1"/>
      <c r="D1407" s="1"/>
      <c r="E1407" s="1"/>
      <c r="F1407" s="1"/>
      <c r="G1407" s="1"/>
      <c r="H1407" s="1"/>
      <c r="I1407" s="8"/>
      <c r="J1407" s="1"/>
      <c r="K1407" s="1"/>
      <c r="L1407" s="1"/>
      <c r="M1407" s="1"/>
      <c r="N1407" s="1"/>
      <c r="O1407" s="1"/>
      <c r="P1407" s="1"/>
      <c r="Q1407" s="1"/>
      <c r="R1407" s="1"/>
      <c r="S1407" s="1"/>
      <c r="T1407" s="1"/>
      <c r="U1407" s="1"/>
      <c r="V1407" s="1"/>
      <c r="W1407" s="1"/>
      <c r="X1407" s="1"/>
      <c r="Y1407" s="1"/>
      <c r="Z1407" s="1"/>
    </row>
  </sheetData>
  <mergeCells count="319">
    <mergeCell ref="A2:I2"/>
    <mergeCell ref="A3:I3"/>
    <mergeCell ref="A4:G4"/>
    <mergeCell ref="A5:G5"/>
    <mergeCell ref="A6:G7"/>
    <mergeCell ref="A9:G9"/>
    <mergeCell ref="D11:F12"/>
    <mergeCell ref="D13:F13"/>
    <mergeCell ref="D15:F17"/>
    <mergeCell ref="D20:F21"/>
    <mergeCell ref="D24:F25"/>
    <mergeCell ref="D27:F31"/>
    <mergeCell ref="D33:F34"/>
    <mergeCell ref="D36:F39"/>
    <mergeCell ref="D72:F73"/>
    <mergeCell ref="A75:G75"/>
    <mergeCell ref="D77:F77"/>
    <mergeCell ref="D78:F78"/>
    <mergeCell ref="D41:F45"/>
    <mergeCell ref="D47:F50"/>
    <mergeCell ref="D52:F54"/>
    <mergeCell ref="D56:F57"/>
    <mergeCell ref="D61:F63"/>
    <mergeCell ref="D65:F66"/>
    <mergeCell ref="D68:F70"/>
    <mergeCell ref="D80:F87"/>
    <mergeCell ref="D89:F90"/>
    <mergeCell ref="D92:F94"/>
    <mergeCell ref="D96:F97"/>
    <mergeCell ref="D100:F101"/>
    <mergeCell ref="D103:F117"/>
    <mergeCell ref="D119:F126"/>
    <mergeCell ref="D128:F129"/>
    <mergeCell ref="D131:F135"/>
    <mergeCell ref="D137:F149"/>
    <mergeCell ref="D151:F168"/>
    <mergeCell ref="D169:F169"/>
    <mergeCell ref="D170:G170"/>
    <mergeCell ref="D171:F175"/>
    <mergeCell ref="D177:F180"/>
    <mergeCell ref="D182:F184"/>
    <mergeCell ref="A186:G186"/>
    <mergeCell ref="B188:F188"/>
    <mergeCell ref="A191:G191"/>
    <mergeCell ref="D193:F194"/>
    <mergeCell ref="D195:F195"/>
    <mergeCell ref="D197:F201"/>
    <mergeCell ref="D203:F203"/>
    <mergeCell ref="D204:F204"/>
    <mergeCell ref="E205:F205"/>
    <mergeCell ref="D207:F210"/>
    <mergeCell ref="D212:F212"/>
    <mergeCell ref="D213:F213"/>
    <mergeCell ref="E214:F214"/>
    <mergeCell ref="D216:F216"/>
    <mergeCell ref="D217:F217"/>
    <mergeCell ref="E218:F218"/>
    <mergeCell ref="D219:F223"/>
    <mergeCell ref="D226:F226"/>
    <mergeCell ref="E227:F227"/>
    <mergeCell ref="D229:F229"/>
    <mergeCell ref="D230:F230"/>
    <mergeCell ref="E231:F231"/>
    <mergeCell ref="D233:F236"/>
    <mergeCell ref="D238:F238"/>
    <mergeCell ref="A240:G240"/>
    <mergeCell ref="D242:F242"/>
    <mergeCell ref="D243:F243"/>
    <mergeCell ref="D245:F245"/>
    <mergeCell ref="D246:F249"/>
    <mergeCell ref="D251:F255"/>
    <mergeCell ref="D257:F261"/>
    <mergeCell ref="D263:F265"/>
    <mergeCell ref="D268:F272"/>
    <mergeCell ref="D277:F278"/>
    <mergeCell ref="A280:G280"/>
    <mergeCell ref="D282:F282"/>
    <mergeCell ref="D284:F284"/>
    <mergeCell ref="D285:F286"/>
    <mergeCell ref="D289:F294"/>
    <mergeCell ref="A300:G300"/>
    <mergeCell ref="D296:F298"/>
    <mergeCell ref="D302:F303"/>
    <mergeCell ref="D305:F305"/>
    <mergeCell ref="D306:F306"/>
    <mergeCell ref="D308:F309"/>
    <mergeCell ref="D311:F313"/>
    <mergeCell ref="A318:G318"/>
    <mergeCell ref="D315:F316"/>
    <mergeCell ref="D320:F320"/>
    <mergeCell ref="D321:F321"/>
    <mergeCell ref="D323:F323"/>
    <mergeCell ref="D325:F329"/>
    <mergeCell ref="D331:F332"/>
    <mergeCell ref="D334:F334"/>
    <mergeCell ref="D336:F350"/>
    <mergeCell ref="D352:F360"/>
    <mergeCell ref="D362:F365"/>
    <mergeCell ref="D369:F369"/>
    <mergeCell ref="D370:F370"/>
    <mergeCell ref="D373:F373"/>
    <mergeCell ref="D375:F377"/>
    <mergeCell ref="D378:F378"/>
    <mergeCell ref="D380:F391"/>
    <mergeCell ref="D393:F396"/>
    <mergeCell ref="D405:F408"/>
    <mergeCell ref="D410:F418"/>
    <mergeCell ref="D419:F436"/>
    <mergeCell ref="D438:F439"/>
    <mergeCell ref="D441:F445"/>
    <mergeCell ref="D447:F450"/>
    <mergeCell ref="D451:F451"/>
    <mergeCell ref="D453:F483"/>
    <mergeCell ref="D485:F487"/>
    <mergeCell ref="D489:F490"/>
    <mergeCell ref="D492:F505"/>
    <mergeCell ref="D506:F510"/>
    <mergeCell ref="D512:F512"/>
    <mergeCell ref="A514:G514"/>
    <mergeCell ref="D516:F516"/>
    <mergeCell ref="D517:F517"/>
    <mergeCell ref="D519:F520"/>
    <mergeCell ref="D522:F525"/>
    <mergeCell ref="D527:F527"/>
    <mergeCell ref="D529:F530"/>
    <mergeCell ref="D532:F532"/>
    <mergeCell ref="D534:F536"/>
    <mergeCell ref="A539:G539"/>
    <mergeCell ref="D541:F541"/>
    <mergeCell ref="D545:F546"/>
    <mergeCell ref="D550:F552"/>
    <mergeCell ref="D554:F556"/>
    <mergeCell ref="A558:G558"/>
    <mergeCell ref="B560:F560"/>
    <mergeCell ref="A562:G562"/>
    <mergeCell ref="D564:F564"/>
    <mergeCell ref="D565:F565"/>
    <mergeCell ref="D567:F567"/>
    <mergeCell ref="D569:F570"/>
    <mergeCell ref="D572:F573"/>
    <mergeCell ref="D575:F576"/>
    <mergeCell ref="D578:F580"/>
    <mergeCell ref="D582:F583"/>
    <mergeCell ref="D585:F586"/>
    <mergeCell ref="D711:F711"/>
    <mergeCell ref="D712:F712"/>
    <mergeCell ref="D713:F713"/>
    <mergeCell ref="D715:F715"/>
    <mergeCell ref="D716:F716"/>
    <mergeCell ref="D720:F722"/>
    <mergeCell ref="D724:F724"/>
    <mergeCell ref="D725:F725"/>
    <mergeCell ref="D646:F647"/>
    <mergeCell ref="D649:F650"/>
    <mergeCell ref="D652:F653"/>
    <mergeCell ref="D655:F655"/>
    <mergeCell ref="D657:F657"/>
    <mergeCell ref="A659:G659"/>
    <mergeCell ref="D661:F661"/>
    <mergeCell ref="D663:F664"/>
    <mergeCell ref="D666:F668"/>
    <mergeCell ref="D670:F671"/>
    <mergeCell ref="D673:F675"/>
    <mergeCell ref="D676:F676"/>
    <mergeCell ref="A678:G678"/>
    <mergeCell ref="D680:F680"/>
    <mergeCell ref="D681:F681"/>
    <mergeCell ref="A638:G638"/>
    <mergeCell ref="D640:F641"/>
    <mergeCell ref="D642:F642"/>
    <mergeCell ref="D644:F644"/>
    <mergeCell ref="D774:F780"/>
    <mergeCell ref="D781:F781"/>
    <mergeCell ref="A783:G783"/>
    <mergeCell ref="D785:F785"/>
    <mergeCell ref="D786:F786"/>
    <mergeCell ref="D728:F728"/>
    <mergeCell ref="D729:F729"/>
    <mergeCell ref="D732:F737"/>
    <mergeCell ref="D739:F740"/>
    <mergeCell ref="D742:F754"/>
    <mergeCell ref="D755:F757"/>
    <mergeCell ref="D759:F761"/>
    <mergeCell ref="D763:F766"/>
    <mergeCell ref="D768:F772"/>
    <mergeCell ref="D683:F686"/>
    <mergeCell ref="D688:F692"/>
    <mergeCell ref="D694:F697"/>
    <mergeCell ref="D699:F707"/>
    <mergeCell ref="A709:G709"/>
    <mergeCell ref="D609:F612"/>
    <mergeCell ref="D613:F616"/>
    <mergeCell ref="D618:F619"/>
    <mergeCell ref="D621:F622"/>
    <mergeCell ref="A624:G624"/>
    <mergeCell ref="D626:F626"/>
    <mergeCell ref="D627:F627"/>
    <mergeCell ref="D629:F630"/>
    <mergeCell ref="D633:F636"/>
    <mergeCell ref="D588:F588"/>
    <mergeCell ref="D589:F589"/>
    <mergeCell ref="D592:F592"/>
    <mergeCell ref="D593:F595"/>
    <mergeCell ref="D597:F600"/>
    <mergeCell ref="A602:G602"/>
    <mergeCell ref="D604:F604"/>
    <mergeCell ref="D605:F605"/>
    <mergeCell ref="D607:F607"/>
    <mergeCell ref="D813:F813"/>
    <mergeCell ref="D814:F814"/>
    <mergeCell ref="D816:F818"/>
    <mergeCell ref="D820:F822"/>
    <mergeCell ref="D807:F809"/>
    <mergeCell ref="A811:G811"/>
    <mergeCell ref="D788:F793"/>
    <mergeCell ref="D795:F798"/>
    <mergeCell ref="D800:F802"/>
    <mergeCell ref="D804:F805"/>
    <mergeCell ref="D824:F826"/>
    <mergeCell ref="D828:F833"/>
    <mergeCell ref="D834:F836"/>
    <mergeCell ref="D1043:F1043"/>
    <mergeCell ref="D1044:F1058"/>
    <mergeCell ref="A1060:G1060"/>
    <mergeCell ref="D1062:F1062"/>
    <mergeCell ref="D1063:F1063"/>
    <mergeCell ref="D1065:F1066"/>
    <mergeCell ref="D838:F843"/>
    <mergeCell ref="D845:F850"/>
    <mergeCell ref="D852:F857"/>
    <mergeCell ref="A859:G859"/>
    <mergeCell ref="D861:F861"/>
    <mergeCell ref="D862:F862"/>
    <mergeCell ref="D864:F864"/>
    <mergeCell ref="D867:F876"/>
    <mergeCell ref="D878:F880"/>
    <mergeCell ref="D882:F883"/>
    <mergeCell ref="D884:F889"/>
    <mergeCell ref="D891:F891"/>
    <mergeCell ref="D892:F892"/>
    <mergeCell ref="D895:F898"/>
    <mergeCell ref="D902:F902"/>
    <mergeCell ref="D1068:F1071"/>
    <mergeCell ref="D1073:F1076"/>
    <mergeCell ref="D1078:F1079"/>
    <mergeCell ref="D1081:F1081"/>
    <mergeCell ref="D1083:F1083"/>
    <mergeCell ref="D1085:F1085"/>
    <mergeCell ref="D1087:F1088"/>
    <mergeCell ref="D1090:F1091"/>
    <mergeCell ref="D1093:F1093"/>
    <mergeCell ref="D1095:F1095"/>
    <mergeCell ref="D1097:F1098"/>
    <mergeCell ref="A1100:G1100"/>
    <mergeCell ref="D1102:F1102"/>
    <mergeCell ref="D1103:F1103"/>
    <mergeCell ref="D1105:F1105"/>
    <mergeCell ref="D1106:F1106"/>
    <mergeCell ref="D1107:F1107"/>
    <mergeCell ref="D1108:F1108"/>
    <mergeCell ref="A1109:G1109"/>
    <mergeCell ref="D1111:F1111"/>
    <mergeCell ref="D1112:F1112"/>
    <mergeCell ref="D1113:F1113"/>
    <mergeCell ref="D1115:F1115"/>
    <mergeCell ref="D1116:F1116"/>
    <mergeCell ref="D1117:F1117"/>
    <mergeCell ref="A1120:G1120"/>
    <mergeCell ref="D1125:F1128"/>
    <mergeCell ref="D1135:F1139"/>
    <mergeCell ref="A1141:G1141"/>
    <mergeCell ref="D1177:F1179"/>
    <mergeCell ref="D1181:F1185"/>
    <mergeCell ref="D1187:F1189"/>
    <mergeCell ref="D1191:F1193"/>
    <mergeCell ref="D1195:F1198"/>
    <mergeCell ref="D1200:F1205"/>
    <mergeCell ref="D1207:F1211"/>
    <mergeCell ref="D1147:F1148"/>
    <mergeCell ref="D1152:F1155"/>
    <mergeCell ref="D1159:F1163"/>
    <mergeCell ref="D1166:F1168"/>
    <mergeCell ref="A1170:G1170"/>
    <mergeCell ref="D1173:F1174"/>
    <mergeCell ref="D1175:F1175"/>
    <mergeCell ref="D903:F903"/>
    <mergeCell ref="D905:F905"/>
    <mergeCell ref="D908:F909"/>
    <mergeCell ref="D911:F912"/>
    <mergeCell ref="D913:F918"/>
    <mergeCell ref="D920:F920"/>
    <mergeCell ref="D921:F921"/>
    <mergeCell ref="D924:F927"/>
    <mergeCell ref="A929:G929"/>
    <mergeCell ref="D931:F931"/>
    <mergeCell ref="D935:F935"/>
    <mergeCell ref="D936:F936"/>
    <mergeCell ref="D938:F939"/>
    <mergeCell ref="D940:F941"/>
    <mergeCell ref="D943:F950"/>
    <mergeCell ref="D952:F953"/>
    <mergeCell ref="D955:F958"/>
    <mergeCell ref="D960:F960"/>
    <mergeCell ref="D1007:F1018"/>
    <mergeCell ref="D1020:F1025"/>
    <mergeCell ref="D1027:F1029"/>
    <mergeCell ref="D1032:F1035"/>
    <mergeCell ref="D1037:F1037"/>
    <mergeCell ref="D1038:F1038"/>
    <mergeCell ref="D1040:F1041"/>
    <mergeCell ref="D962:F962"/>
    <mergeCell ref="D964:F964"/>
    <mergeCell ref="D966:F972"/>
    <mergeCell ref="D974:F982"/>
    <mergeCell ref="D984:F986"/>
    <mergeCell ref="D988:F991"/>
    <mergeCell ref="D993:F993"/>
    <mergeCell ref="D995:F997"/>
    <mergeCell ref="D999:F1005"/>
  </mergeCells>
  <dataValidations count="1">
    <dataValidation type="list" allowBlank="1" showErrorMessage="1" sqref="B15 B20 B24 B27 B33 B36 B41 B47 B52 B56 B61 B65 B68 B72 B80 B89 B92 B96 B100 B103 B119 B128 B131 B137 B151 B171 B177 B182 B203 B207 B212 B216 B225 B229 B233 B238 B246 B251 B263 B268 B274 B277 B285 B289 B296 B308 B311 B315 B323 B325 B331 B334 B336 B352 B362 B373 B378 B380 B393 B398 B405 B438 B441 B447 B453 B485 B489 B492 B496 B499 B504 B506 B512 B519 B522 B527 B529 B532 B534 B545 B548 B554 B567 B569 B572 B575 B578 B582 B585 B588 B592 B597 B607 B609 B613 B618 B621 B629 B633 B644 B646 B649 B652 B655 B657 B663 B670 B673 B676 B683 B688 B694 B699 B715 B720 B724 B728 B732 B739 B742 B755 B759 B763 B768 B774 B788 B795 B800 B804 B807 B816 B820 B824 B828 B838 B845 B852 B864 B867 B878 B882 B891 B895 B905 B908 B911 B920 B924 B933 B938 B943 B952 B955 B960 B962 B966 B974 B984 B988 B995 B999 B1007 B1020 B1027 B1032 B1038 B1040 B1044 B1065 B1073 B1078 B1081 B1083 B1085 B1087 B1090 B1093 B1095 B1097 B1106 B1112 B1117 B1125 B1133 B1135 B1144 B1147 B1151 B1159 B1166 B1173 B1177 B1181 B1187 B1191 B1195 B1200 B1207" xr:uid="{00000000-0002-0000-0200-000000000000}">
      <formula1>"(select one),Need to Provide,Provided,Not Applicable"</formula1>
    </dataValidation>
  </dataValidations>
  <hyperlinks>
    <hyperlink ref="D169" r:id="rId1" xr:uid="{00000000-0004-0000-0200-000000000000}"/>
    <hyperlink ref="D451" r:id="rId2" xr:uid="{00000000-0004-0000-0200-000001000000}"/>
    <hyperlink ref="D1175" r:id="rId3" xr:uid="{00000000-0004-0000-0200-000002000000}"/>
  </hyperlinks>
  <printOptions horizontalCentered="1"/>
  <pageMargins left="0.75" right="0.5" top="1" bottom="1" header="0" footer="0"/>
  <pageSetup orientation="portrait"/>
  <rowBreaks count="32" manualBreakCount="32">
    <brk id="513" man="1"/>
    <brk id="899" man="1"/>
    <brk id="67" man="1"/>
    <brk id="708" man="1"/>
    <brk id="1030" man="1"/>
    <brk id="74" man="1"/>
    <brk id="1099" man="1"/>
    <brk id="1169" man="1"/>
    <brk id="658" man="1"/>
    <brk id="1108" man="1"/>
    <brk id="279" man="1"/>
    <brk id="601" man="1"/>
    <brk id="538" man="1"/>
    <brk id="858" man="1"/>
    <brk id="1119" man="1"/>
    <brk id="928" man="1"/>
    <brk id="1059" man="1"/>
    <brk id="677" man="1"/>
    <brk id="488" man="1"/>
    <brk id="425" man="1"/>
    <brk id="810" man="1"/>
    <brk id="299" man="1"/>
    <brk id="557" man="1"/>
    <brk id="623" man="1"/>
    <brk id="239" man="1"/>
    <brk id="368" man="1"/>
    <brk id="561" man="1"/>
    <brk id="1140" man="1"/>
    <brk id="185" man="1"/>
    <brk id="317" man="1"/>
    <brk id="637" man="1"/>
    <brk id="19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C1144"/>
  <sheetViews>
    <sheetView showGridLines="0" topLeftCell="A720" workbookViewId="0">
      <selection activeCell="AK726" sqref="AK726:AO726"/>
    </sheetView>
  </sheetViews>
  <sheetFormatPr defaultColWidth="12.6328125" defaultRowHeight="15" customHeight="1"/>
  <cols>
    <col min="1" max="45" width="2.7265625" customWidth="1"/>
    <col min="46" max="46" width="12.36328125" customWidth="1"/>
    <col min="47" max="185" width="12.36328125" hidden="1" customWidth="1"/>
  </cols>
  <sheetData>
    <row r="1" spans="1:58" ht="12.75" customHeight="1">
      <c r="J1" s="22"/>
      <c r="AS1" s="49">
        <v>4</v>
      </c>
      <c r="BD1" s="1" t="s">
        <v>259</v>
      </c>
      <c r="BE1" s="1"/>
      <c r="BF1" s="1"/>
    </row>
    <row r="2" spans="1:58" ht="12.75" customHeight="1">
      <c r="BD2" s="51" t="s">
        <v>266</v>
      </c>
      <c r="BE2" s="51" t="s">
        <v>271</v>
      </c>
      <c r="BF2" s="51" t="s">
        <v>273</v>
      </c>
    </row>
    <row r="3" spans="1:58" ht="12.75" customHeight="1">
      <c r="BD3" s="52" t="s">
        <v>281</v>
      </c>
      <c r="BE3" s="54" t="str">
        <f>AC220</f>
        <v xml:space="preserve">Coastal (Monterey, Napa, Orange, San Benito, San Diego, San Luis Obispo, Santa Barbara, Sonoma, and Ventura Counties) </v>
      </c>
    </row>
    <row r="4" spans="1:58" ht="12.75" customHeight="1">
      <c r="BD4" s="52" t="s">
        <v>291</v>
      </c>
      <c r="BE4" s="55"/>
    </row>
    <row r="5" spans="1:58" ht="12.75" customHeight="1">
      <c r="BD5" s="52" t="s">
        <v>298</v>
      </c>
      <c r="BE5" s="54">
        <f>SUMIF($AC$726:$AC$758,"&lt;=20%",$G$726:G$758)</f>
        <v>0</v>
      </c>
      <c r="BF5" s="52" t="s">
        <v>305</v>
      </c>
    </row>
    <row r="6" spans="1:58" ht="12.75" customHeight="1">
      <c r="BD6" s="52" t="s">
        <v>310</v>
      </c>
      <c r="BE6" s="56">
        <f>SUMIF($AC$726:$AC$758,"&lt;=25%",$G$726:G$758)-SUM($BE$5:BE5)</f>
        <v>0</v>
      </c>
    </row>
    <row r="7" spans="1:58" ht="12.75" customHeight="1">
      <c r="BD7" s="57" t="s">
        <v>320</v>
      </c>
      <c r="BE7" s="56">
        <f>SUMIF($AC$726:$AC$758,"&lt;=30%",$G$726:G$758)-SUM($BE$5:BE6)</f>
        <v>26</v>
      </c>
    </row>
    <row r="8" spans="1:58" ht="26.25" customHeight="1">
      <c r="A8" s="1133" t="s">
        <v>325</v>
      </c>
      <c r="B8" s="893"/>
      <c r="C8" s="893"/>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3"/>
      <c r="AL8" s="893"/>
      <c r="AM8" s="893"/>
      <c r="AN8" s="893"/>
      <c r="AO8" s="893"/>
      <c r="AP8" s="893"/>
      <c r="AQ8" s="893"/>
      <c r="AR8" s="893"/>
      <c r="AS8" s="893"/>
      <c r="AT8" s="893"/>
      <c r="AU8" s="58"/>
      <c r="AV8" s="58"/>
      <c r="AW8" s="58"/>
      <c r="AX8" s="58"/>
      <c r="AY8" s="58"/>
      <c r="BD8" s="52" t="s">
        <v>329</v>
      </c>
      <c r="BE8" s="56">
        <f>SUMIF($AC$726:$AC$758,"&lt;=35%",$G$726:G$758)-SUM($BE$5:BE7)</f>
        <v>0</v>
      </c>
    </row>
    <row r="9" spans="1:58" ht="12.75" customHeight="1">
      <c r="A9" s="939" t="s">
        <v>332</v>
      </c>
      <c r="B9" s="893"/>
      <c r="C9" s="893"/>
      <c r="D9" s="893"/>
      <c r="E9" s="893"/>
      <c r="F9" s="893"/>
      <c r="G9" s="893"/>
      <c r="H9" s="893"/>
      <c r="I9" s="893"/>
      <c r="J9" s="893"/>
      <c r="K9" s="893"/>
      <c r="L9" s="893"/>
      <c r="M9" s="893"/>
      <c r="N9" s="893"/>
      <c r="O9" s="893"/>
      <c r="P9" s="893"/>
      <c r="Q9" s="893"/>
      <c r="R9" s="893"/>
      <c r="S9" s="893"/>
      <c r="T9" s="893"/>
      <c r="U9" s="893"/>
      <c r="V9" s="893"/>
      <c r="W9" s="893"/>
      <c r="X9" s="893"/>
      <c r="Y9" s="893"/>
      <c r="Z9" s="893"/>
      <c r="AA9" s="893"/>
      <c r="AB9" s="893"/>
      <c r="AC9" s="893"/>
      <c r="AD9" s="893"/>
      <c r="AE9" s="893"/>
      <c r="AF9" s="893"/>
      <c r="AG9" s="893"/>
      <c r="AH9" s="893"/>
      <c r="AI9" s="893"/>
      <c r="AJ9" s="893"/>
      <c r="AK9" s="893"/>
      <c r="AL9" s="893"/>
      <c r="AM9" s="893"/>
      <c r="AN9" s="893"/>
      <c r="AO9" s="893"/>
      <c r="AP9" s="893"/>
      <c r="AQ9" s="893"/>
      <c r="AR9" s="893"/>
      <c r="AS9" s="893"/>
      <c r="AT9" s="893"/>
      <c r="AU9" s="10"/>
      <c r="AV9" s="10"/>
      <c r="AW9" s="10"/>
      <c r="AX9" s="10"/>
      <c r="AY9" s="10"/>
      <c r="BD9" s="59" t="s">
        <v>335</v>
      </c>
      <c r="BE9" s="56">
        <f>SUMIF($AC$726:$AC$758,"&lt;=40%",$G$726:G$758)-SUM($BE$5:BE8)</f>
        <v>0</v>
      </c>
    </row>
    <row r="10" spans="1:58" ht="12.75" customHeight="1">
      <c r="A10" s="939" t="s">
        <v>345</v>
      </c>
      <c r="B10" s="893"/>
      <c r="C10" s="893"/>
      <c r="D10" s="893"/>
      <c r="E10" s="893"/>
      <c r="F10" s="893"/>
      <c r="G10" s="893"/>
      <c r="H10" s="893"/>
      <c r="I10" s="893"/>
      <c r="J10" s="893"/>
      <c r="K10" s="893"/>
      <c r="L10" s="893"/>
      <c r="M10" s="893"/>
      <c r="N10" s="893"/>
      <c r="O10" s="893"/>
      <c r="P10" s="893"/>
      <c r="Q10" s="893"/>
      <c r="R10" s="893"/>
      <c r="S10" s="893"/>
      <c r="T10" s="893"/>
      <c r="U10" s="893"/>
      <c r="V10" s="893"/>
      <c r="W10" s="893"/>
      <c r="X10" s="893"/>
      <c r="Y10" s="893"/>
      <c r="Z10" s="893"/>
      <c r="AA10" s="893"/>
      <c r="AB10" s="893"/>
      <c r="AC10" s="893"/>
      <c r="AD10" s="893"/>
      <c r="AE10" s="893"/>
      <c r="AF10" s="893"/>
      <c r="AG10" s="893"/>
      <c r="AH10" s="893"/>
      <c r="AI10" s="893"/>
      <c r="AJ10" s="893"/>
      <c r="AK10" s="893"/>
      <c r="AL10" s="893"/>
      <c r="AM10" s="893"/>
      <c r="AN10" s="893"/>
      <c r="AO10" s="893"/>
      <c r="AP10" s="893"/>
      <c r="AQ10" s="893"/>
      <c r="AR10" s="893"/>
      <c r="AS10" s="893"/>
      <c r="AT10" s="893"/>
      <c r="AU10" s="10"/>
      <c r="AV10" s="10"/>
      <c r="AW10" s="10"/>
      <c r="AX10" s="10"/>
      <c r="AY10" s="10"/>
      <c r="BD10" s="52" t="s">
        <v>347</v>
      </c>
      <c r="BE10" s="56">
        <f>SUMIF($AC$726:$AC$758,"&lt;=45%",$G$726:G$758)-SUM($BE$5:BE9)</f>
        <v>0</v>
      </c>
    </row>
    <row r="11" spans="1:58" ht="12.75" customHeight="1">
      <c r="A11" s="939" t="s">
        <v>352</v>
      </c>
      <c r="B11" s="893"/>
      <c r="C11" s="893"/>
      <c r="D11" s="893"/>
      <c r="E11" s="893"/>
      <c r="F11" s="893"/>
      <c r="G11" s="893"/>
      <c r="H11" s="893"/>
      <c r="I11" s="893"/>
      <c r="J11" s="893"/>
      <c r="K11" s="893"/>
      <c r="L11" s="893"/>
      <c r="M11" s="893"/>
      <c r="N11" s="893"/>
      <c r="O11" s="893"/>
      <c r="P11" s="893"/>
      <c r="Q11" s="893"/>
      <c r="R11" s="893"/>
      <c r="S11" s="893"/>
      <c r="T11" s="893"/>
      <c r="U11" s="893"/>
      <c r="V11" s="893"/>
      <c r="W11" s="893"/>
      <c r="X11" s="893"/>
      <c r="Y11" s="893"/>
      <c r="Z11" s="893"/>
      <c r="AA11" s="893"/>
      <c r="AB11" s="893"/>
      <c r="AC11" s="893"/>
      <c r="AD11" s="893"/>
      <c r="AE11" s="893"/>
      <c r="AF11" s="893"/>
      <c r="AG11" s="893"/>
      <c r="AH11" s="893"/>
      <c r="AI11" s="893"/>
      <c r="AJ11" s="893"/>
      <c r="AK11" s="893"/>
      <c r="AL11" s="893"/>
      <c r="AM11" s="893"/>
      <c r="AN11" s="893"/>
      <c r="AO11" s="893"/>
      <c r="AP11" s="893"/>
      <c r="AQ11" s="893"/>
      <c r="AR11" s="893"/>
      <c r="AS11" s="893"/>
      <c r="AT11" s="893"/>
      <c r="AU11" s="10"/>
      <c r="AV11" s="10"/>
      <c r="AW11" s="10"/>
      <c r="AX11" s="10"/>
      <c r="AY11" s="10"/>
      <c r="BD11" s="57" t="s">
        <v>355</v>
      </c>
      <c r="BE11" s="56">
        <f>SUMIF($AC$726:$AC$758,"&lt;=50%",$G$726:G$758)-SUM($BE$5:BE10)</f>
        <v>26</v>
      </c>
    </row>
    <row r="12" spans="1:58" ht="12.75" customHeight="1">
      <c r="A12" s="981" t="s">
        <v>360</v>
      </c>
      <c r="B12" s="893"/>
      <c r="C12" s="893"/>
      <c r="D12" s="893"/>
      <c r="E12" s="893"/>
      <c r="F12" s="893"/>
      <c r="G12" s="893"/>
      <c r="H12" s="893"/>
      <c r="I12" s="893"/>
      <c r="J12" s="893"/>
      <c r="K12" s="893"/>
      <c r="L12" s="893"/>
      <c r="M12" s="893"/>
      <c r="N12" s="893"/>
      <c r="O12" s="893"/>
      <c r="P12" s="893"/>
      <c r="Q12" s="893"/>
      <c r="R12" s="893"/>
      <c r="S12" s="893"/>
      <c r="T12" s="893"/>
      <c r="U12" s="893"/>
      <c r="V12" s="893"/>
      <c r="W12" s="893"/>
      <c r="X12" s="893"/>
      <c r="Y12" s="893"/>
      <c r="Z12" s="893"/>
      <c r="AA12" s="893"/>
      <c r="AB12" s="893"/>
      <c r="AC12" s="893"/>
      <c r="AD12" s="893"/>
      <c r="AE12" s="893"/>
      <c r="AF12" s="893"/>
      <c r="AG12" s="893"/>
      <c r="AH12" s="893"/>
      <c r="AI12" s="893"/>
      <c r="AJ12" s="893"/>
      <c r="AK12" s="893"/>
      <c r="AL12" s="893"/>
      <c r="AM12" s="893"/>
      <c r="AN12" s="893"/>
      <c r="AO12" s="893"/>
      <c r="AP12" s="893"/>
      <c r="AQ12" s="893"/>
      <c r="AR12" s="893"/>
      <c r="AS12" s="893"/>
      <c r="AT12" s="893"/>
      <c r="AU12" s="7"/>
      <c r="AV12" s="7"/>
      <c r="AW12" s="7"/>
      <c r="AX12" s="7"/>
      <c r="AY12" s="7"/>
      <c r="BD12" s="52" t="s">
        <v>362</v>
      </c>
      <c r="BE12" s="56">
        <f>SUMIF($AC$726:$AC$758,"&lt;=55%",$G$726:G$758)-SUM($BE$5:BE11)</f>
        <v>0</v>
      </c>
    </row>
    <row r="13" spans="1:58" ht="12.75" customHeight="1">
      <c r="A13" s="900" t="s">
        <v>368</v>
      </c>
      <c r="B13" s="901"/>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2"/>
      <c r="AU13" s="61"/>
      <c r="AV13" s="61"/>
      <c r="AW13" s="61"/>
      <c r="AX13" s="61"/>
      <c r="AY13" s="61"/>
      <c r="BD13" s="59" t="s">
        <v>374</v>
      </c>
      <c r="BE13" s="56">
        <f>SUMIF($AC$726:$AC$758,"&lt;=60%",$G$726:G$758)-SUM($BE$5:BE12)</f>
        <v>180</v>
      </c>
    </row>
    <row r="14" spans="1:58" ht="12.75" customHeight="1">
      <c r="A14" s="989"/>
      <c r="B14" s="990"/>
      <c r="C14" s="990"/>
      <c r="D14" s="990"/>
      <c r="E14" s="990"/>
      <c r="F14" s="990"/>
      <c r="G14" s="990"/>
      <c r="H14" s="990"/>
      <c r="I14" s="990"/>
      <c r="J14" s="990"/>
      <c r="K14" s="990"/>
      <c r="L14" s="990"/>
      <c r="M14" s="990"/>
      <c r="N14" s="990"/>
      <c r="O14" s="990"/>
      <c r="P14" s="990"/>
      <c r="Q14" s="990"/>
      <c r="R14" s="990"/>
      <c r="S14" s="990"/>
      <c r="T14" s="990"/>
      <c r="U14" s="990"/>
      <c r="V14" s="990"/>
      <c r="W14" s="990"/>
      <c r="X14" s="990"/>
      <c r="Y14" s="990"/>
      <c r="Z14" s="990"/>
      <c r="AA14" s="990"/>
      <c r="AB14" s="990"/>
      <c r="AC14" s="990"/>
      <c r="AD14" s="990"/>
      <c r="AE14" s="990"/>
      <c r="AF14" s="990"/>
      <c r="AG14" s="990"/>
      <c r="AH14" s="990"/>
      <c r="AI14" s="990"/>
      <c r="AJ14" s="990"/>
      <c r="AK14" s="990"/>
      <c r="AL14" s="990"/>
      <c r="AM14" s="990"/>
      <c r="AN14" s="990"/>
      <c r="AO14" s="990"/>
      <c r="AP14" s="990"/>
      <c r="AQ14" s="990"/>
      <c r="AR14" s="990"/>
      <c r="AS14" s="990"/>
      <c r="AT14" s="991"/>
      <c r="AU14" s="61"/>
      <c r="AV14" s="61"/>
      <c r="AW14" s="61"/>
      <c r="AX14" s="61"/>
      <c r="AY14" s="61"/>
      <c r="BD14" s="57" t="s">
        <v>377</v>
      </c>
      <c r="BE14" s="56">
        <f>SUMIF($AC$726:$AC$758,"&lt;=70%",$G$726:G$758)-SUM($BE$5:BE13)</f>
        <v>0</v>
      </c>
    </row>
    <row r="15" spans="1:58" ht="12.75" customHeight="1">
      <c r="A15" s="18"/>
      <c r="B15" s="18"/>
      <c r="C15" s="18"/>
      <c r="D15" s="18"/>
      <c r="E15" s="18"/>
      <c r="F15" s="18"/>
      <c r="G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BD15" s="59" t="s">
        <v>382</v>
      </c>
      <c r="BE15" s="56">
        <f>SUMIF($AC$726:$AC$758,"&lt;=80%",$G$726:G$758)-SUM($BE$5:BE14)</f>
        <v>0</v>
      </c>
    </row>
    <row r="16" spans="1:58" ht="12.75" customHeight="1">
      <c r="A16" s="62" t="s">
        <v>384</v>
      </c>
      <c r="C16" s="1"/>
      <c r="D16" s="1"/>
      <c r="E16" s="1"/>
      <c r="F16" s="1"/>
      <c r="G16" s="1"/>
      <c r="H16" s="1116" t="s">
        <v>386</v>
      </c>
      <c r="I16" s="968"/>
      <c r="J16" s="968"/>
      <c r="K16" s="968"/>
      <c r="L16" s="968"/>
      <c r="M16" s="968"/>
      <c r="N16" s="968"/>
      <c r="O16" s="968"/>
      <c r="P16" s="968"/>
      <c r="Q16" s="968"/>
      <c r="R16" s="968"/>
      <c r="S16" s="968"/>
      <c r="T16" s="968"/>
      <c r="U16" s="968"/>
      <c r="V16" s="968"/>
      <c r="W16" s="968"/>
      <c r="X16" s="968"/>
      <c r="Y16" s="968"/>
      <c r="Z16" s="968"/>
      <c r="AA16" s="968"/>
      <c r="AB16" s="968"/>
      <c r="AC16" s="968"/>
      <c r="AD16" s="968"/>
      <c r="AE16" s="968"/>
      <c r="AF16" s="968"/>
      <c r="AG16" s="968"/>
      <c r="AH16" s="968"/>
      <c r="AI16" s="968"/>
      <c r="AJ16" s="969"/>
      <c r="BD16" s="59" t="s">
        <v>113</v>
      </c>
      <c r="BE16" s="56" t="str">
        <f>Application!H18</f>
        <v>SD 427 - Normal Heights/North Park/Linda Vista</v>
      </c>
    </row>
    <row r="17" spans="1:58" ht="12.75" customHeight="1">
      <c r="BD17" s="57" t="s">
        <v>392</v>
      </c>
      <c r="BE17" s="56">
        <f>Application!AA941</f>
        <v>0</v>
      </c>
    </row>
    <row r="18" spans="1:58" ht="12.75" customHeight="1">
      <c r="A18" s="62" t="s">
        <v>393</v>
      </c>
      <c r="C18" s="1"/>
      <c r="D18" s="1"/>
      <c r="E18" s="1"/>
      <c r="F18" s="1"/>
      <c r="G18" s="1"/>
      <c r="H18" s="967" t="s">
        <v>2815</v>
      </c>
      <c r="I18" s="968"/>
      <c r="J18" s="968"/>
      <c r="K18" s="968"/>
      <c r="L18" s="968"/>
      <c r="M18" s="968"/>
      <c r="N18" s="968"/>
      <c r="O18" s="968"/>
      <c r="P18" s="968"/>
      <c r="Q18" s="968"/>
      <c r="R18" s="968"/>
      <c r="S18" s="968"/>
      <c r="T18" s="968"/>
      <c r="U18" s="968"/>
      <c r="V18" s="968"/>
      <c r="W18" s="968"/>
      <c r="X18" s="968"/>
      <c r="Y18" s="968"/>
      <c r="Z18" s="968"/>
      <c r="AA18" s="968"/>
      <c r="AB18" s="968"/>
      <c r="AC18" s="968"/>
      <c r="AD18" s="968"/>
      <c r="AE18" s="968"/>
      <c r="AF18" s="968"/>
      <c r="AG18" s="968"/>
      <c r="AH18" s="968"/>
      <c r="AI18" s="968"/>
      <c r="AJ18" s="969"/>
      <c r="BD18" s="59" t="s">
        <v>395</v>
      </c>
      <c r="BE18" s="56">
        <f>AA941</f>
        <v>0</v>
      </c>
    </row>
    <row r="19" spans="1:58" ht="12.75" customHeight="1">
      <c r="BD19" s="57" t="s">
        <v>398</v>
      </c>
      <c r="BE19" s="56">
        <f>Application!M26</f>
        <v>3541671</v>
      </c>
    </row>
    <row r="20" spans="1:58" ht="12.75" customHeight="1">
      <c r="A20" s="908" t="s">
        <v>401</v>
      </c>
      <c r="B20" s="893"/>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c r="AJ20" s="893"/>
      <c r="AK20" s="893"/>
      <c r="AL20" s="893"/>
      <c r="AM20" s="893"/>
      <c r="AN20" s="893"/>
      <c r="AO20" s="893"/>
      <c r="AP20" s="893"/>
      <c r="AQ20" s="893"/>
      <c r="AR20" s="893"/>
      <c r="AS20" s="893"/>
      <c r="AT20" s="893"/>
      <c r="AU20" s="2"/>
      <c r="AV20" s="2"/>
      <c r="AW20" s="2"/>
      <c r="AX20" s="2"/>
      <c r="AY20" s="2"/>
      <c r="BD20" s="59" t="s">
        <v>402</v>
      </c>
      <c r="BE20" s="56">
        <f>Application!M27</f>
        <v>0</v>
      </c>
    </row>
    <row r="21" spans="1:58" ht="12.75" customHeight="1">
      <c r="A21" s="1134" t="s">
        <v>403</v>
      </c>
      <c r="B21" s="893"/>
      <c r="C21" s="893"/>
      <c r="D21" s="893"/>
      <c r="E21" s="893"/>
      <c r="F21" s="893"/>
      <c r="G21" s="893"/>
      <c r="H21" s="893"/>
      <c r="I21" s="893"/>
      <c r="J21" s="893"/>
      <c r="K21" s="893"/>
      <c r="L21" s="893"/>
      <c r="M21" s="893"/>
      <c r="N21" s="893"/>
      <c r="O21" s="893"/>
      <c r="P21" s="893"/>
      <c r="Q21" s="893"/>
      <c r="R21" s="893"/>
      <c r="S21" s="893"/>
      <c r="T21" s="893"/>
      <c r="U21" s="893"/>
      <c r="V21" s="893"/>
      <c r="W21" s="893"/>
      <c r="X21" s="893"/>
      <c r="Y21" s="893"/>
      <c r="Z21" s="893"/>
      <c r="AA21" s="893"/>
      <c r="AB21" s="893"/>
      <c r="AC21" s="893"/>
      <c r="AD21" s="893"/>
      <c r="AE21" s="893"/>
      <c r="AF21" s="893"/>
      <c r="AG21" s="893"/>
      <c r="AH21" s="893"/>
      <c r="AI21" s="893"/>
      <c r="AJ21" s="893"/>
      <c r="AK21" s="893"/>
      <c r="AL21" s="893"/>
      <c r="AM21" s="63"/>
      <c r="AN21" s="63"/>
      <c r="AO21" s="63"/>
      <c r="AP21" s="63"/>
      <c r="AQ21" s="63"/>
      <c r="AR21" s="63"/>
      <c r="AS21" s="63"/>
      <c r="AT21" s="63"/>
      <c r="AU21" s="63"/>
      <c r="AV21" s="63"/>
      <c r="AW21" s="63"/>
      <c r="AX21" s="63"/>
      <c r="AY21" s="63"/>
      <c r="BD21" s="57" t="s">
        <v>406</v>
      </c>
      <c r="BE21" s="56">
        <f>Application!AM562</f>
        <v>28416244</v>
      </c>
    </row>
    <row r="22" spans="1:58" ht="12.75" customHeight="1">
      <c r="A22" s="64"/>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BD22" s="59" t="s">
        <v>411</v>
      </c>
      <c r="BE22" s="56">
        <f>'Sources and Uses Budget'!B105</f>
        <v>99176513</v>
      </c>
      <c r="BF22" s="52" t="s">
        <v>412</v>
      </c>
    </row>
    <row r="23" spans="1:58" ht="12.75" customHeight="1">
      <c r="A23" s="910" t="s">
        <v>414</v>
      </c>
      <c r="B23" s="893"/>
      <c r="C23" s="893"/>
      <c r="D23" s="893"/>
      <c r="E23" s="893"/>
      <c r="F23" s="893"/>
      <c r="G23" s="893"/>
      <c r="H23" s="893"/>
      <c r="I23" s="893"/>
      <c r="J23" s="893"/>
      <c r="K23" s="893"/>
      <c r="L23" s="893"/>
      <c r="M23" s="893"/>
      <c r="N23" s="893"/>
      <c r="O23" s="893"/>
      <c r="P23" s="893"/>
      <c r="Q23" s="893"/>
      <c r="R23" s="893"/>
      <c r="S23" s="893"/>
      <c r="T23" s="893"/>
      <c r="U23" s="893"/>
      <c r="V23" s="893"/>
      <c r="W23" s="893"/>
      <c r="X23" s="893"/>
      <c r="Y23" s="893"/>
      <c r="Z23" s="893"/>
      <c r="AA23" s="893"/>
      <c r="AB23" s="893"/>
      <c r="AC23" s="893"/>
      <c r="AD23" s="893"/>
      <c r="AE23" s="893"/>
      <c r="AF23" s="893"/>
      <c r="AG23" s="893"/>
      <c r="AH23" s="893"/>
      <c r="AI23" s="893"/>
      <c r="AJ23" s="893"/>
      <c r="AK23" s="893"/>
      <c r="AL23" s="893"/>
      <c r="AM23" s="893"/>
      <c r="AN23" s="893"/>
      <c r="AO23" s="893"/>
      <c r="AP23" s="893"/>
      <c r="AQ23" s="893"/>
      <c r="AR23" s="893"/>
      <c r="AS23" s="893"/>
      <c r="AT23" s="893"/>
      <c r="AU23" s="65"/>
      <c r="AV23" s="65"/>
      <c r="AW23" s="65"/>
      <c r="AX23" s="65"/>
      <c r="AY23" s="65"/>
      <c r="AZ23" s="65"/>
      <c r="BD23" s="57" t="s">
        <v>415</v>
      </c>
      <c r="BE23" s="56">
        <f>'Sources and Uses Budget'!B4</f>
        <v>6195898</v>
      </c>
    </row>
    <row r="24" spans="1:58" ht="12.75" customHeight="1">
      <c r="A24" s="893"/>
      <c r="B24" s="893"/>
      <c r="C24" s="893"/>
      <c r="D24" s="893"/>
      <c r="E24" s="893"/>
      <c r="F24" s="893"/>
      <c r="G24" s="893"/>
      <c r="H24" s="893"/>
      <c r="I24" s="893"/>
      <c r="J24" s="893"/>
      <c r="K24" s="893"/>
      <c r="L24" s="893"/>
      <c r="M24" s="893"/>
      <c r="N24" s="893"/>
      <c r="O24" s="893"/>
      <c r="P24" s="893"/>
      <c r="Q24" s="893"/>
      <c r="R24" s="893"/>
      <c r="S24" s="893"/>
      <c r="T24" s="893"/>
      <c r="U24" s="893"/>
      <c r="V24" s="893"/>
      <c r="W24" s="893"/>
      <c r="X24" s="893"/>
      <c r="Y24" s="893"/>
      <c r="Z24" s="893"/>
      <c r="AA24" s="893"/>
      <c r="AB24" s="893"/>
      <c r="AC24" s="893"/>
      <c r="AD24" s="893"/>
      <c r="AE24" s="893"/>
      <c r="AF24" s="893"/>
      <c r="AG24" s="893"/>
      <c r="AH24" s="893"/>
      <c r="AI24" s="893"/>
      <c r="AJ24" s="893"/>
      <c r="AK24" s="893"/>
      <c r="AL24" s="893"/>
      <c r="AM24" s="893"/>
      <c r="AN24" s="893"/>
      <c r="AO24" s="893"/>
      <c r="AP24" s="893"/>
      <c r="AQ24" s="893"/>
      <c r="AR24" s="893"/>
      <c r="AS24" s="893"/>
      <c r="AT24" s="893"/>
      <c r="AU24" s="65"/>
      <c r="AV24" s="65"/>
      <c r="AW24" s="65"/>
      <c r="AX24" s="65"/>
      <c r="AY24" s="65"/>
      <c r="AZ24" s="65"/>
      <c r="BD24" s="59" t="s">
        <v>417</v>
      </c>
      <c r="BE24" s="56">
        <f>Application!AG459</f>
        <v>184500</v>
      </c>
    </row>
    <row r="25" spans="1:58" ht="12.75" customHeight="1">
      <c r="A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
      <c r="BD25" s="57" t="s">
        <v>421</v>
      </c>
      <c r="BE25" s="56" t="str">
        <f>Application!D208</f>
        <v>40%/60%</v>
      </c>
    </row>
    <row r="26" spans="1:58" ht="12.75" customHeight="1">
      <c r="A26" s="1"/>
      <c r="C26" s="1"/>
      <c r="D26" s="1"/>
      <c r="E26" s="1"/>
      <c r="F26" s="1"/>
      <c r="G26" s="1"/>
      <c r="H26" s="1"/>
      <c r="I26" s="1"/>
      <c r="J26" s="1"/>
      <c r="K26" s="1"/>
      <c r="L26" s="1"/>
      <c r="M26" s="1123">
        <f>'Basis &amp; Credits'!AB56</f>
        <v>3541671</v>
      </c>
      <c r="N26" s="961"/>
      <c r="O26" s="961"/>
      <c r="P26" s="961"/>
      <c r="Q26" s="961"/>
      <c r="R26" s="1" t="s">
        <v>424</v>
      </c>
      <c r="S26" s="1"/>
      <c r="T26" s="1"/>
      <c r="U26" s="1"/>
      <c r="V26" s="1"/>
      <c r="W26" s="1"/>
      <c r="X26" s="1"/>
      <c r="Y26" s="1"/>
      <c r="Z26" s="1"/>
      <c r="AF26" s="1"/>
      <c r="AG26" s="1"/>
      <c r="AH26" s="1"/>
      <c r="AI26" s="1"/>
      <c r="AJ26" s="1"/>
      <c r="AK26" s="1"/>
      <c r="BD26" s="59" t="s">
        <v>426</v>
      </c>
      <c r="BE26" s="56" t="b">
        <f>Application!M365="Yes"</f>
        <v>0</v>
      </c>
    </row>
    <row r="27" spans="1:58" ht="12.75" customHeight="1">
      <c r="A27" s="1"/>
      <c r="C27" s="1"/>
      <c r="D27" s="1"/>
      <c r="E27" s="1"/>
      <c r="F27" s="1"/>
      <c r="G27" s="1"/>
      <c r="H27" s="1"/>
      <c r="I27" s="1"/>
      <c r="J27" s="1"/>
      <c r="K27" s="1"/>
      <c r="L27" s="1"/>
      <c r="M27" s="1135">
        <f>'Basis &amp; Credits'!AB78</f>
        <v>0</v>
      </c>
      <c r="N27" s="921"/>
      <c r="O27" s="921"/>
      <c r="P27" s="921"/>
      <c r="Q27" s="921"/>
      <c r="R27" s="1" t="s">
        <v>433</v>
      </c>
      <c r="S27" s="1"/>
      <c r="T27" s="1"/>
      <c r="U27" s="1"/>
      <c r="V27" s="1"/>
      <c r="W27" s="1"/>
      <c r="X27" s="1"/>
      <c r="Y27" s="1"/>
      <c r="Z27" s="1"/>
      <c r="AF27" s="1"/>
      <c r="AG27" s="1"/>
      <c r="AH27" s="1"/>
      <c r="AI27" s="1"/>
      <c r="AJ27" s="1"/>
      <c r="AK27" s="1"/>
      <c r="BD27" s="57" t="s">
        <v>435</v>
      </c>
      <c r="BE27" s="56" t="b">
        <f>Application!M364="Yes"</f>
        <v>0</v>
      </c>
    </row>
    <row r="28" spans="1:58" ht="12.75" customHeight="1">
      <c r="A28" s="1"/>
      <c r="C28" s="1"/>
      <c r="D28" s="1"/>
      <c r="E28" s="1"/>
      <c r="F28" s="1"/>
      <c r="G28" s="1"/>
      <c r="H28" s="1"/>
      <c r="I28" s="1"/>
      <c r="J28" s="1"/>
      <c r="K28" s="1"/>
      <c r="L28" s="1"/>
      <c r="M28" s="1"/>
      <c r="N28" s="1"/>
      <c r="O28" s="1"/>
      <c r="P28" s="1"/>
      <c r="Q28" s="1"/>
      <c r="R28" s="1"/>
      <c r="S28" s="1"/>
      <c r="T28" s="1"/>
      <c r="U28" s="1"/>
      <c r="V28" s="1"/>
      <c r="W28" s="1"/>
      <c r="X28" s="1"/>
      <c r="Y28" s="1"/>
      <c r="Z28" s="1"/>
      <c r="AF28" s="1"/>
      <c r="AG28" s="1"/>
      <c r="AH28" s="1"/>
      <c r="AI28" s="1"/>
      <c r="AJ28" s="1"/>
      <c r="AK28" s="1"/>
      <c r="BD28" s="59" t="s">
        <v>439</v>
      </c>
      <c r="BE28" s="56" t="b">
        <f>Application!M366="Yes"</f>
        <v>0</v>
      </c>
    </row>
    <row r="29" spans="1:58" ht="12.75" customHeight="1">
      <c r="A29" s="909" t="s">
        <v>441</v>
      </c>
      <c r="B29" s="893"/>
      <c r="C29" s="893"/>
      <c r="D29" s="893"/>
      <c r="E29" s="893"/>
      <c r="F29" s="893"/>
      <c r="G29" s="893"/>
      <c r="H29" s="893"/>
      <c r="I29" s="893"/>
      <c r="J29" s="893"/>
      <c r="K29" s="893"/>
      <c r="L29" s="893"/>
      <c r="M29" s="893"/>
      <c r="N29" s="893"/>
      <c r="O29" s="893"/>
      <c r="P29" s="893"/>
      <c r="Q29" s="893"/>
      <c r="R29" s="893"/>
      <c r="S29" s="893"/>
      <c r="T29" s="893"/>
      <c r="U29" s="893"/>
      <c r="V29" s="893"/>
      <c r="W29" s="893"/>
      <c r="X29" s="893"/>
      <c r="Y29" s="893"/>
      <c r="Z29" s="893"/>
      <c r="AA29" s="893"/>
      <c r="AB29" s="893"/>
      <c r="AC29" s="893"/>
      <c r="AD29" s="893"/>
      <c r="AE29" s="893"/>
      <c r="AF29" s="893"/>
      <c r="AG29" s="893"/>
      <c r="AH29" s="893"/>
      <c r="AI29" s="893"/>
      <c r="AJ29" s="893"/>
      <c r="AK29" s="893"/>
      <c r="AL29" s="893"/>
      <c r="AM29" s="893"/>
      <c r="AN29" s="893"/>
      <c r="AO29" s="893"/>
      <c r="AP29" s="893"/>
      <c r="AQ29" s="893"/>
      <c r="AR29" s="893"/>
      <c r="AS29" s="893"/>
      <c r="AT29" s="893"/>
      <c r="BD29" s="57" t="s">
        <v>443</v>
      </c>
      <c r="BE29" s="56" t="b">
        <f>Application!M367="Yes"</f>
        <v>1</v>
      </c>
    </row>
    <row r="30" spans="1:58" ht="12.75" customHeight="1">
      <c r="A30" s="893"/>
      <c r="B30" s="893"/>
      <c r="C30" s="893"/>
      <c r="D30" s="893"/>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c r="AE30" s="893"/>
      <c r="AF30" s="893"/>
      <c r="AG30" s="893"/>
      <c r="AH30" s="893"/>
      <c r="AI30" s="893"/>
      <c r="AJ30" s="893"/>
      <c r="AK30" s="893"/>
      <c r="AL30" s="893"/>
      <c r="AM30" s="893"/>
      <c r="AN30" s="893"/>
      <c r="AO30" s="893"/>
      <c r="AP30" s="893"/>
      <c r="AQ30" s="893"/>
      <c r="AR30" s="893"/>
      <c r="AS30" s="893"/>
      <c r="AT30" s="893"/>
      <c r="AZ30" s="76"/>
      <c r="BD30" s="59" t="s">
        <v>444</v>
      </c>
      <c r="BE30" s="56" t="b">
        <f>Application!AJ364="Yes"</f>
        <v>0</v>
      </c>
    </row>
    <row r="31" spans="1:58" ht="12.75" customHeight="1">
      <c r="A31" s="893"/>
      <c r="B31" s="893"/>
      <c r="C31" s="893"/>
      <c r="D31" s="893"/>
      <c r="E31" s="893"/>
      <c r="F31" s="893"/>
      <c r="G31" s="893"/>
      <c r="H31" s="893"/>
      <c r="I31" s="893"/>
      <c r="J31" s="893"/>
      <c r="K31" s="893"/>
      <c r="L31" s="893"/>
      <c r="M31" s="893"/>
      <c r="N31" s="893"/>
      <c r="O31" s="893"/>
      <c r="P31" s="893"/>
      <c r="Q31" s="893"/>
      <c r="R31" s="893"/>
      <c r="S31" s="893"/>
      <c r="T31" s="893"/>
      <c r="U31" s="893"/>
      <c r="V31" s="893"/>
      <c r="W31" s="893"/>
      <c r="X31" s="893"/>
      <c r="Y31" s="893"/>
      <c r="Z31" s="893"/>
      <c r="AA31" s="893"/>
      <c r="AB31" s="893"/>
      <c r="AC31" s="893"/>
      <c r="AD31" s="893"/>
      <c r="AE31" s="893"/>
      <c r="AF31" s="893"/>
      <c r="AG31" s="893"/>
      <c r="AH31" s="893"/>
      <c r="AI31" s="893"/>
      <c r="AJ31" s="893"/>
      <c r="AK31" s="893"/>
      <c r="AL31" s="893"/>
      <c r="AM31" s="893"/>
      <c r="AN31" s="893"/>
      <c r="AO31" s="893"/>
      <c r="AP31" s="893"/>
      <c r="AQ31" s="893"/>
      <c r="AR31" s="893"/>
      <c r="AS31" s="893"/>
      <c r="AT31" s="893"/>
      <c r="AU31" s="76"/>
      <c r="AV31" s="76"/>
      <c r="AW31" s="76"/>
      <c r="AX31" s="76"/>
      <c r="AY31" s="76"/>
      <c r="AZ31" s="76"/>
      <c r="BD31" s="57" t="s">
        <v>449</v>
      </c>
      <c r="BE31" s="56" t="str">
        <f>Application!D211</f>
        <v>At-Risk</v>
      </c>
    </row>
    <row r="32" spans="1:58" ht="12.75" customHeight="1">
      <c r="A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D32" s="59" t="s">
        <v>455</v>
      </c>
      <c r="BE32" s="56">
        <f>IF(ISNUMBER(Application!W473),W473,0)</f>
        <v>0</v>
      </c>
    </row>
    <row r="33" spans="1:57" ht="12.75" customHeight="1">
      <c r="A33" s="14" t="s">
        <v>458</v>
      </c>
      <c r="C33" s="14"/>
      <c r="D33" s="14"/>
      <c r="E33" s="14"/>
      <c r="F33" s="14"/>
      <c r="G33" s="14"/>
      <c r="H33" s="14"/>
      <c r="I33" s="14"/>
      <c r="J33" s="14"/>
      <c r="K33" s="14"/>
      <c r="L33" s="14"/>
      <c r="M33" s="14"/>
      <c r="N33" s="14"/>
      <c r="O33" s="973" t="s">
        <v>460</v>
      </c>
      <c r="P33" s="969"/>
      <c r="Q33" s="1136" t="s">
        <v>461</v>
      </c>
      <c r="R33" s="893"/>
      <c r="S33" s="893"/>
      <c r="T33" s="893"/>
      <c r="U33" s="893"/>
      <c r="V33" s="893"/>
      <c r="W33" s="893"/>
      <c r="X33" s="893"/>
      <c r="Y33" s="893"/>
      <c r="Z33" s="893"/>
      <c r="AA33" s="893"/>
      <c r="AB33" s="893"/>
      <c r="AC33" s="893"/>
      <c r="AD33" s="893"/>
      <c r="AE33" s="893"/>
      <c r="AF33" s="893"/>
      <c r="AG33" s="893"/>
      <c r="AH33" s="893"/>
      <c r="AI33" s="893"/>
      <c r="AJ33" s="893"/>
      <c r="AK33" s="893"/>
      <c r="AL33" s="893"/>
      <c r="AM33" s="893"/>
      <c r="AN33" s="893"/>
      <c r="AO33" s="893"/>
      <c r="AP33" s="893"/>
      <c r="AQ33" s="893"/>
      <c r="AR33" s="893"/>
      <c r="AS33" s="893"/>
      <c r="AT33" s="893"/>
      <c r="AU33" s="76"/>
      <c r="AV33" s="76"/>
      <c r="AW33" s="76"/>
      <c r="AX33" s="76"/>
      <c r="AY33" s="76"/>
      <c r="BD33" s="57" t="s">
        <v>462</v>
      </c>
      <c r="BE33" s="56" t="str">
        <f>Application!D220</f>
        <v>San Diego County</v>
      </c>
    </row>
    <row r="34" spans="1:57" ht="12.75" customHeight="1">
      <c r="A34" s="909" t="s">
        <v>464</v>
      </c>
      <c r="B34" s="893"/>
      <c r="C34" s="893"/>
      <c r="D34" s="893"/>
      <c r="E34" s="893"/>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c r="AE34" s="893"/>
      <c r="AF34" s="893"/>
      <c r="AG34" s="893"/>
      <c r="AH34" s="893"/>
      <c r="AI34" s="893"/>
      <c r="AJ34" s="893"/>
      <c r="AK34" s="893"/>
      <c r="AL34" s="893"/>
      <c r="AM34" s="893"/>
      <c r="AN34" s="893"/>
      <c r="AO34" s="893"/>
      <c r="AP34" s="893"/>
      <c r="AQ34" s="893"/>
      <c r="AR34" s="893"/>
      <c r="AS34" s="893"/>
      <c r="AT34" s="893"/>
      <c r="AU34" s="76"/>
      <c r="AV34" s="76"/>
      <c r="AW34" s="76"/>
      <c r="AX34" s="76"/>
      <c r="AY34" s="76"/>
      <c r="AZ34" s="76"/>
      <c r="BD34" s="59" t="s">
        <v>466</v>
      </c>
      <c r="BE34" s="56" t="str">
        <f>Application!I185</f>
        <v>6625 Tait, 6627 Tait, 6629 Tait, 6631 Tait, 4095 Texas, 4075 Texas, 4085 Texas, 4091 Texas, 4061 Texas, 4045 Texas, 4036 Illinois, 4066 Arizona, 4760 32nd, 4614 33rd, 3869 Swift, 4783 Wilson, 4620 Wilson, 4621 Wilson, 3358 Madison, 3834 Edna, 4533 37th, 4437 39th, 4444 49th, 4035 38th, 3878 37th, 3862 39th, 3844 Wilson</v>
      </c>
    </row>
    <row r="35" spans="1:57" ht="12.75" customHeight="1">
      <c r="A35" s="893"/>
      <c r="B35" s="893"/>
      <c r="C35" s="893"/>
      <c r="D35" s="893"/>
      <c r="E35" s="893"/>
      <c r="F35" s="893"/>
      <c r="G35" s="893"/>
      <c r="H35" s="893"/>
      <c r="I35" s="893"/>
      <c r="J35" s="893"/>
      <c r="K35" s="893"/>
      <c r="L35" s="893"/>
      <c r="M35" s="893"/>
      <c r="N35" s="893"/>
      <c r="O35" s="893"/>
      <c r="P35" s="893"/>
      <c r="Q35" s="893"/>
      <c r="R35" s="893"/>
      <c r="S35" s="893"/>
      <c r="T35" s="893"/>
      <c r="U35" s="893"/>
      <c r="V35" s="893"/>
      <c r="W35" s="893"/>
      <c r="X35" s="893"/>
      <c r="Y35" s="893"/>
      <c r="Z35" s="893"/>
      <c r="AA35" s="893"/>
      <c r="AB35" s="893"/>
      <c r="AC35" s="893"/>
      <c r="AD35" s="893"/>
      <c r="AE35" s="893"/>
      <c r="AF35" s="893"/>
      <c r="AG35" s="893"/>
      <c r="AH35" s="893"/>
      <c r="AI35" s="893"/>
      <c r="AJ35" s="893"/>
      <c r="AK35" s="893"/>
      <c r="AL35" s="893"/>
      <c r="AM35" s="893"/>
      <c r="AN35" s="893"/>
      <c r="AO35" s="893"/>
      <c r="AP35" s="893"/>
      <c r="AQ35" s="893"/>
      <c r="AR35" s="893"/>
      <c r="AS35" s="893"/>
      <c r="AT35" s="893"/>
      <c r="AU35" s="76"/>
      <c r="AV35" s="76"/>
      <c r="AW35" s="76"/>
      <c r="AX35" s="76"/>
      <c r="AY35" s="76"/>
      <c r="AZ35" s="76"/>
      <c r="BD35" s="57" t="s">
        <v>470</v>
      </c>
      <c r="BE35" s="56" t="str">
        <f>IF(Application!E187="","",Application!E187)</f>
        <v>6625 Tait, 6627 Tait, 6629 Tait, 6631 Tait, 4095 Texas, 4075 Texas, 4085 Texas, 4091 Texas, 4061 Texas, 4045 Texas, 4036 Illinois, 4066 Arizona, 4760 32nd, 4614 33rd, 3869 Swift, 4783 Wilson, 4620 Wilson, 4621 Wilson, 3358 Madison, 3834 Edna, 4533 37th, 4437 39th, 4444 49th, 4035 38th, 3878 37th, 3862 39th, 3844 Wilson</v>
      </c>
    </row>
    <row r="36" spans="1:57" ht="12.75" customHeight="1">
      <c r="A36" s="893"/>
      <c r="B36" s="893"/>
      <c r="C36" s="893"/>
      <c r="D36" s="893"/>
      <c r="E36" s="893"/>
      <c r="F36" s="893"/>
      <c r="G36" s="893"/>
      <c r="H36" s="893"/>
      <c r="I36" s="893"/>
      <c r="J36" s="893"/>
      <c r="K36" s="893"/>
      <c r="L36" s="893"/>
      <c r="M36" s="893"/>
      <c r="N36" s="893"/>
      <c r="O36" s="893"/>
      <c r="P36" s="893"/>
      <c r="Q36" s="893"/>
      <c r="R36" s="893"/>
      <c r="S36" s="893"/>
      <c r="T36" s="893"/>
      <c r="U36" s="893"/>
      <c r="V36" s="893"/>
      <c r="W36" s="893"/>
      <c r="X36" s="893"/>
      <c r="Y36" s="893"/>
      <c r="Z36" s="893"/>
      <c r="AA36" s="893"/>
      <c r="AB36" s="893"/>
      <c r="AC36" s="893"/>
      <c r="AD36" s="893"/>
      <c r="AE36" s="893"/>
      <c r="AF36" s="893"/>
      <c r="AG36" s="893"/>
      <c r="AH36" s="893"/>
      <c r="AI36" s="893"/>
      <c r="AJ36" s="893"/>
      <c r="AK36" s="893"/>
      <c r="AL36" s="893"/>
      <c r="AM36" s="893"/>
      <c r="AN36" s="893"/>
      <c r="AO36" s="893"/>
      <c r="AP36" s="893"/>
      <c r="AQ36" s="893"/>
      <c r="AR36" s="893"/>
      <c r="AS36" s="893"/>
      <c r="AT36" s="893"/>
      <c r="AU36" s="76"/>
      <c r="AV36" s="76"/>
      <c r="AW36" s="76"/>
      <c r="AX36" s="76"/>
      <c r="AY36" s="76"/>
      <c r="AZ36" s="76"/>
      <c r="BD36" s="59" t="s">
        <v>473</v>
      </c>
      <c r="BE36" s="56" t="str">
        <f>Application!I189</f>
        <v xml:space="preserve">San Diego </v>
      </c>
    </row>
    <row r="37" spans="1:57" ht="12.75" customHeight="1">
      <c r="A37" s="893"/>
      <c r="B37" s="893"/>
      <c r="C37" s="893"/>
      <c r="D37" s="893"/>
      <c r="E37" s="893"/>
      <c r="F37" s="893"/>
      <c r="G37" s="893"/>
      <c r="H37" s="893"/>
      <c r="I37" s="893"/>
      <c r="J37" s="893"/>
      <c r="K37" s="893"/>
      <c r="L37" s="893"/>
      <c r="M37" s="893"/>
      <c r="N37" s="893"/>
      <c r="O37" s="893"/>
      <c r="P37" s="893"/>
      <c r="Q37" s="893"/>
      <c r="R37" s="893"/>
      <c r="S37" s="893"/>
      <c r="T37" s="893"/>
      <c r="U37" s="893"/>
      <c r="V37" s="893"/>
      <c r="W37" s="893"/>
      <c r="X37" s="893"/>
      <c r="Y37" s="893"/>
      <c r="Z37" s="893"/>
      <c r="AA37" s="893"/>
      <c r="AB37" s="893"/>
      <c r="AC37" s="893"/>
      <c r="AD37" s="893"/>
      <c r="AE37" s="893"/>
      <c r="AF37" s="893"/>
      <c r="AG37" s="893"/>
      <c r="AH37" s="893"/>
      <c r="AI37" s="893"/>
      <c r="AJ37" s="893"/>
      <c r="AK37" s="893"/>
      <c r="AL37" s="893"/>
      <c r="AM37" s="893"/>
      <c r="AN37" s="893"/>
      <c r="AO37" s="893"/>
      <c r="AP37" s="893"/>
      <c r="AQ37" s="893"/>
      <c r="AR37" s="893"/>
      <c r="AS37" s="893"/>
      <c r="AT37" s="893"/>
      <c r="AZ37" s="76"/>
      <c r="BD37" s="57" t="s">
        <v>476</v>
      </c>
      <c r="BE37" s="56" t="str">
        <f>Application!T189</f>
        <v>San Diego</v>
      </c>
    </row>
    <row r="38" spans="1:57" ht="12.75" customHeight="1">
      <c r="A38" s="1"/>
      <c r="AZ38" s="76"/>
      <c r="BD38" s="59" t="s">
        <v>477</v>
      </c>
      <c r="BE38" s="56" t="str">
        <f>Application!I190</f>
        <v>92111, 92111, 92111, 92111, 92104, 92104, 92104, 92104, 92104, 92104, 92104, 92104, 92116, 92116, 92105, 92116, 92116, 92116, 92116, 92104, 92116, 92116, 92115, 92105, 92105, 92105, 92105</v>
      </c>
    </row>
    <row r="39" spans="1:57" ht="12.75" customHeight="1">
      <c r="A39" s="895" t="s">
        <v>479</v>
      </c>
      <c r="B39" s="893"/>
      <c r="C39" s="893"/>
      <c r="D39" s="893"/>
      <c r="E39" s="893"/>
      <c r="F39" s="893"/>
      <c r="G39" s="893"/>
      <c r="H39" s="893"/>
      <c r="I39" s="893"/>
      <c r="J39" s="893"/>
      <c r="K39" s="893"/>
      <c r="L39" s="893"/>
      <c r="M39" s="893"/>
      <c r="N39" s="893"/>
      <c r="O39" s="893"/>
      <c r="P39" s="893"/>
      <c r="Q39" s="893"/>
      <c r="R39" s="893"/>
      <c r="S39" s="893"/>
      <c r="T39" s="893"/>
      <c r="U39" s="893"/>
      <c r="V39" s="893"/>
      <c r="W39" s="893"/>
      <c r="X39" s="893"/>
      <c r="Y39" s="893"/>
      <c r="Z39" s="893"/>
      <c r="AA39" s="893"/>
      <c r="AB39" s="893"/>
      <c r="AC39" s="893"/>
      <c r="AD39" s="893"/>
      <c r="AE39" s="893"/>
      <c r="AF39" s="893"/>
      <c r="AG39" s="893"/>
      <c r="AH39" s="893"/>
      <c r="AI39" s="893"/>
      <c r="AJ39" s="893"/>
      <c r="AK39" s="893"/>
      <c r="AL39" s="893"/>
      <c r="AM39" s="893"/>
      <c r="AN39" s="893"/>
      <c r="AO39" s="893"/>
      <c r="AP39" s="893"/>
      <c r="AQ39" s="893"/>
      <c r="AR39" s="893"/>
      <c r="AS39" s="893"/>
      <c r="AT39" s="893"/>
      <c r="AZ39" s="76"/>
      <c r="BD39" s="57" t="s">
        <v>481</v>
      </c>
      <c r="BE39" s="56">
        <f>Application!AG446</f>
        <v>235</v>
      </c>
    </row>
    <row r="40" spans="1:57" ht="12.75" customHeight="1">
      <c r="A40" s="893"/>
      <c r="B40" s="893"/>
      <c r="C40" s="893"/>
      <c r="D40" s="893"/>
      <c r="E40" s="893"/>
      <c r="F40" s="893"/>
      <c r="G40" s="893"/>
      <c r="H40" s="893"/>
      <c r="I40" s="893"/>
      <c r="J40" s="893"/>
      <c r="K40" s="893"/>
      <c r="L40" s="893"/>
      <c r="M40" s="893"/>
      <c r="N40" s="893"/>
      <c r="O40" s="893"/>
      <c r="P40" s="893"/>
      <c r="Q40" s="893"/>
      <c r="R40" s="893"/>
      <c r="S40" s="893"/>
      <c r="T40" s="893"/>
      <c r="U40" s="893"/>
      <c r="V40" s="893"/>
      <c r="W40" s="893"/>
      <c r="X40" s="893"/>
      <c r="Y40" s="893"/>
      <c r="Z40" s="893"/>
      <c r="AA40" s="893"/>
      <c r="AB40" s="893"/>
      <c r="AC40" s="893"/>
      <c r="AD40" s="893"/>
      <c r="AE40" s="893"/>
      <c r="AF40" s="893"/>
      <c r="AG40" s="893"/>
      <c r="AH40" s="893"/>
      <c r="AI40" s="893"/>
      <c r="AJ40" s="893"/>
      <c r="AK40" s="893"/>
      <c r="AL40" s="893"/>
      <c r="AM40" s="893"/>
      <c r="AN40" s="893"/>
      <c r="AO40" s="893"/>
      <c r="AP40" s="893"/>
      <c r="AQ40" s="893"/>
      <c r="AR40" s="893"/>
      <c r="AS40" s="893"/>
      <c r="AT40" s="893"/>
      <c r="AU40" s="76"/>
      <c r="AV40" s="76"/>
      <c r="AW40" s="76"/>
      <c r="AX40" s="76"/>
      <c r="AY40" s="76"/>
      <c r="AZ40" s="76"/>
      <c r="BD40" s="59" t="s">
        <v>249</v>
      </c>
      <c r="BE40" s="56">
        <f>Application!AG449</f>
        <v>232</v>
      </c>
    </row>
    <row r="41" spans="1:57" ht="12.75" customHeight="1">
      <c r="A41" s="893"/>
      <c r="B41" s="893"/>
      <c r="C41" s="893"/>
      <c r="D41" s="893"/>
      <c r="E41" s="893"/>
      <c r="F41" s="893"/>
      <c r="G41" s="893"/>
      <c r="H41" s="893"/>
      <c r="I41" s="893"/>
      <c r="J41" s="893"/>
      <c r="K41" s="893"/>
      <c r="L41" s="893"/>
      <c r="M41" s="893"/>
      <c r="N41" s="893"/>
      <c r="O41" s="893"/>
      <c r="P41" s="893"/>
      <c r="Q41" s="893"/>
      <c r="R41" s="893"/>
      <c r="S41" s="893"/>
      <c r="T41" s="893"/>
      <c r="U41" s="893"/>
      <c r="V41" s="893"/>
      <c r="W41" s="893"/>
      <c r="X41" s="893"/>
      <c r="Y41" s="893"/>
      <c r="Z41" s="893"/>
      <c r="AA41" s="893"/>
      <c r="AB41" s="893"/>
      <c r="AC41" s="893"/>
      <c r="AD41" s="893"/>
      <c r="AE41" s="893"/>
      <c r="AF41" s="893"/>
      <c r="AG41" s="893"/>
      <c r="AH41" s="893"/>
      <c r="AI41" s="893"/>
      <c r="AJ41" s="893"/>
      <c r="AK41" s="893"/>
      <c r="AL41" s="893"/>
      <c r="AM41" s="893"/>
      <c r="AN41" s="893"/>
      <c r="AO41" s="893"/>
      <c r="AP41" s="893"/>
      <c r="AQ41" s="893"/>
      <c r="AR41" s="893"/>
      <c r="AS41" s="893"/>
      <c r="AT41" s="893"/>
      <c r="AU41" s="76"/>
      <c r="AV41" s="76"/>
      <c r="AW41" s="76"/>
      <c r="AX41" s="76"/>
      <c r="AY41" s="76"/>
      <c r="AZ41" s="76"/>
      <c r="BD41" s="57" t="s">
        <v>258</v>
      </c>
      <c r="BE41" s="56">
        <f>Application!AG447</f>
        <v>232</v>
      </c>
    </row>
    <row r="42" spans="1:57" ht="12.75" customHeight="1">
      <c r="A42" s="893"/>
      <c r="B42" s="893"/>
      <c r="C42" s="893"/>
      <c r="D42" s="893"/>
      <c r="E42" s="893"/>
      <c r="F42" s="893"/>
      <c r="G42" s="893"/>
      <c r="H42" s="893"/>
      <c r="I42" s="893"/>
      <c r="J42" s="893"/>
      <c r="K42" s="893"/>
      <c r="L42" s="893"/>
      <c r="M42" s="893"/>
      <c r="N42" s="893"/>
      <c r="O42" s="893"/>
      <c r="P42" s="893"/>
      <c r="Q42" s="893"/>
      <c r="R42" s="893"/>
      <c r="S42" s="893"/>
      <c r="T42" s="893"/>
      <c r="U42" s="893"/>
      <c r="V42" s="893"/>
      <c r="W42" s="893"/>
      <c r="X42" s="893"/>
      <c r="Y42" s="893"/>
      <c r="Z42" s="893"/>
      <c r="AA42" s="893"/>
      <c r="AB42" s="893"/>
      <c r="AC42" s="893"/>
      <c r="AD42" s="893"/>
      <c r="AE42" s="893"/>
      <c r="AF42" s="893"/>
      <c r="AG42" s="893"/>
      <c r="AH42" s="893"/>
      <c r="AI42" s="893"/>
      <c r="AJ42" s="893"/>
      <c r="AK42" s="893"/>
      <c r="AL42" s="893"/>
      <c r="AM42" s="893"/>
      <c r="AN42" s="893"/>
      <c r="AO42" s="893"/>
      <c r="AP42" s="893"/>
      <c r="AQ42" s="893"/>
      <c r="AR42" s="893"/>
      <c r="AS42" s="893"/>
      <c r="AT42" s="893"/>
      <c r="AZ42" s="76"/>
      <c r="BD42" s="59" t="s">
        <v>485</v>
      </c>
      <c r="BE42" s="88">
        <f>Application!AC759</f>
        <v>0.55517241379310334</v>
      </c>
    </row>
    <row r="43" spans="1:57" ht="12.75" customHeight="1">
      <c r="A43" s="893"/>
      <c r="B43" s="893"/>
      <c r="C43" s="893"/>
      <c r="D43" s="893"/>
      <c r="E43" s="893"/>
      <c r="F43" s="893"/>
      <c r="G43" s="893"/>
      <c r="H43" s="893"/>
      <c r="I43" s="893"/>
      <c r="J43" s="893"/>
      <c r="K43" s="893"/>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893"/>
      <c r="AQ43" s="893"/>
      <c r="AR43" s="893"/>
      <c r="AS43" s="893"/>
      <c r="AT43" s="893"/>
      <c r="AU43" s="76"/>
      <c r="AV43" s="76"/>
      <c r="AW43" s="76"/>
      <c r="AX43" s="76"/>
      <c r="AY43" s="76"/>
      <c r="AZ43" s="76"/>
      <c r="BD43" s="57" t="s">
        <v>487</v>
      </c>
      <c r="BE43" s="88">
        <f>Application!AH759</f>
        <v>0.55497974899235814</v>
      </c>
    </row>
    <row r="44" spans="1:57" ht="12.75" customHeight="1">
      <c r="A44" s="893"/>
      <c r="B44" s="893"/>
      <c r="C44" s="893"/>
      <c r="D44" s="893"/>
      <c r="E44" s="893"/>
      <c r="F44" s="893"/>
      <c r="G44" s="893"/>
      <c r="H44" s="893"/>
      <c r="I44" s="893"/>
      <c r="J44" s="893"/>
      <c r="K44" s="893"/>
      <c r="L44" s="893"/>
      <c r="M44" s="893"/>
      <c r="N44" s="893"/>
      <c r="O44" s="893"/>
      <c r="P44" s="893"/>
      <c r="Q44" s="893"/>
      <c r="R44" s="893"/>
      <c r="S44" s="893"/>
      <c r="T44" s="893"/>
      <c r="U44" s="893"/>
      <c r="V44" s="893"/>
      <c r="W44" s="893"/>
      <c r="X44" s="893"/>
      <c r="Y44" s="893"/>
      <c r="Z44" s="893"/>
      <c r="AA44" s="893"/>
      <c r="AB44" s="893"/>
      <c r="AC44" s="893"/>
      <c r="AD44" s="893"/>
      <c r="AE44" s="893"/>
      <c r="AF44" s="893"/>
      <c r="AG44" s="893"/>
      <c r="AH44" s="893"/>
      <c r="AI44" s="893"/>
      <c r="AJ44" s="893"/>
      <c r="AK44" s="893"/>
      <c r="AL44" s="893"/>
      <c r="AM44" s="893"/>
      <c r="AN44" s="893"/>
      <c r="AO44" s="893"/>
      <c r="AP44" s="893"/>
      <c r="AQ44" s="893"/>
      <c r="AR44" s="893"/>
      <c r="AS44" s="893"/>
      <c r="AT44" s="893"/>
      <c r="AU44" s="76"/>
      <c r="AV44" s="76"/>
      <c r="AW44" s="76"/>
      <c r="AX44" s="76"/>
      <c r="AY44" s="76"/>
      <c r="AZ44" s="76"/>
      <c r="BD44" s="59" t="s">
        <v>489</v>
      </c>
      <c r="BE44" s="56">
        <f>Application!AC463</f>
        <v>422027.71489361703</v>
      </c>
    </row>
    <row r="45" spans="1:57" ht="12.75" customHeight="1">
      <c r="A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BD45" s="57" t="s">
        <v>493</v>
      </c>
      <c r="BE45" s="56">
        <f>Application!AE433</f>
        <v>27</v>
      </c>
    </row>
    <row r="46" spans="1:57" ht="12.75" customHeight="1">
      <c r="A46" s="910" t="s">
        <v>496</v>
      </c>
      <c r="B46" s="893"/>
      <c r="C46" s="893"/>
      <c r="D46" s="893"/>
      <c r="E46" s="893"/>
      <c r="F46" s="893"/>
      <c r="G46" s="893"/>
      <c r="H46" s="893"/>
      <c r="I46" s="893"/>
      <c r="J46" s="893"/>
      <c r="K46" s="893"/>
      <c r="L46" s="893"/>
      <c r="M46" s="893"/>
      <c r="N46" s="893"/>
      <c r="O46" s="893"/>
      <c r="P46" s="893"/>
      <c r="Q46" s="893"/>
      <c r="R46" s="893"/>
      <c r="S46" s="893"/>
      <c r="T46" s="893"/>
      <c r="U46" s="893"/>
      <c r="V46" s="893"/>
      <c r="W46" s="893"/>
      <c r="X46" s="893"/>
      <c r="Y46" s="893"/>
      <c r="Z46" s="893"/>
      <c r="AA46" s="893"/>
      <c r="AB46" s="893"/>
      <c r="AC46" s="893"/>
      <c r="AD46" s="893"/>
      <c r="AE46" s="893"/>
      <c r="AF46" s="893"/>
      <c r="AG46" s="893"/>
      <c r="AH46" s="893"/>
      <c r="AI46" s="893"/>
      <c r="AJ46" s="893"/>
      <c r="AK46" s="893"/>
      <c r="AL46" s="893"/>
      <c r="AM46" s="893"/>
      <c r="AN46" s="893"/>
      <c r="AO46" s="893"/>
      <c r="AP46" s="893"/>
      <c r="AQ46" s="893"/>
      <c r="AR46" s="893"/>
      <c r="AS46" s="893"/>
      <c r="AT46" s="893"/>
      <c r="AU46" s="76"/>
      <c r="AV46" s="76"/>
      <c r="AW46" s="76"/>
      <c r="AX46" s="76"/>
      <c r="AY46" s="76"/>
      <c r="AZ46" s="76"/>
      <c r="BD46" s="59" t="s">
        <v>497</v>
      </c>
      <c r="BE46" s="56" t="b">
        <f>Application!T195="Yes"</f>
        <v>0</v>
      </c>
    </row>
    <row r="47" spans="1:57" ht="12.75" customHeight="1">
      <c r="A47" s="893"/>
      <c r="B47" s="893"/>
      <c r="C47" s="893"/>
      <c r="D47" s="893"/>
      <c r="E47" s="893"/>
      <c r="F47" s="893"/>
      <c r="G47" s="893"/>
      <c r="H47" s="893"/>
      <c r="I47" s="893"/>
      <c r="J47" s="893"/>
      <c r="K47" s="893"/>
      <c r="L47" s="893"/>
      <c r="M47" s="893"/>
      <c r="N47" s="893"/>
      <c r="O47" s="893"/>
      <c r="P47" s="893"/>
      <c r="Q47" s="893"/>
      <c r="R47" s="893"/>
      <c r="S47" s="893"/>
      <c r="T47" s="893"/>
      <c r="U47" s="893"/>
      <c r="V47" s="893"/>
      <c r="W47" s="893"/>
      <c r="X47" s="893"/>
      <c r="Y47" s="893"/>
      <c r="Z47" s="893"/>
      <c r="AA47" s="893"/>
      <c r="AB47" s="893"/>
      <c r="AC47" s="893"/>
      <c r="AD47" s="893"/>
      <c r="AE47" s="893"/>
      <c r="AF47" s="893"/>
      <c r="AG47" s="893"/>
      <c r="AH47" s="893"/>
      <c r="AI47" s="893"/>
      <c r="AJ47" s="893"/>
      <c r="AK47" s="893"/>
      <c r="AL47" s="893"/>
      <c r="AM47" s="893"/>
      <c r="AN47" s="893"/>
      <c r="AO47" s="893"/>
      <c r="AP47" s="893"/>
      <c r="AQ47" s="893"/>
      <c r="AR47" s="893"/>
      <c r="AS47" s="893"/>
      <c r="AT47" s="893"/>
      <c r="AU47" s="76"/>
      <c r="AV47" s="76"/>
      <c r="AW47" s="76"/>
      <c r="AX47" s="76"/>
      <c r="AY47" s="76"/>
      <c r="AZ47" s="76"/>
      <c r="BD47" s="57" t="s">
        <v>501</v>
      </c>
      <c r="BE47" s="56" t="b">
        <f>Application!T196="Yes"</f>
        <v>0</v>
      </c>
    </row>
    <row r="48" spans="1:57" ht="12.75" customHeight="1">
      <c r="A48" s="893"/>
      <c r="B48" s="893"/>
      <c r="C48" s="893"/>
      <c r="D48" s="893"/>
      <c r="E48" s="893"/>
      <c r="F48" s="893"/>
      <c r="G48" s="893"/>
      <c r="H48" s="893"/>
      <c r="I48" s="893"/>
      <c r="J48" s="893"/>
      <c r="K48" s="893"/>
      <c r="L48" s="893"/>
      <c r="M48" s="893"/>
      <c r="N48" s="893"/>
      <c r="O48" s="893"/>
      <c r="P48" s="893"/>
      <c r="Q48" s="893"/>
      <c r="R48" s="893"/>
      <c r="S48" s="893"/>
      <c r="T48" s="893"/>
      <c r="U48" s="893"/>
      <c r="V48" s="893"/>
      <c r="W48" s="893"/>
      <c r="X48" s="893"/>
      <c r="Y48" s="893"/>
      <c r="Z48" s="893"/>
      <c r="AA48" s="893"/>
      <c r="AB48" s="893"/>
      <c r="AC48" s="893"/>
      <c r="AD48" s="893"/>
      <c r="AE48" s="893"/>
      <c r="AF48" s="893"/>
      <c r="AG48" s="893"/>
      <c r="AH48" s="893"/>
      <c r="AI48" s="893"/>
      <c r="AJ48" s="893"/>
      <c r="AK48" s="893"/>
      <c r="AL48" s="893"/>
      <c r="AM48" s="893"/>
      <c r="AN48" s="893"/>
      <c r="AO48" s="893"/>
      <c r="AP48" s="893"/>
      <c r="AQ48" s="893"/>
      <c r="AR48" s="893"/>
      <c r="AS48" s="893"/>
      <c r="AT48" s="893"/>
      <c r="AU48" s="76"/>
      <c r="AV48" s="76"/>
      <c r="AW48" s="76"/>
      <c r="AX48" s="76"/>
      <c r="AY48" s="76"/>
      <c r="AZ48" s="76"/>
      <c r="BD48" s="59" t="s">
        <v>505</v>
      </c>
      <c r="BE48" s="56" t="str">
        <f>Application!M252</f>
        <v xml:space="preserve">427 SD Apartments, LLC </v>
      </c>
    </row>
    <row r="49" spans="1:57" ht="12.75" customHeight="1">
      <c r="A49" s="893"/>
      <c r="B49" s="893"/>
      <c r="C49" s="893"/>
      <c r="D49" s="893"/>
      <c r="E49" s="893"/>
      <c r="F49" s="893"/>
      <c r="G49" s="893"/>
      <c r="H49" s="893"/>
      <c r="I49" s="893"/>
      <c r="J49" s="893"/>
      <c r="K49" s="893"/>
      <c r="L49" s="893"/>
      <c r="M49" s="893"/>
      <c r="N49" s="893"/>
      <c r="O49" s="893"/>
      <c r="P49" s="893"/>
      <c r="Q49" s="893"/>
      <c r="R49" s="893"/>
      <c r="S49" s="893"/>
      <c r="T49" s="893"/>
      <c r="U49" s="893"/>
      <c r="V49" s="893"/>
      <c r="W49" s="893"/>
      <c r="X49" s="893"/>
      <c r="Y49" s="893"/>
      <c r="Z49" s="893"/>
      <c r="AA49" s="893"/>
      <c r="AB49" s="893"/>
      <c r="AC49" s="893"/>
      <c r="AD49" s="893"/>
      <c r="AE49" s="893"/>
      <c r="AF49" s="893"/>
      <c r="AG49" s="893"/>
      <c r="AH49" s="893"/>
      <c r="AI49" s="893"/>
      <c r="AJ49" s="893"/>
      <c r="AK49" s="893"/>
      <c r="AL49" s="893"/>
      <c r="AM49" s="893"/>
      <c r="AN49" s="893"/>
      <c r="AO49" s="893"/>
      <c r="AP49" s="893"/>
      <c r="AQ49" s="893"/>
      <c r="AR49" s="893"/>
      <c r="AS49" s="893"/>
      <c r="AT49" s="893"/>
      <c r="AU49" s="76"/>
      <c r="AV49" s="76"/>
      <c r="AW49" s="76"/>
      <c r="AX49" s="76"/>
      <c r="AY49" s="76"/>
      <c r="AZ49" s="76"/>
      <c r="BD49" s="57" t="s">
        <v>509</v>
      </c>
      <c r="BE49" s="56" t="str">
        <f>Application!M255</f>
        <v xml:space="preserve">Anand Kannan </v>
      </c>
    </row>
    <row r="50" spans="1:57"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76"/>
      <c r="AV50" s="76"/>
      <c r="AW50" s="76"/>
      <c r="AX50" s="76"/>
      <c r="AY50" s="76"/>
      <c r="AZ50" s="76"/>
      <c r="BD50" s="59" t="s">
        <v>514</v>
      </c>
      <c r="BE50" s="56" t="str">
        <f>Application!AA258</f>
        <v>Foster Hamilton/Polaris Affordable.</v>
      </c>
    </row>
    <row r="51" spans="1:57" ht="12.75" customHeight="1">
      <c r="A51" s="895" t="s">
        <v>516</v>
      </c>
      <c r="B51" s="893"/>
      <c r="C51" s="893"/>
      <c r="D51" s="893"/>
      <c r="E51" s="893"/>
      <c r="F51" s="893"/>
      <c r="G51" s="893"/>
      <c r="H51" s="893"/>
      <c r="I51" s="893"/>
      <c r="J51" s="893"/>
      <c r="K51" s="893"/>
      <c r="L51" s="893"/>
      <c r="M51" s="893"/>
      <c r="N51" s="893"/>
      <c r="O51" s="893"/>
      <c r="P51" s="893"/>
      <c r="Q51" s="893"/>
      <c r="R51" s="893"/>
      <c r="S51" s="893"/>
      <c r="T51" s="893"/>
      <c r="U51" s="893"/>
      <c r="V51" s="893"/>
      <c r="W51" s="893"/>
      <c r="X51" s="893"/>
      <c r="Y51" s="893"/>
      <c r="Z51" s="893"/>
      <c r="AA51" s="893"/>
      <c r="AB51" s="893"/>
      <c r="AC51" s="893"/>
      <c r="AD51" s="893"/>
      <c r="AE51" s="893"/>
      <c r="AF51" s="893"/>
      <c r="AG51" s="893"/>
      <c r="AH51" s="893"/>
      <c r="AI51" s="893"/>
      <c r="AJ51" s="893"/>
      <c r="AK51" s="893"/>
      <c r="AL51" s="893"/>
      <c r="AM51" s="893"/>
      <c r="AN51" s="893"/>
      <c r="AO51" s="893"/>
      <c r="AP51" s="893"/>
      <c r="AQ51" s="893"/>
      <c r="AR51" s="893"/>
      <c r="AS51" s="893"/>
      <c r="AT51" s="893"/>
      <c r="AU51" s="76"/>
      <c r="AV51" s="76"/>
      <c r="AW51" s="76"/>
      <c r="AX51" s="76"/>
      <c r="AY51" s="76"/>
      <c r="AZ51" s="76"/>
      <c r="BD51" s="57" t="s">
        <v>518</v>
      </c>
      <c r="BE51" s="56" t="str">
        <f>Application!M260</f>
        <v xml:space="preserve">Community Resident Services, Inc </v>
      </c>
    </row>
    <row r="52" spans="1:57" ht="12.75" customHeight="1">
      <c r="A52" s="893"/>
      <c r="B52" s="893"/>
      <c r="C52" s="893"/>
      <c r="D52" s="893"/>
      <c r="E52" s="893"/>
      <c r="F52" s="893"/>
      <c r="G52" s="893"/>
      <c r="H52" s="893"/>
      <c r="I52" s="893"/>
      <c r="J52" s="893"/>
      <c r="K52" s="893"/>
      <c r="L52" s="893"/>
      <c r="M52" s="893"/>
      <c r="N52" s="893"/>
      <c r="O52" s="893"/>
      <c r="P52" s="893"/>
      <c r="Q52" s="893"/>
      <c r="R52" s="893"/>
      <c r="S52" s="893"/>
      <c r="T52" s="893"/>
      <c r="U52" s="893"/>
      <c r="V52" s="893"/>
      <c r="W52" s="893"/>
      <c r="X52" s="893"/>
      <c r="Y52" s="893"/>
      <c r="Z52" s="893"/>
      <c r="AA52" s="893"/>
      <c r="AB52" s="893"/>
      <c r="AC52" s="893"/>
      <c r="AD52" s="893"/>
      <c r="AE52" s="893"/>
      <c r="AF52" s="893"/>
      <c r="AG52" s="893"/>
      <c r="AH52" s="893"/>
      <c r="AI52" s="893"/>
      <c r="AJ52" s="893"/>
      <c r="AK52" s="893"/>
      <c r="AL52" s="893"/>
      <c r="AM52" s="893"/>
      <c r="AN52" s="893"/>
      <c r="AO52" s="893"/>
      <c r="AP52" s="893"/>
      <c r="AQ52" s="893"/>
      <c r="AR52" s="893"/>
      <c r="AS52" s="893"/>
      <c r="AT52" s="893"/>
      <c r="AU52" s="76"/>
      <c r="AV52" s="76"/>
      <c r="AW52" s="76"/>
      <c r="AX52" s="76"/>
      <c r="AY52" s="76"/>
      <c r="AZ52" s="76"/>
      <c r="BD52" s="59" t="s">
        <v>520</v>
      </c>
      <c r="BE52" s="56" t="str">
        <f>Application!M263</f>
        <v>Erin Myers</v>
      </c>
    </row>
    <row r="53" spans="1:57" ht="12.75" customHeight="1">
      <c r="C53" s="14"/>
      <c r="D53" s="14"/>
      <c r="E53" s="14"/>
      <c r="F53" s="14"/>
      <c r="G53" s="14"/>
      <c r="H53" s="14"/>
      <c r="I53" s="14"/>
      <c r="J53" s="14"/>
      <c r="K53" s="14"/>
      <c r="L53" s="14"/>
      <c r="M53" s="14"/>
      <c r="N53" s="14"/>
      <c r="O53" s="14"/>
      <c r="P53" s="14"/>
      <c r="Q53" s="14"/>
      <c r="R53" s="14"/>
      <c r="S53" s="14"/>
      <c r="T53" s="14"/>
      <c r="U53" s="14"/>
      <c r="V53" s="14"/>
      <c r="W53" s="14"/>
      <c r="X53" s="14"/>
      <c r="Y53" s="14"/>
      <c r="Z53" s="14"/>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D53" s="57" t="s">
        <v>526</v>
      </c>
      <c r="BE53" s="56">
        <f>Application!AA266</f>
        <v>0</v>
      </c>
    </row>
    <row r="54" spans="1:57" ht="12.75" customHeight="1">
      <c r="A54" s="895" t="s">
        <v>530</v>
      </c>
      <c r="B54" s="893"/>
      <c r="C54" s="893"/>
      <c r="D54" s="893"/>
      <c r="E54" s="893"/>
      <c r="F54" s="893"/>
      <c r="G54" s="893"/>
      <c r="H54" s="893"/>
      <c r="I54" s="893"/>
      <c r="J54" s="893"/>
      <c r="K54" s="893"/>
      <c r="L54" s="893"/>
      <c r="M54" s="893"/>
      <c r="N54" s="893"/>
      <c r="O54" s="893"/>
      <c r="P54" s="893"/>
      <c r="Q54" s="893"/>
      <c r="R54" s="893"/>
      <c r="S54" s="893"/>
      <c r="T54" s="893"/>
      <c r="U54" s="893"/>
      <c r="V54" s="893"/>
      <c r="W54" s="893"/>
      <c r="X54" s="893"/>
      <c r="Y54" s="893"/>
      <c r="Z54" s="893"/>
      <c r="AA54" s="893"/>
      <c r="AB54" s="893"/>
      <c r="AC54" s="893"/>
      <c r="AD54" s="893"/>
      <c r="AE54" s="893"/>
      <c r="AF54" s="893"/>
      <c r="AG54" s="893"/>
      <c r="AH54" s="893"/>
      <c r="AI54" s="893"/>
      <c r="AJ54" s="893"/>
      <c r="AK54" s="893"/>
      <c r="AL54" s="893"/>
      <c r="AM54" s="893"/>
      <c r="AN54" s="893"/>
      <c r="AO54" s="893"/>
      <c r="AP54" s="893"/>
      <c r="AQ54" s="893"/>
      <c r="AR54" s="893"/>
      <c r="AS54" s="893"/>
      <c r="AT54" s="893"/>
      <c r="AU54" s="76"/>
      <c r="AV54" s="76"/>
      <c r="AW54" s="76"/>
      <c r="AX54" s="76"/>
      <c r="AY54" s="76"/>
      <c r="AZ54" s="97"/>
      <c r="BD54" s="59" t="s">
        <v>533</v>
      </c>
      <c r="BE54" s="56">
        <f>Application!M268</f>
        <v>0</v>
      </c>
    </row>
    <row r="55" spans="1:57" ht="12.75" customHeight="1">
      <c r="A55" s="893"/>
      <c r="B55" s="893"/>
      <c r="C55" s="893"/>
      <c r="D55" s="893"/>
      <c r="E55" s="893"/>
      <c r="F55" s="893"/>
      <c r="G55" s="893"/>
      <c r="H55" s="893"/>
      <c r="I55" s="893"/>
      <c r="J55" s="893"/>
      <c r="K55" s="893"/>
      <c r="L55" s="893"/>
      <c r="M55" s="893"/>
      <c r="N55" s="893"/>
      <c r="O55" s="893"/>
      <c r="P55" s="893"/>
      <c r="Q55" s="893"/>
      <c r="R55" s="893"/>
      <c r="S55" s="893"/>
      <c r="T55" s="893"/>
      <c r="U55" s="893"/>
      <c r="V55" s="893"/>
      <c r="W55" s="893"/>
      <c r="X55" s="893"/>
      <c r="Y55" s="893"/>
      <c r="Z55" s="893"/>
      <c r="AA55" s="893"/>
      <c r="AB55" s="893"/>
      <c r="AC55" s="893"/>
      <c r="AD55" s="893"/>
      <c r="AE55" s="893"/>
      <c r="AF55" s="893"/>
      <c r="AG55" s="893"/>
      <c r="AH55" s="893"/>
      <c r="AI55" s="893"/>
      <c r="AJ55" s="893"/>
      <c r="AK55" s="893"/>
      <c r="AL55" s="893"/>
      <c r="AM55" s="893"/>
      <c r="AN55" s="893"/>
      <c r="AO55" s="893"/>
      <c r="AP55" s="893"/>
      <c r="AQ55" s="893"/>
      <c r="AR55" s="893"/>
      <c r="AS55" s="893"/>
      <c r="AT55" s="893"/>
      <c r="AZ55" s="97"/>
      <c r="BD55" s="57" t="s">
        <v>536</v>
      </c>
      <c r="BE55" s="56">
        <f>Application!M271</f>
        <v>0</v>
      </c>
    </row>
    <row r="56" spans="1:57" ht="12.75" customHeight="1">
      <c r="A56" s="893"/>
      <c r="B56" s="893"/>
      <c r="C56" s="893"/>
      <c r="D56" s="893"/>
      <c r="E56" s="893"/>
      <c r="F56" s="893"/>
      <c r="G56" s="893"/>
      <c r="H56" s="893"/>
      <c r="I56" s="893"/>
      <c r="J56" s="893"/>
      <c r="K56" s="893"/>
      <c r="L56" s="893"/>
      <c r="M56" s="893"/>
      <c r="N56" s="893"/>
      <c r="O56" s="893"/>
      <c r="P56" s="893"/>
      <c r="Q56" s="893"/>
      <c r="R56" s="893"/>
      <c r="S56" s="893"/>
      <c r="T56" s="893"/>
      <c r="U56" s="893"/>
      <c r="V56" s="893"/>
      <c r="W56" s="893"/>
      <c r="X56" s="893"/>
      <c r="Y56" s="893"/>
      <c r="Z56" s="893"/>
      <c r="AA56" s="893"/>
      <c r="AB56" s="893"/>
      <c r="AC56" s="893"/>
      <c r="AD56" s="893"/>
      <c r="AE56" s="893"/>
      <c r="AF56" s="893"/>
      <c r="AG56" s="893"/>
      <c r="AH56" s="893"/>
      <c r="AI56" s="893"/>
      <c r="AJ56" s="893"/>
      <c r="AK56" s="893"/>
      <c r="AL56" s="893"/>
      <c r="AM56" s="893"/>
      <c r="AN56" s="893"/>
      <c r="AO56" s="893"/>
      <c r="AP56" s="893"/>
      <c r="AQ56" s="893"/>
      <c r="AR56" s="893"/>
      <c r="AS56" s="893"/>
      <c r="AT56" s="893"/>
      <c r="BD56" s="59" t="s">
        <v>537</v>
      </c>
      <c r="BE56" s="56">
        <f>Application!AA274</f>
        <v>0</v>
      </c>
    </row>
    <row r="57" spans="1:57" ht="12.75" customHeight="1">
      <c r="A57" s="893"/>
      <c r="B57" s="893"/>
      <c r="C57" s="893"/>
      <c r="D57" s="893"/>
      <c r="E57" s="893"/>
      <c r="F57" s="893"/>
      <c r="G57" s="893"/>
      <c r="H57" s="893"/>
      <c r="I57" s="893"/>
      <c r="J57" s="893"/>
      <c r="K57" s="893"/>
      <c r="L57" s="893"/>
      <c r="M57" s="893"/>
      <c r="N57" s="893"/>
      <c r="O57" s="893"/>
      <c r="P57" s="893"/>
      <c r="Q57" s="893"/>
      <c r="R57" s="893"/>
      <c r="S57" s="893"/>
      <c r="T57" s="893"/>
      <c r="U57" s="893"/>
      <c r="V57" s="893"/>
      <c r="W57" s="893"/>
      <c r="X57" s="893"/>
      <c r="Y57" s="893"/>
      <c r="Z57" s="893"/>
      <c r="AA57" s="893"/>
      <c r="AB57" s="893"/>
      <c r="AC57" s="893"/>
      <c r="AD57" s="893"/>
      <c r="AE57" s="893"/>
      <c r="AF57" s="893"/>
      <c r="AG57" s="893"/>
      <c r="AH57" s="893"/>
      <c r="AI57" s="893"/>
      <c r="AJ57" s="893"/>
      <c r="AK57" s="893"/>
      <c r="AL57" s="893"/>
      <c r="AM57" s="893"/>
      <c r="AN57" s="893"/>
      <c r="AO57" s="893"/>
      <c r="AP57" s="893"/>
      <c r="AQ57" s="893"/>
      <c r="AR57" s="893"/>
      <c r="AS57" s="893"/>
      <c r="AT57" s="893"/>
      <c r="BD57" s="57" t="s">
        <v>540</v>
      </c>
      <c r="BE57" s="56" t="str">
        <f>Application!H296</f>
        <v>Polaris Affordable, LLC</v>
      </c>
    </row>
    <row r="58" spans="1:57" ht="12.75" customHeight="1">
      <c r="A58" s="893"/>
      <c r="B58" s="893"/>
      <c r="C58" s="893"/>
      <c r="D58" s="893"/>
      <c r="E58" s="893"/>
      <c r="F58" s="893"/>
      <c r="G58" s="893"/>
      <c r="H58" s="893"/>
      <c r="I58" s="893"/>
      <c r="J58" s="893"/>
      <c r="K58" s="893"/>
      <c r="L58" s="893"/>
      <c r="M58" s="893"/>
      <c r="N58" s="893"/>
      <c r="O58" s="893"/>
      <c r="P58" s="893"/>
      <c r="Q58" s="893"/>
      <c r="R58" s="893"/>
      <c r="S58" s="893"/>
      <c r="T58" s="893"/>
      <c r="U58" s="893"/>
      <c r="V58" s="893"/>
      <c r="W58" s="893"/>
      <c r="X58" s="893"/>
      <c r="Y58" s="893"/>
      <c r="Z58" s="893"/>
      <c r="AA58" s="893"/>
      <c r="AB58" s="893"/>
      <c r="AC58" s="893"/>
      <c r="AD58" s="893"/>
      <c r="AE58" s="893"/>
      <c r="AF58" s="893"/>
      <c r="AG58" s="893"/>
      <c r="AH58" s="893"/>
      <c r="AI58" s="893"/>
      <c r="AJ58" s="893"/>
      <c r="AK58" s="893"/>
      <c r="AL58" s="893"/>
      <c r="AM58" s="893"/>
      <c r="AN58" s="893"/>
      <c r="AO58" s="893"/>
      <c r="AP58" s="893"/>
      <c r="AQ58" s="893"/>
      <c r="AR58" s="893"/>
      <c r="AS58" s="893"/>
      <c r="AT58" s="893"/>
      <c r="BD58" s="59" t="s">
        <v>541</v>
      </c>
      <c r="BE58" s="56" t="str">
        <f>Application!H297</f>
        <v>2160 Barranca Pkwy, #1241</v>
      </c>
    </row>
    <row r="59" spans="1:57" ht="12.75" customHeight="1">
      <c r="A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D59" s="57" t="s">
        <v>543</v>
      </c>
      <c r="BE59" s="56" t="str">
        <f>Application!H298</f>
        <v>Irvine, CA 92606</v>
      </c>
    </row>
    <row r="60" spans="1:57" ht="12.75" customHeight="1">
      <c r="A60" s="895" t="s">
        <v>544</v>
      </c>
      <c r="B60" s="893"/>
      <c r="C60" s="893"/>
      <c r="D60" s="893"/>
      <c r="E60" s="893"/>
      <c r="F60" s="893"/>
      <c r="G60" s="893"/>
      <c r="H60" s="893"/>
      <c r="I60" s="893"/>
      <c r="J60" s="893"/>
      <c r="K60" s="893"/>
      <c r="L60" s="893"/>
      <c r="M60" s="893"/>
      <c r="N60" s="893"/>
      <c r="O60" s="893"/>
      <c r="P60" s="893"/>
      <c r="Q60" s="893"/>
      <c r="R60" s="893"/>
      <c r="S60" s="893"/>
      <c r="T60" s="893"/>
      <c r="U60" s="893"/>
      <c r="V60" s="893"/>
      <c r="W60" s="893"/>
      <c r="X60" s="893"/>
      <c r="Y60" s="893"/>
      <c r="Z60" s="893"/>
      <c r="AA60" s="893"/>
      <c r="AB60" s="893"/>
      <c r="AC60" s="893"/>
      <c r="AD60" s="893"/>
      <c r="AE60" s="893"/>
      <c r="AF60" s="893"/>
      <c r="AG60" s="893"/>
      <c r="AH60" s="893"/>
      <c r="AI60" s="893"/>
      <c r="AJ60" s="893"/>
      <c r="AK60" s="893"/>
      <c r="AL60" s="893"/>
      <c r="AM60" s="893"/>
      <c r="AN60" s="893"/>
      <c r="AO60" s="893"/>
      <c r="AP60" s="893"/>
      <c r="AQ60" s="893"/>
      <c r="AR60" s="893"/>
      <c r="AS60" s="893"/>
      <c r="AT60" s="893"/>
      <c r="AU60" s="76"/>
      <c r="AV60" s="76"/>
      <c r="AW60" s="76"/>
      <c r="AX60" s="76"/>
      <c r="AY60" s="76"/>
      <c r="AZ60" s="76"/>
      <c r="BD60" s="59" t="s">
        <v>545</v>
      </c>
      <c r="BE60" s="56" t="str">
        <f>Application!H299</f>
        <v>Anand Kannan</v>
      </c>
    </row>
    <row r="61" spans="1:57" ht="12.75" customHeight="1">
      <c r="A61" s="893"/>
      <c r="B61" s="893"/>
      <c r="C61" s="893"/>
      <c r="D61" s="893"/>
      <c r="E61" s="893"/>
      <c r="F61" s="893"/>
      <c r="G61" s="893"/>
      <c r="H61" s="893"/>
      <c r="I61" s="893"/>
      <c r="J61" s="893"/>
      <c r="K61" s="893"/>
      <c r="L61" s="893"/>
      <c r="M61" s="893"/>
      <c r="N61" s="893"/>
      <c r="O61" s="893"/>
      <c r="P61" s="893"/>
      <c r="Q61" s="893"/>
      <c r="R61" s="893"/>
      <c r="S61" s="893"/>
      <c r="T61" s="893"/>
      <c r="U61" s="893"/>
      <c r="V61" s="893"/>
      <c r="W61" s="893"/>
      <c r="X61" s="893"/>
      <c r="Y61" s="893"/>
      <c r="Z61" s="893"/>
      <c r="AA61" s="893"/>
      <c r="AB61" s="893"/>
      <c r="AC61" s="893"/>
      <c r="AD61" s="893"/>
      <c r="AE61" s="893"/>
      <c r="AF61" s="893"/>
      <c r="AG61" s="893"/>
      <c r="AH61" s="893"/>
      <c r="AI61" s="893"/>
      <c r="AJ61" s="893"/>
      <c r="AK61" s="893"/>
      <c r="AL61" s="893"/>
      <c r="AM61" s="893"/>
      <c r="AN61" s="893"/>
      <c r="AO61" s="893"/>
      <c r="AP61" s="893"/>
      <c r="AQ61" s="893"/>
      <c r="AR61" s="893"/>
      <c r="AS61" s="893"/>
      <c r="AT61" s="893"/>
      <c r="AU61" s="76"/>
      <c r="AV61" s="76"/>
      <c r="AW61" s="76"/>
      <c r="AX61" s="76"/>
      <c r="AY61" s="76"/>
      <c r="AZ61" s="76"/>
      <c r="BD61" s="57" t="s">
        <v>546</v>
      </c>
      <c r="BE61" s="56" t="str">
        <f>Application!H302</f>
        <v>anand@polarisaffordable.com</v>
      </c>
    </row>
    <row r="62" spans="1:57" ht="12.75" customHeight="1">
      <c r="A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D62" s="59" t="s">
        <v>548</v>
      </c>
      <c r="BE62" s="98">
        <f>'Basis &amp; Credits'!AB50</f>
        <v>0.81</v>
      </c>
    </row>
    <row r="63" spans="1:57" ht="12.75" customHeight="1">
      <c r="A63" s="14" t="s">
        <v>550</v>
      </c>
      <c r="C63" s="14"/>
      <c r="D63" s="14"/>
      <c r="E63" s="14"/>
      <c r="F63" s="14"/>
      <c r="G63" s="14"/>
      <c r="H63" s="14"/>
      <c r="I63" s="14"/>
      <c r="J63" s="14"/>
      <c r="K63" s="14"/>
      <c r="L63" s="14"/>
      <c r="M63" s="14"/>
      <c r="N63" s="14"/>
      <c r="O63" s="14"/>
      <c r="P63" s="14"/>
      <c r="Q63" s="14"/>
      <c r="R63" s="14"/>
      <c r="S63" s="14"/>
      <c r="T63" s="14"/>
      <c r="U63" s="14"/>
      <c r="V63" s="14"/>
      <c r="W63" s="14"/>
      <c r="X63" s="14"/>
      <c r="Y63" s="14"/>
      <c r="Z63" s="14"/>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D63" s="57" t="s">
        <v>552</v>
      </c>
      <c r="BE63" s="98">
        <f>'Basis &amp; Credits'!AB72</f>
        <v>0</v>
      </c>
    </row>
    <row r="64" spans="1:57" ht="12.75" customHeight="1">
      <c r="C64" s="14"/>
      <c r="D64" s="14"/>
      <c r="E64" s="14"/>
      <c r="F64" s="14"/>
      <c r="G64" s="14"/>
      <c r="H64" s="14"/>
      <c r="I64" s="14"/>
      <c r="J64" s="14"/>
      <c r="K64" s="14"/>
      <c r="L64" s="14"/>
      <c r="M64" s="14"/>
      <c r="N64" s="14"/>
      <c r="O64" s="14"/>
      <c r="P64" s="14"/>
      <c r="Q64" s="14"/>
      <c r="R64" s="14"/>
      <c r="S64" s="14"/>
      <c r="T64" s="14"/>
      <c r="U64" s="14"/>
      <c r="V64" s="14"/>
      <c r="W64" s="14"/>
      <c r="X64" s="14"/>
      <c r="Y64" s="14"/>
      <c r="Z64" s="14"/>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D64" s="59" t="s">
        <v>556</v>
      </c>
      <c r="BE64" s="56" t="b">
        <f>Application!X180="Yes"</f>
        <v>1</v>
      </c>
    </row>
    <row r="65" spans="1:57" ht="12.75" customHeight="1">
      <c r="A65" s="895" t="s">
        <v>558</v>
      </c>
      <c r="B65" s="893"/>
      <c r="C65" s="893"/>
      <c r="D65" s="893"/>
      <c r="E65" s="893"/>
      <c r="F65" s="893"/>
      <c r="G65" s="893"/>
      <c r="H65" s="893"/>
      <c r="I65" s="893"/>
      <c r="J65" s="893"/>
      <c r="K65" s="893"/>
      <c r="L65" s="893"/>
      <c r="M65" s="893"/>
      <c r="N65" s="893"/>
      <c r="O65" s="893"/>
      <c r="P65" s="893"/>
      <c r="Q65" s="893"/>
      <c r="R65" s="893"/>
      <c r="S65" s="893"/>
      <c r="T65" s="893"/>
      <c r="U65" s="893"/>
      <c r="V65" s="893"/>
      <c r="W65" s="893"/>
      <c r="X65" s="893"/>
      <c r="Y65" s="893"/>
      <c r="Z65" s="893"/>
      <c r="AA65" s="893"/>
      <c r="AB65" s="893"/>
      <c r="AC65" s="893"/>
      <c r="AD65" s="893"/>
      <c r="AE65" s="893"/>
      <c r="AF65" s="893"/>
      <c r="AG65" s="893"/>
      <c r="AH65" s="893"/>
      <c r="AI65" s="893"/>
      <c r="AJ65" s="893"/>
      <c r="AK65" s="893"/>
      <c r="AL65" s="893"/>
      <c r="AM65" s="893"/>
      <c r="AN65" s="893"/>
      <c r="AO65" s="893"/>
      <c r="AP65" s="893"/>
      <c r="AQ65" s="893"/>
      <c r="AR65" s="893"/>
      <c r="AS65" s="893"/>
      <c r="AT65" s="893"/>
      <c r="AU65" s="97"/>
      <c r="AV65" s="97"/>
      <c r="AW65" s="97"/>
      <c r="AX65" s="97"/>
      <c r="AY65" s="97"/>
      <c r="AZ65" s="76"/>
      <c r="BD65" s="57" t="s">
        <v>560</v>
      </c>
      <c r="BE65" s="56" t="str">
        <f>Z205</f>
        <v>(select)</v>
      </c>
    </row>
    <row r="66" spans="1:57" ht="12.75" customHeight="1">
      <c r="A66" s="893"/>
      <c r="B66" s="893"/>
      <c r="C66" s="893"/>
      <c r="D66" s="893"/>
      <c r="E66" s="893"/>
      <c r="F66" s="893"/>
      <c r="G66" s="893"/>
      <c r="H66" s="893"/>
      <c r="I66" s="893"/>
      <c r="J66" s="893"/>
      <c r="K66" s="893"/>
      <c r="L66" s="893"/>
      <c r="M66" s="893"/>
      <c r="N66" s="893"/>
      <c r="O66" s="893"/>
      <c r="P66" s="893"/>
      <c r="Q66" s="893"/>
      <c r="R66" s="893"/>
      <c r="S66" s="893"/>
      <c r="T66" s="893"/>
      <c r="U66" s="893"/>
      <c r="V66" s="893"/>
      <c r="W66" s="893"/>
      <c r="X66" s="893"/>
      <c r="Y66" s="893"/>
      <c r="Z66" s="893"/>
      <c r="AA66" s="893"/>
      <c r="AB66" s="893"/>
      <c r="AC66" s="893"/>
      <c r="AD66" s="893"/>
      <c r="AE66" s="893"/>
      <c r="AF66" s="893"/>
      <c r="AG66" s="893"/>
      <c r="AH66" s="893"/>
      <c r="AI66" s="893"/>
      <c r="AJ66" s="893"/>
      <c r="AK66" s="893"/>
      <c r="AL66" s="893"/>
      <c r="AM66" s="893"/>
      <c r="AN66" s="893"/>
      <c r="AO66" s="893"/>
      <c r="AP66" s="893"/>
      <c r="AQ66" s="893"/>
      <c r="AR66" s="893"/>
      <c r="AS66" s="893"/>
      <c r="AT66" s="893"/>
      <c r="AU66" s="97"/>
      <c r="AV66" s="97"/>
      <c r="AW66" s="97"/>
      <c r="AX66" s="97"/>
      <c r="AY66" s="97"/>
      <c r="AZ66" s="76"/>
      <c r="BD66" s="59" t="s">
        <v>563</v>
      </c>
      <c r="BE66" s="56" t="b">
        <f>Application!Z205="State Farmworker Credit"</f>
        <v>0</v>
      </c>
    </row>
    <row r="67" spans="1:57" ht="12.75" customHeight="1">
      <c r="A67" s="893"/>
      <c r="B67" s="893"/>
      <c r="C67" s="893"/>
      <c r="D67" s="893"/>
      <c r="E67" s="893"/>
      <c r="F67" s="893"/>
      <c r="G67" s="893"/>
      <c r="H67" s="893"/>
      <c r="I67" s="893"/>
      <c r="J67" s="893"/>
      <c r="K67" s="893"/>
      <c r="L67" s="893"/>
      <c r="M67" s="893"/>
      <c r="N67" s="893"/>
      <c r="O67" s="893"/>
      <c r="P67" s="893"/>
      <c r="Q67" s="893"/>
      <c r="R67" s="893"/>
      <c r="S67" s="893"/>
      <c r="T67" s="893"/>
      <c r="U67" s="893"/>
      <c r="V67" s="893"/>
      <c r="W67" s="893"/>
      <c r="X67" s="893"/>
      <c r="Y67" s="893"/>
      <c r="Z67" s="893"/>
      <c r="AA67" s="893"/>
      <c r="AB67" s="893"/>
      <c r="AC67" s="893"/>
      <c r="AD67" s="893"/>
      <c r="AE67" s="893"/>
      <c r="AF67" s="893"/>
      <c r="AG67" s="893"/>
      <c r="AH67" s="893"/>
      <c r="AI67" s="893"/>
      <c r="AJ67" s="893"/>
      <c r="AK67" s="893"/>
      <c r="AL67" s="893"/>
      <c r="AM67" s="893"/>
      <c r="AN67" s="893"/>
      <c r="AO67" s="893"/>
      <c r="AP67" s="893"/>
      <c r="AQ67" s="893"/>
      <c r="AR67" s="893"/>
      <c r="AS67" s="893"/>
      <c r="AT67" s="893"/>
      <c r="AZ67" s="76"/>
      <c r="BD67" s="57" t="s">
        <v>565</v>
      </c>
      <c r="BE67" s="56" t="b">
        <f>Application!O33="Yes"</f>
        <v>0</v>
      </c>
    </row>
    <row r="68" spans="1:57" ht="12.75" customHeight="1">
      <c r="A68" s="17"/>
      <c r="C68" s="1"/>
      <c r="D68" s="1"/>
      <c r="E68" s="1"/>
      <c r="F68" s="1"/>
      <c r="G68" s="1"/>
      <c r="H68" s="1"/>
      <c r="I68" s="1"/>
      <c r="J68" s="1"/>
      <c r="K68" s="1"/>
      <c r="L68" s="1"/>
      <c r="M68" s="1"/>
      <c r="N68" s="1"/>
      <c r="O68" s="1"/>
      <c r="P68" s="1"/>
      <c r="Q68" s="1"/>
      <c r="R68" s="1"/>
      <c r="S68" s="1"/>
      <c r="T68" s="1"/>
      <c r="U68" s="1"/>
      <c r="V68" s="1"/>
      <c r="W68" s="1"/>
      <c r="X68" s="1"/>
      <c r="Y68" s="1"/>
      <c r="Z68" s="1"/>
      <c r="AZ68" s="76"/>
      <c r="BD68" s="59" t="s">
        <v>567</v>
      </c>
      <c r="BE68" s="56">
        <f>'Sources and Uses Budget'!D105</f>
        <v>0</v>
      </c>
    </row>
    <row r="69" spans="1:57" ht="12.75" customHeight="1">
      <c r="A69" s="895" t="s">
        <v>570</v>
      </c>
      <c r="B69" s="893"/>
      <c r="C69" s="893"/>
      <c r="D69" s="893"/>
      <c r="E69" s="893"/>
      <c r="F69" s="893"/>
      <c r="G69" s="893"/>
      <c r="H69" s="893"/>
      <c r="I69" s="893"/>
      <c r="J69" s="893"/>
      <c r="K69" s="893"/>
      <c r="L69" s="893"/>
      <c r="M69" s="893"/>
      <c r="N69" s="893"/>
      <c r="O69" s="893"/>
      <c r="P69" s="893"/>
      <c r="Q69" s="893"/>
      <c r="R69" s="893"/>
      <c r="S69" s="893"/>
      <c r="T69" s="893"/>
      <c r="U69" s="893"/>
      <c r="V69" s="893"/>
      <c r="W69" s="893"/>
      <c r="X69" s="893"/>
      <c r="Y69" s="893"/>
      <c r="Z69" s="893"/>
      <c r="AA69" s="893"/>
      <c r="AB69" s="893"/>
      <c r="AC69" s="893"/>
      <c r="AD69" s="893"/>
      <c r="AE69" s="893"/>
      <c r="AF69" s="893"/>
      <c r="AG69" s="893"/>
      <c r="AH69" s="893"/>
      <c r="AI69" s="893"/>
      <c r="AJ69" s="893"/>
      <c r="AK69" s="893"/>
      <c r="AL69" s="893"/>
      <c r="AM69" s="893"/>
      <c r="AN69" s="893"/>
      <c r="AO69" s="893"/>
      <c r="AP69" s="893"/>
      <c r="AQ69" s="893"/>
      <c r="AR69" s="893"/>
      <c r="AS69" s="893"/>
      <c r="AT69" s="893"/>
      <c r="AZ69" s="76"/>
      <c r="BD69" s="57" t="s">
        <v>571</v>
      </c>
      <c r="BE69" s="56" t="str">
        <f>Application!W708</f>
        <v>California Municipal Finance Authority</v>
      </c>
    </row>
    <row r="70" spans="1:57" ht="12.75" customHeight="1">
      <c r="A70" s="893"/>
      <c r="B70" s="893"/>
      <c r="C70" s="893"/>
      <c r="D70" s="893"/>
      <c r="E70" s="893"/>
      <c r="F70" s="893"/>
      <c r="G70" s="893"/>
      <c r="H70" s="893"/>
      <c r="I70" s="893"/>
      <c r="J70" s="893"/>
      <c r="K70" s="893"/>
      <c r="L70" s="893"/>
      <c r="M70" s="893"/>
      <c r="N70" s="893"/>
      <c r="O70" s="893"/>
      <c r="P70" s="893"/>
      <c r="Q70" s="893"/>
      <c r="R70" s="893"/>
      <c r="S70" s="893"/>
      <c r="T70" s="893"/>
      <c r="U70" s="893"/>
      <c r="V70" s="893"/>
      <c r="W70" s="893"/>
      <c r="X70" s="893"/>
      <c r="Y70" s="893"/>
      <c r="Z70" s="893"/>
      <c r="AA70" s="893"/>
      <c r="AB70" s="893"/>
      <c r="AC70" s="893"/>
      <c r="AD70" s="893"/>
      <c r="AE70" s="893"/>
      <c r="AF70" s="893"/>
      <c r="AG70" s="893"/>
      <c r="AH70" s="893"/>
      <c r="AI70" s="893"/>
      <c r="AJ70" s="893"/>
      <c r="AK70" s="893"/>
      <c r="AL70" s="893"/>
      <c r="AM70" s="893"/>
      <c r="AN70" s="893"/>
      <c r="AO70" s="893"/>
      <c r="AP70" s="893"/>
      <c r="AQ70" s="893"/>
      <c r="AR70" s="893"/>
      <c r="AS70" s="893"/>
      <c r="AT70" s="893"/>
      <c r="AU70" s="76"/>
      <c r="AV70" s="76"/>
      <c r="AW70" s="76"/>
      <c r="AX70" s="76"/>
      <c r="AY70" s="76"/>
      <c r="AZ70" s="76"/>
      <c r="BD70" s="59" t="s">
        <v>572</v>
      </c>
      <c r="BE70" s="56">
        <f ca="1">'Points System'!AF893</f>
        <v>102</v>
      </c>
    </row>
    <row r="71" spans="1:57" ht="12.75" customHeight="1">
      <c r="A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D71" s="57" t="s">
        <v>575</v>
      </c>
      <c r="BE71" s="56">
        <f>'Points System'!AF876</f>
        <v>20</v>
      </c>
    </row>
    <row r="72" spans="1:57" ht="12.75" customHeight="1">
      <c r="A72" s="909" t="s">
        <v>578</v>
      </c>
      <c r="B72" s="893"/>
      <c r="C72" s="893"/>
      <c r="D72" s="893"/>
      <c r="E72" s="893"/>
      <c r="F72" s="893"/>
      <c r="G72" s="893"/>
      <c r="H72" s="893"/>
      <c r="I72" s="893"/>
      <c r="J72" s="893"/>
      <c r="K72" s="893"/>
      <c r="L72" s="893"/>
      <c r="M72" s="893"/>
      <c r="N72" s="893"/>
      <c r="O72" s="893"/>
      <c r="P72" s="893"/>
      <c r="Q72" s="893"/>
      <c r="R72" s="893"/>
      <c r="S72" s="893"/>
      <c r="T72" s="893"/>
      <c r="U72" s="893"/>
      <c r="V72" s="893"/>
      <c r="W72" s="893"/>
      <c r="X72" s="893"/>
      <c r="Y72" s="893"/>
      <c r="Z72" s="893"/>
      <c r="AA72" s="893"/>
      <c r="AB72" s="893"/>
      <c r="AC72" s="893"/>
      <c r="AD72" s="893"/>
      <c r="AE72" s="893"/>
      <c r="AF72" s="893"/>
      <c r="AG72" s="893"/>
      <c r="AH72" s="893"/>
      <c r="AI72" s="893"/>
      <c r="AJ72" s="893"/>
      <c r="AK72" s="893"/>
      <c r="AL72" s="893"/>
      <c r="AM72" s="893"/>
      <c r="AN72" s="893"/>
      <c r="AO72" s="893"/>
      <c r="AP72" s="893"/>
      <c r="AQ72" s="893"/>
      <c r="AR72" s="893"/>
      <c r="AS72" s="893"/>
      <c r="AT72" s="893"/>
      <c r="AU72" s="76"/>
      <c r="AV72" s="76"/>
      <c r="AW72" s="76"/>
      <c r="AX72" s="76"/>
      <c r="AY72" s="76"/>
      <c r="AZ72" s="76"/>
      <c r="BD72" s="59" t="s">
        <v>579</v>
      </c>
      <c r="BE72" s="56">
        <f>'Points System'!AF877</f>
        <v>0</v>
      </c>
    </row>
    <row r="73" spans="1:57" ht="12.75" customHeight="1">
      <c r="A73" s="893"/>
      <c r="B73" s="893"/>
      <c r="C73" s="893"/>
      <c r="D73" s="893"/>
      <c r="E73" s="893"/>
      <c r="F73" s="893"/>
      <c r="G73" s="893"/>
      <c r="H73" s="893"/>
      <c r="I73" s="893"/>
      <c r="J73" s="893"/>
      <c r="K73" s="893"/>
      <c r="L73" s="893"/>
      <c r="M73" s="893"/>
      <c r="N73" s="893"/>
      <c r="O73" s="893"/>
      <c r="P73" s="893"/>
      <c r="Q73" s="893"/>
      <c r="R73" s="893"/>
      <c r="S73" s="893"/>
      <c r="T73" s="893"/>
      <c r="U73" s="893"/>
      <c r="V73" s="893"/>
      <c r="W73" s="893"/>
      <c r="X73" s="893"/>
      <c r="Y73" s="893"/>
      <c r="Z73" s="893"/>
      <c r="AA73" s="893"/>
      <c r="AB73" s="893"/>
      <c r="AC73" s="893"/>
      <c r="AD73" s="893"/>
      <c r="AE73" s="893"/>
      <c r="AF73" s="893"/>
      <c r="AG73" s="893"/>
      <c r="AH73" s="893"/>
      <c r="AI73" s="893"/>
      <c r="AJ73" s="893"/>
      <c r="AK73" s="893"/>
      <c r="AL73" s="893"/>
      <c r="AM73" s="893"/>
      <c r="AN73" s="893"/>
      <c r="AO73" s="893"/>
      <c r="AP73" s="893"/>
      <c r="AQ73" s="893"/>
      <c r="AR73" s="893"/>
      <c r="AS73" s="893"/>
      <c r="AT73" s="893"/>
      <c r="AU73" s="76"/>
      <c r="AV73" s="76"/>
      <c r="AW73" s="76"/>
      <c r="AX73" s="76"/>
      <c r="AY73" s="76"/>
      <c r="AZ73" s="76"/>
      <c r="BD73" s="57" t="s">
        <v>582</v>
      </c>
      <c r="BE73" s="56">
        <f ca="1">'Points System'!AF878</f>
        <v>20</v>
      </c>
    </row>
    <row r="74" spans="1:57" ht="12.75" customHeight="1">
      <c r="A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D74" s="59" t="s">
        <v>586</v>
      </c>
      <c r="BE74" s="56">
        <f>'Points System'!AF879</f>
        <v>10</v>
      </c>
    </row>
    <row r="75" spans="1:57" ht="12.75" customHeight="1">
      <c r="A75" s="909" t="s">
        <v>588</v>
      </c>
      <c r="B75" s="893"/>
      <c r="C75" s="893"/>
      <c r="D75" s="893"/>
      <c r="E75" s="893"/>
      <c r="F75" s="893"/>
      <c r="G75" s="893"/>
      <c r="H75" s="893"/>
      <c r="I75" s="893"/>
      <c r="J75" s="893"/>
      <c r="K75" s="893"/>
      <c r="L75" s="893"/>
      <c r="M75" s="893"/>
      <c r="N75" s="893"/>
      <c r="O75" s="893"/>
      <c r="P75" s="893"/>
      <c r="Q75" s="893"/>
      <c r="R75" s="893"/>
      <c r="S75" s="893"/>
      <c r="T75" s="893"/>
      <c r="U75" s="893"/>
      <c r="V75" s="893"/>
      <c r="W75" s="893"/>
      <c r="X75" s="893"/>
      <c r="Y75" s="893"/>
      <c r="Z75" s="893"/>
      <c r="AA75" s="893"/>
      <c r="AB75" s="893"/>
      <c r="AC75" s="893"/>
      <c r="AD75" s="893"/>
      <c r="AE75" s="893"/>
      <c r="AF75" s="893"/>
      <c r="AG75" s="893"/>
      <c r="AH75" s="893"/>
      <c r="AI75" s="893"/>
      <c r="AJ75" s="893"/>
      <c r="AK75" s="893"/>
      <c r="AL75" s="893"/>
      <c r="AM75" s="893"/>
      <c r="AN75" s="893"/>
      <c r="AO75" s="893"/>
      <c r="AP75" s="893"/>
      <c r="AQ75" s="893"/>
      <c r="AR75" s="893"/>
      <c r="AS75" s="893"/>
      <c r="AT75" s="893"/>
      <c r="AU75" s="76"/>
      <c r="AV75" s="76"/>
      <c r="AW75" s="76"/>
      <c r="AX75" s="76"/>
      <c r="AY75" s="76"/>
      <c r="AZ75" s="76"/>
      <c r="BD75" s="57" t="s">
        <v>589</v>
      </c>
      <c r="BE75" s="56">
        <f>'Points System'!AF880</f>
        <v>10</v>
      </c>
    </row>
    <row r="76" spans="1:57" ht="12.75" customHeight="1">
      <c r="A76" s="893"/>
      <c r="B76" s="893"/>
      <c r="C76" s="893"/>
      <c r="D76" s="893"/>
      <c r="E76" s="893"/>
      <c r="F76" s="893"/>
      <c r="G76" s="893"/>
      <c r="H76" s="893"/>
      <c r="I76" s="893"/>
      <c r="J76" s="893"/>
      <c r="K76" s="893"/>
      <c r="L76" s="893"/>
      <c r="M76" s="893"/>
      <c r="N76" s="893"/>
      <c r="O76" s="893"/>
      <c r="P76" s="893"/>
      <c r="Q76" s="893"/>
      <c r="R76" s="893"/>
      <c r="S76" s="893"/>
      <c r="T76" s="893"/>
      <c r="U76" s="893"/>
      <c r="V76" s="893"/>
      <c r="W76" s="893"/>
      <c r="X76" s="893"/>
      <c r="Y76" s="893"/>
      <c r="Z76" s="893"/>
      <c r="AA76" s="893"/>
      <c r="AB76" s="893"/>
      <c r="AC76" s="893"/>
      <c r="AD76" s="893"/>
      <c r="AE76" s="893"/>
      <c r="AF76" s="893"/>
      <c r="AG76" s="893"/>
      <c r="AH76" s="893"/>
      <c r="AI76" s="893"/>
      <c r="AJ76" s="893"/>
      <c r="AK76" s="893"/>
      <c r="AL76" s="893"/>
      <c r="AM76" s="893"/>
      <c r="AN76" s="893"/>
      <c r="AO76" s="893"/>
      <c r="AP76" s="893"/>
      <c r="AQ76" s="893"/>
      <c r="AR76" s="893"/>
      <c r="AS76" s="893"/>
      <c r="AT76" s="893"/>
      <c r="AU76" s="76"/>
      <c r="AV76" s="76"/>
      <c r="AW76" s="76"/>
      <c r="AX76" s="76"/>
      <c r="AY76" s="76"/>
      <c r="AZ76" s="100"/>
      <c r="BD76" s="59" t="s">
        <v>591</v>
      </c>
      <c r="BE76" s="56">
        <f>'Points System'!AF883</f>
        <v>0</v>
      </c>
    </row>
    <row r="77" spans="1:57" ht="12.75" customHeight="1">
      <c r="A77" s="893"/>
      <c r="B77" s="893"/>
      <c r="C77" s="893"/>
      <c r="D77" s="893"/>
      <c r="E77" s="893"/>
      <c r="F77" s="893"/>
      <c r="G77" s="893"/>
      <c r="H77" s="893"/>
      <c r="I77" s="893"/>
      <c r="J77" s="893"/>
      <c r="K77" s="893"/>
      <c r="L77" s="893"/>
      <c r="M77" s="893"/>
      <c r="N77" s="893"/>
      <c r="O77" s="893"/>
      <c r="P77" s="893"/>
      <c r="Q77" s="893"/>
      <c r="R77" s="893"/>
      <c r="S77" s="893"/>
      <c r="T77" s="893"/>
      <c r="U77" s="893"/>
      <c r="V77" s="893"/>
      <c r="W77" s="893"/>
      <c r="X77" s="893"/>
      <c r="Y77" s="893"/>
      <c r="Z77" s="893"/>
      <c r="AA77" s="893"/>
      <c r="AB77" s="893"/>
      <c r="AC77" s="893"/>
      <c r="AD77" s="893"/>
      <c r="AE77" s="893"/>
      <c r="AF77" s="893"/>
      <c r="AG77" s="893"/>
      <c r="AH77" s="893"/>
      <c r="AI77" s="893"/>
      <c r="AJ77" s="893"/>
      <c r="AK77" s="893"/>
      <c r="AL77" s="893"/>
      <c r="AM77" s="893"/>
      <c r="AN77" s="893"/>
      <c r="AO77" s="893"/>
      <c r="AP77" s="893"/>
      <c r="AQ77" s="893"/>
      <c r="AR77" s="893"/>
      <c r="AS77" s="893"/>
      <c r="AT77" s="893"/>
      <c r="AU77" s="76"/>
      <c r="AV77" s="76"/>
      <c r="AW77" s="76"/>
      <c r="AX77" s="76"/>
      <c r="AY77" s="76"/>
      <c r="AZ77" s="100"/>
      <c r="BD77" s="57" t="s">
        <v>594</v>
      </c>
      <c r="BE77" s="56">
        <f>'Points System'!AF884</f>
        <v>0</v>
      </c>
    </row>
    <row r="78" spans="1:57" ht="12.75" customHeight="1">
      <c r="C78" s="14"/>
      <c r="D78" s="14"/>
      <c r="E78" s="14"/>
      <c r="F78" s="14"/>
      <c r="G78" s="14"/>
      <c r="H78" s="14"/>
      <c r="I78" s="14"/>
      <c r="J78" s="14"/>
      <c r="K78" s="14"/>
      <c r="L78" s="14"/>
      <c r="M78" s="14"/>
      <c r="N78" s="14"/>
      <c r="O78" s="14"/>
      <c r="P78" s="14"/>
      <c r="Q78" s="14"/>
      <c r="R78" s="14"/>
      <c r="S78" s="14"/>
      <c r="T78" s="14"/>
      <c r="U78" s="14"/>
      <c r="V78" s="14"/>
      <c r="W78" s="14"/>
      <c r="X78" s="14"/>
      <c r="Y78" s="14"/>
      <c r="Z78" s="14"/>
      <c r="AA78" s="76"/>
      <c r="AB78" s="76"/>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100"/>
      <c r="BD78" s="59" t="s">
        <v>597</v>
      </c>
      <c r="BE78" s="56">
        <f>'Points System'!AF886</f>
        <v>10</v>
      </c>
    </row>
    <row r="79" spans="1:57" ht="12.75" customHeight="1">
      <c r="A79" s="895" t="s">
        <v>601</v>
      </c>
      <c r="B79" s="893"/>
      <c r="C79" s="893"/>
      <c r="D79" s="893"/>
      <c r="E79" s="893"/>
      <c r="F79" s="893"/>
      <c r="G79" s="893"/>
      <c r="H79" s="893"/>
      <c r="I79" s="893"/>
      <c r="J79" s="893"/>
      <c r="K79" s="893"/>
      <c r="L79" s="893"/>
      <c r="M79" s="893"/>
      <c r="N79" s="893"/>
      <c r="O79" s="893"/>
      <c r="P79" s="893"/>
      <c r="Q79" s="893"/>
      <c r="R79" s="893"/>
      <c r="S79" s="893"/>
      <c r="T79" s="893"/>
      <c r="U79" s="893"/>
      <c r="V79" s="893"/>
      <c r="W79" s="893"/>
      <c r="X79" s="893"/>
      <c r="Y79" s="893"/>
      <c r="Z79" s="893"/>
      <c r="AA79" s="893"/>
      <c r="AB79" s="893"/>
      <c r="AC79" s="893"/>
      <c r="AD79" s="893"/>
      <c r="AE79" s="893"/>
      <c r="AF79" s="893"/>
      <c r="AG79" s="893"/>
      <c r="AH79" s="893"/>
      <c r="AI79" s="893"/>
      <c r="AJ79" s="893"/>
      <c r="AK79" s="893"/>
      <c r="AL79" s="893"/>
      <c r="AM79" s="893"/>
      <c r="AN79" s="893"/>
      <c r="AO79" s="893"/>
      <c r="AP79" s="893"/>
      <c r="AQ79" s="893"/>
      <c r="AR79" s="893"/>
      <c r="AS79" s="893"/>
      <c r="AT79" s="893"/>
      <c r="AU79" s="76"/>
      <c r="AV79" s="76"/>
      <c r="AW79" s="76"/>
      <c r="AX79" s="76"/>
      <c r="AY79" s="76"/>
      <c r="AZ79" s="76"/>
      <c r="BD79" s="57" t="s">
        <v>603</v>
      </c>
      <c r="BE79" s="56">
        <f>'Points System'!AF887</f>
        <v>0</v>
      </c>
    </row>
    <row r="80" spans="1:57" ht="12.75" customHeight="1">
      <c r="A80" s="893"/>
      <c r="B80" s="893"/>
      <c r="C80" s="893"/>
      <c r="D80" s="893"/>
      <c r="E80" s="893"/>
      <c r="F80" s="893"/>
      <c r="G80" s="893"/>
      <c r="H80" s="893"/>
      <c r="I80" s="893"/>
      <c r="J80" s="893"/>
      <c r="K80" s="893"/>
      <c r="L80" s="893"/>
      <c r="M80" s="893"/>
      <c r="N80" s="893"/>
      <c r="O80" s="893"/>
      <c r="P80" s="893"/>
      <c r="Q80" s="893"/>
      <c r="R80" s="893"/>
      <c r="S80" s="893"/>
      <c r="T80" s="893"/>
      <c r="U80" s="893"/>
      <c r="V80" s="893"/>
      <c r="W80" s="893"/>
      <c r="X80" s="893"/>
      <c r="Y80" s="893"/>
      <c r="Z80" s="893"/>
      <c r="AA80" s="893"/>
      <c r="AB80" s="893"/>
      <c r="AC80" s="893"/>
      <c r="AD80" s="893"/>
      <c r="AE80" s="893"/>
      <c r="AF80" s="893"/>
      <c r="AG80" s="893"/>
      <c r="AH80" s="893"/>
      <c r="AI80" s="893"/>
      <c r="AJ80" s="893"/>
      <c r="AK80" s="893"/>
      <c r="AL80" s="893"/>
      <c r="AM80" s="893"/>
      <c r="AN80" s="893"/>
      <c r="AO80" s="893"/>
      <c r="AP80" s="893"/>
      <c r="AQ80" s="893"/>
      <c r="AR80" s="893"/>
      <c r="AS80" s="893"/>
      <c r="AT80" s="893"/>
      <c r="AU80" s="76"/>
      <c r="AV80" s="76"/>
      <c r="AW80" s="76"/>
      <c r="AX80" s="76"/>
      <c r="AY80" s="76"/>
      <c r="AZ80" s="76"/>
      <c r="BD80" s="59" t="s">
        <v>605</v>
      </c>
      <c r="BE80" s="56">
        <f>'Points System'!AF889</f>
        <v>10</v>
      </c>
    </row>
    <row r="81" spans="1:57" ht="12.75" customHeight="1">
      <c r="A81" s="893"/>
      <c r="B81" s="893"/>
      <c r="C81" s="893"/>
      <c r="D81" s="893"/>
      <c r="E81" s="893"/>
      <c r="F81" s="893"/>
      <c r="G81" s="893"/>
      <c r="H81" s="893"/>
      <c r="I81" s="893"/>
      <c r="J81" s="893"/>
      <c r="K81" s="893"/>
      <c r="L81" s="893"/>
      <c r="M81" s="893"/>
      <c r="N81" s="893"/>
      <c r="O81" s="893"/>
      <c r="P81" s="893"/>
      <c r="Q81" s="893"/>
      <c r="R81" s="893"/>
      <c r="S81" s="893"/>
      <c r="T81" s="893"/>
      <c r="U81" s="893"/>
      <c r="V81" s="893"/>
      <c r="W81" s="893"/>
      <c r="X81" s="893"/>
      <c r="Y81" s="893"/>
      <c r="Z81" s="893"/>
      <c r="AA81" s="893"/>
      <c r="AB81" s="893"/>
      <c r="AC81" s="893"/>
      <c r="AD81" s="893"/>
      <c r="AE81" s="893"/>
      <c r="AF81" s="893"/>
      <c r="AG81" s="893"/>
      <c r="AH81" s="893"/>
      <c r="AI81" s="893"/>
      <c r="AJ81" s="893"/>
      <c r="AK81" s="893"/>
      <c r="AL81" s="893"/>
      <c r="AM81" s="893"/>
      <c r="AN81" s="893"/>
      <c r="AO81" s="893"/>
      <c r="AP81" s="893"/>
      <c r="AQ81" s="893"/>
      <c r="AR81" s="893"/>
      <c r="AS81" s="893"/>
      <c r="AT81" s="893"/>
      <c r="AU81" s="76"/>
      <c r="AV81" s="76"/>
      <c r="AW81" s="76"/>
      <c r="AX81" s="76"/>
      <c r="AY81" s="76"/>
      <c r="AZ81" s="76"/>
      <c r="BD81" s="57" t="s">
        <v>607</v>
      </c>
      <c r="BE81" s="56">
        <f>'Points System'!AF890</f>
        <v>12</v>
      </c>
    </row>
    <row r="82" spans="1:57" ht="12.75" customHeight="1">
      <c r="A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D82" s="59" t="s">
        <v>610</v>
      </c>
      <c r="BE82" s="56">
        <f>'Points System'!AF891</f>
        <v>10</v>
      </c>
    </row>
    <row r="83" spans="1:57" ht="12.75" customHeight="1">
      <c r="A83" s="895" t="s">
        <v>613</v>
      </c>
      <c r="B83" s="893"/>
      <c r="C83" s="893"/>
      <c r="D83" s="893"/>
      <c r="E83" s="893"/>
      <c r="F83" s="893"/>
      <c r="G83" s="893"/>
      <c r="H83" s="893"/>
      <c r="I83" s="893"/>
      <c r="J83" s="893"/>
      <c r="K83" s="893"/>
      <c r="L83" s="893"/>
      <c r="M83" s="893"/>
      <c r="N83" s="893"/>
      <c r="O83" s="893"/>
      <c r="P83" s="893"/>
      <c r="Q83" s="893"/>
      <c r="R83" s="893"/>
      <c r="S83" s="893"/>
      <c r="T83" s="893"/>
      <c r="U83" s="893"/>
      <c r="V83" s="893"/>
      <c r="W83" s="893"/>
      <c r="X83" s="893"/>
      <c r="Y83" s="893"/>
      <c r="Z83" s="893"/>
      <c r="AA83" s="893"/>
      <c r="AB83" s="893"/>
      <c r="AC83" s="893"/>
      <c r="AD83" s="893"/>
      <c r="AE83" s="893"/>
      <c r="AF83" s="893"/>
      <c r="AG83" s="893"/>
      <c r="AH83" s="893"/>
      <c r="AI83" s="893"/>
      <c r="AJ83" s="893"/>
      <c r="AK83" s="893"/>
      <c r="AL83" s="893"/>
      <c r="AM83" s="893"/>
      <c r="AN83" s="893"/>
      <c r="AO83" s="893"/>
      <c r="AP83" s="893"/>
      <c r="AQ83" s="893"/>
      <c r="AR83" s="893"/>
      <c r="AS83" s="893"/>
      <c r="AT83" s="893"/>
      <c r="AU83" s="76"/>
      <c r="AV83" s="76"/>
      <c r="AW83" s="76"/>
      <c r="AX83" s="76"/>
      <c r="AY83" s="76"/>
      <c r="AZ83" s="76"/>
      <c r="BD83" s="57" t="s">
        <v>614</v>
      </c>
      <c r="BE83" s="109">
        <f>'Tie Breaker'!H5</f>
        <v>2.0448899573120132</v>
      </c>
    </row>
    <row r="84" spans="1:57" ht="12.75" customHeight="1">
      <c r="A84" s="893"/>
      <c r="B84" s="893"/>
      <c r="C84" s="893"/>
      <c r="D84" s="893"/>
      <c r="E84" s="893"/>
      <c r="F84" s="893"/>
      <c r="G84" s="893"/>
      <c r="H84" s="893"/>
      <c r="I84" s="893"/>
      <c r="J84" s="893"/>
      <c r="K84" s="893"/>
      <c r="L84" s="893"/>
      <c r="M84" s="893"/>
      <c r="N84" s="893"/>
      <c r="O84" s="893"/>
      <c r="P84" s="893"/>
      <c r="Q84" s="893"/>
      <c r="R84" s="893"/>
      <c r="S84" s="893"/>
      <c r="T84" s="893"/>
      <c r="U84" s="893"/>
      <c r="V84" s="893"/>
      <c r="W84" s="893"/>
      <c r="X84" s="893"/>
      <c r="Y84" s="893"/>
      <c r="Z84" s="893"/>
      <c r="AA84" s="893"/>
      <c r="AB84" s="893"/>
      <c r="AC84" s="893"/>
      <c r="AD84" s="893"/>
      <c r="AE84" s="893"/>
      <c r="AF84" s="893"/>
      <c r="AG84" s="893"/>
      <c r="AH84" s="893"/>
      <c r="AI84" s="893"/>
      <c r="AJ84" s="893"/>
      <c r="AK84" s="893"/>
      <c r="AL84" s="893"/>
      <c r="AM84" s="893"/>
      <c r="AN84" s="893"/>
      <c r="AO84" s="893"/>
      <c r="AP84" s="893"/>
      <c r="AQ84" s="893"/>
      <c r="AR84" s="893"/>
      <c r="AS84" s="893"/>
      <c r="AT84" s="893"/>
      <c r="AU84" s="76"/>
      <c r="AV84" s="76"/>
      <c r="AW84" s="76"/>
      <c r="AX84" s="76"/>
      <c r="AY84" s="76"/>
      <c r="AZ84" s="76"/>
      <c r="BD84" s="59" t="s">
        <v>617</v>
      </c>
      <c r="BE84" s="56" t="str">
        <f>Application!O153</f>
        <v xml:space="preserve">San Diego Housing Commission </v>
      </c>
    </row>
    <row r="85" spans="1:57" ht="12.75" customHeight="1">
      <c r="C85" s="14"/>
      <c r="D85" s="14"/>
      <c r="E85" s="14"/>
      <c r="F85" s="14"/>
      <c r="G85" s="14"/>
      <c r="H85" s="14"/>
      <c r="I85" s="14"/>
      <c r="J85" s="14"/>
      <c r="K85" s="14"/>
      <c r="L85" s="14"/>
      <c r="M85" s="14"/>
      <c r="N85" s="14"/>
      <c r="O85" s="14"/>
      <c r="P85" s="14"/>
      <c r="Q85" s="14"/>
      <c r="R85" s="14"/>
      <c r="S85" s="14"/>
      <c r="T85" s="14"/>
      <c r="U85" s="14"/>
      <c r="V85" s="14"/>
      <c r="W85" s="14"/>
      <c r="X85" s="14"/>
      <c r="Y85" s="14"/>
      <c r="Z85" s="14"/>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D85" s="57" t="s">
        <v>621</v>
      </c>
      <c r="BE85" s="56" t="str">
        <f>Application!O154</f>
        <v xml:space="preserve">Colin Miller </v>
      </c>
    </row>
    <row r="86" spans="1:57" ht="12.75" customHeight="1">
      <c r="A86" s="895" t="s">
        <v>624</v>
      </c>
      <c r="B86" s="893"/>
      <c r="C86" s="893"/>
      <c r="D86" s="893"/>
      <c r="E86" s="893"/>
      <c r="F86" s="893"/>
      <c r="G86" s="893"/>
      <c r="H86" s="893"/>
      <c r="I86" s="893"/>
      <c r="J86" s="893"/>
      <c r="K86" s="893"/>
      <c r="L86" s="893"/>
      <c r="M86" s="893"/>
      <c r="N86" s="893"/>
      <c r="O86" s="893"/>
      <c r="P86" s="893"/>
      <c r="Q86" s="893"/>
      <c r="R86" s="893"/>
      <c r="S86" s="893"/>
      <c r="T86" s="893"/>
      <c r="U86" s="893"/>
      <c r="V86" s="893"/>
      <c r="W86" s="893"/>
      <c r="X86" s="893"/>
      <c r="Y86" s="893"/>
      <c r="Z86" s="893"/>
      <c r="AA86" s="893"/>
      <c r="AB86" s="893"/>
      <c r="AC86" s="893"/>
      <c r="AD86" s="893"/>
      <c r="AE86" s="893"/>
      <c r="AF86" s="893"/>
      <c r="AG86" s="893"/>
      <c r="AH86" s="893"/>
      <c r="AI86" s="893"/>
      <c r="AJ86" s="893"/>
      <c r="AK86" s="893"/>
      <c r="AL86" s="893"/>
      <c r="AM86" s="893"/>
      <c r="AN86" s="893"/>
      <c r="AO86" s="893"/>
      <c r="AP86" s="893"/>
      <c r="AQ86" s="893"/>
      <c r="AR86" s="893"/>
      <c r="AS86" s="893"/>
      <c r="AT86" s="893"/>
      <c r="AU86" s="76"/>
      <c r="AV86" s="76"/>
      <c r="AW86" s="76"/>
      <c r="AX86" s="76"/>
      <c r="AY86" s="76"/>
      <c r="AZ86" s="76"/>
      <c r="BD86" s="59" t="s">
        <v>625</v>
      </c>
      <c r="BE86" s="56" t="str">
        <f>Application!O155</f>
        <v xml:space="preserve">Vice President </v>
      </c>
    </row>
    <row r="87" spans="1:57" ht="12.75" customHeight="1">
      <c r="A87" s="893"/>
      <c r="B87" s="893"/>
      <c r="C87" s="893"/>
      <c r="D87" s="893"/>
      <c r="E87" s="893"/>
      <c r="F87" s="893"/>
      <c r="G87" s="893"/>
      <c r="H87" s="893"/>
      <c r="I87" s="893"/>
      <c r="J87" s="893"/>
      <c r="K87" s="893"/>
      <c r="L87" s="893"/>
      <c r="M87" s="893"/>
      <c r="N87" s="893"/>
      <c r="O87" s="893"/>
      <c r="P87" s="893"/>
      <c r="Q87" s="893"/>
      <c r="R87" s="893"/>
      <c r="S87" s="893"/>
      <c r="T87" s="893"/>
      <c r="U87" s="893"/>
      <c r="V87" s="893"/>
      <c r="W87" s="893"/>
      <c r="X87" s="893"/>
      <c r="Y87" s="893"/>
      <c r="Z87" s="893"/>
      <c r="AA87" s="893"/>
      <c r="AB87" s="893"/>
      <c r="AC87" s="893"/>
      <c r="AD87" s="893"/>
      <c r="AE87" s="893"/>
      <c r="AF87" s="893"/>
      <c r="AG87" s="893"/>
      <c r="AH87" s="893"/>
      <c r="AI87" s="893"/>
      <c r="AJ87" s="893"/>
      <c r="AK87" s="893"/>
      <c r="AL87" s="893"/>
      <c r="AM87" s="893"/>
      <c r="AN87" s="893"/>
      <c r="AO87" s="893"/>
      <c r="AP87" s="893"/>
      <c r="AQ87" s="893"/>
      <c r="AR87" s="893"/>
      <c r="AS87" s="893"/>
      <c r="AT87" s="893"/>
      <c r="AU87" s="76"/>
      <c r="AV87" s="76"/>
      <c r="AW87" s="76"/>
      <c r="AX87" s="76"/>
      <c r="AY87" s="76"/>
      <c r="AZ87" s="76"/>
      <c r="BD87" s="57" t="s">
        <v>630</v>
      </c>
      <c r="BE87" s="56" t="str">
        <f>Application!O156</f>
        <v>1122 Broadway, Suite 300</v>
      </c>
    </row>
    <row r="88" spans="1:57" ht="12.75" customHeight="1">
      <c r="A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D88" s="59" t="s">
        <v>634</v>
      </c>
      <c r="BE88" s="56" t="str">
        <f>Application!O157</f>
        <v xml:space="preserve">San Diego  </v>
      </c>
    </row>
    <row r="89" spans="1:57" ht="12.75" customHeight="1">
      <c r="A89" s="910" t="s">
        <v>637</v>
      </c>
      <c r="B89" s="893"/>
      <c r="C89" s="893"/>
      <c r="D89" s="893"/>
      <c r="E89" s="893"/>
      <c r="F89" s="893"/>
      <c r="G89" s="893"/>
      <c r="H89" s="893"/>
      <c r="I89" s="893"/>
      <c r="J89" s="893"/>
      <c r="K89" s="893"/>
      <c r="L89" s="893"/>
      <c r="M89" s="893"/>
      <c r="N89" s="893"/>
      <c r="O89" s="893"/>
      <c r="P89" s="893"/>
      <c r="Q89" s="893"/>
      <c r="R89" s="893"/>
      <c r="S89" s="893"/>
      <c r="T89" s="893"/>
      <c r="U89" s="893"/>
      <c r="V89" s="893"/>
      <c r="W89" s="893"/>
      <c r="X89" s="893"/>
      <c r="Y89" s="893"/>
      <c r="Z89" s="893"/>
      <c r="AA89" s="893"/>
      <c r="AB89" s="893"/>
      <c r="AC89" s="893"/>
      <c r="AD89" s="893"/>
      <c r="AE89" s="893"/>
      <c r="AF89" s="893"/>
      <c r="AG89" s="893"/>
      <c r="AH89" s="893"/>
      <c r="AI89" s="893"/>
      <c r="AJ89" s="893"/>
      <c r="AK89" s="893"/>
      <c r="AL89" s="893"/>
      <c r="AM89" s="893"/>
      <c r="AN89" s="893"/>
      <c r="AO89" s="893"/>
      <c r="AP89" s="893"/>
      <c r="AQ89" s="893"/>
      <c r="AR89" s="893"/>
      <c r="AS89" s="893"/>
      <c r="AT89" s="893"/>
      <c r="AU89" s="100"/>
      <c r="AV89" s="100"/>
      <c r="AW89" s="100"/>
      <c r="AX89" s="100"/>
      <c r="AY89" s="100"/>
      <c r="AZ89" s="76"/>
      <c r="BD89" s="57" t="s">
        <v>639</v>
      </c>
      <c r="BE89" s="56">
        <f>Application!O158</f>
        <v>92101</v>
      </c>
    </row>
    <row r="90" spans="1:57" ht="12.75" customHeight="1">
      <c r="A90" s="893"/>
      <c r="B90" s="893"/>
      <c r="C90" s="893"/>
      <c r="D90" s="893"/>
      <c r="E90" s="893"/>
      <c r="F90" s="893"/>
      <c r="G90" s="893"/>
      <c r="H90" s="893"/>
      <c r="I90" s="893"/>
      <c r="J90" s="893"/>
      <c r="K90" s="893"/>
      <c r="L90" s="893"/>
      <c r="M90" s="893"/>
      <c r="N90" s="893"/>
      <c r="O90" s="893"/>
      <c r="P90" s="893"/>
      <c r="Q90" s="893"/>
      <c r="R90" s="893"/>
      <c r="S90" s="893"/>
      <c r="T90" s="893"/>
      <c r="U90" s="893"/>
      <c r="V90" s="893"/>
      <c r="W90" s="893"/>
      <c r="X90" s="893"/>
      <c r="Y90" s="893"/>
      <c r="Z90" s="893"/>
      <c r="AA90" s="893"/>
      <c r="AB90" s="893"/>
      <c r="AC90" s="893"/>
      <c r="AD90" s="893"/>
      <c r="AE90" s="893"/>
      <c r="AF90" s="893"/>
      <c r="AG90" s="893"/>
      <c r="AH90" s="893"/>
      <c r="AI90" s="893"/>
      <c r="AJ90" s="893"/>
      <c r="AK90" s="893"/>
      <c r="AL90" s="893"/>
      <c r="AM90" s="893"/>
      <c r="AN90" s="893"/>
      <c r="AO90" s="893"/>
      <c r="AP90" s="893"/>
      <c r="AQ90" s="893"/>
      <c r="AR90" s="893"/>
      <c r="AS90" s="893"/>
      <c r="AT90" s="893"/>
      <c r="AU90" s="100"/>
      <c r="AV90" s="100"/>
      <c r="AW90" s="100"/>
      <c r="AX90" s="100"/>
      <c r="AY90" s="100"/>
      <c r="AZ90" s="76"/>
      <c r="BD90" s="59" t="s">
        <v>642</v>
      </c>
      <c r="BE90" s="56" t="str">
        <f>Application!H16</f>
        <v xml:space="preserve">427 SD Housing, LP </v>
      </c>
    </row>
    <row r="91" spans="1:57" ht="12.75" customHeight="1">
      <c r="A91" s="14"/>
      <c r="C91" s="41"/>
      <c r="D91" s="41"/>
      <c r="E91" s="41"/>
      <c r="F91" s="41"/>
      <c r="G91" s="41"/>
      <c r="H91" s="41"/>
      <c r="I91" s="41"/>
      <c r="J91" s="41"/>
      <c r="K91" s="41"/>
      <c r="L91" s="41"/>
      <c r="M91" s="41"/>
      <c r="N91" s="41"/>
      <c r="O91" s="41"/>
      <c r="P91" s="41"/>
      <c r="Q91" s="41"/>
      <c r="R91" s="41"/>
      <c r="S91" s="41"/>
      <c r="T91" s="41"/>
      <c r="U91" s="41"/>
      <c r="V91" s="41"/>
      <c r="W91" s="41"/>
      <c r="X91" s="41"/>
      <c r="Y91" s="41"/>
      <c r="Z91" s="41"/>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76"/>
      <c r="BD91" s="57" t="s">
        <v>647</v>
      </c>
      <c r="BE91" s="56" t="str">
        <f>Application!M242</f>
        <v xml:space="preserve">4380 Bonita Road </v>
      </c>
    </row>
    <row r="92" spans="1:57" ht="12.75" customHeight="1">
      <c r="A92" s="909" t="s">
        <v>649</v>
      </c>
      <c r="B92" s="893"/>
      <c r="C92" s="893"/>
      <c r="D92" s="893"/>
      <c r="E92" s="893"/>
      <c r="F92" s="893"/>
      <c r="G92" s="893"/>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c r="AF92" s="893"/>
      <c r="AG92" s="893"/>
      <c r="AH92" s="893"/>
      <c r="AI92" s="893"/>
      <c r="AJ92" s="893"/>
      <c r="AK92" s="893"/>
      <c r="AL92" s="893"/>
      <c r="AM92" s="893"/>
      <c r="AN92" s="893"/>
      <c r="AO92" s="893"/>
      <c r="AP92" s="893"/>
      <c r="AQ92" s="893"/>
      <c r="AR92" s="893"/>
      <c r="AS92" s="893"/>
      <c r="AT92" s="893"/>
      <c r="AU92" s="76"/>
      <c r="AV92" s="76"/>
      <c r="AW92" s="76"/>
      <c r="AX92" s="76"/>
      <c r="AY92" s="76"/>
      <c r="AZ92" s="76"/>
      <c r="BD92" s="59" t="s">
        <v>650</v>
      </c>
      <c r="BE92" s="56" t="str">
        <f>Application!M243</f>
        <v>Bonita</v>
      </c>
    </row>
    <row r="93" spans="1:57" ht="12.75" customHeight="1">
      <c r="A93" s="893"/>
      <c r="B93" s="893"/>
      <c r="C93" s="893"/>
      <c r="D93" s="893"/>
      <c r="E93" s="893"/>
      <c r="F93" s="893"/>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c r="AE93" s="893"/>
      <c r="AF93" s="893"/>
      <c r="AG93" s="893"/>
      <c r="AH93" s="893"/>
      <c r="AI93" s="893"/>
      <c r="AJ93" s="893"/>
      <c r="AK93" s="893"/>
      <c r="AL93" s="893"/>
      <c r="AM93" s="893"/>
      <c r="AN93" s="893"/>
      <c r="AO93" s="893"/>
      <c r="AP93" s="893"/>
      <c r="AQ93" s="893"/>
      <c r="AR93" s="893"/>
      <c r="AS93" s="893"/>
      <c r="AT93" s="893"/>
      <c r="AU93" s="76"/>
      <c r="AV93" s="76"/>
      <c r="AW93" s="76"/>
      <c r="AX93" s="76"/>
      <c r="AY93" s="76"/>
      <c r="AZ93" s="76"/>
      <c r="BD93" s="57" t="s">
        <v>653</v>
      </c>
      <c r="BE93" s="56" t="str">
        <f>Application!W243</f>
        <v xml:space="preserve">CA </v>
      </c>
    </row>
    <row r="94" spans="1:57" ht="12.75" customHeight="1">
      <c r="A94" s="893"/>
      <c r="B94" s="893"/>
      <c r="C94" s="893"/>
      <c r="D94" s="893"/>
      <c r="E94" s="893"/>
      <c r="F94" s="893"/>
      <c r="G94" s="893"/>
      <c r="H94" s="893"/>
      <c r="I94" s="893"/>
      <c r="J94" s="893"/>
      <c r="K94" s="893"/>
      <c r="L94" s="893"/>
      <c r="M94" s="893"/>
      <c r="N94" s="893"/>
      <c r="O94" s="893"/>
      <c r="P94" s="893"/>
      <c r="Q94" s="893"/>
      <c r="R94" s="893"/>
      <c r="S94" s="893"/>
      <c r="T94" s="893"/>
      <c r="U94" s="893"/>
      <c r="V94" s="893"/>
      <c r="W94" s="893"/>
      <c r="X94" s="893"/>
      <c r="Y94" s="893"/>
      <c r="Z94" s="893"/>
      <c r="AA94" s="893"/>
      <c r="AB94" s="893"/>
      <c r="AC94" s="893"/>
      <c r="AD94" s="893"/>
      <c r="AE94" s="893"/>
      <c r="AF94" s="893"/>
      <c r="AG94" s="893"/>
      <c r="AH94" s="893"/>
      <c r="AI94" s="893"/>
      <c r="AJ94" s="893"/>
      <c r="AK94" s="893"/>
      <c r="AL94" s="893"/>
      <c r="AM94" s="893"/>
      <c r="AN94" s="893"/>
      <c r="AO94" s="893"/>
      <c r="AP94" s="893"/>
      <c r="AQ94" s="893"/>
      <c r="AR94" s="893"/>
      <c r="AS94" s="893"/>
      <c r="AT94" s="893"/>
      <c r="AU94" s="76"/>
      <c r="AV94" s="76"/>
      <c r="AW94" s="76"/>
      <c r="AX94" s="76"/>
      <c r="AY94" s="76"/>
      <c r="AZ94" s="76"/>
      <c r="BD94" s="59" t="s">
        <v>657</v>
      </c>
      <c r="BE94" s="56">
        <f>Application!AC243</f>
        <v>91902</v>
      </c>
    </row>
    <row r="95" spans="1:57" ht="12.75" customHeight="1">
      <c r="A95" s="893"/>
      <c r="B95" s="893"/>
      <c r="C95" s="893"/>
      <c r="D95" s="893"/>
      <c r="E95" s="893"/>
      <c r="F95" s="893"/>
      <c r="G95" s="893"/>
      <c r="H95" s="893"/>
      <c r="I95" s="893"/>
      <c r="J95" s="893"/>
      <c r="K95" s="893"/>
      <c r="L95" s="893"/>
      <c r="M95" s="893"/>
      <c r="N95" s="893"/>
      <c r="O95" s="893"/>
      <c r="P95" s="893"/>
      <c r="Q95" s="893"/>
      <c r="R95" s="893"/>
      <c r="S95" s="893"/>
      <c r="T95" s="893"/>
      <c r="U95" s="893"/>
      <c r="V95" s="893"/>
      <c r="W95" s="893"/>
      <c r="X95" s="893"/>
      <c r="Y95" s="893"/>
      <c r="Z95" s="893"/>
      <c r="AA95" s="893"/>
      <c r="AB95" s="893"/>
      <c r="AC95" s="893"/>
      <c r="AD95" s="893"/>
      <c r="AE95" s="893"/>
      <c r="AF95" s="893"/>
      <c r="AG95" s="893"/>
      <c r="AH95" s="893"/>
      <c r="AI95" s="893"/>
      <c r="AJ95" s="893"/>
      <c r="AK95" s="893"/>
      <c r="AL95" s="893"/>
      <c r="AM95" s="893"/>
      <c r="AN95" s="893"/>
      <c r="AO95" s="893"/>
      <c r="AP95" s="893"/>
      <c r="AQ95" s="893"/>
      <c r="AR95" s="893"/>
      <c r="AS95" s="893"/>
      <c r="AT95" s="893"/>
      <c r="AU95" s="76"/>
      <c r="AV95" s="76"/>
      <c r="AW95" s="76"/>
      <c r="AX95" s="76"/>
      <c r="AY95" s="76"/>
      <c r="AZ95" s="76"/>
      <c r="BD95" s="57" t="s">
        <v>661</v>
      </c>
      <c r="BE95" s="56" t="str">
        <f>Application!M244</f>
        <v xml:space="preserve">Justice Lepe </v>
      </c>
    </row>
    <row r="96" spans="1:57" ht="12.75" customHeight="1">
      <c r="A96" s="893"/>
      <c r="B96" s="893"/>
      <c r="C96" s="893"/>
      <c r="D96" s="893"/>
      <c r="E96" s="893"/>
      <c r="F96" s="893"/>
      <c r="G96" s="893"/>
      <c r="H96" s="893"/>
      <c r="I96" s="893"/>
      <c r="J96" s="893"/>
      <c r="K96" s="893"/>
      <c r="L96" s="893"/>
      <c r="M96" s="893"/>
      <c r="N96" s="893"/>
      <c r="O96" s="893"/>
      <c r="P96" s="893"/>
      <c r="Q96" s="893"/>
      <c r="R96" s="893"/>
      <c r="S96" s="893"/>
      <c r="T96" s="893"/>
      <c r="U96" s="893"/>
      <c r="V96" s="893"/>
      <c r="W96" s="893"/>
      <c r="X96" s="893"/>
      <c r="Y96" s="893"/>
      <c r="Z96" s="893"/>
      <c r="AA96" s="893"/>
      <c r="AB96" s="893"/>
      <c r="AC96" s="893"/>
      <c r="AD96" s="893"/>
      <c r="AE96" s="893"/>
      <c r="AF96" s="893"/>
      <c r="AG96" s="893"/>
      <c r="AH96" s="893"/>
      <c r="AI96" s="893"/>
      <c r="AJ96" s="893"/>
      <c r="AK96" s="893"/>
      <c r="AL96" s="893"/>
      <c r="AM96" s="893"/>
      <c r="AN96" s="893"/>
      <c r="AO96" s="893"/>
      <c r="AP96" s="893"/>
      <c r="AQ96" s="893"/>
      <c r="AR96" s="893"/>
      <c r="AS96" s="893"/>
      <c r="AT96" s="893"/>
      <c r="AU96" s="76"/>
      <c r="AV96" s="76"/>
      <c r="AW96" s="76"/>
      <c r="AX96" s="76"/>
      <c r="AY96" s="76"/>
      <c r="AZ96" s="76"/>
      <c r="BD96" s="59" t="s">
        <v>664</v>
      </c>
      <c r="BE96" s="56" t="str">
        <f>Application!M246</f>
        <v>justicelepe@gmail.com</v>
      </c>
    </row>
    <row r="97" spans="1:57" ht="12.75" customHeight="1">
      <c r="A97" s="893"/>
      <c r="B97" s="893"/>
      <c r="C97" s="893"/>
      <c r="D97" s="893"/>
      <c r="E97" s="893"/>
      <c r="F97" s="893"/>
      <c r="G97" s="893"/>
      <c r="H97" s="893"/>
      <c r="I97" s="893"/>
      <c r="J97" s="893"/>
      <c r="K97" s="893"/>
      <c r="L97" s="893"/>
      <c r="M97" s="893"/>
      <c r="N97" s="893"/>
      <c r="O97" s="893"/>
      <c r="P97" s="893"/>
      <c r="Q97" s="893"/>
      <c r="R97" s="893"/>
      <c r="S97" s="893"/>
      <c r="T97" s="893"/>
      <c r="U97" s="893"/>
      <c r="V97" s="893"/>
      <c r="W97" s="893"/>
      <c r="X97" s="893"/>
      <c r="Y97" s="893"/>
      <c r="Z97" s="893"/>
      <c r="AA97" s="893"/>
      <c r="AB97" s="893"/>
      <c r="AC97" s="893"/>
      <c r="AD97" s="893"/>
      <c r="AE97" s="893"/>
      <c r="AF97" s="893"/>
      <c r="AG97" s="893"/>
      <c r="AH97" s="893"/>
      <c r="AI97" s="893"/>
      <c r="AJ97" s="893"/>
      <c r="AK97" s="893"/>
      <c r="AL97" s="893"/>
      <c r="AM97" s="893"/>
      <c r="AN97" s="893"/>
      <c r="AO97" s="893"/>
      <c r="AP97" s="893"/>
      <c r="AQ97" s="893"/>
      <c r="AR97" s="893"/>
      <c r="AS97" s="893"/>
      <c r="AT97" s="893"/>
      <c r="AU97" s="76"/>
      <c r="AV97" s="76"/>
      <c r="AW97" s="76"/>
      <c r="AX97" s="76"/>
      <c r="AY97" s="76"/>
      <c r="AZ97" s="76"/>
      <c r="BD97" s="57" t="s">
        <v>669</v>
      </c>
      <c r="BE97" s="56" t="str">
        <f>Application!M257</f>
        <v>anand@polaris@affordable.com</v>
      </c>
    </row>
    <row r="98" spans="1:57" ht="12.75" customHeight="1">
      <c r="A98" s="893"/>
      <c r="B98" s="893"/>
      <c r="C98" s="893"/>
      <c r="D98" s="893"/>
      <c r="E98" s="893"/>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c r="AE98" s="893"/>
      <c r="AF98" s="893"/>
      <c r="AG98" s="893"/>
      <c r="AH98" s="893"/>
      <c r="AI98" s="893"/>
      <c r="AJ98" s="893"/>
      <c r="AK98" s="893"/>
      <c r="AL98" s="893"/>
      <c r="AM98" s="893"/>
      <c r="AN98" s="893"/>
      <c r="AO98" s="893"/>
      <c r="AP98" s="893"/>
      <c r="AQ98" s="893"/>
      <c r="AR98" s="893"/>
      <c r="AS98" s="893"/>
      <c r="AT98" s="893"/>
      <c r="AU98" s="76"/>
      <c r="AV98" s="76"/>
      <c r="AW98" s="76"/>
      <c r="AX98" s="76"/>
      <c r="AY98" s="76"/>
      <c r="AZ98" s="76"/>
      <c r="BD98" s="59" t="s">
        <v>673</v>
      </c>
      <c r="BE98" s="56" t="str">
        <f>Application!M265</f>
        <v>erin@communityresidentservices.com</v>
      </c>
    </row>
    <row r="99" spans="1:57" ht="12.75" customHeight="1">
      <c r="C99" s="14"/>
      <c r="D99" s="14"/>
      <c r="E99" s="14"/>
      <c r="F99" s="14"/>
      <c r="G99" s="14"/>
      <c r="H99" s="14"/>
      <c r="I99" s="14"/>
      <c r="J99" s="14"/>
      <c r="K99" s="14"/>
      <c r="L99" s="14"/>
      <c r="M99" s="14"/>
      <c r="N99" s="14"/>
      <c r="O99" s="14"/>
      <c r="P99" s="14"/>
      <c r="Q99" s="14"/>
      <c r="R99" s="14"/>
      <c r="S99" s="14"/>
      <c r="T99" s="14"/>
      <c r="U99" s="14"/>
      <c r="V99" s="14"/>
      <c r="W99" s="14"/>
      <c r="X99" s="14"/>
      <c r="Y99" s="14"/>
      <c r="Z99" s="14"/>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D99" s="57" t="s">
        <v>677</v>
      </c>
      <c r="BE99" s="56">
        <f>Application!M273</f>
        <v>0</v>
      </c>
    </row>
    <row r="100" spans="1:57" ht="12.75" customHeight="1">
      <c r="A100" s="895" t="s">
        <v>679</v>
      </c>
      <c r="B100" s="893"/>
      <c r="C100" s="893"/>
      <c r="D100" s="893"/>
      <c r="E100" s="893"/>
      <c r="F100" s="893"/>
      <c r="G100" s="893"/>
      <c r="H100" s="893"/>
      <c r="I100" s="893"/>
      <c r="J100" s="893"/>
      <c r="K100" s="893"/>
      <c r="L100" s="893"/>
      <c r="M100" s="893"/>
      <c r="N100" s="893"/>
      <c r="O100" s="893"/>
      <c r="P100" s="893"/>
      <c r="Q100" s="893"/>
      <c r="R100" s="893"/>
      <c r="S100" s="893"/>
      <c r="T100" s="893"/>
      <c r="U100" s="893"/>
      <c r="V100" s="893"/>
      <c r="W100" s="893"/>
      <c r="X100" s="893"/>
      <c r="Y100" s="893"/>
      <c r="Z100" s="893"/>
      <c r="AA100" s="893"/>
      <c r="AB100" s="893"/>
      <c r="AC100" s="893"/>
      <c r="AD100" s="893"/>
      <c r="AE100" s="893"/>
      <c r="AF100" s="893"/>
      <c r="AG100" s="893"/>
      <c r="AH100" s="893"/>
      <c r="AI100" s="893"/>
      <c r="AJ100" s="893"/>
      <c r="AK100" s="893"/>
      <c r="AL100" s="893"/>
      <c r="AM100" s="893"/>
      <c r="AN100" s="893"/>
      <c r="AO100" s="893"/>
      <c r="AP100" s="893"/>
      <c r="AQ100" s="893"/>
      <c r="AR100" s="893"/>
      <c r="AS100" s="893"/>
      <c r="AT100" s="893"/>
      <c r="AU100" s="76"/>
      <c r="AV100" s="76"/>
      <c r="AW100" s="76"/>
      <c r="AX100" s="76"/>
      <c r="AY100" s="76"/>
      <c r="AZ100" s="76"/>
      <c r="BD100" s="59" t="s">
        <v>680</v>
      </c>
      <c r="BE100" s="56" t="str">
        <f>Application!L288</f>
        <v>anand@polarisaffordable.com</v>
      </c>
    </row>
    <row r="101" spans="1:57" ht="12.75" customHeight="1">
      <c r="A101" s="893"/>
      <c r="B101" s="893"/>
      <c r="C101" s="893"/>
      <c r="D101" s="893"/>
      <c r="E101" s="893"/>
      <c r="F101" s="893"/>
      <c r="G101" s="893"/>
      <c r="H101" s="893"/>
      <c r="I101" s="893"/>
      <c r="J101" s="893"/>
      <c r="K101" s="893"/>
      <c r="L101" s="893"/>
      <c r="M101" s="893"/>
      <c r="N101" s="893"/>
      <c r="O101" s="893"/>
      <c r="P101" s="893"/>
      <c r="Q101" s="893"/>
      <c r="R101" s="893"/>
      <c r="S101" s="893"/>
      <c r="T101" s="893"/>
      <c r="U101" s="893"/>
      <c r="V101" s="893"/>
      <c r="W101" s="893"/>
      <c r="X101" s="893"/>
      <c r="Y101" s="893"/>
      <c r="Z101" s="893"/>
      <c r="AA101" s="893"/>
      <c r="AB101" s="893"/>
      <c r="AC101" s="893"/>
      <c r="AD101" s="893"/>
      <c r="AE101" s="893"/>
      <c r="AF101" s="893"/>
      <c r="AG101" s="893"/>
      <c r="AH101" s="893"/>
      <c r="AI101" s="893"/>
      <c r="AJ101" s="893"/>
      <c r="AK101" s="893"/>
      <c r="AL101" s="893"/>
      <c r="AM101" s="893"/>
      <c r="AN101" s="893"/>
      <c r="AO101" s="893"/>
      <c r="AP101" s="893"/>
      <c r="AQ101" s="893"/>
      <c r="AR101" s="893"/>
      <c r="AS101" s="893"/>
      <c r="AT101" s="893"/>
      <c r="AU101" s="76"/>
      <c r="AV101" s="76"/>
      <c r="AW101" s="76"/>
      <c r="AX101" s="76"/>
      <c r="AY101" s="76"/>
      <c r="AZ101" s="76"/>
      <c r="BD101" s="52" t="s">
        <v>684</v>
      </c>
      <c r="BE101" s="115">
        <f>'Sources and Uses Budget'!C105</f>
        <v>99176513</v>
      </c>
    </row>
    <row r="102" spans="1:57" ht="12.75" customHeight="1">
      <c r="A102" s="893"/>
      <c r="B102" s="893"/>
      <c r="C102" s="893"/>
      <c r="D102" s="893"/>
      <c r="E102" s="893"/>
      <c r="F102" s="893"/>
      <c r="G102" s="893"/>
      <c r="H102" s="893"/>
      <c r="I102" s="893"/>
      <c r="J102" s="893"/>
      <c r="K102" s="893"/>
      <c r="L102" s="893"/>
      <c r="M102" s="893"/>
      <c r="N102" s="893"/>
      <c r="O102" s="893"/>
      <c r="P102" s="893"/>
      <c r="Q102" s="893"/>
      <c r="R102" s="893"/>
      <c r="S102" s="893"/>
      <c r="T102" s="893"/>
      <c r="U102" s="893"/>
      <c r="V102" s="893"/>
      <c r="W102" s="893"/>
      <c r="X102" s="893"/>
      <c r="Y102" s="893"/>
      <c r="Z102" s="893"/>
      <c r="AA102" s="893"/>
      <c r="AB102" s="893"/>
      <c r="AC102" s="893"/>
      <c r="AD102" s="893"/>
      <c r="AE102" s="893"/>
      <c r="AF102" s="893"/>
      <c r="AG102" s="893"/>
      <c r="AH102" s="893"/>
      <c r="AI102" s="893"/>
      <c r="AJ102" s="893"/>
      <c r="AK102" s="893"/>
      <c r="AL102" s="893"/>
      <c r="AM102" s="893"/>
      <c r="AN102" s="893"/>
      <c r="AO102" s="893"/>
      <c r="AP102" s="893"/>
      <c r="AQ102" s="893"/>
      <c r="AR102" s="893"/>
      <c r="AS102" s="893"/>
      <c r="AT102" s="893"/>
      <c r="AU102" s="76"/>
      <c r="AV102" s="76"/>
      <c r="AW102" s="76"/>
      <c r="AX102" s="76"/>
      <c r="AY102" s="76"/>
      <c r="AZ102" s="76"/>
      <c r="BD102" s="52" t="s">
        <v>688</v>
      </c>
      <c r="BE102" s="54" t="b">
        <f>T197="Yes"</f>
        <v>1</v>
      </c>
    </row>
    <row r="103" spans="1:57" ht="12.75" customHeight="1">
      <c r="A103" s="893"/>
      <c r="B103" s="893"/>
      <c r="C103" s="893"/>
      <c r="D103" s="893"/>
      <c r="E103" s="893"/>
      <c r="F103" s="893"/>
      <c r="G103" s="893"/>
      <c r="H103" s="893"/>
      <c r="I103" s="893"/>
      <c r="J103" s="893"/>
      <c r="K103" s="893"/>
      <c r="L103" s="893"/>
      <c r="M103" s="893"/>
      <c r="N103" s="893"/>
      <c r="O103" s="893"/>
      <c r="P103" s="893"/>
      <c r="Q103" s="893"/>
      <c r="R103" s="893"/>
      <c r="S103" s="893"/>
      <c r="T103" s="893"/>
      <c r="U103" s="893"/>
      <c r="V103" s="893"/>
      <c r="W103" s="893"/>
      <c r="X103" s="893"/>
      <c r="Y103" s="893"/>
      <c r="Z103" s="893"/>
      <c r="AA103" s="893"/>
      <c r="AB103" s="893"/>
      <c r="AC103" s="893"/>
      <c r="AD103" s="893"/>
      <c r="AE103" s="893"/>
      <c r="AF103" s="893"/>
      <c r="AG103" s="893"/>
      <c r="AH103" s="893"/>
      <c r="AI103" s="893"/>
      <c r="AJ103" s="893"/>
      <c r="AK103" s="893"/>
      <c r="AL103" s="893"/>
      <c r="AM103" s="893"/>
      <c r="AN103" s="893"/>
      <c r="AO103" s="893"/>
      <c r="AP103" s="893"/>
      <c r="AQ103" s="893"/>
      <c r="AR103" s="893"/>
      <c r="AS103" s="893"/>
      <c r="AT103" s="893"/>
      <c r="AU103" s="76"/>
      <c r="AV103" s="76"/>
      <c r="AW103" s="76"/>
      <c r="AX103" s="76"/>
      <c r="AY103" s="76"/>
      <c r="BD103" s="54" t="s">
        <v>691</v>
      </c>
      <c r="BE103" s="56" t="b">
        <f t="shared" ref="BE103:BE104" si="0">T199="Yes"</f>
        <v>0</v>
      </c>
    </row>
    <row r="104" spans="1:57" ht="12.75" customHeight="1">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BD104" s="54" t="s">
        <v>695</v>
      </c>
      <c r="BE104" s="56" t="b">
        <f t="shared" si="0"/>
        <v>0</v>
      </c>
    </row>
    <row r="105" spans="1:57" ht="12.75" customHeight="1">
      <c r="A105" s="895" t="s">
        <v>697</v>
      </c>
      <c r="B105" s="893"/>
      <c r="C105" s="893"/>
      <c r="D105" s="893"/>
      <c r="E105" s="893"/>
      <c r="F105" s="893"/>
      <c r="G105" s="893"/>
      <c r="H105" s="893"/>
      <c r="I105" s="893"/>
      <c r="J105" s="893"/>
      <c r="K105" s="893"/>
      <c r="L105" s="893"/>
      <c r="M105" s="893"/>
      <c r="N105" s="893"/>
      <c r="O105" s="893"/>
      <c r="P105" s="893"/>
      <c r="Q105" s="893"/>
      <c r="R105" s="893"/>
      <c r="S105" s="893"/>
      <c r="T105" s="893"/>
      <c r="U105" s="893"/>
      <c r="V105" s="893"/>
      <c r="W105" s="893"/>
      <c r="X105" s="893"/>
      <c r="Y105" s="893"/>
      <c r="Z105" s="893"/>
      <c r="AA105" s="893"/>
      <c r="AB105" s="893"/>
      <c r="AC105" s="893"/>
      <c r="AD105" s="893"/>
      <c r="AE105" s="893"/>
      <c r="AF105" s="893"/>
      <c r="AG105" s="893"/>
      <c r="AH105" s="893"/>
      <c r="AI105" s="893"/>
      <c r="AJ105" s="893"/>
      <c r="AK105" s="893"/>
      <c r="AL105" s="893"/>
      <c r="AM105" s="893"/>
      <c r="AN105" s="893"/>
      <c r="AO105" s="893"/>
      <c r="AP105" s="893"/>
      <c r="AQ105" s="893"/>
      <c r="AR105" s="893"/>
      <c r="AS105" s="893"/>
      <c r="AT105" s="893"/>
      <c r="AU105" s="76"/>
      <c r="AV105" s="76"/>
      <c r="AW105" s="76"/>
      <c r="AX105" s="76"/>
      <c r="AY105" s="76"/>
      <c r="BD105" s="52" t="s">
        <v>699</v>
      </c>
      <c r="BE105" s="56" t="b">
        <f t="shared" ref="BE105:BE110" si="1">V224="Yes"</f>
        <v>0</v>
      </c>
    </row>
    <row r="106" spans="1:57" ht="12.75" customHeight="1">
      <c r="A106" s="893"/>
      <c r="B106" s="893"/>
      <c r="C106" s="893"/>
      <c r="D106" s="893"/>
      <c r="E106" s="893"/>
      <c r="F106" s="893"/>
      <c r="G106" s="893"/>
      <c r="H106" s="893"/>
      <c r="I106" s="893"/>
      <c r="J106" s="893"/>
      <c r="K106" s="893"/>
      <c r="L106" s="893"/>
      <c r="M106" s="893"/>
      <c r="N106" s="893"/>
      <c r="O106" s="893"/>
      <c r="P106" s="893"/>
      <c r="Q106" s="893"/>
      <c r="R106" s="893"/>
      <c r="S106" s="893"/>
      <c r="T106" s="893"/>
      <c r="U106" s="893"/>
      <c r="V106" s="893"/>
      <c r="W106" s="893"/>
      <c r="X106" s="893"/>
      <c r="Y106" s="893"/>
      <c r="Z106" s="893"/>
      <c r="AA106" s="893"/>
      <c r="AB106" s="893"/>
      <c r="AC106" s="893"/>
      <c r="AD106" s="893"/>
      <c r="AE106" s="893"/>
      <c r="AF106" s="893"/>
      <c r="AG106" s="893"/>
      <c r="AH106" s="893"/>
      <c r="AI106" s="893"/>
      <c r="AJ106" s="893"/>
      <c r="AK106" s="893"/>
      <c r="AL106" s="893"/>
      <c r="AM106" s="893"/>
      <c r="AN106" s="893"/>
      <c r="AO106" s="893"/>
      <c r="AP106" s="893"/>
      <c r="AQ106" s="893"/>
      <c r="AR106" s="893"/>
      <c r="AS106" s="893"/>
      <c r="AT106" s="893"/>
      <c r="AU106" s="76"/>
      <c r="AV106" s="76"/>
      <c r="AW106" s="76"/>
      <c r="AX106" s="76"/>
      <c r="AY106" s="76"/>
      <c r="BD106" s="52" t="s">
        <v>703</v>
      </c>
      <c r="BE106" s="56" t="b">
        <f t="shared" si="1"/>
        <v>1</v>
      </c>
    </row>
    <row r="107" spans="1:57" ht="12.75" customHeight="1">
      <c r="A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BD107" s="52" t="s">
        <v>707</v>
      </c>
      <c r="BE107" s="56" t="b">
        <f t="shared" si="1"/>
        <v>0</v>
      </c>
    </row>
    <row r="108" spans="1:57" ht="12.75" customHeight="1">
      <c r="A108" s="14" t="s">
        <v>710</v>
      </c>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BD108" s="52" t="s">
        <v>713</v>
      </c>
      <c r="BE108" s="56" t="b">
        <f t="shared" si="1"/>
        <v>0</v>
      </c>
    </row>
    <row r="109" spans="1:57" ht="12.75" customHeight="1">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76"/>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BD109" s="52" t="s">
        <v>717</v>
      </c>
      <c r="BE109" s="56" t="b">
        <f t="shared" si="1"/>
        <v>0</v>
      </c>
    </row>
    <row r="110" spans="1:57" ht="12.75" customHeight="1">
      <c r="A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76"/>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BD110" s="52" t="s">
        <v>722</v>
      </c>
      <c r="BE110" s="56" t="b">
        <f t="shared" si="1"/>
        <v>0</v>
      </c>
    </row>
    <row r="111" spans="1:57" ht="12.75" customHeight="1">
      <c r="A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row>
    <row r="112" spans="1:57" ht="12.75" customHeight="1">
      <c r="A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row>
    <row r="113" spans="1:117" ht="12.75" customHeight="1">
      <c r="A113" s="14"/>
      <c r="C113" s="1" t="s">
        <v>727</v>
      </c>
      <c r="G113" s="1084"/>
      <c r="H113" s="961"/>
      <c r="I113" s="1" t="s">
        <v>728</v>
      </c>
      <c r="L113" s="1084"/>
      <c r="M113" s="961"/>
      <c r="N113" s="961"/>
      <c r="O113" s="961"/>
      <c r="P113" s="915" t="s">
        <v>729</v>
      </c>
      <c r="Q113" s="893"/>
      <c r="R113" s="893"/>
      <c r="S113" s="893"/>
      <c r="T113" s="14"/>
      <c r="U113" s="14"/>
      <c r="V113" s="14"/>
      <c r="W113" s="14"/>
      <c r="X113" s="14"/>
      <c r="Y113" s="14"/>
      <c r="Z113" s="14"/>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row>
    <row r="114" spans="1:117" ht="12.75" customHeight="1">
      <c r="M114" s="1"/>
      <c r="S114" s="1"/>
      <c r="T114" s="14"/>
      <c r="U114" s="14"/>
      <c r="V114" s="14"/>
      <c r="W114" s="14"/>
      <c r="X114" s="14"/>
      <c r="Y114" s="14"/>
      <c r="Z114" s="14"/>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row>
    <row r="115" spans="1:117" ht="12.75" customHeight="1">
      <c r="A115" s="14"/>
      <c r="C115" s="966"/>
      <c r="D115" s="961"/>
      <c r="E115" s="961"/>
      <c r="F115" s="961"/>
      <c r="G115" s="961"/>
      <c r="H115" s="961"/>
      <c r="I115" s="961"/>
      <c r="J115" s="961"/>
      <c r="K115" s="961"/>
      <c r="L115" s="1" t="s">
        <v>735</v>
      </c>
      <c r="S115" s="1"/>
      <c r="T115" s="14"/>
      <c r="U115" s="14"/>
      <c r="V115" s="14"/>
      <c r="W115" s="14"/>
      <c r="X115" s="14"/>
      <c r="Y115" s="14"/>
      <c r="Z115" s="14"/>
      <c r="AA115" s="76"/>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row>
    <row r="116" spans="1:117" ht="12.75" customHeight="1">
      <c r="A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row>
    <row r="117" spans="1:117" ht="12.75" customHeight="1">
      <c r="A117" s="14"/>
      <c r="B117" s="117"/>
      <c r="C117" s="117"/>
      <c r="X117" s="1" t="s">
        <v>740</v>
      </c>
      <c r="Y117" s="1084"/>
      <c r="Z117" s="961"/>
      <c r="AA117" s="961"/>
      <c r="AB117" s="961"/>
      <c r="AC117" s="961"/>
      <c r="AD117" s="961"/>
      <c r="AE117" s="961"/>
      <c r="AF117" s="961"/>
      <c r="AG117" s="961"/>
      <c r="AH117" s="961"/>
      <c r="AI117" s="961"/>
      <c r="AJ117" s="961"/>
      <c r="AK117" s="961"/>
    </row>
    <row r="118" spans="1:117" ht="12.75" customHeight="1">
      <c r="X118" s="1"/>
      <c r="Y118" s="1"/>
      <c r="Z118" s="1" t="s">
        <v>742</v>
      </c>
      <c r="AA118" s="1"/>
      <c r="AB118" s="1"/>
      <c r="AC118" s="1"/>
      <c r="AD118" s="1"/>
      <c r="AE118" s="1"/>
      <c r="AF118" s="1"/>
      <c r="AG118" s="1"/>
      <c r="AH118" s="1"/>
      <c r="AI118" s="1"/>
      <c r="AJ118" s="1"/>
      <c r="AK118" s="1"/>
    </row>
    <row r="119" spans="1:117" ht="12.75" customHeight="1">
      <c r="A119" s="14"/>
      <c r="B119" s="1"/>
      <c r="E119" s="1"/>
      <c r="F119" s="1"/>
      <c r="J119" s="1"/>
      <c r="P119" s="1"/>
      <c r="Q119" s="1"/>
      <c r="R119" s="1"/>
      <c r="S119" s="1"/>
      <c r="T119" s="1"/>
      <c r="U119" s="1"/>
      <c r="V119" s="1"/>
      <c r="W119" s="1"/>
      <c r="X119" s="1"/>
      <c r="AL119" s="1"/>
      <c r="AM119" s="1"/>
      <c r="AN119" s="1"/>
      <c r="AO119" s="1"/>
      <c r="AP119" s="1"/>
      <c r="AQ119" s="1"/>
      <c r="AR119" s="1"/>
      <c r="AS119" s="1"/>
      <c r="AT119" s="1"/>
      <c r="AU119" s="1"/>
      <c r="AV119" s="1"/>
      <c r="AW119" s="1"/>
      <c r="AX119" s="1"/>
      <c r="AY119" s="1"/>
    </row>
    <row r="120" spans="1:117" ht="12.75" customHeight="1">
      <c r="A120" s="14"/>
      <c r="B120" s="1"/>
      <c r="P120" s="1"/>
      <c r="Q120" s="1"/>
      <c r="R120" s="1"/>
      <c r="S120" s="1"/>
      <c r="T120" s="1"/>
      <c r="U120" s="1"/>
      <c r="V120" s="1"/>
      <c r="W120" s="1"/>
      <c r="X120" s="1"/>
      <c r="Y120" s="1084"/>
      <c r="Z120" s="961"/>
      <c r="AA120" s="961"/>
      <c r="AB120" s="961"/>
      <c r="AC120" s="961"/>
      <c r="AD120" s="961"/>
      <c r="AE120" s="961"/>
      <c r="AF120" s="961"/>
      <c r="AG120" s="961"/>
      <c r="AH120" s="961"/>
      <c r="AI120" s="961"/>
      <c r="AJ120" s="961"/>
      <c r="AK120" s="961"/>
      <c r="AL120" s="1"/>
      <c r="AM120" s="1"/>
      <c r="AN120" s="1"/>
      <c r="AO120" s="1"/>
      <c r="AP120" s="1"/>
      <c r="AQ120" s="1"/>
      <c r="AR120" s="1"/>
      <c r="AS120" s="1"/>
      <c r="AT120" s="1"/>
      <c r="AU120" s="1"/>
      <c r="AV120" s="1"/>
      <c r="AW120" s="1"/>
      <c r="AX120" s="1"/>
      <c r="AY120" s="1"/>
    </row>
    <row r="121" spans="1:117" ht="12.75" customHeight="1">
      <c r="A121" s="1"/>
      <c r="B121" s="1"/>
      <c r="P121" s="1"/>
      <c r="Q121" s="1"/>
      <c r="R121" s="1"/>
      <c r="S121" s="1"/>
      <c r="T121" s="1"/>
      <c r="U121" s="1"/>
      <c r="V121" s="1"/>
      <c r="W121" s="1"/>
      <c r="X121" s="1"/>
      <c r="Y121" s="1"/>
      <c r="Z121" s="1" t="s">
        <v>751</v>
      </c>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row>
    <row r="122" spans="1:117" ht="12.75" customHeight="1">
      <c r="A122" s="1"/>
      <c r="B122" s="1"/>
      <c r="T122" s="1"/>
      <c r="U122" s="1"/>
      <c r="V122" s="1"/>
      <c r="W122" s="1"/>
      <c r="AL122" s="1"/>
      <c r="AM122" s="1"/>
      <c r="AN122" s="1"/>
      <c r="AO122" s="1"/>
      <c r="AP122" s="1"/>
      <c r="AQ122" s="1"/>
      <c r="AR122" s="1"/>
      <c r="AS122" s="1"/>
      <c r="AT122" s="1"/>
      <c r="AU122" s="1"/>
      <c r="AV122" s="1"/>
      <c r="AW122" s="1"/>
      <c r="AX122" s="1"/>
      <c r="AY122" s="1"/>
      <c r="CQ122" s="1" t="s">
        <v>754</v>
      </c>
      <c r="CR122" s="1"/>
      <c r="CS122" s="1"/>
      <c r="CT122" s="1"/>
      <c r="CU122" s="1132" t="s">
        <v>757</v>
      </c>
      <c r="CV122" s="943"/>
      <c r="CW122" s="1"/>
      <c r="CX122" s="1" t="s">
        <v>758</v>
      </c>
      <c r="CY122" s="1"/>
      <c r="CZ122" s="1"/>
      <c r="DA122" s="1"/>
      <c r="DB122" s="1"/>
      <c r="DC122" s="1"/>
      <c r="DD122" s="1"/>
      <c r="DE122" s="1"/>
      <c r="DF122" s="1"/>
      <c r="DG122" s="1029" t="str">
        <f>T189</f>
        <v>San Diego</v>
      </c>
      <c r="DH122" s="921"/>
      <c r="DI122" s="921"/>
      <c r="DJ122" s="921"/>
      <c r="DK122" s="921"/>
      <c r="DL122" s="921"/>
      <c r="DM122" s="943"/>
    </row>
    <row r="123" spans="1:117" ht="12.75" customHeight="1">
      <c r="A123" s="1"/>
      <c r="B123" s="1"/>
      <c r="T123" s="1"/>
      <c r="U123" s="1"/>
      <c r="V123" s="1"/>
      <c r="W123" s="1"/>
      <c r="X123" s="1"/>
      <c r="Y123" s="1084"/>
      <c r="Z123" s="961"/>
      <c r="AA123" s="961"/>
      <c r="AB123" s="961"/>
      <c r="AC123" s="961"/>
      <c r="AD123" s="961"/>
      <c r="AE123" s="961"/>
      <c r="AF123" s="961"/>
      <c r="AG123" s="961"/>
      <c r="AH123" s="961"/>
      <c r="AI123" s="961"/>
      <c r="AJ123" s="961"/>
      <c r="AK123" s="961"/>
      <c r="AL123" s="1"/>
      <c r="AM123" s="1"/>
      <c r="AN123" s="1"/>
      <c r="AO123" s="1"/>
      <c r="AP123" s="1"/>
      <c r="AQ123" s="1"/>
      <c r="AR123" s="1"/>
      <c r="AS123" s="1"/>
      <c r="AT123" s="1"/>
      <c r="AU123" s="1"/>
      <c r="AV123" s="1"/>
      <c r="AW123" s="1"/>
      <c r="AX123" s="1"/>
      <c r="AY123" s="1"/>
      <c r="DJ123" s="1"/>
      <c r="DK123" s="1"/>
      <c r="DL123" s="1"/>
      <c r="DM123" s="1"/>
    </row>
    <row r="124" spans="1:117" ht="12.75" customHeight="1">
      <c r="A124" s="1"/>
      <c r="B124" s="1"/>
      <c r="T124" s="1"/>
      <c r="U124" s="1"/>
      <c r="V124" s="1"/>
      <c r="W124" s="1"/>
      <c r="X124" s="1"/>
      <c r="Y124" s="1"/>
      <c r="Z124" s="1" t="s">
        <v>766</v>
      </c>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CQ124" s="1"/>
      <c r="CR124" s="1"/>
      <c r="CS124" s="1"/>
      <c r="CT124" s="1"/>
      <c r="CU124" s="125" t="s">
        <v>757</v>
      </c>
      <c r="CV124" s="1"/>
      <c r="CW124" s="1"/>
      <c r="CX124" s="1"/>
      <c r="CY124" s="1"/>
      <c r="CZ124" s="1"/>
      <c r="DA124" s="1"/>
      <c r="DB124" s="1"/>
      <c r="DE124" s="126"/>
      <c r="DF124" s="126"/>
      <c r="DG124" s="126"/>
      <c r="DH124" s="126"/>
      <c r="DI124" s="126"/>
      <c r="DJ124" s="1"/>
      <c r="DK124" s="1"/>
      <c r="DL124" s="1"/>
      <c r="DM124" s="1"/>
    </row>
    <row r="125" spans="1:117" ht="12.75" customHeight="1">
      <c r="A125" s="1"/>
      <c r="B125" s="1"/>
      <c r="S125" s="1"/>
      <c r="T125" s="1"/>
      <c r="U125" s="1"/>
      <c r="V125" s="1"/>
      <c r="W125" s="1"/>
      <c r="AL125" s="1"/>
      <c r="AM125" s="1"/>
      <c r="AN125" s="1"/>
      <c r="AO125" s="1"/>
      <c r="AP125" s="1"/>
      <c r="AQ125" s="1"/>
      <c r="AR125" s="1"/>
      <c r="AS125" s="1"/>
      <c r="AT125" s="1"/>
      <c r="AU125" s="1"/>
      <c r="AV125" s="1"/>
      <c r="AW125" s="1"/>
      <c r="AX125" s="1"/>
      <c r="AY125" s="1"/>
      <c r="CQ125" s="1"/>
      <c r="CR125" s="1"/>
      <c r="CS125" s="1"/>
      <c r="CT125" s="1"/>
      <c r="CU125" s="125" t="s">
        <v>770</v>
      </c>
      <c r="CV125" s="1"/>
      <c r="CW125" s="1"/>
      <c r="CX125" s="1"/>
      <c r="CY125" s="1"/>
      <c r="CZ125" s="1"/>
      <c r="DA125" s="1"/>
      <c r="DB125" s="1"/>
      <c r="DE125" s="1"/>
      <c r="DF125" s="1"/>
      <c r="DG125" s="1"/>
      <c r="DH125" s="1"/>
      <c r="DI125" s="1"/>
      <c r="DJ125" s="1"/>
      <c r="DK125" s="1"/>
      <c r="DL125" s="1"/>
      <c r="DM125" s="1"/>
    </row>
    <row r="126" spans="1:117" ht="12.75" customHeight="1">
      <c r="CQ126" s="1"/>
      <c r="CR126" s="1"/>
      <c r="CS126" s="1"/>
      <c r="CT126" s="1"/>
      <c r="CU126" s="1"/>
      <c r="CV126" s="1"/>
      <c r="CW126" s="1"/>
      <c r="CX126" s="1"/>
      <c r="CY126" s="1"/>
      <c r="CZ126" s="1"/>
      <c r="DA126" s="1"/>
      <c r="DB126" s="1"/>
      <c r="DC126" s="125"/>
      <c r="DD126" s="1"/>
      <c r="DE126" s="1"/>
      <c r="DF126" s="1"/>
      <c r="DG126" s="1"/>
      <c r="DH126" s="1"/>
      <c r="DI126" s="1"/>
      <c r="DJ126" s="1"/>
      <c r="DK126" s="1"/>
      <c r="DL126" s="1"/>
      <c r="DM126" s="1"/>
    </row>
    <row r="127" spans="1:117" ht="12.75" customHeight="1">
      <c r="A127" s="1"/>
      <c r="B127" s="1"/>
      <c r="R127" s="1"/>
      <c r="S127" s="1"/>
      <c r="T127" s="1"/>
      <c r="U127" s="1"/>
      <c r="V127" s="1"/>
      <c r="W127" s="1"/>
      <c r="AL127" s="1"/>
      <c r="AM127" s="1"/>
      <c r="AN127" s="1"/>
      <c r="AO127" s="1"/>
      <c r="AP127" s="1"/>
      <c r="AQ127" s="1"/>
      <c r="AR127" s="1"/>
      <c r="AS127" s="1"/>
      <c r="AT127" s="1"/>
      <c r="AU127" s="1"/>
      <c r="AV127" s="1"/>
      <c r="AW127" s="1"/>
      <c r="AX127" s="1"/>
      <c r="AY127" s="1"/>
      <c r="CQ127" s="1"/>
      <c r="CR127" s="1"/>
      <c r="CS127" s="1"/>
      <c r="CT127" s="1"/>
      <c r="CU127" s="1"/>
      <c r="CV127" s="1"/>
      <c r="CW127" s="1"/>
      <c r="CX127" s="1"/>
      <c r="CY127" s="1"/>
      <c r="CZ127" s="1"/>
      <c r="DA127" s="1"/>
      <c r="DB127" s="1"/>
      <c r="DC127" s="125" t="s">
        <v>757</v>
      </c>
      <c r="DD127" s="1"/>
      <c r="DE127" s="1"/>
      <c r="DF127" s="1"/>
      <c r="DG127" s="1"/>
      <c r="DH127" s="1"/>
      <c r="DI127" s="1"/>
      <c r="DJ127" s="1"/>
      <c r="DK127" s="1"/>
      <c r="DL127" s="1"/>
      <c r="DM127" s="1"/>
    </row>
    <row r="128" spans="1:117" ht="12.75" customHeight="1">
      <c r="A128" s="7"/>
      <c r="AL128" s="7"/>
      <c r="AM128" s="7"/>
      <c r="AN128" s="7"/>
      <c r="AO128" s="7"/>
      <c r="AP128" s="7"/>
      <c r="AQ128" s="7"/>
      <c r="AR128" s="7"/>
      <c r="AS128" s="7"/>
      <c r="AT128" s="7"/>
      <c r="AU128" s="7"/>
      <c r="AV128" s="7"/>
      <c r="AW128" s="7"/>
      <c r="AX128" s="7"/>
      <c r="AY128" s="7"/>
    </row>
    <row r="129" spans="1:51" ht="12.75" customHeight="1">
      <c r="A129" s="7"/>
      <c r="B129" s="1"/>
      <c r="R129" s="7"/>
      <c r="S129" s="7"/>
      <c r="T129" s="7"/>
      <c r="U129" s="7"/>
      <c r="V129" s="7"/>
      <c r="W129" s="7"/>
      <c r="AL129" s="7"/>
      <c r="AM129" s="7"/>
      <c r="AN129" s="7"/>
      <c r="AO129" s="7"/>
      <c r="AP129" s="7"/>
      <c r="AQ129" s="7"/>
      <c r="AR129" s="7"/>
      <c r="AS129" s="7"/>
      <c r="AT129" s="7"/>
      <c r="AU129" s="7"/>
      <c r="AV129" s="7"/>
      <c r="AW129" s="7"/>
      <c r="AX129" s="7"/>
      <c r="AY129" s="7"/>
    </row>
    <row r="130" spans="1:51" ht="12.75" customHeight="1">
      <c r="A130" s="1"/>
      <c r="B130" s="17"/>
      <c r="C130" s="7"/>
      <c r="R130" s="7"/>
      <c r="S130" s="7"/>
      <c r="T130" s="7"/>
      <c r="U130" s="7"/>
      <c r="V130" s="7"/>
      <c r="W130" s="7"/>
      <c r="AL130" s="1"/>
      <c r="AM130" s="1"/>
      <c r="AN130" s="1"/>
      <c r="AO130" s="1"/>
      <c r="AP130" s="1"/>
      <c r="AQ130" s="1"/>
      <c r="AR130" s="1"/>
      <c r="AS130" s="1"/>
      <c r="AT130" s="1"/>
      <c r="AU130" s="1"/>
      <c r="AV130" s="1"/>
      <c r="AW130" s="1"/>
      <c r="AX130" s="1"/>
      <c r="AY130" s="1"/>
    </row>
    <row r="131" spans="1:51" ht="12.75" customHeight="1">
      <c r="A131" s="1"/>
      <c r="AL131" s="1"/>
      <c r="AM131" s="1"/>
      <c r="AN131" s="1"/>
      <c r="AO131" s="1"/>
      <c r="AP131" s="1"/>
      <c r="AQ131" s="1"/>
      <c r="AR131" s="1"/>
      <c r="AS131" s="1"/>
      <c r="AT131" s="1"/>
      <c r="AU131" s="1"/>
      <c r="AV131" s="1"/>
      <c r="AW131" s="1"/>
      <c r="AX131" s="1"/>
      <c r="AY131" s="1"/>
    </row>
    <row r="132" spans="1:51" ht="12.75" customHeight="1">
      <c r="A132" s="1"/>
      <c r="B132" s="1"/>
      <c r="C132" s="1"/>
      <c r="D132" s="1"/>
      <c r="F132" s="1"/>
      <c r="G132" s="1"/>
      <c r="H132" s="1"/>
      <c r="I132" s="1"/>
      <c r="J132" s="1"/>
      <c r="K132" s="1"/>
      <c r="L132" s="1"/>
      <c r="M132" s="1"/>
      <c r="N132" s="1"/>
      <c r="P132" s="1"/>
      <c r="Q132" s="1"/>
      <c r="U132" s="1"/>
      <c r="V132" s="1"/>
      <c r="W132" s="1"/>
      <c r="AL132" s="1"/>
      <c r="AM132" s="1"/>
      <c r="AN132" s="1"/>
      <c r="AO132" s="1"/>
      <c r="AP132" s="1"/>
      <c r="AQ132" s="1"/>
      <c r="AR132" s="1"/>
      <c r="AS132" s="1"/>
      <c r="AT132" s="1"/>
      <c r="AU132" s="1"/>
      <c r="AV132" s="1"/>
      <c r="AW132" s="1"/>
      <c r="AX132" s="1"/>
      <c r="AY132" s="1"/>
    </row>
    <row r="133" spans="1:51" ht="12.75" customHeight="1">
      <c r="A133" s="1"/>
      <c r="W133" s="1"/>
      <c r="AL133" s="1"/>
      <c r="AM133" s="1"/>
      <c r="AN133" s="1"/>
      <c r="AO133" s="1"/>
      <c r="AP133" s="1"/>
      <c r="AQ133" s="1"/>
      <c r="AR133" s="1"/>
      <c r="AS133" s="1"/>
      <c r="AT133" s="1"/>
      <c r="AU133" s="1"/>
      <c r="AV133" s="1"/>
      <c r="AW133" s="1"/>
      <c r="AX133" s="1"/>
      <c r="AY133" s="1"/>
    </row>
    <row r="134" spans="1:51" ht="12.75" customHeight="1">
      <c r="A134" s="1"/>
      <c r="B134" s="1"/>
      <c r="C134" s="1"/>
      <c r="D134" s="1"/>
      <c r="E134" s="1"/>
      <c r="G134" s="1"/>
      <c r="H134" s="1"/>
      <c r="I134" s="1"/>
      <c r="J134" s="1"/>
      <c r="K134" s="1"/>
      <c r="L134" s="1"/>
      <c r="M134" s="1"/>
      <c r="N134" s="1"/>
      <c r="O134" s="1"/>
      <c r="P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row>
    <row r="135" spans="1:51" ht="12.75" customHeight="1">
      <c r="A135" s="1"/>
      <c r="M135" s="1"/>
      <c r="N135" s="1"/>
      <c r="O135" s="1"/>
      <c r="AK135" s="1"/>
      <c r="AL135" s="1"/>
      <c r="AM135" s="1"/>
      <c r="AN135" s="1"/>
      <c r="AO135" s="1"/>
      <c r="AP135" s="1"/>
      <c r="AQ135" s="1"/>
      <c r="AR135" s="1"/>
      <c r="AS135" s="1"/>
      <c r="AT135" s="1"/>
      <c r="AU135" s="1"/>
      <c r="AV135" s="1"/>
      <c r="AW135" s="1"/>
      <c r="AX135" s="1"/>
      <c r="AY135" s="1"/>
    </row>
    <row r="136" spans="1:51" ht="12.75" customHeight="1">
      <c r="A136" s="1"/>
      <c r="B136" s="1"/>
      <c r="D136" s="1"/>
      <c r="E136" s="1"/>
      <c r="F136" s="1"/>
      <c r="G136" s="1"/>
      <c r="H136" s="1"/>
      <c r="I136" s="1"/>
      <c r="J136" s="1"/>
      <c r="K136" s="1"/>
      <c r="L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row>
    <row r="137" spans="1:51" ht="12.75" customHeight="1">
      <c r="A137" s="1"/>
      <c r="B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row>
    <row r="138" spans="1:51"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row>
    <row r="139" spans="1:51" ht="12.75" customHeight="1">
      <c r="A139" s="1"/>
      <c r="B139" s="1"/>
      <c r="C139" s="1"/>
      <c r="D139" s="1"/>
      <c r="E139" s="1"/>
      <c r="F139" s="1"/>
      <c r="G139" s="1"/>
      <c r="H139" s="1"/>
      <c r="I139" s="1"/>
      <c r="J139" s="1"/>
      <c r="K139" s="1"/>
      <c r="L139" s="1"/>
      <c r="M139" s="1"/>
      <c r="N139" s="1"/>
      <c r="O139" s="1"/>
      <c r="P139" s="1"/>
      <c r="Q139" s="1"/>
      <c r="R139" s="1"/>
      <c r="S139" s="17"/>
      <c r="T139" s="4"/>
      <c r="U139" s="4"/>
      <c r="V139" s="4"/>
      <c r="W139" s="4"/>
      <c r="X139" s="4"/>
      <c r="Y139" s="4"/>
      <c r="Z139" s="4"/>
      <c r="AA139" s="4"/>
      <c r="AB139" s="4"/>
      <c r="AC139" s="4"/>
      <c r="AD139" s="4"/>
      <c r="AE139" s="4"/>
      <c r="AF139" s="4"/>
      <c r="AG139" s="4"/>
      <c r="AH139" s="4"/>
      <c r="AI139" s="4"/>
      <c r="AJ139" s="4"/>
      <c r="AK139" s="1"/>
      <c r="AL139" s="1"/>
      <c r="AM139" s="1"/>
      <c r="AN139" s="1"/>
      <c r="AO139" s="1"/>
      <c r="AP139" s="1"/>
      <c r="AQ139" s="1"/>
      <c r="AR139" s="1"/>
      <c r="AS139" s="1"/>
      <c r="AT139" s="1"/>
      <c r="AU139" s="1"/>
      <c r="AV139" s="1"/>
      <c r="AW139" s="1"/>
      <c r="AX139" s="1"/>
      <c r="AY139" s="1"/>
    </row>
    <row r="140" spans="1:51" ht="12.75" customHeight="1">
      <c r="A140" s="1"/>
      <c r="B140" s="41"/>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1"/>
      <c r="AL140" s="1"/>
      <c r="AM140" s="1"/>
      <c r="AN140" s="1"/>
      <c r="AO140" s="1"/>
      <c r="AP140" s="1"/>
      <c r="AQ140" s="1"/>
      <c r="AR140" s="1"/>
      <c r="AS140" s="1"/>
      <c r="AT140" s="1"/>
      <c r="AU140" s="1"/>
      <c r="AV140" s="1"/>
      <c r="AW140" s="1"/>
      <c r="AX140" s="1"/>
      <c r="AY140" s="1"/>
    </row>
    <row r="141" spans="1:51" ht="12.75" customHeight="1">
      <c r="A141" s="1"/>
      <c r="B141" s="41"/>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1"/>
      <c r="AL141" s="1"/>
      <c r="AM141" s="1"/>
      <c r="AN141" s="1"/>
      <c r="AO141" s="1"/>
      <c r="AP141" s="1"/>
      <c r="AQ141" s="1"/>
      <c r="AR141" s="1"/>
      <c r="AS141" s="1"/>
      <c r="AT141" s="1"/>
      <c r="AU141" s="1"/>
      <c r="AV141" s="1"/>
      <c r="AW141" s="1"/>
      <c r="AX141" s="1"/>
      <c r="AY141" s="1"/>
    </row>
    <row r="142" spans="1:51" ht="12.75" customHeight="1">
      <c r="A142" s="1"/>
      <c r="B142" s="4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
      <c r="AL142" s="1"/>
      <c r="AM142" s="1"/>
      <c r="AN142" s="1"/>
      <c r="AO142" s="1"/>
      <c r="AP142" s="1"/>
      <c r="AQ142" s="1"/>
      <c r="AR142" s="1"/>
      <c r="AS142" s="1"/>
      <c r="AT142" s="1"/>
      <c r="AU142" s="1"/>
      <c r="AV142" s="1"/>
      <c r="AW142" s="1"/>
      <c r="AX142" s="1"/>
      <c r="AY142" s="1"/>
    </row>
    <row r="143" spans="1:51" ht="12.75" customHeight="1">
      <c r="A143" s="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
      <c r="AL143" s="1"/>
      <c r="AM143" s="1"/>
      <c r="AN143" s="1"/>
      <c r="AO143" s="1"/>
      <c r="AP143" s="1"/>
      <c r="AQ143" s="1"/>
      <c r="AR143" s="1"/>
      <c r="AS143" s="1"/>
      <c r="AT143" s="1"/>
      <c r="AU143" s="1"/>
      <c r="AV143" s="1"/>
      <c r="AW143" s="1"/>
      <c r="AX143" s="1"/>
      <c r="AY143" s="1"/>
    </row>
    <row r="144" spans="1:51" ht="12.75" customHeight="1">
      <c r="A144" s="1"/>
      <c r="B144" s="14"/>
      <c r="C144" s="11"/>
      <c r="D144" s="11"/>
      <c r="E144" s="11"/>
      <c r="F144" s="11"/>
      <c r="G144" s="11"/>
      <c r="H144" s="11"/>
      <c r="I144" s="11"/>
      <c r="J144" s="1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1"/>
      <c r="AJ144" s="11"/>
      <c r="AK144" s="1"/>
      <c r="AL144" s="1"/>
      <c r="AM144" s="1"/>
      <c r="AN144" s="1"/>
      <c r="AO144" s="1"/>
      <c r="AP144" s="1"/>
      <c r="AQ144" s="1"/>
      <c r="AR144" s="1"/>
      <c r="AS144" s="1"/>
      <c r="AT144" s="1"/>
      <c r="AU144" s="1"/>
      <c r="AV144" s="1"/>
      <c r="AW144" s="1"/>
      <c r="AX144" s="1"/>
      <c r="AY144" s="1"/>
    </row>
    <row r="145" spans="1:108" ht="12.75" customHeight="1">
      <c r="A145" s="1"/>
      <c r="B145" s="1"/>
      <c r="C145" s="11"/>
      <c r="D145" s="11"/>
      <c r="E145" s="11"/>
      <c r="F145" s="11"/>
      <c r="G145" s="11"/>
      <c r="H145" s="11"/>
      <c r="I145" s="11"/>
      <c r="J145" s="1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1"/>
      <c r="AJ145" s="11"/>
      <c r="AK145" s="1"/>
      <c r="AL145" s="1"/>
      <c r="AM145" s="1"/>
      <c r="AN145" s="1"/>
      <c r="AO145" s="1"/>
      <c r="AP145" s="1"/>
      <c r="AQ145" s="1"/>
      <c r="AR145" s="1"/>
      <c r="AS145" s="1"/>
      <c r="AT145" s="1"/>
      <c r="AU145" s="1"/>
      <c r="AV145" s="1"/>
      <c r="AW145" s="1"/>
      <c r="AX145" s="1"/>
      <c r="AY145" s="1"/>
    </row>
    <row r="146" spans="1:108" ht="12.75" customHeight="1">
      <c r="A146" s="1"/>
      <c r="D146" s="11"/>
      <c r="E146" s="11"/>
      <c r="F146" s="11"/>
      <c r="G146" s="11"/>
      <c r="H146" s="11"/>
      <c r="I146" s="11"/>
      <c r="J146" s="1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1"/>
      <c r="AJ146" s="11"/>
      <c r="AK146" s="1"/>
      <c r="AL146" s="1"/>
      <c r="AM146" s="1"/>
      <c r="AN146" s="1"/>
      <c r="AO146" s="1"/>
      <c r="AP146" s="1"/>
      <c r="AQ146" s="1"/>
      <c r="AR146" s="1"/>
      <c r="AS146" s="1"/>
      <c r="AT146" s="1"/>
      <c r="AU146" s="1"/>
      <c r="AV146" s="1"/>
      <c r="AW146" s="1"/>
      <c r="AX146" s="1"/>
      <c r="AY146" s="1"/>
    </row>
    <row r="147" spans="1:108" ht="12.75" customHeight="1">
      <c r="A147" s="1"/>
      <c r="B147" s="14"/>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row>
    <row r="148" spans="1:108" ht="12.75" customHeight="1">
      <c r="A148" s="1"/>
      <c r="B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BN148" s="1" t="s">
        <v>27</v>
      </c>
    </row>
    <row r="149" spans="1:108" ht="12.75" customHeight="1">
      <c r="A149" s="1"/>
      <c r="B149" s="1"/>
      <c r="D149" s="1"/>
      <c r="E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BM149" s="32">
        <v>1</v>
      </c>
      <c r="BN149" s="32" t="s">
        <v>833</v>
      </c>
    </row>
    <row r="150" spans="1:108" ht="12.75" customHeight="1">
      <c r="A150" s="1"/>
      <c r="B150" s="1"/>
      <c r="D150" s="1"/>
      <c r="E150" s="1"/>
      <c r="F150" s="981"/>
      <c r="G150" s="893"/>
      <c r="H150" s="893"/>
      <c r="I150" s="893"/>
      <c r="J150" s="893"/>
      <c r="K150" s="893"/>
      <c r="L150" s="893"/>
      <c r="M150" s="893"/>
      <c r="N150" s="893"/>
      <c r="O150" s="893"/>
      <c r="P150" s="893"/>
      <c r="Q150" s="893"/>
      <c r="R150" s="893"/>
      <c r="S150" s="893"/>
      <c r="T150" s="893"/>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BM150" s="32">
        <v>2</v>
      </c>
      <c r="BN150" s="32" t="str">
        <f>IF(I189="Los Angeles",BN149,"Balance of Los Angeles County")</f>
        <v>Balance of Los Angeles County</v>
      </c>
    </row>
    <row r="151" spans="1:108" ht="12.75" customHeight="1">
      <c r="A151" s="1"/>
      <c r="B151" s="1"/>
      <c r="D151" s="1"/>
      <c r="E151" s="1"/>
      <c r="F151" s="7"/>
      <c r="G151" s="7"/>
      <c r="H151" s="7"/>
      <c r="I151" s="7"/>
      <c r="J151" s="7"/>
      <c r="K151" s="7"/>
      <c r="L151" s="7"/>
      <c r="M151" s="7"/>
      <c r="N151" s="7"/>
      <c r="O151" s="7"/>
      <c r="P151" s="7"/>
      <c r="Q151" s="7"/>
      <c r="R151" s="7"/>
      <c r="S151" s="7"/>
      <c r="T151" s="7"/>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BM151" s="32">
        <v>3</v>
      </c>
      <c r="BN151" s="1" t="s">
        <v>836</v>
      </c>
    </row>
    <row r="152" spans="1:108" ht="12.75" customHeight="1">
      <c r="BM152" s="32">
        <v>4</v>
      </c>
      <c r="BN152" s="1" t="s">
        <v>839</v>
      </c>
    </row>
    <row r="153" spans="1:108" ht="12.75" customHeight="1">
      <c r="D153" s="32" t="s">
        <v>840</v>
      </c>
      <c r="O153" s="967" t="s">
        <v>841</v>
      </c>
      <c r="P153" s="968"/>
      <c r="Q153" s="968"/>
      <c r="R153" s="968"/>
      <c r="S153" s="968"/>
      <c r="T153" s="968"/>
      <c r="U153" s="968"/>
      <c r="V153" s="968"/>
      <c r="W153" s="968"/>
      <c r="X153" s="968"/>
      <c r="Y153" s="968"/>
      <c r="Z153" s="968"/>
      <c r="AA153" s="968"/>
      <c r="AB153" s="968"/>
      <c r="AC153" s="968"/>
      <c r="AD153" s="968"/>
      <c r="AE153" s="968"/>
      <c r="AF153" s="968"/>
      <c r="AG153" s="968"/>
      <c r="AH153" s="969"/>
      <c r="BM153" s="32">
        <v>5</v>
      </c>
      <c r="BN153" s="1" t="s">
        <v>843</v>
      </c>
      <c r="CR153" s="160" t="s">
        <v>844</v>
      </c>
      <c r="CS153" s="126"/>
      <c r="CT153" s="126"/>
      <c r="CU153" s="126"/>
      <c r="CV153" s="126"/>
      <c r="CW153" s="126"/>
      <c r="CX153" s="1"/>
      <c r="CY153" s="160" t="s">
        <v>845</v>
      </c>
      <c r="CZ153" s="1"/>
      <c r="DA153" s="1"/>
      <c r="DB153" s="1"/>
      <c r="DC153" s="1"/>
      <c r="DD153" s="1"/>
    </row>
    <row r="154" spans="1:108" ht="12.75" customHeight="1">
      <c r="D154" s="1" t="s">
        <v>846</v>
      </c>
      <c r="O154" s="970" t="s">
        <v>847</v>
      </c>
      <c r="P154" s="921"/>
      <c r="Q154" s="921"/>
      <c r="R154" s="921"/>
      <c r="S154" s="921"/>
      <c r="T154" s="921"/>
      <c r="U154" s="921"/>
      <c r="V154" s="921"/>
      <c r="W154" s="921"/>
      <c r="X154" s="921"/>
      <c r="Y154" s="921"/>
      <c r="Z154" s="921"/>
      <c r="AA154" s="921"/>
      <c r="AB154" s="921"/>
      <c r="AC154" s="921"/>
      <c r="AD154" s="921"/>
      <c r="AE154" s="921"/>
      <c r="AF154" s="921"/>
      <c r="AG154" s="921"/>
      <c r="AH154" s="971"/>
      <c r="BM154" s="32">
        <v>6</v>
      </c>
      <c r="BN154" s="1" t="s">
        <v>849</v>
      </c>
      <c r="CR154" s="160"/>
      <c r="CS154" s="126"/>
      <c r="CT154" s="126"/>
      <c r="CU154" s="126"/>
      <c r="CV154" s="126"/>
      <c r="CW154" s="126"/>
      <c r="CX154" s="1"/>
      <c r="CY154" s="160"/>
      <c r="CZ154" s="1"/>
      <c r="DA154" s="1"/>
      <c r="DB154" s="1"/>
      <c r="DC154" s="1"/>
      <c r="DD154" s="1"/>
    </row>
    <row r="155" spans="1:108" ht="12.75" customHeight="1">
      <c r="D155" s="17" t="s">
        <v>851</v>
      </c>
      <c r="F155" s="17"/>
      <c r="G155" s="17"/>
      <c r="H155" s="17"/>
      <c r="I155" s="17"/>
      <c r="J155" s="17"/>
      <c r="K155" s="17"/>
      <c r="L155" s="17"/>
      <c r="M155" s="17"/>
      <c r="N155" s="17"/>
      <c r="O155" s="1128" t="s">
        <v>852</v>
      </c>
      <c r="P155" s="921"/>
      <c r="Q155" s="921"/>
      <c r="R155" s="921"/>
      <c r="S155" s="921"/>
      <c r="T155" s="921"/>
      <c r="U155" s="921"/>
      <c r="V155" s="921"/>
      <c r="W155" s="921"/>
      <c r="X155" s="921"/>
      <c r="Y155" s="921"/>
      <c r="Z155" s="921"/>
      <c r="AA155" s="921"/>
      <c r="AB155" s="921"/>
      <c r="AC155" s="921"/>
      <c r="AD155" s="921"/>
      <c r="AE155" s="921"/>
      <c r="AF155" s="921"/>
      <c r="AG155" s="921"/>
      <c r="AH155" s="921"/>
      <c r="BM155" s="32">
        <v>7</v>
      </c>
      <c r="BN155" s="1" t="s">
        <v>855</v>
      </c>
      <c r="CR155" s="160"/>
      <c r="CS155" s="126"/>
      <c r="CT155" s="126"/>
      <c r="CU155" s="126"/>
      <c r="CV155" s="126"/>
      <c r="CW155" s="126"/>
      <c r="CX155" s="1"/>
      <c r="CY155" s="160"/>
      <c r="CZ155" s="1"/>
      <c r="DA155" s="1"/>
      <c r="DB155" s="1"/>
      <c r="DC155" s="1"/>
      <c r="DD155" s="1"/>
    </row>
    <row r="156" spans="1:108" ht="12.75" customHeight="1">
      <c r="D156" s="32" t="s">
        <v>856</v>
      </c>
      <c r="O156" s="967" t="s">
        <v>857</v>
      </c>
      <c r="P156" s="968"/>
      <c r="Q156" s="968"/>
      <c r="R156" s="968"/>
      <c r="S156" s="968"/>
      <c r="T156" s="968"/>
      <c r="U156" s="968"/>
      <c r="V156" s="968"/>
      <c r="W156" s="968"/>
      <c r="X156" s="968"/>
      <c r="Y156" s="968"/>
      <c r="Z156" s="968"/>
      <c r="AA156" s="968"/>
      <c r="AB156" s="968"/>
      <c r="AC156" s="968"/>
      <c r="AD156" s="968"/>
      <c r="AE156" s="968"/>
      <c r="AF156" s="968"/>
      <c r="AG156" s="968"/>
      <c r="AH156" s="969"/>
      <c r="BT156" s="32" t="s">
        <v>27</v>
      </c>
      <c r="CB156" s="8" t="s">
        <v>860</v>
      </c>
      <c r="CC156" s="1"/>
      <c r="CD156" s="1"/>
      <c r="CE156" s="1"/>
      <c r="CF156" s="1"/>
      <c r="CG156" s="1"/>
      <c r="CH156" s="1"/>
      <c r="CI156" s="1"/>
      <c r="CJ156" s="8" t="s">
        <v>861</v>
      </c>
      <c r="CK156" s="1"/>
      <c r="CL156" s="1"/>
      <c r="CM156" s="1"/>
      <c r="CN156" s="1"/>
      <c r="CR156" s="160"/>
      <c r="CS156" s="126"/>
      <c r="CT156" s="126"/>
      <c r="CU156" s="126"/>
      <c r="CV156" s="126"/>
      <c r="CW156" s="126"/>
      <c r="CX156" s="1"/>
      <c r="CY156" s="160"/>
      <c r="CZ156" s="1"/>
      <c r="DA156" s="1"/>
      <c r="DB156" s="1"/>
      <c r="DC156" s="1"/>
      <c r="DD156" s="1"/>
    </row>
    <row r="157" spans="1:108" ht="12.75" customHeight="1">
      <c r="D157" s="32" t="s">
        <v>863</v>
      </c>
      <c r="O157" s="967" t="s">
        <v>864</v>
      </c>
      <c r="P157" s="968"/>
      <c r="Q157" s="968"/>
      <c r="R157" s="968"/>
      <c r="S157" s="968"/>
      <c r="T157" s="968"/>
      <c r="U157" s="968"/>
      <c r="V157" s="968"/>
      <c r="W157" s="968"/>
      <c r="X157" s="969"/>
      <c r="Y157" s="17"/>
      <c r="Z157" s="17"/>
      <c r="AA157" s="17"/>
      <c r="AB157" s="17"/>
      <c r="AC157" s="17"/>
      <c r="AD157" s="17"/>
      <c r="AE157" s="17"/>
      <c r="AF157" s="17"/>
      <c r="BN157" s="8" t="s">
        <v>866</v>
      </c>
      <c r="BS157" s="32">
        <v>2</v>
      </c>
      <c r="BT157" s="32" t="s">
        <v>867</v>
      </c>
      <c r="CB157" s="164" t="s">
        <v>868</v>
      </c>
      <c r="CC157" s="1"/>
      <c r="CD157" s="1"/>
      <c r="CE157" s="1"/>
      <c r="CF157" s="1"/>
      <c r="CG157" s="1"/>
      <c r="CH157" s="1"/>
      <c r="CI157" s="1"/>
      <c r="CJ157" s="164" t="s">
        <v>869</v>
      </c>
      <c r="CK157" s="1"/>
      <c r="CL157" s="1"/>
      <c r="CM157" s="1"/>
      <c r="CN157" s="1"/>
      <c r="CR157" s="1"/>
      <c r="CS157" s="126"/>
      <c r="CT157" s="126"/>
      <c r="CU157" s="126"/>
      <c r="CV157" s="126"/>
      <c r="CW157" s="126"/>
      <c r="CX157" s="1"/>
      <c r="CY157" s="1"/>
      <c r="CZ157" s="1"/>
      <c r="DA157" s="1"/>
      <c r="DB157" s="1"/>
      <c r="DC157" s="1"/>
      <c r="DD157" s="1"/>
    </row>
    <row r="158" spans="1:108" ht="12.75" customHeight="1">
      <c r="D158" s="32" t="s">
        <v>871</v>
      </c>
      <c r="O158" s="1129">
        <v>92101</v>
      </c>
      <c r="P158" s="968"/>
      <c r="Q158" s="968"/>
      <c r="R158" s="969"/>
      <c r="S158" s="165"/>
      <c r="T158" s="165"/>
      <c r="U158" s="165"/>
      <c r="V158" s="165"/>
      <c r="W158" s="165"/>
      <c r="X158" s="165"/>
      <c r="Y158" s="165"/>
      <c r="Z158" s="165"/>
      <c r="AA158" s="165"/>
      <c r="AB158" s="165"/>
      <c r="AC158" s="165"/>
      <c r="AD158" s="165"/>
      <c r="AE158" s="165"/>
      <c r="AF158" s="165"/>
      <c r="BN158" s="8" t="s">
        <v>872</v>
      </c>
      <c r="BS158" s="32">
        <v>7</v>
      </c>
      <c r="BT158" s="32" t="s">
        <v>873</v>
      </c>
      <c r="CB158" s="166"/>
      <c r="CC158" s="167"/>
      <c r="CD158" s="168"/>
      <c r="CE158" s="168"/>
      <c r="CF158" s="168"/>
      <c r="CG158" s="168"/>
      <c r="CH158" s="168"/>
      <c r="CI158" s="1"/>
      <c r="CJ158" s="1"/>
      <c r="CK158" s="1"/>
      <c r="CL158" s="1"/>
      <c r="CM158" s="1"/>
      <c r="CN158" s="1"/>
      <c r="CR158" s="1"/>
      <c r="CS158" s="126"/>
      <c r="CT158" s="126"/>
      <c r="CU158" s="126"/>
      <c r="CV158" s="126"/>
      <c r="CW158" s="126"/>
      <c r="CX158" s="1"/>
      <c r="CY158" s="1"/>
      <c r="CZ158" s="1"/>
      <c r="DA158" s="1"/>
      <c r="DB158" s="1"/>
      <c r="DC158" s="1"/>
      <c r="DD158" s="1"/>
    </row>
    <row r="159" spans="1:108" ht="12.75" customHeight="1">
      <c r="D159" s="32" t="s">
        <v>875</v>
      </c>
      <c r="O159" s="1105" t="s">
        <v>876</v>
      </c>
      <c r="P159" s="968"/>
      <c r="Q159" s="968"/>
      <c r="R159" s="968"/>
      <c r="S159" s="968"/>
      <c r="T159" s="969"/>
      <c r="V159" s="169" t="s">
        <v>877</v>
      </c>
      <c r="W159" s="1130"/>
      <c r="X159" s="969"/>
      <c r="Y159" s="170"/>
      <c r="Z159" s="170"/>
      <c r="AA159" s="170"/>
      <c r="AB159" s="170"/>
      <c r="AC159" s="170"/>
      <c r="AD159" s="170"/>
      <c r="AE159" s="170"/>
      <c r="AF159" s="170"/>
      <c r="BN159" s="8" t="s">
        <v>879</v>
      </c>
      <c r="BS159" s="32">
        <v>7</v>
      </c>
      <c r="BT159" s="32" t="s">
        <v>880</v>
      </c>
      <c r="CB159" s="171" t="s">
        <v>881</v>
      </c>
      <c r="CC159" s="172" t="s">
        <v>882</v>
      </c>
      <c r="CD159" s="172" t="s">
        <v>883</v>
      </c>
      <c r="CE159" s="172" t="s">
        <v>884</v>
      </c>
      <c r="CF159" s="172" t="s">
        <v>885</v>
      </c>
      <c r="CG159" s="172" t="s">
        <v>886</v>
      </c>
      <c r="CH159" s="172" t="s">
        <v>887</v>
      </c>
      <c r="CI159" s="1"/>
      <c r="CJ159" s="172" t="s">
        <v>882</v>
      </c>
      <c r="CK159" s="172" t="s">
        <v>883</v>
      </c>
      <c r="CL159" s="172" t="s">
        <v>884</v>
      </c>
      <c r="CM159" s="172" t="s">
        <v>885</v>
      </c>
      <c r="CN159" s="172" t="s">
        <v>886</v>
      </c>
      <c r="CR159" s="1"/>
      <c r="CS159" s="173" t="s">
        <v>888</v>
      </c>
      <c r="CT159" s="174" t="s">
        <v>883</v>
      </c>
      <c r="CU159" s="174" t="s">
        <v>884</v>
      </c>
      <c r="CV159" s="174" t="s">
        <v>885</v>
      </c>
      <c r="CW159" s="174" t="s">
        <v>890</v>
      </c>
      <c r="CX159" s="1"/>
      <c r="CY159" s="1"/>
      <c r="CZ159" s="173" t="s">
        <v>888</v>
      </c>
      <c r="DA159" s="174" t="s">
        <v>883</v>
      </c>
      <c r="DB159" s="174" t="s">
        <v>884</v>
      </c>
      <c r="DC159" s="174" t="s">
        <v>885</v>
      </c>
      <c r="DD159" s="174" t="s">
        <v>890</v>
      </c>
    </row>
    <row r="160" spans="1:108" ht="12.75" customHeight="1">
      <c r="D160" s="32" t="s">
        <v>891</v>
      </c>
      <c r="O160" s="1105" t="s">
        <v>892</v>
      </c>
      <c r="P160" s="968"/>
      <c r="Q160" s="968"/>
      <c r="R160" s="968"/>
      <c r="S160" s="968"/>
      <c r="T160" s="969"/>
      <c r="U160" s="170"/>
      <c r="V160" s="170"/>
      <c r="W160" s="170"/>
      <c r="X160" s="170"/>
      <c r="Y160" s="170"/>
      <c r="Z160" s="170"/>
      <c r="AA160" s="170"/>
      <c r="AB160" s="170"/>
      <c r="AC160" s="170"/>
      <c r="AD160" s="170"/>
      <c r="AE160" s="170"/>
      <c r="AF160" s="170"/>
      <c r="BN160" s="8" t="s">
        <v>893</v>
      </c>
      <c r="BS160" s="32">
        <v>6</v>
      </c>
      <c r="BT160" s="32" t="s">
        <v>894</v>
      </c>
      <c r="CB160" s="175" t="s">
        <v>867</v>
      </c>
      <c r="CC160" s="176">
        <v>2970</v>
      </c>
      <c r="CD160" s="177">
        <v>3182</v>
      </c>
      <c r="CE160" s="178">
        <v>3820</v>
      </c>
      <c r="CF160" s="177">
        <v>4412</v>
      </c>
      <c r="CG160" s="178">
        <v>4922</v>
      </c>
      <c r="CH160" s="179">
        <v>5432</v>
      </c>
      <c r="CI160" s="1" t="s">
        <v>867</v>
      </c>
      <c r="CJ160" s="180">
        <v>2142</v>
      </c>
      <c r="CK160" s="180">
        <v>2385</v>
      </c>
      <c r="CL160" s="180">
        <v>2912</v>
      </c>
      <c r="CM160" s="180">
        <v>3724</v>
      </c>
      <c r="CN160" s="180">
        <v>4413</v>
      </c>
      <c r="CR160" s="8" t="s">
        <v>866</v>
      </c>
      <c r="CS160" s="181">
        <v>491221</v>
      </c>
      <c r="CT160" s="181">
        <v>566373</v>
      </c>
      <c r="CU160" s="181">
        <v>683200</v>
      </c>
      <c r="CV160" s="181">
        <v>874496</v>
      </c>
      <c r="CW160" s="181">
        <v>974243</v>
      </c>
      <c r="CX160" s="1"/>
      <c r="CY160" s="8" t="s">
        <v>866</v>
      </c>
      <c r="CZ160" s="181">
        <v>491221</v>
      </c>
      <c r="DA160" s="181">
        <v>566373</v>
      </c>
      <c r="DB160" s="181">
        <v>683200</v>
      </c>
      <c r="DC160" s="181">
        <v>874496</v>
      </c>
      <c r="DD160" s="181">
        <v>974243</v>
      </c>
    </row>
    <row r="161" spans="1:108" ht="12.75" customHeight="1">
      <c r="D161" s="32" t="s">
        <v>896</v>
      </c>
      <c r="O161" s="967" t="s">
        <v>897</v>
      </c>
      <c r="P161" s="968"/>
      <c r="Q161" s="968"/>
      <c r="R161" s="968"/>
      <c r="S161" s="968"/>
      <c r="T161" s="968"/>
      <c r="U161" s="968"/>
      <c r="V161" s="968"/>
      <c r="W161" s="968"/>
      <c r="X161" s="968"/>
      <c r="Y161" s="968"/>
      <c r="Z161" s="968"/>
      <c r="AA161" s="968"/>
      <c r="AB161" s="968"/>
      <c r="AC161" s="968"/>
      <c r="AD161" s="968"/>
      <c r="AE161" s="968"/>
      <c r="AF161" s="968"/>
      <c r="AG161" s="968"/>
      <c r="AH161" s="969"/>
      <c r="BJ161" s="32" t="s">
        <v>460</v>
      </c>
      <c r="BN161" s="8" t="s">
        <v>898</v>
      </c>
      <c r="BS161" s="32">
        <v>7</v>
      </c>
      <c r="BT161" s="32" t="s">
        <v>899</v>
      </c>
      <c r="CB161" s="182" t="s">
        <v>873</v>
      </c>
      <c r="CC161" s="184">
        <v>2184</v>
      </c>
      <c r="CD161" s="185">
        <v>2340</v>
      </c>
      <c r="CE161" s="184">
        <v>2810</v>
      </c>
      <c r="CF161" s="185">
        <v>3244</v>
      </c>
      <c r="CG161" s="185">
        <v>3620</v>
      </c>
      <c r="CH161" s="186">
        <v>3994</v>
      </c>
      <c r="CI161" s="1" t="s">
        <v>873</v>
      </c>
      <c r="CJ161" s="180">
        <v>1068</v>
      </c>
      <c r="CK161" s="180">
        <v>1165</v>
      </c>
      <c r="CL161" s="180">
        <v>1529</v>
      </c>
      <c r="CM161" s="180">
        <v>2126</v>
      </c>
      <c r="CN161" s="180">
        <v>2527</v>
      </c>
      <c r="CR161" s="8" t="s">
        <v>872</v>
      </c>
      <c r="CS161" s="187">
        <v>402640</v>
      </c>
      <c r="CT161" s="187">
        <v>464240</v>
      </c>
      <c r="CU161" s="187">
        <v>560000</v>
      </c>
      <c r="CV161" s="187">
        <v>716800</v>
      </c>
      <c r="CW161" s="187">
        <v>798560</v>
      </c>
      <c r="CX161" s="1"/>
      <c r="CY161" s="8" t="s">
        <v>872</v>
      </c>
      <c r="CZ161" s="187">
        <v>402640</v>
      </c>
      <c r="DA161" s="187">
        <v>464240</v>
      </c>
      <c r="DB161" s="187">
        <v>560000</v>
      </c>
      <c r="DC161" s="187">
        <v>716800</v>
      </c>
      <c r="DD161" s="187">
        <v>798560</v>
      </c>
    </row>
    <row r="162" spans="1:108" ht="12.75" customHeight="1">
      <c r="O162" s="17"/>
      <c r="P162" s="17"/>
      <c r="Q162" s="17"/>
      <c r="R162" s="17"/>
      <c r="S162" s="17"/>
      <c r="T162" s="17"/>
      <c r="U162" s="17"/>
      <c r="V162" s="17"/>
      <c r="W162" s="17"/>
      <c r="X162" s="17"/>
      <c r="Y162" s="17"/>
      <c r="Z162" s="17"/>
      <c r="AA162" s="17"/>
      <c r="AB162" s="17"/>
      <c r="AC162" s="17"/>
      <c r="AD162" s="17"/>
      <c r="AE162" s="17"/>
      <c r="AF162" s="17"/>
      <c r="AG162" s="17"/>
      <c r="AH162" s="17"/>
      <c r="BJ162" s="32" t="s">
        <v>901</v>
      </c>
      <c r="BN162" s="8" t="s">
        <v>902</v>
      </c>
      <c r="BS162" s="32">
        <v>7</v>
      </c>
      <c r="BT162" s="32" t="s">
        <v>903</v>
      </c>
      <c r="CB162" s="182" t="s">
        <v>880</v>
      </c>
      <c r="CC162" s="188">
        <v>1934</v>
      </c>
      <c r="CD162" s="189">
        <v>2072</v>
      </c>
      <c r="CE162" s="188">
        <v>2486</v>
      </c>
      <c r="CF162" s="189">
        <v>2872</v>
      </c>
      <c r="CG162" s="189">
        <v>3204</v>
      </c>
      <c r="CH162" s="190">
        <v>3536</v>
      </c>
      <c r="CI162" s="1" t="s">
        <v>880</v>
      </c>
      <c r="CJ162" s="180">
        <v>1387</v>
      </c>
      <c r="CK162" s="180">
        <v>1396</v>
      </c>
      <c r="CL162" s="180">
        <v>1698</v>
      </c>
      <c r="CM162" s="180">
        <v>2220</v>
      </c>
      <c r="CN162" s="180">
        <v>2714</v>
      </c>
      <c r="CR162" s="8" t="s">
        <v>879</v>
      </c>
      <c r="CS162" s="181">
        <v>402640</v>
      </c>
      <c r="CT162" s="181">
        <v>464240</v>
      </c>
      <c r="CU162" s="181">
        <v>560000</v>
      </c>
      <c r="CV162" s="181">
        <v>716800</v>
      </c>
      <c r="CW162" s="181">
        <v>798560</v>
      </c>
      <c r="CX162" s="1"/>
      <c r="CY162" s="8" t="s">
        <v>879</v>
      </c>
      <c r="CZ162" s="181">
        <v>402640</v>
      </c>
      <c r="DA162" s="181">
        <v>464240</v>
      </c>
      <c r="DB162" s="181">
        <v>560000</v>
      </c>
      <c r="DC162" s="181">
        <v>716800</v>
      </c>
      <c r="DD162" s="181">
        <v>798560</v>
      </c>
    </row>
    <row r="163" spans="1:108" ht="12.75" customHeight="1">
      <c r="C163" s="33" t="s">
        <v>906</v>
      </c>
      <c r="D163" s="1" t="s">
        <v>907</v>
      </c>
      <c r="O163" s="17"/>
      <c r="P163" s="17"/>
      <c r="Q163" s="17"/>
      <c r="R163" s="17"/>
      <c r="S163" s="17"/>
      <c r="T163" s="17"/>
      <c r="U163" s="17"/>
      <c r="V163" s="17"/>
      <c r="W163" s="17"/>
      <c r="X163" s="17"/>
      <c r="Y163" s="17"/>
      <c r="Z163" s="17"/>
      <c r="AA163" s="17"/>
      <c r="AB163" s="17"/>
      <c r="AC163" s="17"/>
      <c r="AD163" s="17"/>
      <c r="AE163" s="17"/>
      <c r="AF163" s="17"/>
      <c r="AG163" s="17"/>
      <c r="AH163" s="17"/>
      <c r="BN163" s="8" t="s">
        <v>909</v>
      </c>
      <c r="BS163" s="32">
        <v>2</v>
      </c>
      <c r="BT163" s="32" t="s">
        <v>910</v>
      </c>
      <c r="CB163" s="182" t="s">
        <v>894</v>
      </c>
      <c r="CC163" s="188">
        <v>1700</v>
      </c>
      <c r="CD163" s="189">
        <v>1820</v>
      </c>
      <c r="CE163" s="188">
        <v>2184</v>
      </c>
      <c r="CF163" s="189">
        <v>2524</v>
      </c>
      <c r="CG163" s="189">
        <v>2816</v>
      </c>
      <c r="CH163" s="190">
        <v>3108</v>
      </c>
      <c r="CI163" s="1" t="s">
        <v>894</v>
      </c>
      <c r="CJ163" s="180">
        <v>1155</v>
      </c>
      <c r="CK163" s="180">
        <v>1270</v>
      </c>
      <c r="CL163" s="180">
        <v>1625</v>
      </c>
      <c r="CM163" s="180">
        <v>2260</v>
      </c>
      <c r="CN163" s="180">
        <v>2726</v>
      </c>
      <c r="CR163" s="8" t="s">
        <v>893</v>
      </c>
      <c r="CS163" s="187">
        <v>369278</v>
      </c>
      <c r="CT163" s="187">
        <v>425774</v>
      </c>
      <c r="CU163" s="187">
        <v>513600</v>
      </c>
      <c r="CV163" s="187">
        <v>657408</v>
      </c>
      <c r="CW163" s="187">
        <v>732394</v>
      </c>
      <c r="CX163" s="1"/>
      <c r="CY163" s="8" t="s">
        <v>893</v>
      </c>
      <c r="CZ163" s="187">
        <v>369278</v>
      </c>
      <c r="DA163" s="187">
        <v>425774</v>
      </c>
      <c r="DB163" s="187">
        <v>513600</v>
      </c>
      <c r="DC163" s="187">
        <v>657408</v>
      </c>
      <c r="DD163" s="187">
        <v>732394</v>
      </c>
    </row>
    <row r="164" spans="1:108" ht="12.75" customHeight="1">
      <c r="C164" s="33"/>
      <c r="D164" s="898" t="s">
        <v>913</v>
      </c>
      <c r="E164" s="893"/>
      <c r="F164" s="893"/>
      <c r="G164" s="893"/>
      <c r="H164" s="893"/>
      <c r="I164" s="893"/>
      <c r="J164" s="893"/>
      <c r="K164" s="893"/>
      <c r="L164" s="893"/>
      <c r="M164" s="893"/>
      <c r="N164" s="893"/>
      <c r="O164" s="893"/>
      <c r="P164" s="893"/>
      <c r="Q164" s="893"/>
      <c r="R164" s="893"/>
      <c r="S164" s="893"/>
      <c r="T164" s="893"/>
      <c r="U164" s="893"/>
      <c r="V164" s="893"/>
      <c r="W164" s="893"/>
      <c r="X164" s="893"/>
      <c r="Y164" s="893"/>
      <c r="Z164" s="893"/>
      <c r="AA164" s="893"/>
      <c r="AB164" s="893"/>
      <c r="AC164" s="893"/>
      <c r="AD164" s="893"/>
      <c r="AE164" s="893"/>
      <c r="AF164" s="893"/>
      <c r="AG164" s="893"/>
      <c r="AH164" s="893"/>
      <c r="BN164" s="8" t="s">
        <v>915</v>
      </c>
      <c r="BS164" s="32">
        <v>7</v>
      </c>
      <c r="BT164" s="32" t="s">
        <v>916</v>
      </c>
      <c r="CB164" s="182" t="s">
        <v>899</v>
      </c>
      <c r="CC164" s="188">
        <v>1796</v>
      </c>
      <c r="CD164" s="189">
        <v>1924</v>
      </c>
      <c r="CE164" s="188">
        <v>2310</v>
      </c>
      <c r="CF164" s="189">
        <v>2668</v>
      </c>
      <c r="CG164" s="189">
        <v>2976</v>
      </c>
      <c r="CH164" s="190">
        <v>3284</v>
      </c>
      <c r="CI164" s="1" t="s">
        <v>899</v>
      </c>
      <c r="CJ164" s="180">
        <v>1078</v>
      </c>
      <c r="CK164" s="180">
        <v>1175</v>
      </c>
      <c r="CL164" s="180">
        <v>1542</v>
      </c>
      <c r="CM164" s="180">
        <v>2145</v>
      </c>
      <c r="CN164" s="180">
        <v>2316</v>
      </c>
      <c r="CR164" s="8" t="s">
        <v>898</v>
      </c>
      <c r="CS164" s="181">
        <v>402640</v>
      </c>
      <c r="CT164" s="181">
        <v>464240</v>
      </c>
      <c r="CU164" s="181">
        <v>560000</v>
      </c>
      <c r="CV164" s="181">
        <v>716800</v>
      </c>
      <c r="CW164" s="181">
        <v>798560</v>
      </c>
      <c r="CX164" s="1"/>
      <c r="CY164" s="8" t="s">
        <v>898</v>
      </c>
      <c r="CZ164" s="181">
        <v>402640</v>
      </c>
      <c r="DA164" s="181">
        <v>464240</v>
      </c>
      <c r="DB164" s="181">
        <v>560000</v>
      </c>
      <c r="DC164" s="181">
        <v>716800</v>
      </c>
      <c r="DD164" s="181">
        <v>798560</v>
      </c>
    </row>
    <row r="165" spans="1:108" ht="12.75" customHeight="1">
      <c r="C165" s="33"/>
      <c r="D165" s="38"/>
      <c r="E165" s="38"/>
      <c r="F165" s="38"/>
      <c r="G165" s="38"/>
      <c r="H165" s="38"/>
      <c r="I165" s="38"/>
      <c r="J165" s="38"/>
      <c r="K165" s="38"/>
      <c r="L165" s="38"/>
      <c r="M165" s="38"/>
      <c r="N165" s="38"/>
      <c r="O165" s="111"/>
      <c r="P165" s="111"/>
      <c r="Q165" s="111"/>
      <c r="R165" s="111"/>
      <c r="S165" s="111"/>
      <c r="T165" s="111"/>
      <c r="U165" s="111"/>
      <c r="V165" s="111"/>
      <c r="W165" s="111"/>
      <c r="X165" s="111"/>
      <c r="Y165" s="111"/>
      <c r="Z165" s="111"/>
      <c r="AA165" s="17"/>
      <c r="AB165" s="17"/>
      <c r="AC165" s="17"/>
      <c r="AD165" s="17"/>
      <c r="AE165" s="17"/>
      <c r="AF165" s="17"/>
      <c r="AG165" s="17"/>
      <c r="AH165" s="17"/>
      <c r="BN165" s="8" t="s">
        <v>917</v>
      </c>
      <c r="BS165" s="32">
        <v>6</v>
      </c>
      <c r="BT165" s="32" t="s">
        <v>918</v>
      </c>
      <c r="CB165" s="182" t="s">
        <v>903</v>
      </c>
      <c r="CC165" s="188">
        <v>1700</v>
      </c>
      <c r="CD165" s="189">
        <v>1820</v>
      </c>
      <c r="CE165" s="188">
        <v>2184</v>
      </c>
      <c r="CF165" s="189">
        <v>2524</v>
      </c>
      <c r="CG165" s="189">
        <v>2816</v>
      </c>
      <c r="CH165" s="190">
        <v>3108</v>
      </c>
      <c r="CI165" s="1" t="s">
        <v>903</v>
      </c>
      <c r="CJ165" s="180">
        <v>989</v>
      </c>
      <c r="CK165" s="180">
        <v>995</v>
      </c>
      <c r="CL165" s="180">
        <v>1306</v>
      </c>
      <c r="CM165" s="180">
        <v>1723</v>
      </c>
      <c r="CN165" s="180">
        <v>1729</v>
      </c>
      <c r="CR165" s="8" t="s">
        <v>902</v>
      </c>
      <c r="CS165" s="187">
        <v>402640</v>
      </c>
      <c r="CT165" s="187">
        <v>464240</v>
      </c>
      <c r="CU165" s="187">
        <v>560000</v>
      </c>
      <c r="CV165" s="187">
        <v>716800</v>
      </c>
      <c r="CW165" s="187">
        <v>798560</v>
      </c>
      <c r="CX165" s="1"/>
      <c r="CY165" s="8" t="s">
        <v>902</v>
      </c>
      <c r="CZ165" s="187">
        <v>402640</v>
      </c>
      <c r="DA165" s="187">
        <v>464240</v>
      </c>
      <c r="DB165" s="187">
        <v>560000</v>
      </c>
      <c r="DC165" s="187">
        <v>716800</v>
      </c>
      <c r="DD165" s="187">
        <v>798560</v>
      </c>
    </row>
    <row r="166" spans="1:108" ht="12.75" customHeight="1">
      <c r="B166" s="8"/>
      <c r="C166" s="33"/>
      <c r="D166" s="38"/>
      <c r="E166" s="38"/>
      <c r="F166" s="38"/>
      <c r="G166" s="38"/>
      <c r="H166" s="38"/>
      <c r="I166" s="38"/>
      <c r="J166" s="38"/>
      <c r="K166" s="38"/>
      <c r="L166" s="38"/>
      <c r="M166" s="38"/>
      <c r="N166" s="38"/>
      <c r="O166" s="111"/>
      <c r="P166" s="111"/>
      <c r="Q166" s="111"/>
      <c r="R166" s="111"/>
      <c r="S166" s="111"/>
      <c r="T166" s="111"/>
      <c r="U166" s="111"/>
      <c r="V166" s="111"/>
      <c r="W166" s="111"/>
      <c r="X166" s="111"/>
      <c r="Y166" s="111"/>
      <c r="Z166" s="111"/>
      <c r="AA166" s="17"/>
      <c r="AB166" s="17"/>
      <c r="AC166" s="17"/>
      <c r="AD166" s="17"/>
      <c r="AE166" s="17"/>
      <c r="AF166" s="17"/>
      <c r="AG166" s="17"/>
      <c r="AH166" s="17"/>
      <c r="BN166" s="8" t="s">
        <v>921</v>
      </c>
      <c r="BS166" s="32">
        <v>5</v>
      </c>
      <c r="BT166" s="32" t="s">
        <v>923</v>
      </c>
      <c r="CB166" s="182" t="s">
        <v>910</v>
      </c>
      <c r="CC166" s="188">
        <v>2970</v>
      </c>
      <c r="CD166" s="189">
        <v>3182</v>
      </c>
      <c r="CE166" s="188">
        <v>3820</v>
      </c>
      <c r="CF166" s="189">
        <v>4412</v>
      </c>
      <c r="CG166" s="189">
        <v>4922</v>
      </c>
      <c r="CH166" s="190">
        <v>5432</v>
      </c>
      <c r="CI166" s="1" t="s">
        <v>910</v>
      </c>
      <c r="CJ166" s="180">
        <v>2142</v>
      </c>
      <c r="CK166" s="180">
        <v>2385</v>
      </c>
      <c r="CL166" s="180">
        <v>2912</v>
      </c>
      <c r="CM166" s="180">
        <v>3724</v>
      </c>
      <c r="CN166" s="180">
        <v>4413</v>
      </c>
      <c r="CR166" s="8" t="s">
        <v>909</v>
      </c>
      <c r="CS166" s="181">
        <v>491221</v>
      </c>
      <c r="CT166" s="181">
        <v>566373</v>
      </c>
      <c r="CU166" s="181">
        <v>683200</v>
      </c>
      <c r="CV166" s="181">
        <v>874496</v>
      </c>
      <c r="CW166" s="181">
        <v>974243</v>
      </c>
      <c r="CX166" s="1"/>
      <c r="CY166" s="8" t="s">
        <v>909</v>
      </c>
      <c r="CZ166" s="181">
        <v>491221</v>
      </c>
      <c r="DA166" s="181">
        <v>566373</v>
      </c>
      <c r="DB166" s="181">
        <v>683200</v>
      </c>
      <c r="DC166" s="181">
        <v>874496</v>
      </c>
      <c r="DD166" s="181">
        <v>974243</v>
      </c>
    </row>
    <row r="167" spans="1:108" ht="12.75" customHeight="1">
      <c r="B167" s="8"/>
      <c r="C167" s="33"/>
      <c r="D167" s="38"/>
      <c r="E167" s="38"/>
      <c r="F167" s="38"/>
      <c r="G167" s="38"/>
      <c r="H167" s="38"/>
      <c r="I167" s="38"/>
      <c r="J167" s="38"/>
      <c r="K167" s="38"/>
      <c r="L167" s="38"/>
      <c r="M167" s="38"/>
      <c r="N167" s="38"/>
      <c r="O167" s="111"/>
      <c r="P167" s="111"/>
      <c r="Q167" s="111"/>
      <c r="R167" s="111"/>
      <c r="S167" s="111"/>
      <c r="T167" s="111"/>
      <c r="U167" s="111"/>
      <c r="V167" s="111"/>
      <c r="W167" s="111"/>
      <c r="X167" s="111"/>
      <c r="Y167" s="111"/>
      <c r="Z167" s="111"/>
      <c r="AA167" s="17"/>
      <c r="AB167" s="17"/>
      <c r="AC167" s="17"/>
      <c r="AD167" s="17"/>
      <c r="AE167" s="17"/>
      <c r="AF167" s="17"/>
      <c r="AG167" s="17"/>
      <c r="AH167" s="17"/>
      <c r="BN167" s="8" t="s">
        <v>925</v>
      </c>
      <c r="BS167" s="32">
        <v>7</v>
      </c>
      <c r="BT167" s="32" t="s">
        <v>926</v>
      </c>
      <c r="CB167" s="182" t="s">
        <v>916</v>
      </c>
      <c r="CC167" s="188">
        <v>1700</v>
      </c>
      <c r="CD167" s="189">
        <v>1820</v>
      </c>
      <c r="CE167" s="188">
        <v>2184</v>
      </c>
      <c r="CF167" s="189">
        <v>2524</v>
      </c>
      <c r="CG167" s="189">
        <v>2816</v>
      </c>
      <c r="CH167" s="190">
        <v>3108</v>
      </c>
      <c r="CI167" s="1" t="s">
        <v>916</v>
      </c>
      <c r="CJ167" s="180">
        <v>957</v>
      </c>
      <c r="CK167" s="180">
        <v>1222</v>
      </c>
      <c r="CL167" s="180">
        <v>1370</v>
      </c>
      <c r="CM167" s="180">
        <v>1905</v>
      </c>
      <c r="CN167" s="180">
        <v>2277</v>
      </c>
      <c r="CR167" s="8" t="s">
        <v>915</v>
      </c>
      <c r="CS167" s="187">
        <v>402640</v>
      </c>
      <c r="CT167" s="187">
        <v>464240</v>
      </c>
      <c r="CU167" s="187">
        <v>560000</v>
      </c>
      <c r="CV167" s="187">
        <v>716800</v>
      </c>
      <c r="CW167" s="187">
        <v>798560</v>
      </c>
      <c r="CX167" s="1"/>
      <c r="CY167" s="8" t="s">
        <v>915</v>
      </c>
      <c r="CZ167" s="187">
        <v>402640</v>
      </c>
      <c r="DA167" s="187">
        <v>464240</v>
      </c>
      <c r="DB167" s="187">
        <v>560000</v>
      </c>
      <c r="DC167" s="187">
        <v>716800</v>
      </c>
      <c r="DD167" s="187">
        <v>798560</v>
      </c>
    </row>
    <row r="168" spans="1:108" ht="12.75" customHeight="1">
      <c r="O168" s="17"/>
      <c r="P168" s="17"/>
      <c r="Q168" s="17"/>
      <c r="R168" s="17"/>
      <c r="S168" s="17"/>
      <c r="T168" s="17"/>
      <c r="U168" s="17"/>
      <c r="V168" s="17"/>
      <c r="W168" s="17"/>
      <c r="X168" s="17"/>
      <c r="Y168" s="17"/>
      <c r="Z168" s="17"/>
      <c r="AA168" s="17"/>
      <c r="AB168" s="17"/>
      <c r="AC168" s="17"/>
      <c r="AD168" s="17"/>
      <c r="AE168" s="17"/>
      <c r="AF168" s="17"/>
      <c r="AG168" s="17"/>
      <c r="AH168" s="17"/>
      <c r="BN168" s="8" t="s">
        <v>929</v>
      </c>
      <c r="BS168" s="32">
        <v>7</v>
      </c>
      <c r="BT168" s="32" t="s">
        <v>930</v>
      </c>
      <c r="CB168" s="182" t="s">
        <v>918</v>
      </c>
      <c r="CC168" s="188">
        <v>2300</v>
      </c>
      <c r="CD168" s="189">
        <v>2464</v>
      </c>
      <c r="CE168" s="188">
        <v>2956</v>
      </c>
      <c r="CF168" s="189">
        <v>3416</v>
      </c>
      <c r="CG168" s="189">
        <v>3812</v>
      </c>
      <c r="CH168" s="190">
        <v>4206</v>
      </c>
      <c r="CI168" s="1" t="s">
        <v>918</v>
      </c>
      <c r="CJ168" s="180">
        <v>1748</v>
      </c>
      <c r="CK168" s="180">
        <v>1832</v>
      </c>
      <c r="CL168" s="180">
        <v>2255</v>
      </c>
      <c r="CM168" s="180">
        <v>3002</v>
      </c>
      <c r="CN168" s="180">
        <v>3460</v>
      </c>
      <c r="CR168" s="8" t="s">
        <v>917</v>
      </c>
      <c r="CS168" s="181">
        <v>360075</v>
      </c>
      <c r="CT168" s="181">
        <v>415163</v>
      </c>
      <c r="CU168" s="181">
        <v>500800</v>
      </c>
      <c r="CV168" s="181">
        <v>641024</v>
      </c>
      <c r="CW168" s="181">
        <v>714141</v>
      </c>
      <c r="CX168" s="1"/>
      <c r="CY168" s="8" t="s">
        <v>917</v>
      </c>
      <c r="CZ168" s="181">
        <v>360075</v>
      </c>
      <c r="DA168" s="181">
        <v>415163</v>
      </c>
      <c r="DB168" s="181">
        <v>500800</v>
      </c>
      <c r="DC168" s="181">
        <v>641024</v>
      </c>
      <c r="DD168" s="181">
        <v>714141</v>
      </c>
    </row>
    <row r="169" spans="1:108" ht="12.75" customHeight="1">
      <c r="A169" s="988" t="s">
        <v>933</v>
      </c>
      <c r="B169" s="901"/>
      <c r="C169" s="901"/>
      <c r="D169" s="901"/>
      <c r="E169" s="901"/>
      <c r="F169" s="901"/>
      <c r="G169" s="901"/>
      <c r="H169" s="901"/>
      <c r="I169" s="901"/>
      <c r="J169" s="901"/>
      <c r="K169" s="901"/>
      <c r="L169" s="901"/>
      <c r="M169" s="901"/>
      <c r="N169" s="901"/>
      <c r="O169" s="901"/>
      <c r="P169" s="901"/>
      <c r="Q169" s="901"/>
      <c r="R169" s="901"/>
      <c r="S169" s="901"/>
      <c r="T169" s="901"/>
      <c r="U169" s="901"/>
      <c r="V169" s="901"/>
      <c r="W169" s="901"/>
      <c r="X169" s="901"/>
      <c r="Y169" s="901"/>
      <c r="Z169" s="901"/>
      <c r="AA169" s="901"/>
      <c r="AB169" s="901"/>
      <c r="AC169" s="901"/>
      <c r="AD169" s="901"/>
      <c r="AE169" s="901"/>
      <c r="AF169" s="901"/>
      <c r="AG169" s="901"/>
      <c r="AH169" s="901"/>
      <c r="AI169" s="901"/>
      <c r="AJ169" s="901"/>
      <c r="AK169" s="901"/>
      <c r="AL169" s="901"/>
      <c r="AM169" s="901"/>
      <c r="AN169" s="901"/>
      <c r="AO169" s="901"/>
      <c r="AP169" s="901"/>
      <c r="AQ169" s="901"/>
      <c r="AR169" s="901"/>
      <c r="AS169" s="901"/>
      <c r="AT169" s="902"/>
      <c r="AU169" s="191"/>
      <c r="AV169" s="191"/>
      <c r="AW169" s="191"/>
      <c r="AX169" s="191"/>
      <c r="AY169" s="191"/>
      <c r="BN169" s="8" t="s">
        <v>936</v>
      </c>
      <c r="BS169" s="32">
        <v>5</v>
      </c>
      <c r="BT169" s="32" t="s">
        <v>937</v>
      </c>
      <c r="CB169" s="182" t="s">
        <v>923</v>
      </c>
      <c r="CC169" s="188">
        <v>1700</v>
      </c>
      <c r="CD169" s="189">
        <v>1820</v>
      </c>
      <c r="CE169" s="188">
        <v>2184</v>
      </c>
      <c r="CF169" s="189">
        <v>2524</v>
      </c>
      <c r="CG169" s="189">
        <v>2816</v>
      </c>
      <c r="CH169" s="190">
        <v>3108</v>
      </c>
      <c r="CI169" s="1" t="s">
        <v>923</v>
      </c>
      <c r="CJ169" s="180">
        <v>1347</v>
      </c>
      <c r="CK169" s="180">
        <v>1355</v>
      </c>
      <c r="CL169" s="180">
        <v>1664</v>
      </c>
      <c r="CM169" s="180">
        <v>2314</v>
      </c>
      <c r="CN169" s="180">
        <v>2660</v>
      </c>
      <c r="CR169" s="8" t="s">
        <v>921</v>
      </c>
      <c r="CS169" s="187">
        <v>323262</v>
      </c>
      <c r="CT169" s="187">
        <v>372718</v>
      </c>
      <c r="CU169" s="187">
        <v>449600</v>
      </c>
      <c r="CV169" s="187">
        <v>575488</v>
      </c>
      <c r="CW169" s="187">
        <v>641130</v>
      </c>
      <c r="CX169" s="1"/>
      <c r="CY169" s="8" t="s">
        <v>921</v>
      </c>
      <c r="CZ169" s="187">
        <v>323262</v>
      </c>
      <c r="DA169" s="187">
        <v>372718</v>
      </c>
      <c r="DB169" s="187">
        <v>449600</v>
      </c>
      <c r="DC169" s="187">
        <v>575488</v>
      </c>
      <c r="DD169" s="187">
        <v>641130</v>
      </c>
    </row>
    <row r="170" spans="1:108" ht="12.75" customHeight="1">
      <c r="A170" s="989"/>
      <c r="B170" s="990"/>
      <c r="C170" s="990"/>
      <c r="D170" s="990"/>
      <c r="E170" s="990"/>
      <c r="F170" s="990"/>
      <c r="G170" s="990"/>
      <c r="H170" s="990"/>
      <c r="I170" s="990"/>
      <c r="J170" s="990"/>
      <c r="K170" s="990"/>
      <c r="L170" s="990"/>
      <c r="M170" s="990"/>
      <c r="N170" s="990"/>
      <c r="O170" s="990"/>
      <c r="P170" s="990"/>
      <c r="Q170" s="990"/>
      <c r="R170" s="990"/>
      <c r="S170" s="990"/>
      <c r="T170" s="990"/>
      <c r="U170" s="990"/>
      <c r="V170" s="990"/>
      <c r="W170" s="990"/>
      <c r="X170" s="990"/>
      <c r="Y170" s="990"/>
      <c r="Z170" s="990"/>
      <c r="AA170" s="990"/>
      <c r="AB170" s="990"/>
      <c r="AC170" s="990"/>
      <c r="AD170" s="990"/>
      <c r="AE170" s="990"/>
      <c r="AF170" s="990"/>
      <c r="AG170" s="990"/>
      <c r="AH170" s="990"/>
      <c r="AI170" s="990"/>
      <c r="AJ170" s="990"/>
      <c r="AK170" s="990"/>
      <c r="AL170" s="990"/>
      <c r="AM170" s="990"/>
      <c r="AN170" s="990"/>
      <c r="AO170" s="990"/>
      <c r="AP170" s="990"/>
      <c r="AQ170" s="990"/>
      <c r="AR170" s="990"/>
      <c r="AS170" s="990"/>
      <c r="AT170" s="991"/>
      <c r="AU170" s="191"/>
      <c r="AV170" s="191"/>
      <c r="AW170" s="191"/>
      <c r="AX170" s="191"/>
      <c r="AY170" s="191"/>
      <c r="BN170" s="8" t="s">
        <v>941</v>
      </c>
      <c r="BS170" s="32">
        <v>7</v>
      </c>
      <c r="BT170" s="32" t="s">
        <v>942</v>
      </c>
      <c r="CB170" s="182" t="s">
        <v>926</v>
      </c>
      <c r="CC170" s="188">
        <v>1700</v>
      </c>
      <c r="CD170" s="189">
        <v>1820</v>
      </c>
      <c r="CE170" s="188">
        <v>2184</v>
      </c>
      <c r="CF170" s="189">
        <v>2524</v>
      </c>
      <c r="CG170" s="189">
        <v>2816</v>
      </c>
      <c r="CH170" s="190">
        <v>3108</v>
      </c>
      <c r="CI170" s="1" t="s">
        <v>926</v>
      </c>
      <c r="CJ170" s="180">
        <v>939</v>
      </c>
      <c r="CK170" s="180">
        <v>1038</v>
      </c>
      <c r="CL170" s="180">
        <v>1362</v>
      </c>
      <c r="CM170" s="180">
        <v>1807</v>
      </c>
      <c r="CN170" s="180">
        <v>2179</v>
      </c>
      <c r="CR170" s="8" t="s">
        <v>925</v>
      </c>
      <c r="CS170" s="181">
        <v>402640</v>
      </c>
      <c r="CT170" s="181">
        <v>464240</v>
      </c>
      <c r="CU170" s="181">
        <v>560000</v>
      </c>
      <c r="CV170" s="181">
        <v>716800</v>
      </c>
      <c r="CW170" s="181">
        <v>798560</v>
      </c>
      <c r="CX170" s="1"/>
      <c r="CY170" s="8" t="s">
        <v>925</v>
      </c>
      <c r="CZ170" s="181">
        <v>402640</v>
      </c>
      <c r="DA170" s="181">
        <v>464240</v>
      </c>
      <c r="DB170" s="181">
        <v>560000</v>
      </c>
      <c r="DC170" s="181">
        <v>716800</v>
      </c>
      <c r="DD170" s="181">
        <v>798560</v>
      </c>
    </row>
    <row r="171" spans="1:108" ht="12.75" customHeight="1">
      <c r="BN171" s="8" t="s">
        <v>944</v>
      </c>
      <c r="BS171" s="32">
        <v>5</v>
      </c>
      <c r="BT171" s="32" t="s">
        <v>945</v>
      </c>
      <c r="CB171" s="182" t="s">
        <v>930</v>
      </c>
      <c r="CC171" s="188">
        <v>1700</v>
      </c>
      <c r="CD171" s="189">
        <v>1820</v>
      </c>
      <c r="CE171" s="188">
        <v>2184</v>
      </c>
      <c r="CF171" s="189">
        <v>2524</v>
      </c>
      <c r="CG171" s="189">
        <v>2816</v>
      </c>
      <c r="CH171" s="190">
        <v>3108</v>
      </c>
      <c r="CI171" s="1" t="s">
        <v>930</v>
      </c>
      <c r="CJ171" s="180">
        <v>1112</v>
      </c>
      <c r="CK171" s="180">
        <v>1186</v>
      </c>
      <c r="CL171" s="180">
        <v>1550</v>
      </c>
      <c r="CM171" s="180">
        <v>2156</v>
      </c>
      <c r="CN171" s="180">
        <v>2600</v>
      </c>
      <c r="CR171" s="8" t="s">
        <v>929</v>
      </c>
      <c r="CS171" s="187">
        <v>402640</v>
      </c>
      <c r="CT171" s="187">
        <v>464240</v>
      </c>
      <c r="CU171" s="187">
        <v>560000</v>
      </c>
      <c r="CV171" s="187">
        <v>716800</v>
      </c>
      <c r="CW171" s="187">
        <v>798560</v>
      </c>
      <c r="CX171" s="1"/>
      <c r="CY171" s="8" t="s">
        <v>929</v>
      </c>
      <c r="CZ171" s="187">
        <v>402640</v>
      </c>
      <c r="DA171" s="187">
        <v>464240</v>
      </c>
      <c r="DB171" s="187">
        <v>560000</v>
      </c>
      <c r="DC171" s="187">
        <v>716800</v>
      </c>
      <c r="DD171" s="187">
        <v>798560</v>
      </c>
    </row>
    <row r="172" spans="1:108" ht="12.75" customHeight="1">
      <c r="A172" s="8" t="s">
        <v>947</v>
      </c>
      <c r="C172" s="8" t="s">
        <v>129</v>
      </c>
      <c r="BN172" s="8" t="s">
        <v>948</v>
      </c>
      <c r="BS172" s="32">
        <v>5</v>
      </c>
      <c r="BT172" s="32" t="s">
        <v>949</v>
      </c>
      <c r="CB172" s="182" t="s">
        <v>937</v>
      </c>
      <c r="CC172" s="188">
        <v>1700</v>
      </c>
      <c r="CD172" s="189">
        <v>1820</v>
      </c>
      <c r="CE172" s="188">
        <v>2184</v>
      </c>
      <c r="CF172" s="189">
        <v>2524</v>
      </c>
      <c r="CG172" s="189">
        <v>2816</v>
      </c>
      <c r="CH172" s="190">
        <v>3108</v>
      </c>
      <c r="CI172" s="1" t="s">
        <v>937</v>
      </c>
      <c r="CJ172" s="180">
        <v>939</v>
      </c>
      <c r="CK172" s="180">
        <v>1038</v>
      </c>
      <c r="CL172" s="180">
        <v>1362</v>
      </c>
      <c r="CM172" s="180">
        <v>1845</v>
      </c>
      <c r="CN172" s="180">
        <v>2285</v>
      </c>
      <c r="CR172" s="8" t="s">
        <v>936</v>
      </c>
      <c r="CS172" s="181">
        <v>381933</v>
      </c>
      <c r="CT172" s="181">
        <v>440365</v>
      </c>
      <c r="CU172" s="181">
        <v>531200</v>
      </c>
      <c r="CV172" s="181">
        <v>679936</v>
      </c>
      <c r="CW172" s="181">
        <v>757491</v>
      </c>
      <c r="CX172" s="1"/>
      <c r="CY172" s="8" t="s">
        <v>936</v>
      </c>
      <c r="CZ172" s="181">
        <v>381933</v>
      </c>
      <c r="DA172" s="181">
        <v>440365</v>
      </c>
      <c r="DB172" s="181">
        <v>531200</v>
      </c>
      <c r="DC172" s="181">
        <v>679936</v>
      </c>
      <c r="DD172" s="181">
        <v>757491</v>
      </c>
    </row>
    <row r="173" spans="1:108" ht="12.75" customHeight="1">
      <c r="C173" s="193"/>
      <c r="D173" s="32" t="s">
        <v>950</v>
      </c>
      <c r="J173" s="1059" t="s">
        <v>951</v>
      </c>
      <c r="K173" s="968"/>
      <c r="L173" s="968"/>
      <c r="M173" s="968"/>
      <c r="N173" s="968"/>
      <c r="O173" s="968"/>
      <c r="P173" s="968"/>
      <c r="Q173" s="968"/>
      <c r="R173" s="968"/>
      <c r="S173" s="969"/>
      <c r="U173" s="194"/>
      <c r="X173" s="194"/>
      <c r="BB173" s="1" t="s">
        <v>27</v>
      </c>
      <c r="BN173" s="8" t="s">
        <v>952</v>
      </c>
      <c r="BS173" s="32">
        <v>7</v>
      </c>
      <c r="BT173" s="32" t="s">
        <v>954</v>
      </c>
      <c r="CB173" s="182" t="s">
        <v>942</v>
      </c>
      <c r="CC173" s="188">
        <v>1700</v>
      </c>
      <c r="CD173" s="189">
        <v>1820</v>
      </c>
      <c r="CE173" s="188">
        <v>2184</v>
      </c>
      <c r="CF173" s="189">
        <v>2524</v>
      </c>
      <c r="CG173" s="189">
        <v>2816</v>
      </c>
      <c r="CH173" s="190">
        <v>3108</v>
      </c>
      <c r="CI173" s="1" t="s">
        <v>942</v>
      </c>
      <c r="CJ173" s="180">
        <v>1058</v>
      </c>
      <c r="CK173" s="180">
        <v>1381</v>
      </c>
      <c r="CL173" s="180">
        <v>1514</v>
      </c>
      <c r="CM173" s="180">
        <v>1940</v>
      </c>
      <c r="CN173" s="180">
        <v>2540</v>
      </c>
      <c r="CR173" s="8" t="s">
        <v>941</v>
      </c>
      <c r="CS173" s="187">
        <v>402640</v>
      </c>
      <c r="CT173" s="187">
        <v>464240</v>
      </c>
      <c r="CU173" s="187">
        <v>560000</v>
      </c>
      <c r="CV173" s="187">
        <v>716800</v>
      </c>
      <c r="CW173" s="187">
        <v>798560</v>
      </c>
      <c r="CX173" s="1"/>
      <c r="CY173" s="8" t="s">
        <v>941</v>
      </c>
      <c r="CZ173" s="187">
        <v>402640</v>
      </c>
      <c r="DA173" s="187">
        <v>464240</v>
      </c>
      <c r="DB173" s="187">
        <v>560000</v>
      </c>
      <c r="DC173" s="187">
        <v>716800</v>
      </c>
      <c r="DD173" s="187">
        <v>798560</v>
      </c>
    </row>
    <row r="174" spans="1:108" ht="12.75" customHeight="1">
      <c r="C174" s="193"/>
      <c r="D174" s="1" t="s">
        <v>956</v>
      </c>
      <c r="J174" s="967" t="s">
        <v>957</v>
      </c>
      <c r="K174" s="968"/>
      <c r="L174" s="968"/>
      <c r="M174" s="968"/>
      <c r="N174" s="968"/>
      <c r="O174" s="968"/>
      <c r="P174" s="968"/>
      <c r="Q174" s="968"/>
      <c r="R174" s="968"/>
      <c r="S174" s="968"/>
      <c r="T174" s="968"/>
      <c r="U174" s="968"/>
      <c r="V174" s="968"/>
      <c r="W174" s="968"/>
      <c r="X174" s="968"/>
      <c r="Y174" s="968"/>
      <c r="Z174" s="968"/>
      <c r="AA174" s="968"/>
      <c r="AB174" s="969"/>
      <c r="BB174" s="32" t="s">
        <v>958</v>
      </c>
      <c r="BN174" s="8" t="s">
        <v>959</v>
      </c>
      <c r="BS174" s="32">
        <v>7</v>
      </c>
      <c r="BT174" s="32" t="s">
        <v>960</v>
      </c>
      <c r="CB174" s="182" t="s">
        <v>945</v>
      </c>
      <c r="CC174" s="188">
        <v>1700</v>
      </c>
      <c r="CD174" s="189">
        <v>1820</v>
      </c>
      <c r="CE174" s="188">
        <v>2184</v>
      </c>
      <c r="CF174" s="189">
        <v>2524</v>
      </c>
      <c r="CG174" s="189">
        <v>2816</v>
      </c>
      <c r="CH174" s="190">
        <v>3108</v>
      </c>
      <c r="CI174" s="1" t="s">
        <v>945</v>
      </c>
      <c r="CJ174" s="180">
        <v>1132</v>
      </c>
      <c r="CK174" s="180">
        <v>1140</v>
      </c>
      <c r="CL174" s="180">
        <v>1483</v>
      </c>
      <c r="CM174" s="180">
        <v>2062</v>
      </c>
      <c r="CN174" s="180">
        <v>2488</v>
      </c>
      <c r="CR174" s="8" t="s">
        <v>944</v>
      </c>
      <c r="CS174" s="181">
        <v>323262</v>
      </c>
      <c r="CT174" s="181">
        <v>372718</v>
      </c>
      <c r="CU174" s="181">
        <v>449600</v>
      </c>
      <c r="CV174" s="181">
        <v>575488</v>
      </c>
      <c r="CW174" s="181">
        <v>641130</v>
      </c>
      <c r="CX174" s="1"/>
      <c r="CY174" s="8" t="s">
        <v>944</v>
      </c>
      <c r="CZ174" s="181">
        <v>323262</v>
      </c>
      <c r="DA174" s="181">
        <v>372718</v>
      </c>
      <c r="DB174" s="181">
        <v>449600</v>
      </c>
      <c r="DC174" s="181">
        <v>575488</v>
      </c>
      <c r="DD174" s="181">
        <v>641130</v>
      </c>
    </row>
    <row r="175" spans="1:108" ht="12.75" customHeight="1">
      <c r="C175" s="17"/>
      <c r="D175" s="1" t="s">
        <v>962</v>
      </c>
      <c r="O175" s="33"/>
      <c r="U175" s="973"/>
      <c r="V175" s="969"/>
      <c r="BB175" s="32" t="s">
        <v>964</v>
      </c>
      <c r="BN175" s="8" t="s">
        <v>965</v>
      </c>
      <c r="BS175" s="32">
        <v>1</v>
      </c>
      <c r="BT175" s="32" t="s">
        <v>966</v>
      </c>
      <c r="CB175" s="182" t="s">
        <v>949</v>
      </c>
      <c r="CC175" s="188">
        <v>1700</v>
      </c>
      <c r="CD175" s="189">
        <v>1820</v>
      </c>
      <c r="CE175" s="188">
        <v>2184</v>
      </c>
      <c r="CF175" s="189">
        <v>2524</v>
      </c>
      <c r="CG175" s="189">
        <v>2816</v>
      </c>
      <c r="CH175" s="190">
        <v>3108</v>
      </c>
      <c r="CI175" s="1" t="s">
        <v>949</v>
      </c>
      <c r="CJ175" s="180">
        <v>1150</v>
      </c>
      <c r="CK175" s="180">
        <v>1157</v>
      </c>
      <c r="CL175" s="180">
        <v>1469</v>
      </c>
      <c r="CM175" s="180">
        <v>2043</v>
      </c>
      <c r="CN175" s="180">
        <v>2451</v>
      </c>
      <c r="CR175" s="8" t="s">
        <v>948</v>
      </c>
      <c r="CS175" s="187">
        <v>323262</v>
      </c>
      <c r="CT175" s="187">
        <v>372718</v>
      </c>
      <c r="CU175" s="187">
        <v>449600</v>
      </c>
      <c r="CV175" s="187">
        <v>575488</v>
      </c>
      <c r="CW175" s="187">
        <v>641130</v>
      </c>
      <c r="CX175" s="1"/>
      <c r="CY175" s="8" t="s">
        <v>948</v>
      </c>
      <c r="CZ175" s="187">
        <v>323262</v>
      </c>
      <c r="DA175" s="187">
        <v>372718</v>
      </c>
      <c r="DB175" s="187">
        <v>449600</v>
      </c>
      <c r="DC175" s="187">
        <v>575488</v>
      </c>
      <c r="DD175" s="187">
        <v>641130</v>
      </c>
    </row>
    <row r="176" spans="1:108" ht="12.75" customHeight="1">
      <c r="C176" s="17"/>
      <c r="D176" s="197"/>
      <c r="E176" s="32" t="s">
        <v>968</v>
      </c>
      <c r="O176" s="33"/>
      <c r="P176" s="32" t="s">
        <v>970</v>
      </c>
      <c r="T176" s="33" t="s">
        <v>971</v>
      </c>
      <c r="U176" s="1070"/>
      <c r="V176" s="971"/>
      <c r="W176" s="7" t="s">
        <v>973</v>
      </c>
      <c r="X176" s="1131"/>
      <c r="Y176" s="969"/>
      <c r="BB176" s="32" t="s">
        <v>974</v>
      </c>
      <c r="BN176" s="8" t="s">
        <v>975</v>
      </c>
      <c r="BS176" s="32">
        <v>5</v>
      </c>
      <c r="BT176" s="32" t="s">
        <v>976</v>
      </c>
      <c r="CB176" s="182" t="s">
        <v>954</v>
      </c>
      <c r="CC176" s="188">
        <v>1700</v>
      </c>
      <c r="CD176" s="189">
        <v>1820</v>
      </c>
      <c r="CE176" s="188">
        <v>2184</v>
      </c>
      <c r="CF176" s="189">
        <v>2524</v>
      </c>
      <c r="CG176" s="189">
        <v>2816</v>
      </c>
      <c r="CH176" s="190">
        <v>3108</v>
      </c>
      <c r="CI176" s="1" t="s">
        <v>954</v>
      </c>
      <c r="CJ176" s="180">
        <v>1173</v>
      </c>
      <c r="CK176" s="180">
        <v>1181</v>
      </c>
      <c r="CL176" s="180">
        <v>1549</v>
      </c>
      <c r="CM176" s="180">
        <v>2154</v>
      </c>
      <c r="CN176" s="180">
        <v>2599</v>
      </c>
      <c r="CR176" s="8" t="s">
        <v>952</v>
      </c>
      <c r="CS176" s="181">
        <v>402640</v>
      </c>
      <c r="CT176" s="181">
        <v>464240</v>
      </c>
      <c r="CU176" s="181">
        <v>560000</v>
      </c>
      <c r="CV176" s="181">
        <v>716800</v>
      </c>
      <c r="CW176" s="181">
        <v>798560</v>
      </c>
      <c r="CX176" s="1"/>
      <c r="CY176" s="8" t="s">
        <v>952</v>
      </c>
      <c r="CZ176" s="181">
        <v>402640</v>
      </c>
      <c r="DA176" s="181">
        <v>464240</v>
      </c>
      <c r="DB176" s="181">
        <v>560000</v>
      </c>
      <c r="DC176" s="181">
        <v>716800</v>
      </c>
      <c r="DD176" s="181">
        <v>798560</v>
      </c>
    </row>
    <row r="177" spans="1:108" ht="12.75" customHeight="1">
      <c r="C177" s="193"/>
      <c r="D177" s="32" t="s">
        <v>978</v>
      </c>
      <c r="R177" s="973" t="s">
        <v>460</v>
      </c>
      <c r="S177" s="969"/>
      <c r="BB177" s="32" t="s">
        <v>980</v>
      </c>
      <c r="BN177" s="8" t="s">
        <v>981</v>
      </c>
      <c r="BS177" s="32">
        <v>2</v>
      </c>
      <c r="BT177" s="32" t="s">
        <v>982</v>
      </c>
      <c r="CB177" s="182" t="s">
        <v>960</v>
      </c>
      <c r="CC177" s="188">
        <v>1700</v>
      </c>
      <c r="CD177" s="189">
        <v>1820</v>
      </c>
      <c r="CE177" s="188">
        <v>2184</v>
      </c>
      <c r="CF177" s="189">
        <v>2524</v>
      </c>
      <c r="CG177" s="189">
        <v>2816</v>
      </c>
      <c r="CH177" s="190">
        <v>3108</v>
      </c>
      <c r="CI177" s="1" t="s">
        <v>960</v>
      </c>
      <c r="CJ177" s="180">
        <v>882</v>
      </c>
      <c r="CK177" s="180">
        <v>1016</v>
      </c>
      <c r="CL177" s="180">
        <v>1279</v>
      </c>
      <c r="CM177" s="180">
        <v>1779</v>
      </c>
      <c r="CN177" s="180">
        <v>2146</v>
      </c>
      <c r="CR177" s="8" t="s">
        <v>959</v>
      </c>
      <c r="CS177" s="187">
        <v>402640</v>
      </c>
      <c r="CT177" s="187">
        <v>464240</v>
      </c>
      <c r="CU177" s="187">
        <v>560000</v>
      </c>
      <c r="CV177" s="187">
        <v>716800</v>
      </c>
      <c r="CW177" s="187">
        <v>798560</v>
      </c>
      <c r="CX177" s="1"/>
      <c r="CY177" s="8" t="s">
        <v>959</v>
      </c>
      <c r="CZ177" s="187">
        <v>402640</v>
      </c>
      <c r="DA177" s="187">
        <v>464240</v>
      </c>
      <c r="DB177" s="187">
        <v>560000</v>
      </c>
      <c r="DC177" s="187">
        <v>716800</v>
      </c>
      <c r="DD177" s="187">
        <v>798560</v>
      </c>
    </row>
    <row r="178" spans="1:108" ht="12.75" customHeight="1">
      <c r="C178" s="193"/>
      <c r="D178" s="1" t="s">
        <v>984</v>
      </c>
      <c r="AA178" s="32" t="s">
        <v>970</v>
      </c>
      <c r="AE178" s="33" t="s">
        <v>971</v>
      </c>
      <c r="AF178" s="1125"/>
      <c r="AG178" s="969"/>
      <c r="AH178" s="7" t="s">
        <v>973</v>
      </c>
      <c r="AI178" s="1101"/>
      <c r="AJ178" s="968"/>
      <c r="AK178" s="969"/>
      <c r="BB178" s="32" t="s">
        <v>985</v>
      </c>
      <c r="BN178" s="8" t="s">
        <v>986</v>
      </c>
      <c r="BS178" s="32">
        <v>7</v>
      </c>
      <c r="BT178" s="32" t="s">
        <v>987</v>
      </c>
      <c r="CB178" s="182" t="s">
        <v>966</v>
      </c>
      <c r="CC178" s="188">
        <v>2914</v>
      </c>
      <c r="CD178" s="189">
        <v>3122</v>
      </c>
      <c r="CE178" s="188">
        <v>3746</v>
      </c>
      <c r="CF178" s="189">
        <v>4330</v>
      </c>
      <c r="CG178" s="189">
        <v>4830</v>
      </c>
      <c r="CH178" s="190">
        <v>5330</v>
      </c>
      <c r="CI178" s="1" t="s">
        <v>966</v>
      </c>
      <c r="CJ178" s="180">
        <v>2079</v>
      </c>
      <c r="CK178" s="180">
        <v>2328</v>
      </c>
      <c r="CL178" s="180">
        <v>2903</v>
      </c>
      <c r="CM178" s="180">
        <v>3681</v>
      </c>
      <c r="CN178" s="180">
        <v>4098</v>
      </c>
      <c r="CR178" s="8" t="s">
        <v>965</v>
      </c>
      <c r="CS178" s="181">
        <v>437727</v>
      </c>
      <c r="CT178" s="181">
        <v>504695</v>
      </c>
      <c r="CU178" s="181">
        <v>608800</v>
      </c>
      <c r="CV178" s="181">
        <v>779264</v>
      </c>
      <c r="CW178" s="181">
        <v>868149</v>
      </c>
      <c r="CX178" s="1"/>
      <c r="CY178" s="8" t="s">
        <v>965</v>
      </c>
      <c r="CZ178" s="181">
        <v>437727</v>
      </c>
      <c r="DA178" s="181">
        <v>504695</v>
      </c>
      <c r="DB178" s="181">
        <v>608800</v>
      </c>
      <c r="DC178" s="181">
        <v>779264</v>
      </c>
      <c r="DD178" s="181">
        <v>868149</v>
      </c>
    </row>
    <row r="179" spans="1:108" ht="12.75" customHeight="1">
      <c r="C179" s="193"/>
      <c r="BN179" s="8" t="s">
        <v>988</v>
      </c>
      <c r="BS179" s="32">
        <v>7</v>
      </c>
      <c r="BT179" s="32" t="s">
        <v>989</v>
      </c>
      <c r="CB179" s="182" t="s">
        <v>976</v>
      </c>
      <c r="CC179" s="188">
        <v>1700</v>
      </c>
      <c r="CD179" s="189">
        <v>1820</v>
      </c>
      <c r="CE179" s="188">
        <v>2184</v>
      </c>
      <c r="CF179" s="189">
        <v>2524</v>
      </c>
      <c r="CG179" s="189">
        <v>2816</v>
      </c>
      <c r="CH179" s="190">
        <v>3108</v>
      </c>
      <c r="CI179" s="1" t="s">
        <v>976</v>
      </c>
      <c r="CJ179" s="180">
        <v>1055</v>
      </c>
      <c r="CK179" s="180">
        <v>1062</v>
      </c>
      <c r="CL179" s="180">
        <v>1376</v>
      </c>
      <c r="CM179" s="180">
        <v>1914</v>
      </c>
      <c r="CN179" s="180">
        <v>2275</v>
      </c>
      <c r="CR179" s="8" t="s">
        <v>975</v>
      </c>
      <c r="CS179" s="187">
        <v>323262</v>
      </c>
      <c r="CT179" s="187">
        <v>372718</v>
      </c>
      <c r="CU179" s="187">
        <v>449600</v>
      </c>
      <c r="CV179" s="187">
        <v>575488</v>
      </c>
      <c r="CW179" s="187">
        <v>641130</v>
      </c>
      <c r="CX179" s="1"/>
      <c r="CY179" s="8" t="s">
        <v>975</v>
      </c>
      <c r="CZ179" s="187">
        <v>323262</v>
      </c>
      <c r="DA179" s="187">
        <v>372718</v>
      </c>
      <c r="DB179" s="187">
        <v>449600</v>
      </c>
      <c r="DC179" s="187">
        <v>575488</v>
      </c>
      <c r="DD179" s="187">
        <v>641130</v>
      </c>
    </row>
    <row r="180" spans="1:108" ht="12.75" customHeight="1">
      <c r="C180" s="193"/>
      <c r="D180" s="1" t="s">
        <v>991</v>
      </c>
      <c r="X180" s="973" t="s">
        <v>901</v>
      </c>
      <c r="Y180" s="969"/>
      <c r="BN180" s="8" t="s">
        <v>993</v>
      </c>
      <c r="BS180" s="32">
        <v>5</v>
      </c>
      <c r="BT180" s="32" t="s">
        <v>994</v>
      </c>
      <c r="CB180" s="182" t="s">
        <v>982</v>
      </c>
      <c r="CC180" s="188">
        <v>3676</v>
      </c>
      <c r="CD180" s="189">
        <v>3940</v>
      </c>
      <c r="CE180" s="188">
        <v>4726</v>
      </c>
      <c r="CF180" s="189">
        <v>5462</v>
      </c>
      <c r="CG180" s="189">
        <v>6094</v>
      </c>
      <c r="CH180" s="190">
        <v>6724</v>
      </c>
      <c r="CI180" s="1" t="s">
        <v>982</v>
      </c>
      <c r="CJ180" s="180">
        <v>2485</v>
      </c>
      <c r="CK180" s="180">
        <v>2977</v>
      </c>
      <c r="CL180" s="180">
        <v>3604</v>
      </c>
      <c r="CM180" s="180">
        <v>4604</v>
      </c>
      <c r="CN180" s="180">
        <v>4772</v>
      </c>
      <c r="CR180" s="8" t="s">
        <v>981</v>
      </c>
      <c r="CS180" s="181">
        <v>406666</v>
      </c>
      <c r="CT180" s="181">
        <v>468882</v>
      </c>
      <c r="CU180" s="181">
        <v>565600</v>
      </c>
      <c r="CV180" s="181">
        <v>723968</v>
      </c>
      <c r="CW180" s="181">
        <v>806546</v>
      </c>
      <c r="CX180" s="1"/>
      <c r="CY180" s="8" t="s">
        <v>981</v>
      </c>
      <c r="CZ180" s="181">
        <v>406666</v>
      </c>
      <c r="DA180" s="181">
        <v>468882</v>
      </c>
      <c r="DB180" s="181">
        <v>565600</v>
      </c>
      <c r="DC180" s="181">
        <v>723968</v>
      </c>
      <c r="DD180" s="181">
        <v>806546</v>
      </c>
    </row>
    <row r="181" spans="1:108" ht="12.75" customHeight="1">
      <c r="C181" s="17"/>
      <c r="E181" s="1" t="s">
        <v>995</v>
      </c>
      <c r="BN181" s="8" t="s">
        <v>996</v>
      </c>
      <c r="BS181" s="32">
        <v>7</v>
      </c>
      <c r="BT181" s="32" t="s">
        <v>997</v>
      </c>
      <c r="CB181" s="182" t="s">
        <v>987</v>
      </c>
      <c r="CC181" s="188">
        <v>1700</v>
      </c>
      <c r="CD181" s="189">
        <v>1820</v>
      </c>
      <c r="CE181" s="188">
        <v>2184</v>
      </c>
      <c r="CF181" s="189">
        <v>2524</v>
      </c>
      <c r="CG181" s="189">
        <v>2816</v>
      </c>
      <c r="CH181" s="190">
        <v>3108</v>
      </c>
      <c r="CI181" s="1" t="s">
        <v>987</v>
      </c>
      <c r="CJ181" s="180">
        <v>1016</v>
      </c>
      <c r="CK181" s="180">
        <v>1148</v>
      </c>
      <c r="CL181" s="180">
        <v>1454</v>
      </c>
      <c r="CM181" s="180">
        <v>2022</v>
      </c>
      <c r="CN181" s="180">
        <v>2439</v>
      </c>
      <c r="CR181" s="8" t="s">
        <v>986</v>
      </c>
      <c r="CS181" s="187">
        <v>402640</v>
      </c>
      <c r="CT181" s="187">
        <v>464240</v>
      </c>
      <c r="CU181" s="187">
        <v>560000</v>
      </c>
      <c r="CV181" s="187">
        <v>716800</v>
      </c>
      <c r="CW181" s="187">
        <v>798560</v>
      </c>
      <c r="CX181" s="1"/>
      <c r="CY181" s="8" t="s">
        <v>986</v>
      </c>
      <c r="CZ181" s="187">
        <v>402640</v>
      </c>
      <c r="DA181" s="187">
        <v>464240</v>
      </c>
      <c r="DB181" s="187">
        <v>560000</v>
      </c>
      <c r="DC181" s="187">
        <v>716800</v>
      </c>
      <c r="DD181" s="187">
        <v>798560</v>
      </c>
    </row>
    <row r="182" spans="1:108" ht="12.75" customHeight="1">
      <c r="C182" s="199"/>
      <c r="BN182" s="8" t="s">
        <v>1000</v>
      </c>
      <c r="BS182" s="32">
        <v>7</v>
      </c>
      <c r="BT182" s="32" t="s">
        <v>1001</v>
      </c>
      <c r="CB182" s="182" t="s">
        <v>989</v>
      </c>
      <c r="CC182" s="188">
        <v>1746</v>
      </c>
      <c r="CD182" s="189">
        <v>1872</v>
      </c>
      <c r="CE182" s="188">
        <v>2246</v>
      </c>
      <c r="CF182" s="189">
        <v>2594</v>
      </c>
      <c r="CG182" s="189">
        <v>2894</v>
      </c>
      <c r="CH182" s="190">
        <v>3194</v>
      </c>
      <c r="CI182" s="1" t="s">
        <v>989</v>
      </c>
      <c r="CJ182" s="180">
        <v>1269</v>
      </c>
      <c r="CK182" s="180">
        <v>1306</v>
      </c>
      <c r="CL182" s="180">
        <v>1713</v>
      </c>
      <c r="CM182" s="180">
        <v>2382</v>
      </c>
      <c r="CN182" s="180">
        <v>2789</v>
      </c>
      <c r="CR182" s="8" t="s">
        <v>988</v>
      </c>
      <c r="CS182" s="181">
        <v>402640</v>
      </c>
      <c r="CT182" s="181">
        <v>464240</v>
      </c>
      <c r="CU182" s="181">
        <v>560000</v>
      </c>
      <c r="CV182" s="181">
        <v>716800</v>
      </c>
      <c r="CW182" s="181">
        <v>798560</v>
      </c>
      <c r="CX182" s="1"/>
      <c r="CY182" s="8" t="s">
        <v>988</v>
      </c>
      <c r="CZ182" s="181">
        <v>402640</v>
      </c>
      <c r="DA182" s="181">
        <v>464240</v>
      </c>
      <c r="DB182" s="181">
        <v>560000</v>
      </c>
      <c r="DC182" s="181">
        <v>716800</v>
      </c>
      <c r="DD182" s="181">
        <v>798560</v>
      </c>
    </row>
    <row r="183" spans="1:108" ht="12.75" customHeight="1">
      <c r="A183" s="8" t="s">
        <v>1003</v>
      </c>
      <c r="C183" s="8" t="s">
        <v>132</v>
      </c>
      <c r="BN183" s="8" t="s">
        <v>1004</v>
      </c>
      <c r="BS183" s="32">
        <v>4</v>
      </c>
      <c r="BT183" s="32" t="s">
        <v>1005</v>
      </c>
      <c r="CB183" s="182" t="s">
        <v>994</v>
      </c>
      <c r="CC183" s="188">
        <v>1700</v>
      </c>
      <c r="CD183" s="189">
        <v>1820</v>
      </c>
      <c r="CE183" s="188">
        <v>2184</v>
      </c>
      <c r="CF183" s="189">
        <v>2524</v>
      </c>
      <c r="CG183" s="189">
        <v>2816</v>
      </c>
      <c r="CH183" s="190">
        <v>3108</v>
      </c>
      <c r="CI183" s="1" t="s">
        <v>994</v>
      </c>
      <c r="CJ183" s="180">
        <v>1116</v>
      </c>
      <c r="CK183" s="180">
        <v>1213</v>
      </c>
      <c r="CL183" s="180">
        <v>1503</v>
      </c>
      <c r="CM183" s="180">
        <v>2067</v>
      </c>
      <c r="CN183" s="180">
        <v>2503</v>
      </c>
      <c r="CR183" s="8" t="s">
        <v>993</v>
      </c>
      <c r="CS183" s="187">
        <v>323262</v>
      </c>
      <c r="CT183" s="187">
        <v>372718</v>
      </c>
      <c r="CU183" s="187">
        <v>449600</v>
      </c>
      <c r="CV183" s="187">
        <v>575488</v>
      </c>
      <c r="CW183" s="187">
        <v>641130</v>
      </c>
      <c r="CX183" s="1"/>
      <c r="CY183" s="8" t="s">
        <v>993</v>
      </c>
      <c r="CZ183" s="187">
        <v>323262</v>
      </c>
      <c r="DA183" s="187">
        <v>372718</v>
      </c>
      <c r="DB183" s="187">
        <v>449600</v>
      </c>
      <c r="DC183" s="187">
        <v>575488</v>
      </c>
      <c r="DD183" s="187">
        <v>641130</v>
      </c>
    </row>
    <row r="184" spans="1:108" ht="12.75" customHeight="1">
      <c r="C184" s="97"/>
      <c r="D184" s="32" t="s">
        <v>1007</v>
      </c>
      <c r="I184" s="966" t="str">
        <f>H18</f>
        <v>SD 427 - Normal Heights/North Park/Linda Vista</v>
      </c>
      <c r="J184" s="961"/>
      <c r="K184" s="961"/>
      <c r="L184" s="961"/>
      <c r="M184" s="961"/>
      <c r="N184" s="961"/>
      <c r="O184" s="961"/>
      <c r="P184" s="961"/>
      <c r="Q184" s="961"/>
      <c r="R184" s="961"/>
      <c r="S184" s="961"/>
      <c r="T184" s="961"/>
      <c r="U184" s="961"/>
      <c r="V184" s="961"/>
      <c r="W184" s="961"/>
      <c r="X184" s="961"/>
      <c r="Y184" s="961"/>
      <c r="Z184" s="961"/>
      <c r="AA184" s="961"/>
      <c r="AB184" s="961"/>
      <c r="AC184" s="961"/>
      <c r="AD184" s="961"/>
      <c r="AE184" s="961"/>
      <c r="BC184" s="32" t="s">
        <v>1008</v>
      </c>
      <c r="BN184" s="8" t="s">
        <v>1009</v>
      </c>
      <c r="BS184" s="32">
        <v>4</v>
      </c>
      <c r="BT184" s="32" t="s">
        <v>1010</v>
      </c>
      <c r="CB184" s="182" t="s">
        <v>997</v>
      </c>
      <c r="CC184" s="188">
        <v>1700</v>
      </c>
      <c r="CD184" s="189">
        <v>1820</v>
      </c>
      <c r="CE184" s="188">
        <v>2184</v>
      </c>
      <c r="CF184" s="189">
        <v>2524</v>
      </c>
      <c r="CG184" s="189">
        <v>2816</v>
      </c>
      <c r="CH184" s="190">
        <v>3108</v>
      </c>
      <c r="CI184" s="1" t="s">
        <v>997</v>
      </c>
      <c r="CJ184" s="180">
        <v>774</v>
      </c>
      <c r="CK184" s="180">
        <v>883</v>
      </c>
      <c r="CL184" s="180">
        <v>1108</v>
      </c>
      <c r="CM184" s="180">
        <v>1434</v>
      </c>
      <c r="CN184" s="180">
        <v>1831</v>
      </c>
      <c r="CR184" s="8" t="s">
        <v>996</v>
      </c>
      <c r="CS184" s="181">
        <v>402640</v>
      </c>
      <c r="CT184" s="181">
        <v>464240</v>
      </c>
      <c r="CU184" s="181">
        <v>560000</v>
      </c>
      <c r="CV184" s="181">
        <v>716800</v>
      </c>
      <c r="CW184" s="181">
        <v>798560</v>
      </c>
      <c r="CX184" s="1"/>
      <c r="CY184" s="8" t="s">
        <v>996</v>
      </c>
      <c r="CZ184" s="181">
        <v>402640</v>
      </c>
      <c r="DA184" s="181">
        <v>464240</v>
      </c>
      <c r="DB184" s="181">
        <v>560000</v>
      </c>
      <c r="DC184" s="181">
        <v>716800</v>
      </c>
      <c r="DD184" s="181">
        <v>798560</v>
      </c>
    </row>
    <row r="185" spans="1:108" ht="12.75" customHeight="1">
      <c r="C185" s="97"/>
      <c r="D185" s="32" t="s">
        <v>1012</v>
      </c>
      <c r="I185" s="1115" t="s">
        <v>2816</v>
      </c>
      <c r="J185" s="921"/>
      <c r="K185" s="921"/>
      <c r="L185" s="921"/>
      <c r="M185" s="921"/>
      <c r="N185" s="921"/>
      <c r="O185" s="921"/>
      <c r="P185" s="921"/>
      <c r="Q185" s="921"/>
      <c r="R185" s="921"/>
      <c r="S185" s="921"/>
      <c r="T185" s="921"/>
      <c r="U185" s="921"/>
      <c r="V185" s="921"/>
      <c r="W185" s="921"/>
      <c r="X185" s="921"/>
      <c r="Y185" s="921"/>
      <c r="Z185" s="921"/>
      <c r="AA185" s="921"/>
      <c r="AB185" s="921"/>
      <c r="AC185" s="921"/>
      <c r="AD185" s="921"/>
      <c r="AE185" s="971"/>
      <c r="BC185" s="32" t="s">
        <v>1013</v>
      </c>
      <c r="BN185" s="8" t="s">
        <v>1014</v>
      </c>
      <c r="BS185" s="32">
        <v>7</v>
      </c>
      <c r="BT185" s="32" t="s">
        <v>1015</v>
      </c>
      <c r="CB185" s="182" t="s">
        <v>1001</v>
      </c>
      <c r="CC185" s="188">
        <v>1962</v>
      </c>
      <c r="CD185" s="189">
        <v>2102</v>
      </c>
      <c r="CE185" s="188">
        <v>2522</v>
      </c>
      <c r="CF185" s="189">
        <v>2918</v>
      </c>
      <c r="CG185" s="189">
        <v>3254</v>
      </c>
      <c r="CH185" s="190">
        <v>3590</v>
      </c>
      <c r="CI185" s="1" t="s">
        <v>1001</v>
      </c>
      <c r="CJ185" s="180">
        <v>1171</v>
      </c>
      <c r="CK185" s="180">
        <v>1528</v>
      </c>
      <c r="CL185" s="180">
        <v>1675</v>
      </c>
      <c r="CM185" s="180">
        <v>2330</v>
      </c>
      <c r="CN185" s="180">
        <v>2769</v>
      </c>
      <c r="CR185" s="8" t="s">
        <v>1000</v>
      </c>
      <c r="CS185" s="187">
        <v>402640</v>
      </c>
      <c r="CT185" s="187">
        <v>464240</v>
      </c>
      <c r="CU185" s="187">
        <v>560000</v>
      </c>
      <c r="CV185" s="187">
        <v>716800</v>
      </c>
      <c r="CW185" s="187">
        <v>798560</v>
      </c>
      <c r="CX185" s="1"/>
      <c r="CY185" s="8" t="s">
        <v>1000</v>
      </c>
      <c r="CZ185" s="187">
        <v>402640</v>
      </c>
      <c r="DA185" s="187">
        <v>464240</v>
      </c>
      <c r="DB185" s="187">
        <v>560000</v>
      </c>
      <c r="DC185" s="187">
        <v>716800</v>
      </c>
      <c r="DD185" s="187">
        <v>798560</v>
      </c>
    </row>
    <row r="186" spans="1:108" ht="12.75" customHeight="1">
      <c r="C186" s="97"/>
      <c r="E186" s="32" t="s">
        <v>1017</v>
      </c>
      <c r="BN186" s="8" t="s">
        <v>1018</v>
      </c>
      <c r="BS186" s="32">
        <v>4</v>
      </c>
      <c r="BT186" s="32" t="s">
        <v>1019</v>
      </c>
      <c r="CB186" s="182" t="s">
        <v>1005</v>
      </c>
      <c r="CC186" s="188">
        <v>2736</v>
      </c>
      <c r="CD186" s="189">
        <v>2932</v>
      </c>
      <c r="CE186" s="188">
        <v>3520</v>
      </c>
      <c r="CF186" s="189">
        <v>4066</v>
      </c>
      <c r="CG186" s="189">
        <v>4536</v>
      </c>
      <c r="CH186" s="190">
        <v>5006</v>
      </c>
      <c r="CI186" s="1" t="s">
        <v>1005</v>
      </c>
      <c r="CJ186" s="180">
        <v>2173</v>
      </c>
      <c r="CK186" s="180">
        <v>2232</v>
      </c>
      <c r="CL186" s="180">
        <v>2684</v>
      </c>
      <c r="CM186" s="180">
        <v>3623</v>
      </c>
      <c r="CN186" s="180">
        <v>3945</v>
      </c>
      <c r="CR186" s="8" t="s">
        <v>1004</v>
      </c>
      <c r="CS186" s="181">
        <v>442904</v>
      </c>
      <c r="CT186" s="181">
        <v>510664</v>
      </c>
      <c r="CU186" s="181">
        <v>616000</v>
      </c>
      <c r="CV186" s="181">
        <v>788480</v>
      </c>
      <c r="CW186" s="181">
        <v>878416</v>
      </c>
      <c r="CX186" s="1"/>
      <c r="CY186" s="8" t="s">
        <v>1004</v>
      </c>
      <c r="CZ186" s="181">
        <v>442904</v>
      </c>
      <c r="DA186" s="181">
        <v>510664</v>
      </c>
      <c r="DB186" s="181">
        <v>616000</v>
      </c>
      <c r="DC186" s="181">
        <v>788480</v>
      </c>
      <c r="DD186" s="181">
        <v>878416</v>
      </c>
    </row>
    <row r="187" spans="1:108" ht="12.75" customHeight="1">
      <c r="C187" s="97"/>
      <c r="E187" s="1100" t="s">
        <v>2816</v>
      </c>
      <c r="F187" s="901"/>
      <c r="G187" s="901"/>
      <c r="H187" s="901"/>
      <c r="I187" s="901"/>
      <c r="J187" s="901"/>
      <c r="K187" s="901"/>
      <c r="L187" s="901"/>
      <c r="M187" s="901"/>
      <c r="N187" s="901"/>
      <c r="O187" s="901"/>
      <c r="P187" s="901"/>
      <c r="Q187" s="901"/>
      <c r="R187" s="901"/>
      <c r="S187" s="901"/>
      <c r="T187" s="901"/>
      <c r="U187" s="901"/>
      <c r="V187" s="901"/>
      <c r="W187" s="901"/>
      <c r="X187" s="901"/>
      <c r="Y187" s="901"/>
      <c r="Z187" s="901"/>
      <c r="AA187" s="901"/>
      <c r="AB187" s="901"/>
      <c r="AC187" s="901"/>
      <c r="AD187" s="901"/>
      <c r="AE187" s="902"/>
      <c r="BN187" s="8" t="s">
        <v>1021</v>
      </c>
      <c r="BS187" s="32">
        <v>6</v>
      </c>
      <c r="BT187" s="32" t="s">
        <v>1022</v>
      </c>
      <c r="CB187" s="182" t="s">
        <v>1010</v>
      </c>
      <c r="CC187" s="188">
        <v>3084</v>
      </c>
      <c r="CD187" s="189">
        <v>3304</v>
      </c>
      <c r="CE187" s="188">
        <v>3966</v>
      </c>
      <c r="CF187" s="189">
        <v>4584</v>
      </c>
      <c r="CG187" s="189">
        <v>5114</v>
      </c>
      <c r="CH187" s="190">
        <v>5640</v>
      </c>
      <c r="CI187" s="1" t="s">
        <v>1010</v>
      </c>
      <c r="CJ187" s="180">
        <v>2286</v>
      </c>
      <c r="CK187" s="180">
        <v>2526</v>
      </c>
      <c r="CL187" s="180">
        <v>3315</v>
      </c>
      <c r="CM187" s="180">
        <v>4222</v>
      </c>
      <c r="CN187" s="180">
        <v>4942</v>
      </c>
      <c r="CR187" s="8" t="s">
        <v>1009</v>
      </c>
      <c r="CS187" s="187">
        <v>406666</v>
      </c>
      <c r="CT187" s="187">
        <v>468882</v>
      </c>
      <c r="CU187" s="187">
        <v>565600</v>
      </c>
      <c r="CV187" s="187">
        <v>723968</v>
      </c>
      <c r="CW187" s="187">
        <v>806546</v>
      </c>
      <c r="CX187" s="1"/>
      <c r="CY187" s="8" t="s">
        <v>1009</v>
      </c>
      <c r="CZ187" s="187">
        <v>406666</v>
      </c>
      <c r="DA187" s="187">
        <v>468882</v>
      </c>
      <c r="DB187" s="187">
        <v>565600</v>
      </c>
      <c r="DC187" s="187">
        <v>723968</v>
      </c>
      <c r="DD187" s="187">
        <v>806546</v>
      </c>
    </row>
    <row r="188" spans="1:108" ht="12.75" customHeight="1">
      <c r="C188" s="97"/>
      <c r="E188" s="1098"/>
      <c r="F188" s="961"/>
      <c r="G188" s="961"/>
      <c r="H188" s="961"/>
      <c r="I188" s="961"/>
      <c r="J188" s="961"/>
      <c r="K188" s="961"/>
      <c r="L188" s="961"/>
      <c r="M188" s="961"/>
      <c r="N188" s="961"/>
      <c r="O188" s="961"/>
      <c r="P188" s="961"/>
      <c r="Q188" s="961"/>
      <c r="R188" s="961"/>
      <c r="S188" s="961"/>
      <c r="T188" s="961"/>
      <c r="U188" s="961"/>
      <c r="V188" s="961"/>
      <c r="W188" s="961"/>
      <c r="X188" s="961"/>
      <c r="Y188" s="961"/>
      <c r="Z188" s="961"/>
      <c r="AA188" s="961"/>
      <c r="AB188" s="961"/>
      <c r="AC188" s="961"/>
      <c r="AD188" s="961"/>
      <c r="AE188" s="1099"/>
      <c r="BN188" s="8" t="s">
        <v>1024</v>
      </c>
      <c r="BS188" s="32">
        <v>7</v>
      </c>
      <c r="BT188" s="32" t="s">
        <v>1025</v>
      </c>
      <c r="CB188" s="182" t="s">
        <v>1015</v>
      </c>
      <c r="CC188" s="188">
        <v>2190</v>
      </c>
      <c r="CD188" s="189">
        <v>2346</v>
      </c>
      <c r="CE188" s="188">
        <v>2814</v>
      </c>
      <c r="CF188" s="189">
        <v>3252</v>
      </c>
      <c r="CG188" s="189">
        <v>3630</v>
      </c>
      <c r="CH188" s="190">
        <v>4004</v>
      </c>
      <c r="CI188" s="1" t="s">
        <v>1015</v>
      </c>
      <c r="CJ188" s="180">
        <v>1373</v>
      </c>
      <c r="CK188" s="180">
        <v>1382</v>
      </c>
      <c r="CL188" s="180">
        <v>1813</v>
      </c>
      <c r="CM188" s="180">
        <v>2521</v>
      </c>
      <c r="CN188" s="180">
        <v>3041</v>
      </c>
      <c r="CR188" s="8" t="s">
        <v>1014</v>
      </c>
      <c r="CS188" s="181">
        <v>402640</v>
      </c>
      <c r="CT188" s="181">
        <v>464240</v>
      </c>
      <c r="CU188" s="181">
        <v>560000</v>
      </c>
      <c r="CV188" s="181">
        <v>716800</v>
      </c>
      <c r="CW188" s="181">
        <v>798560</v>
      </c>
      <c r="CX188" s="1"/>
      <c r="CY188" s="8" t="s">
        <v>1014</v>
      </c>
      <c r="CZ188" s="181">
        <v>402640</v>
      </c>
      <c r="DA188" s="181">
        <v>464240</v>
      </c>
      <c r="DB188" s="181">
        <v>560000</v>
      </c>
      <c r="DC188" s="181">
        <v>716800</v>
      </c>
      <c r="DD188" s="181">
        <v>798560</v>
      </c>
    </row>
    <row r="189" spans="1:108" ht="12.75" customHeight="1">
      <c r="C189" s="97"/>
      <c r="D189" s="32" t="s">
        <v>1028</v>
      </c>
      <c r="I189" s="967" t="s">
        <v>1029</v>
      </c>
      <c r="J189" s="968"/>
      <c r="K189" s="968"/>
      <c r="L189" s="968"/>
      <c r="M189" s="968"/>
      <c r="N189" s="968"/>
      <c r="O189" s="968"/>
      <c r="P189" s="969"/>
      <c r="Q189" s="32" t="s">
        <v>1030</v>
      </c>
      <c r="T189" s="967" t="s">
        <v>1031</v>
      </c>
      <c r="U189" s="968"/>
      <c r="V189" s="968"/>
      <c r="W189" s="968"/>
      <c r="X189" s="968"/>
      <c r="Y189" s="968"/>
      <c r="Z189" s="968"/>
      <c r="AA189" s="968"/>
      <c r="AB189" s="968"/>
      <c r="AC189" s="968"/>
      <c r="AD189" s="968"/>
      <c r="AE189" s="969"/>
      <c r="BC189" s="32" t="s">
        <v>27</v>
      </c>
      <c r="BH189" s="1" t="s">
        <v>855</v>
      </c>
      <c r="BN189" s="8" t="s">
        <v>1033</v>
      </c>
      <c r="BS189" s="32">
        <v>5</v>
      </c>
      <c r="BT189" s="32" t="s">
        <v>1034</v>
      </c>
      <c r="CB189" s="182" t="s">
        <v>1019</v>
      </c>
      <c r="CC189" s="188">
        <v>3256</v>
      </c>
      <c r="CD189" s="189">
        <v>3490</v>
      </c>
      <c r="CE189" s="188">
        <v>4186</v>
      </c>
      <c r="CF189" s="189">
        <v>4838</v>
      </c>
      <c r="CG189" s="189">
        <v>5396</v>
      </c>
      <c r="CH189" s="190">
        <v>5956</v>
      </c>
      <c r="CI189" s="1" t="s">
        <v>1019</v>
      </c>
      <c r="CJ189" s="180">
        <v>2682</v>
      </c>
      <c r="CK189" s="180">
        <v>2746</v>
      </c>
      <c r="CL189" s="180">
        <v>3236</v>
      </c>
      <c r="CM189" s="180">
        <v>4393</v>
      </c>
      <c r="CN189" s="180">
        <v>5246</v>
      </c>
      <c r="CR189" s="8" t="s">
        <v>1018</v>
      </c>
      <c r="CS189" s="187">
        <v>402065</v>
      </c>
      <c r="CT189" s="187">
        <v>463577</v>
      </c>
      <c r="CU189" s="187">
        <v>559200</v>
      </c>
      <c r="CV189" s="187">
        <v>715776</v>
      </c>
      <c r="CW189" s="187">
        <v>797419</v>
      </c>
      <c r="CX189" s="1"/>
      <c r="CY189" s="8" t="s">
        <v>1018</v>
      </c>
      <c r="CZ189" s="187">
        <v>402065</v>
      </c>
      <c r="DA189" s="187">
        <v>463577</v>
      </c>
      <c r="DB189" s="187">
        <v>559200</v>
      </c>
      <c r="DC189" s="187">
        <v>715776</v>
      </c>
      <c r="DD189" s="187">
        <v>797419</v>
      </c>
    </row>
    <row r="190" spans="1:108" ht="12.75" customHeight="1">
      <c r="C190" s="97"/>
      <c r="D190" s="32" t="s">
        <v>1035</v>
      </c>
      <c r="I190" s="970" t="s">
        <v>2817</v>
      </c>
      <c r="J190" s="921"/>
      <c r="K190" s="921"/>
      <c r="L190" s="921"/>
      <c r="M190" s="921"/>
      <c r="N190" s="971"/>
      <c r="O190" s="32" t="s">
        <v>1036</v>
      </c>
      <c r="T190" s="1126" t="s">
        <v>2818</v>
      </c>
      <c r="U190" s="921"/>
      <c r="V190" s="921"/>
      <c r="W190" s="921"/>
      <c r="X190" s="921"/>
      <c r="Y190" s="921"/>
      <c r="Z190" s="921"/>
      <c r="AA190" s="921"/>
      <c r="AB190" s="921"/>
      <c r="AC190" s="921"/>
      <c r="AD190" s="921"/>
      <c r="AE190" s="971"/>
      <c r="BC190" s="32" t="s">
        <v>1037</v>
      </c>
      <c r="BH190" s="32" t="s">
        <v>1037</v>
      </c>
      <c r="BN190" s="8" t="s">
        <v>1038</v>
      </c>
      <c r="BS190" s="32">
        <v>6</v>
      </c>
      <c r="BT190" s="32" t="s">
        <v>1039</v>
      </c>
      <c r="CB190" s="182" t="s">
        <v>1022</v>
      </c>
      <c r="CC190" s="188">
        <v>2300</v>
      </c>
      <c r="CD190" s="189">
        <v>2464</v>
      </c>
      <c r="CE190" s="188">
        <v>2956</v>
      </c>
      <c r="CF190" s="189">
        <v>3416</v>
      </c>
      <c r="CG190" s="189">
        <v>3812</v>
      </c>
      <c r="CH190" s="190">
        <v>4206</v>
      </c>
      <c r="CI190" s="1" t="s">
        <v>1022</v>
      </c>
      <c r="CJ190" s="180">
        <v>1748</v>
      </c>
      <c r="CK190" s="180">
        <v>1832</v>
      </c>
      <c r="CL190" s="180">
        <v>2255</v>
      </c>
      <c r="CM190" s="180">
        <v>3002</v>
      </c>
      <c r="CN190" s="180">
        <v>3460</v>
      </c>
      <c r="CR190" s="8" t="s">
        <v>1021</v>
      </c>
      <c r="CS190" s="181">
        <v>360075</v>
      </c>
      <c r="CT190" s="181">
        <v>415163</v>
      </c>
      <c r="CU190" s="181">
        <v>500800</v>
      </c>
      <c r="CV190" s="181">
        <v>641024</v>
      </c>
      <c r="CW190" s="181">
        <v>714141</v>
      </c>
      <c r="CX190" s="1"/>
      <c r="CY190" s="8" t="s">
        <v>1021</v>
      </c>
      <c r="CZ190" s="181">
        <v>360075</v>
      </c>
      <c r="DA190" s="181">
        <v>415163</v>
      </c>
      <c r="DB190" s="181">
        <v>500800</v>
      </c>
      <c r="DC190" s="181">
        <v>641024</v>
      </c>
      <c r="DD190" s="181">
        <v>714141</v>
      </c>
    </row>
    <row r="191" spans="1:108" ht="12.75" customHeight="1">
      <c r="C191" s="97"/>
      <c r="D191" s="32" t="s">
        <v>1041</v>
      </c>
      <c r="N191" s="1100" t="s">
        <v>2819</v>
      </c>
      <c r="O191" s="901"/>
      <c r="P191" s="901"/>
      <c r="Q191" s="901"/>
      <c r="R191" s="901"/>
      <c r="S191" s="901"/>
      <c r="T191" s="901"/>
      <c r="U191" s="901"/>
      <c r="V191" s="901"/>
      <c r="W191" s="901"/>
      <c r="X191" s="901"/>
      <c r="Y191" s="901"/>
      <c r="Z191" s="901"/>
      <c r="AA191" s="901"/>
      <c r="AB191" s="901"/>
      <c r="AC191" s="901"/>
      <c r="AD191" s="901"/>
      <c r="AE191" s="902"/>
      <c r="BC191" s="32" t="s">
        <v>1042</v>
      </c>
      <c r="BH191" s="32" t="s">
        <v>1042</v>
      </c>
      <c r="BN191" s="8" t="s">
        <v>1043</v>
      </c>
      <c r="BS191" s="32">
        <v>4</v>
      </c>
      <c r="BT191" s="32" t="s">
        <v>1044</v>
      </c>
      <c r="CB191" s="182" t="s">
        <v>1025</v>
      </c>
      <c r="CC191" s="188">
        <v>1700</v>
      </c>
      <c r="CD191" s="189">
        <v>1820</v>
      </c>
      <c r="CE191" s="188">
        <v>2184</v>
      </c>
      <c r="CF191" s="189">
        <v>2524</v>
      </c>
      <c r="CG191" s="189">
        <v>2816</v>
      </c>
      <c r="CH191" s="190">
        <v>3108</v>
      </c>
      <c r="CI191" s="1" t="s">
        <v>1025</v>
      </c>
      <c r="CJ191" s="180">
        <v>973</v>
      </c>
      <c r="CK191" s="180">
        <v>1075</v>
      </c>
      <c r="CL191" s="180">
        <v>1411</v>
      </c>
      <c r="CM191" s="180">
        <v>1962</v>
      </c>
      <c r="CN191" s="180">
        <v>1995</v>
      </c>
      <c r="CR191" s="8" t="s">
        <v>1024</v>
      </c>
      <c r="CS191" s="187">
        <v>402640</v>
      </c>
      <c r="CT191" s="187">
        <v>464240</v>
      </c>
      <c r="CU191" s="187">
        <v>560000</v>
      </c>
      <c r="CV191" s="187">
        <v>716800</v>
      </c>
      <c r="CW191" s="187">
        <v>798560</v>
      </c>
      <c r="CX191" s="1"/>
      <c r="CY191" s="8" t="s">
        <v>1024</v>
      </c>
      <c r="CZ191" s="187">
        <v>402640</v>
      </c>
      <c r="DA191" s="187">
        <v>464240</v>
      </c>
      <c r="DB191" s="187">
        <v>560000</v>
      </c>
      <c r="DC191" s="187">
        <v>716800</v>
      </c>
      <c r="DD191" s="187">
        <v>798560</v>
      </c>
    </row>
    <row r="192" spans="1:108" ht="12.75" customHeight="1">
      <c r="C192" s="97"/>
      <c r="M192" s="4"/>
      <c r="N192" s="1098"/>
      <c r="O192" s="961"/>
      <c r="P192" s="961"/>
      <c r="Q192" s="961"/>
      <c r="R192" s="961"/>
      <c r="S192" s="961"/>
      <c r="T192" s="961"/>
      <c r="U192" s="961"/>
      <c r="V192" s="961"/>
      <c r="W192" s="961"/>
      <c r="X192" s="961"/>
      <c r="Y192" s="961"/>
      <c r="Z192" s="961"/>
      <c r="AA192" s="961"/>
      <c r="AB192" s="961"/>
      <c r="AC192" s="961"/>
      <c r="AD192" s="961"/>
      <c r="AE192" s="1099"/>
      <c r="BC192" s="32" t="s">
        <v>1045</v>
      </c>
      <c r="BH192" s="1" t="s">
        <v>1046</v>
      </c>
      <c r="BN192" s="8" t="s">
        <v>1047</v>
      </c>
      <c r="BS192" s="32">
        <v>5</v>
      </c>
      <c r="BT192" s="32" t="s">
        <v>1048</v>
      </c>
      <c r="CB192" s="182" t="s">
        <v>1034</v>
      </c>
      <c r="CC192" s="188">
        <v>2152</v>
      </c>
      <c r="CD192" s="189">
        <v>2306</v>
      </c>
      <c r="CE192" s="188">
        <v>2766</v>
      </c>
      <c r="CF192" s="189">
        <v>3198</v>
      </c>
      <c r="CG192" s="189">
        <v>3566</v>
      </c>
      <c r="CH192" s="190">
        <v>3936</v>
      </c>
      <c r="CI192" s="1" t="s">
        <v>1034</v>
      </c>
      <c r="CJ192" s="180">
        <v>1692</v>
      </c>
      <c r="CK192" s="180">
        <v>1777</v>
      </c>
      <c r="CL192" s="180">
        <v>2201</v>
      </c>
      <c r="CM192" s="180">
        <v>2912</v>
      </c>
      <c r="CN192" s="180">
        <v>3514</v>
      </c>
      <c r="CR192" s="8" t="s">
        <v>1033</v>
      </c>
      <c r="CS192" s="181">
        <v>381933</v>
      </c>
      <c r="CT192" s="181">
        <v>440365</v>
      </c>
      <c r="CU192" s="181">
        <v>531200</v>
      </c>
      <c r="CV192" s="181">
        <v>679936</v>
      </c>
      <c r="CW192" s="181">
        <v>757491</v>
      </c>
      <c r="CX192" s="1"/>
      <c r="CY192" s="8" t="s">
        <v>1033</v>
      </c>
      <c r="CZ192" s="181">
        <v>381933</v>
      </c>
      <c r="DA192" s="181">
        <v>440365</v>
      </c>
      <c r="DB192" s="181">
        <v>531200</v>
      </c>
      <c r="DC192" s="181">
        <v>679936</v>
      </c>
      <c r="DD192" s="181">
        <v>757491</v>
      </c>
    </row>
    <row r="193" spans="1:185" ht="12.75" customHeight="1">
      <c r="C193" s="97"/>
      <c r="D193" s="32" t="s">
        <v>1050</v>
      </c>
      <c r="M193" s="4"/>
      <c r="N193" s="11"/>
      <c r="O193" s="11"/>
      <c r="P193" s="11"/>
      <c r="Q193" s="11"/>
      <c r="R193" s="11"/>
      <c r="S193" s="11"/>
      <c r="T193" s="1127" t="s">
        <v>964</v>
      </c>
      <c r="U193" s="968"/>
      <c r="V193" s="968"/>
      <c r="W193" s="968"/>
      <c r="X193" s="968"/>
      <c r="Y193" s="968"/>
      <c r="Z193" s="968"/>
      <c r="AA193" s="968"/>
      <c r="AB193" s="968"/>
      <c r="AC193" s="968"/>
      <c r="AD193" s="968"/>
      <c r="AE193" s="968"/>
      <c r="AF193" s="968"/>
      <c r="AG193" s="968"/>
      <c r="AH193" s="968"/>
      <c r="AI193" s="969"/>
      <c r="BC193" s="32" t="s">
        <v>1051</v>
      </c>
      <c r="BH193" s="1" t="s">
        <v>1052</v>
      </c>
      <c r="BN193" s="8" t="s">
        <v>1053</v>
      </c>
      <c r="BS193" s="32">
        <v>4</v>
      </c>
      <c r="BT193" s="32" t="s">
        <v>1031</v>
      </c>
      <c r="CB193" s="182" t="s">
        <v>1039</v>
      </c>
      <c r="CC193" s="188">
        <v>2300</v>
      </c>
      <c r="CD193" s="189">
        <v>2464</v>
      </c>
      <c r="CE193" s="188">
        <v>2956</v>
      </c>
      <c r="CF193" s="189">
        <v>3416</v>
      </c>
      <c r="CG193" s="189">
        <v>3812</v>
      </c>
      <c r="CH193" s="190">
        <v>4206</v>
      </c>
      <c r="CI193" s="1" t="s">
        <v>1039</v>
      </c>
      <c r="CJ193" s="180">
        <v>1748</v>
      </c>
      <c r="CK193" s="180">
        <v>1832</v>
      </c>
      <c r="CL193" s="180">
        <v>2255</v>
      </c>
      <c r="CM193" s="180">
        <v>3002</v>
      </c>
      <c r="CN193" s="180">
        <v>3460</v>
      </c>
      <c r="CR193" s="8" t="s">
        <v>1038</v>
      </c>
      <c r="CS193" s="187">
        <v>360075</v>
      </c>
      <c r="CT193" s="187">
        <v>415163</v>
      </c>
      <c r="CU193" s="187">
        <v>500800</v>
      </c>
      <c r="CV193" s="187">
        <v>641024</v>
      </c>
      <c r="CW193" s="187">
        <v>714141</v>
      </c>
      <c r="CX193" s="1"/>
      <c r="CY193" s="8" t="s">
        <v>1038</v>
      </c>
      <c r="CZ193" s="187">
        <v>360075</v>
      </c>
      <c r="DA193" s="187">
        <v>415163</v>
      </c>
      <c r="DB193" s="187">
        <v>500800</v>
      </c>
      <c r="DC193" s="187">
        <v>641024</v>
      </c>
      <c r="DD193" s="187">
        <v>714141</v>
      </c>
    </row>
    <row r="194" spans="1:185" ht="12.75" customHeight="1">
      <c r="C194" s="97"/>
      <c r="D194" s="1" t="s">
        <v>1055</v>
      </c>
      <c r="M194" s="4"/>
      <c r="N194" s="11"/>
      <c r="O194" s="11"/>
      <c r="P194" s="11"/>
      <c r="Q194" s="11"/>
      <c r="R194" s="11"/>
      <c r="S194" s="11"/>
      <c r="AH194" s="973" t="s">
        <v>460</v>
      </c>
      <c r="AI194" s="969"/>
      <c r="BC194" s="32" t="s">
        <v>1046</v>
      </c>
      <c r="BN194" s="8" t="s">
        <v>1056</v>
      </c>
      <c r="BS194" s="32">
        <v>2</v>
      </c>
      <c r="BT194" s="32" t="s">
        <v>1057</v>
      </c>
      <c r="CB194" s="182" t="s">
        <v>1044</v>
      </c>
      <c r="CC194" s="188">
        <v>2572</v>
      </c>
      <c r="CD194" s="189">
        <v>2754</v>
      </c>
      <c r="CE194" s="188">
        <v>3306</v>
      </c>
      <c r="CF194" s="189">
        <v>3820</v>
      </c>
      <c r="CG194" s="189">
        <v>4262</v>
      </c>
      <c r="CH194" s="190">
        <v>4702</v>
      </c>
      <c r="CI194" s="1" t="s">
        <v>1044</v>
      </c>
      <c r="CJ194" s="180">
        <v>2205</v>
      </c>
      <c r="CK194" s="180">
        <v>2212</v>
      </c>
      <c r="CL194" s="180">
        <v>2902</v>
      </c>
      <c r="CM194" s="180">
        <v>3944</v>
      </c>
      <c r="CN194" s="180">
        <v>4190</v>
      </c>
      <c r="CR194" s="8" t="s">
        <v>1043</v>
      </c>
      <c r="CS194" s="181">
        <v>402640</v>
      </c>
      <c r="CT194" s="181">
        <v>464240</v>
      </c>
      <c r="CU194" s="181">
        <v>560000</v>
      </c>
      <c r="CV194" s="181">
        <v>716800</v>
      </c>
      <c r="CW194" s="181">
        <v>798560</v>
      </c>
      <c r="CX194" s="1"/>
      <c r="CY194" s="8" t="s">
        <v>1043</v>
      </c>
      <c r="CZ194" s="181">
        <v>402640</v>
      </c>
      <c r="DA194" s="181">
        <v>464240</v>
      </c>
      <c r="DB194" s="181">
        <v>560000</v>
      </c>
      <c r="DC194" s="181">
        <v>716800</v>
      </c>
      <c r="DD194" s="181">
        <v>798560</v>
      </c>
    </row>
    <row r="195" spans="1:185" ht="12.75" customHeight="1">
      <c r="C195" s="97"/>
      <c r="D195" s="32" t="s">
        <v>1058</v>
      </c>
      <c r="T195" s="973" t="s">
        <v>460</v>
      </c>
      <c r="U195" s="969"/>
      <c r="W195" s="32" t="s">
        <v>1060</v>
      </c>
      <c r="AH195" s="973">
        <v>50</v>
      </c>
      <c r="AI195" s="969"/>
      <c r="BC195" s="32" t="s">
        <v>1061</v>
      </c>
      <c r="BN195" s="8" t="s">
        <v>1062</v>
      </c>
      <c r="BS195" s="32">
        <v>6</v>
      </c>
      <c r="BT195" s="32" t="s">
        <v>1063</v>
      </c>
      <c r="CB195" s="182" t="s">
        <v>1048</v>
      </c>
      <c r="CC195" s="188">
        <v>2152</v>
      </c>
      <c r="CD195" s="189">
        <v>2306</v>
      </c>
      <c r="CE195" s="188">
        <v>2766</v>
      </c>
      <c r="CF195" s="189">
        <v>3198</v>
      </c>
      <c r="CG195" s="189">
        <v>3566</v>
      </c>
      <c r="CH195" s="190">
        <v>3936</v>
      </c>
      <c r="CI195" s="1" t="s">
        <v>1048</v>
      </c>
      <c r="CJ195" s="180">
        <v>1692</v>
      </c>
      <c r="CK195" s="180">
        <v>1777</v>
      </c>
      <c r="CL195" s="180">
        <v>2201</v>
      </c>
      <c r="CM195" s="180">
        <v>2912</v>
      </c>
      <c r="CN195" s="180">
        <v>3514</v>
      </c>
      <c r="CR195" s="8" t="s">
        <v>1047</v>
      </c>
      <c r="CS195" s="187">
        <v>381933</v>
      </c>
      <c r="CT195" s="187">
        <v>440365</v>
      </c>
      <c r="CU195" s="187">
        <v>531200</v>
      </c>
      <c r="CV195" s="187">
        <v>679936</v>
      </c>
      <c r="CW195" s="187">
        <v>757491</v>
      </c>
      <c r="CX195" s="1"/>
      <c r="CY195" s="8" t="s">
        <v>1047</v>
      </c>
      <c r="CZ195" s="187">
        <v>381933</v>
      </c>
      <c r="DA195" s="187">
        <v>440365</v>
      </c>
      <c r="DB195" s="187">
        <v>531200</v>
      </c>
      <c r="DC195" s="187">
        <v>679936</v>
      </c>
      <c r="DD195" s="187">
        <v>757491</v>
      </c>
    </row>
    <row r="196" spans="1:185" ht="12.75" customHeight="1">
      <c r="C196" s="97"/>
      <c r="D196" s="32" t="s">
        <v>1065</v>
      </c>
      <c r="T196" s="1071" t="s">
        <v>460</v>
      </c>
      <c r="U196" s="971"/>
      <c r="W196" s="32" t="s">
        <v>1067</v>
      </c>
      <c r="AH196" s="973">
        <v>38</v>
      </c>
      <c r="AI196" s="969"/>
      <c r="BN196" s="8" t="s">
        <v>1068</v>
      </c>
      <c r="BS196" s="32">
        <v>4</v>
      </c>
      <c r="BT196" s="32" t="s">
        <v>1069</v>
      </c>
      <c r="CB196" s="182" t="s">
        <v>1031</v>
      </c>
      <c r="CC196" s="188">
        <v>3062</v>
      </c>
      <c r="CD196" s="189">
        <v>3280</v>
      </c>
      <c r="CE196" s="188">
        <v>3936</v>
      </c>
      <c r="CF196" s="189">
        <v>4546</v>
      </c>
      <c r="CG196" s="189">
        <v>5072</v>
      </c>
      <c r="CH196" s="190">
        <v>5596</v>
      </c>
      <c r="CI196" s="1" t="s">
        <v>1031</v>
      </c>
      <c r="CJ196" s="180">
        <v>2288</v>
      </c>
      <c r="CK196" s="180">
        <v>2459</v>
      </c>
      <c r="CL196" s="180">
        <v>3001</v>
      </c>
      <c r="CM196" s="180">
        <v>3998</v>
      </c>
      <c r="CN196" s="180">
        <v>4845</v>
      </c>
      <c r="CR196" s="8" t="s">
        <v>1053</v>
      </c>
      <c r="CS196" s="181">
        <v>392286</v>
      </c>
      <c r="CT196" s="181">
        <v>452302</v>
      </c>
      <c r="CU196" s="181">
        <v>545600</v>
      </c>
      <c r="CV196" s="181">
        <v>698368</v>
      </c>
      <c r="CW196" s="181">
        <v>778026</v>
      </c>
      <c r="CX196" s="1"/>
      <c r="CY196" s="8" t="s">
        <v>1053</v>
      </c>
      <c r="CZ196" s="181">
        <v>392286</v>
      </c>
      <c r="DA196" s="181">
        <v>452302</v>
      </c>
      <c r="DB196" s="181">
        <v>545600</v>
      </c>
      <c r="DC196" s="181">
        <v>698368</v>
      </c>
      <c r="DD196" s="181">
        <v>778026</v>
      </c>
    </row>
    <row r="197" spans="1:185" ht="12.75" customHeight="1">
      <c r="C197" s="97"/>
      <c r="D197" s="1" t="s">
        <v>1071</v>
      </c>
      <c r="T197" s="1071" t="s">
        <v>901</v>
      </c>
      <c r="U197" s="971"/>
      <c r="W197" s="32" t="s">
        <v>1073</v>
      </c>
      <c r="AH197" s="973">
        <v>71</v>
      </c>
      <c r="AI197" s="969"/>
      <c r="BC197" s="32" t="s">
        <v>27</v>
      </c>
      <c r="BN197" s="8" t="s">
        <v>1075</v>
      </c>
      <c r="BS197" s="32">
        <v>2</v>
      </c>
      <c r="BT197" s="32" t="s">
        <v>1076</v>
      </c>
      <c r="CB197" s="182" t="s">
        <v>1057</v>
      </c>
      <c r="CC197" s="188">
        <v>3676</v>
      </c>
      <c r="CD197" s="189">
        <v>3940</v>
      </c>
      <c r="CE197" s="188">
        <v>4726</v>
      </c>
      <c r="CF197" s="189">
        <v>5462</v>
      </c>
      <c r="CG197" s="189">
        <v>6094</v>
      </c>
      <c r="CH197" s="190">
        <v>6724</v>
      </c>
      <c r="CI197" s="1" t="s">
        <v>1057</v>
      </c>
      <c r="CJ197" s="180">
        <v>2485</v>
      </c>
      <c r="CK197" s="180">
        <v>2977</v>
      </c>
      <c r="CL197" s="180">
        <v>3604</v>
      </c>
      <c r="CM197" s="180">
        <v>4604</v>
      </c>
      <c r="CN197" s="180">
        <v>4772</v>
      </c>
      <c r="CR197" s="8" t="s">
        <v>1056</v>
      </c>
      <c r="CS197" s="187">
        <v>694266</v>
      </c>
      <c r="CT197" s="187">
        <v>800482</v>
      </c>
      <c r="CU197" s="187">
        <v>965600</v>
      </c>
      <c r="CV197" s="187">
        <v>1235968</v>
      </c>
      <c r="CW197" s="187">
        <v>1376946</v>
      </c>
      <c r="CX197" s="1"/>
      <c r="CY197" s="8" t="s">
        <v>1056</v>
      </c>
      <c r="CZ197" s="187">
        <v>694266</v>
      </c>
      <c r="DA197" s="187">
        <v>800482</v>
      </c>
      <c r="DB197" s="187">
        <v>965600</v>
      </c>
      <c r="DC197" s="187">
        <v>1235968</v>
      </c>
      <c r="DD197" s="187">
        <v>1376946</v>
      </c>
    </row>
    <row r="198" spans="1:185" ht="12.75" customHeight="1">
      <c r="C198" s="97"/>
      <c r="D198" s="1" t="s">
        <v>1077</v>
      </c>
      <c r="T198" s="1071">
        <v>27</v>
      </c>
      <c r="U198" s="971"/>
      <c r="W198" s="1"/>
      <c r="X198" s="909" t="s">
        <v>1078</v>
      </c>
      <c r="Y198" s="893"/>
      <c r="Z198" s="893"/>
      <c r="AA198" s="893"/>
      <c r="AB198" s="893"/>
      <c r="AC198" s="893"/>
      <c r="AD198" s="893"/>
      <c r="AE198" s="893"/>
      <c r="AF198" s="893"/>
      <c r="AG198" s="893"/>
      <c r="AH198" s="893"/>
      <c r="AI198" s="893"/>
      <c r="AJ198" s="893"/>
      <c r="AK198" s="893"/>
      <c r="AL198" s="893"/>
      <c r="AM198" s="893"/>
      <c r="AN198" s="893"/>
      <c r="AO198" s="893"/>
      <c r="AP198" s="893"/>
      <c r="AQ198" s="893"/>
      <c r="AR198" s="893"/>
      <c r="AS198" s="893"/>
      <c r="AT198" s="893"/>
      <c r="AZ198" s="203"/>
      <c r="BA198" s="203"/>
      <c r="BB198" s="1"/>
      <c r="BC198" s="1" t="s">
        <v>855</v>
      </c>
      <c r="BE198" s="1"/>
      <c r="BF198" s="1"/>
      <c r="BG198" s="1"/>
      <c r="BH198" s="1"/>
      <c r="BI198" s="1"/>
      <c r="BJ198" s="1"/>
      <c r="BK198" s="1"/>
      <c r="BL198" s="1"/>
      <c r="BM198" s="1"/>
      <c r="BN198" s="8" t="s">
        <v>1079</v>
      </c>
      <c r="BS198" s="32">
        <v>4</v>
      </c>
      <c r="BT198" s="32" t="s">
        <v>1080</v>
      </c>
      <c r="BV198" s="160"/>
      <c r="BW198" s="1"/>
      <c r="BX198" s="1"/>
      <c r="BY198" s="1"/>
      <c r="BZ198" s="1"/>
      <c r="CA198" s="1"/>
      <c r="CB198" s="182" t="s">
        <v>1063</v>
      </c>
      <c r="CC198" s="188">
        <v>1892</v>
      </c>
      <c r="CD198" s="189">
        <v>2026</v>
      </c>
      <c r="CE198" s="188">
        <v>2432</v>
      </c>
      <c r="CF198" s="189">
        <v>2810</v>
      </c>
      <c r="CG198" s="189">
        <v>3134</v>
      </c>
      <c r="CH198" s="190">
        <v>3460</v>
      </c>
      <c r="CI198" s="1" t="s">
        <v>1063</v>
      </c>
      <c r="CJ198" s="180">
        <v>1288</v>
      </c>
      <c r="CK198" s="180">
        <v>1395</v>
      </c>
      <c r="CL198" s="180">
        <v>1742</v>
      </c>
      <c r="CM198" s="180">
        <v>2423</v>
      </c>
      <c r="CN198" s="180">
        <v>2922</v>
      </c>
      <c r="CO198" s="1"/>
      <c r="CP198" s="1"/>
      <c r="CQ198" s="1"/>
      <c r="CR198" s="8" t="s">
        <v>1062</v>
      </c>
      <c r="CS198" s="181">
        <v>323262</v>
      </c>
      <c r="CT198" s="181">
        <v>372718</v>
      </c>
      <c r="CU198" s="181">
        <v>449600</v>
      </c>
      <c r="CV198" s="181">
        <v>575488</v>
      </c>
      <c r="CW198" s="181">
        <v>641130</v>
      </c>
      <c r="CX198" s="1"/>
      <c r="CY198" s="8" t="s">
        <v>1062</v>
      </c>
      <c r="CZ198" s="181">
        <v>323262</v>
      </c>
      <c r="DA198" s="181">
        <v>372718</v>
      </c>
      <c r="DB198" s="181">
        <v>449600</v>
      </c>
      <c r="DC198" s="181">
        <v>575488</v>
      </c>
      <c r="DD198" s="181">
        <v>641130</v>
      </c>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row>
    <row r="199" spans="1:185" ht="12.75" customHeight="1">
      <c r="C199" s="97"/>
      <c r="D199" s="17" t="s">
        <v>1084</v>
      </c>
      <c r="T199" s="973" t="s">
        <v>460</v>
      </c>
      <c r="U199" s="969"/>
      <c r="X199" s="893"/>
      <c r="Y199" s="893"/>
      <c r="Z199" s="893"/>
      <c r="AA199" s="893"/>
      <c r="AB199" s="893"/>
      <c r="AC199" s="893"/>
      <c r="AD199" s="893"/>
      <c r="AE199" s="893"/>
      <c r="AF199" s="893"/>
      <c r="AG199" s="893"/>
      <c r="AH199" s="893"/>
      <c r="AI199" s="893"/>
      <c r="AJ199" s="893"/>
      <c r="AK199" s="893"/>
      <c r="AL199" s="893"/>
      <c r="AM199" s="893"/>
      <c r="AN199" s="893"/>
      <c r="AO199" s="893"/>
      <c r="AP199" s="893"/>
      <c r="AQ199" s="893"/>
      <c r="AR199" s="893"/>
      <c r="AS199" s="893"/>
      <c r="AT199" s="893"/>
      <c r="AZ199" s="203"/>
      <c r="BA199" s="203"/>
      <c r="BB199" s="1"/>
      <c r="BC199" s="32" t="s">
        <v>833</v>
      </c>
      <c r="BE199" s="1"/>
      <c r="BF199" s="1"/>
      <c r="BG199" s="1"/>
      <c r="BH199" s="1"/>
      <c r="BI199" s="1"/>
      <c r="BJ199" s="1"/>
      <c r="BK199" s="1"/>
      <c r="BL199" s="1"/>
      <c r="BM199" s="1"/>
      <c r="BN199" s="8" t="s">
        <v>1087</v>
      </c>
      <c r="BS199" s="32">
        <v>2</v>
      </c>
      <c r="BT199" s="126" t="s">
        <v>1088</v>
      </c>
      <c r="BV199" s="160"/>
      <c r="BW199" s="1"/>
      <c r="BX199" s="1"/>
      <c r="BY199" s="1"/>
      <c r="BZ199" s="1"/>
      <c r="CA199" s="1"/>
      <c r="CB199" s="182" t="s">
        <v>1069</v>
      </c>
      <c r="CC199" s="188">
        <v>2674</v>
      </c>
      <c r="CD199" s="189">
        <v>2866</v>
      </c>
      <c r="CE199" s="188">
        <v>3440</v>
      </c>
      <c r="CF199" s="189">
        <v>3974</v>
      </c>
      <c r="CG199" s="189">
        <v>4434</v>
      </c>
      <c r="CH199" s="190">
        <v>4892</v>
      </c>
      <c r="CI199" s="1" t="s">
        <v>1069</v>
      </c>
      <c r="CJ199" s="180">
        <v>1842</v>
      </c>
      <c r="CK199" s="180">
        <v>2036</v>
      </c>
      <c r="CL199" s="180">
        <v>2671</v>
      </c>
      <c r="CM199" s="180">
        <v>3584</v>
      </c>
      <c r="CN199" s="180">
        <v>4105</v>
      </c>
      <c r="CO199" s="1"/>
      <c r="CP199" s="1"/>
      <c r="CQ199" s="1"/>
      <c r="CR199" s="8" t="s">
        <v>1068</v>
      </c>
      <c r="CS199" s="187">
        <v>442904</v>
      </c>
      <c r="CT199" s="187">
        <v>510664</v>
      </c>
      <c r="CU199" s="187">
        <v>616000</v>
      </c>
      <c r="CV199" s="187">
        <v>788480</v>
      </c>
      <c r="CW199" s="187">
        <v>878416</v>
      </c>
      <c r="CX199" s="1"/>
      <c r="CY199" s="8" t="s">
        <v>1068</v>
      </c>
      <c r="CZ199" s="187">
        <v>442904</v>
      </c>
      <c r="DA199" s="187">
        <v>510664</v>
      </c>
      <c r="DB199" s="187">
        <v>616000</v>
      </c>
      <c r="DC199" s="187">
        <v>788480</v>
      </c>
      <c r="DD199" s="187">
        <v>878416</v>
      </c>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row>
    <row r="200" spans="1:185" ht="12.75" customHeight="1">
      <c r="C200" s="97"/>
      <c r="D200" s="1" t="s">
        <v>1092</v>
      </c>
      <c r="E200" s="1"/>
      <c r="F200" s="1"/>
      <c r="G200" s="1"/>
      <c r="H200" s="1"/>
      <c r="I200" s="1"/>
      <c r="J200" s="1"/>
      <c r="K200" s="1"/>
      <c r="L200" s="1"/>
      <c r="M200" s="1"/>
      <c r="N200" s="1"/>
      <c r="O200" s="1"/>
      <c r="P200" s="1"/>
      <c r="Q200" s="1"/>
      <c r="R200" s="1"/>
      <c r="S200" s="1"/>
      <c r="T200" s="973" t="s">
        <v>460</v>
      </c>
      <c r="U200" s="969"/>
      <c r="Z200" s="1"/>
      <c r="AB200" s="25" t="s">
        <v>1093</v>
      </c>
      <c r="AD200" s="1"/>
      <c r="AE200" s="1"/>
      <c r="AH200" s="7"/>
      <c r="AI200" s="1"/>
      <c r="AT200" s="1"/>
      <c r="AZ200" s="203"/>
      <c r="BA200" s="203"/>
      <c r="BB200" s="1"/>
      <c r="BC200" s="1" t="s">
        <v>1096</v>
      </c>
      <c r="BD200" s="1"/>
      <c r="BE200" s="1"/>
      <c r="BF200" s="1"/>
      <c r="BG200" s="1"/>
      <c r="BH200" s="1"/>
      <c r="BI200" s="1"/>
      <c r="BJ200" s="1"/>
      <c r="BK200" s="1"/>
      <c r="BL200" s="1"/>
      <c r="BM200" s="1"/>
      <c r="BN200" s="8" t="s">
        <v>1097</v>
      </c>
      <c r="BS200" s="32">
        <v>2</v>
      </c>
      <c r="BT200" s="126" t="s">
        <v>1098</v>
      </c>
      <c r="BV200" s="1"/>
      <c r="BW200" s="1"/>
      <c r="BX200" s="1"/>
      <c r="BY200" s="1"/>
      <c r="BZ200" s="1"/>
      <c r="CA200" s="1"/>
      <c r="CB200" s="182" t="s">
        <v>1076</v>
      </c>
      <c r="CC200" s="188">
        <v>3676</v>
      </c>
      <c r="CD200" s="189">
        <v>3940</v>
      </c>
      <c r="CE200" s="188">
        <v>4726</v>
      </c>
      <c r="CF200" s="189">
        <v>5462</v>
      </c>
      <c r="CG200" s="189">
        <v>6094</v>
      </c>
      <c r="CH200" s="190">
        <v>6724</v>
      </c>
      <c r="CI200" s="1" t="s">
        <v>1076</v>
      </c>
      <c r="CJ200" s="180">
        <v>2485</v>
      </c>
      <c r="CK200" s="180">
        <v>2977</v>
      </c>
      <c r="CL200" s="180">
        <v>3604</v>
      </c>
      <c r="CM200" s="180">
        <v>4604</v>
      </c>
      <c r="CN200" s="180">
        <v>4772</v>
      </c>
      <c r="CO200" s="1"/>
      <c r="CP200" s="1"/>
      <c r="CQ200" s="1"/>
      <c r="CR200" s="8" t="s">
        <v>1075</v>
      </c>
      <c r="CS200" s="204">
        <v>532060</v>
      </c>
      <c r="CT200" s="204">
        <v>613460</v>
      </c>
      <c r="CU200" s="181">
        <v>740000</v>
      </c>
      <c r="CV200" s="204">
        <v>947200</v>
      </c>
      <c r="CW200" s="204">
        <v>1055240</v>
      </c>
      <c r="CX200" s="1"/>
      <c r="CY200" s="8" t="s">
        <v>1075</v>
      </c>
      <c r="CZ200" s="204">
        <v>532060</v>
      </c>
      <c r="DA200" s="204">
        <v>613460</v>
      </c>
      <c r="DB200" s="204">
        <v>740000</v>
      </c>
      <c r="DC200" s="204">
        <v>947200</v>
      </c>
      <c r="DD200" s="204">
        <v>1055240</v>
      </c>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row>
    <row r="201" spans="1:185" ht="12.75" customHeight="1">
      <c r="C201" s="97"/>
      <c r="D201" s="1"/>
      <c r="E201" s="1" t="s">
        <v>1103</v>
      </c>
      <c r="F201" s="1"/>
      <c r="G201" s="1"/>
      <c r="H201" s="1"/>
      <c r="I201" s="1"/>
      <c r="J201" s="1"/>
      <c r="K201" s="1"/>
      <c r="L201" s="1"/>
      <c r="M201" s="1"/>
      <c r="N201" s="1"/>
      <c r="O201" s="1"/>
      <c r="P201" s="1"/>
      <c r="Q201" s="1"/>
      <c r="R201" s="1"/>
      <c r="S201" s="1"/>
      <c r="T201" s="1"/>
      <c r="U201" s="1"/>
      <c r="W201" s="1"/>
      <c r="AA201" s="1"/>
      <c r="AB201" s="25" t="s">
        <v>1105</v>
      </c>
      <c r="AD201" s="1"/>
      <c r="AE201" s="1"/>
      <c r="AF201" s="1"/>
      <c r="AG201" s="1"/>
      <c r="AH201" s="7"/>
      <c r="AI201" s="1"/>
      <c r="AT201" s="1"/>
      <c r="AZ201" s="203"/>
      <c r="BA201" s="203"/>
      <c r="BB201" s="1"/>
      <c r="BC201" s="1" t="s">
        <v>1107</v>
      </c>
      <c r="BD201" s="1"/>
      <c r="BE201" s="1"/>
      <c r="BF201" s="1"/>
      <c r="BG201" s="1"/>
      <c r="BH201" s="1"/>
      <c r="BI201" s="1"/>
      <c r="BJ201" s="1"/>
      <c r="BK201" s="1"/>
      <c r="BL201" s="1"/>
      <c r="BM201" s="1"/>
      <c r="BN201" s="8" t="s">
        <v>1109</v>
      </c>
      <c r="BO201" s="160"/>
      <c r="BP201" s="126"/>
      <c r="BQ201" s="126"/>
      <c r="BR201" s="126"/>
      <c r="BS201" s="32">
        <v>6</v>
      </c>
      <c r="BT201" s="126" t="s">
        <v>1110</v>
      </c>
      <c r="BV201" s="1"/>
      <c r="BW201" s="1"/>
      <c r="BX201" s="1"/>
      <c r="BY201" s="1"/>
      <c r="BZ201" s="1"/>
      <c r="CA201" s="1"/>
      <c r="CB201" s="182" t="s">
        <v>1080</v>
      </c>
      <c r="CC201" s="188">
        <v>3186</v>
      </c>
      <c r="CD201" s="189">
        <v>3414</v>
      </c>
      <c r="CE201" s="188">
        <v>4096</v>
      </c>
      <c r="CF201" s="189">
        <v>4734</v>
      </c>
      <c r="CG201" s="189">
        <v>5282</v>
      </c>
      <c r="CH201" s="190">
        <v>5828</v>
      </c>
      <c r="CI201" s="1" t="s">
        <v>1080</v>
      </c>
      <c r="CJ201" s="180">
        <v>2459</v>
      </c>
      <c r="CK201" s="180">
        <v>2746</v>
      </c>
      <c r="CL201" s="180">
        <v>3124</v>
      </c>
      <c r="CM201" s="180">
        <v>4075</v>
      </c>
      <c r="CN201" s="180">
        <v>4647</v>
      </c>
      <c r="CO201" s="1"/>
      <c r="CP201" s="1"/>
      <c r="CQ201" s="1"/>
      <c r="CR201" s="8" t="s">
        <v>1079</v>
      </c>
      <c r="CS201" s="187">
        <v>442904</v>
      </c>
      <c r="CT201" s="187">
        <v>510664</v>
      </c>
      <c r="CU201" s="187">
        <v>616000</v>
      </c>
      <c r="CV201" s="187">
        <v>788480</v>
      </c>
      <c r="CW201" s="187">
        <v>878416</v>
      </c>
      <c r="CX201" s="1"/>
      <c r="CY201" s="8" t="s">
        <v>1079</v>
      </c>
      <c r="CZ201" s="187">
        <v>442904</v>
      </c>
      <c r="DA201" s="187">
        <v>510664</v>
      </c>
      <c r="DB201" s="187">
        <v>616000</v>
      </c>
      <c r="DC201" s="187">
        <v>788480</v>
      </c>
      <c r="DD201" s="187">
        <v>878416</v>
      </c>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row>
    <row r="202" spans="1:185" ht="12.75" customHeight="1">
      <c r="C202" s="97"/>
      <c r="AE202" s="17"/>
      <c r="BC202" s="32" t="s">
        <v>1114</v>
      </c>
      <c r="BD202" s="1"/>
      <c r="BN202" s="8" t="s">
        <v>1115</v>
      </c>
      <c r="BO202" s="1"/>
      <c r="BP202" s="126"/>
      <c r="BQ202" s="126"/>
      <c r="BR202" s="126"/>
      <c r="BS202" s="32">
        <v>7</v>
      </c>
      <c r="BT202" s="126" t="s">
        <v>1116</v>
      </c>
      <c r="CB202" s="182" t="s">
        <v>1088</v>
      </c>
      <c r="CC202" s="188">
        <v>3596</v>
      </c>
      <c r="CD202" s="189">
        <v>3852</v>
      </c>
      <c r="CE202" s="188">
        <v>4624</v>
      </c>
      <c r="CF202" s="189">
        <v>5342</v>
      </c>
      <c r="CG202" s="189">
        <v>5960</v>
      </c>
      <c r="CH202" s="190">
        <v>6576</v>
      </c>
      <c r="CI202" s="1" t="s">
        <v>1088</v>
      </c>
      <c r="CJ202" s="180">
        <v>2621</v>
      </c>
      <c r="CK202" s="180">
        <v>2982</v>
      </c>
      <c r="CL202" s="180">
        <v>3483</v>
      </c>
      <c r="CM202" s="180">
        <v>4602</v>
      </c>
      <c r="CN202" s="180">
        <v>5010</v>
      </c>
      <c r="CR202" s="8" t="s">
        <v>1087</v>
      </c>
      <c r="CS202" s="204">
        <v>532060</v>
      </c>
      <c r="CT202" s="204">
        <v>613460</v>
      </c>
      <c r="CU202" s="204">
        <v>740000</v>
      </c>
      <c r="CV202" s="204">
        <v>947200</v>
      </c>
      <c r="CW202" s="204">
        <v>1055240</v>
      </c>
      <c r="CX202" s="1"/>
      <c r="CY202" s="8" t="s">
        <v>1087</v>
      </c>
      <c r="CZ202" s="204">
        <v>532060</v>
      </c>
      <c r="DA202" s="204">
        <v>613460</v>
      </c>
      <c r="DB202" s="204">
        <v>740000</v>
      </c>
      <c r="DC202" s="204">
        <v>947200</v>
      </c>
      <c r="DD202" s="204">
        <v>1055240</v>
      </c>
    </row>
    <row r="203" spans="1:185" ht="12.75" customHeight="1">
      <c r="A203" s="8" t="s">
        <v>1119</v>
      </c>
      <c r="C203" s="8" t="s">
        <v>1120</v>
      </c>
      <c r="BC203" s="32" t="s">
        <v>1121</v>
      </c>
      <c r="BN203" s="8" t="s">
        <v>1122</v>
      </c>
      <c r="BO203" s="1"/>
      <c r="BP203" s="126"/>
      <c r="BQ203" s="126"/>
      <c r="BR203" s="126"/>
      <c r="BS203" s="32">
        <v>7</v>
      </c>
      <c r="BT203" s="126" t="s">
        <v>1123</v>
      </c>
      <c r="CB203" s="182" t="s">
        <v>1098</v>
      </c>
      <c r="CC203" s="188">
        <v>3806</v>
      </c>
      <c r="CD203" s="189">
        <v>4078</v>
      </c>
      <c r="CE203" s="188">
        <v>4894</v>
      </c>
      <c r="CF203" s="189">
        <v>5654</v>
      </c>
      <c r="CG203" s="189">
        <v>6306</v>
      </c>
      <c r="CH203" s="190">
        <v>6960</v>
      </c>
      <c r="CI203" s="1" t="s">
        <v>1098</v>
      </c>
      <c r="CJ203" s="180">
        <v>3179</v>
      </c>
      <c r="CK203" s="180">
        <v>3298</v>
      </c>
      <c r="CL203" s="180">
        <v>4214</v>
      </c>
      <c r="CM203" s="180">
        <v>5377</v>
      </c>
      <c r="CN203" s="180">
        <v>5659</v>
      </c>
      <c r="CR203" s="8" t="s">
        <v>1097</v>
      </c>
      <c r="CS203" s="187">
        <v>442904</v>
      </c>
      <c r="CT203" s="187">
        <v>510664</v>
      </c>
      <c r="CU203" s="187">
        <v>616000</v>
      </c>
      <c r="CV203" s="187">
        <v>788480</v>
      </c>
      <c r="CW203" s="187">
        <v>878416</v>
      </c>
      <c r="CX203" s="1"/>
      <c r="CY203" s="8" t="s">
        <v>1097</v>
      </c>
      <c r="CZ203" s="187">
        <v>442904</v>
      </c>
      <c r="DA203" s="187">
        <v>510664</v>
      </c>
      <c r="DB203" s="187">
        <v>616000</v>
      </c>
      <c r="DC203" s="187">
        <v>788480</v>
      </c>
      <c r="DD203" s="187">
        <v>878416</v>
      </c>
    </row>
    <row r="204" spans="1:185" ht="12.75" customHeight="1">
      <c r="D204" s="966" t="s">
        <v>1126</v>
      </c>
      <c r="E204" s="961"/>
      <c r="F204" s="961"/>
      <c r="G204" s="961"/>
      <c r="H204" s="961"/>
      <c r="I204" s="961"/>
      <c r="J204" s="961"/>
      <c r="K204" s="961"/>
      <c r="L204" s="961"/>
      <c r="M204" s="961"/>
      <c r="P204" s="1123">
        <f t="shared" ref="P204:P205" si="2">M26</f>
        <v>3541671</v>
      </c>
      <c r="Q204" s="961"/>
      <c r="R204" s="961"/>
      <c r="S204" s="961"/>
      <c r="T204" s="961"/>
      <c r="U204" s="961"/>
      <c r="BC204" s="32" t="s">
        <v>1129</v>
      </c>
      <c r="BN204" s="8" t="s">
        <v>1130</v>
      </c>
      <c r="BS204" s="32">
        <v>6</v>
      </c>
      <c r="BT204" s="126" t="s">
        <v>1131</v>
      </c>
      <c r="BU204" s="1"/>
      <c r="CB204" s="182" t="s">
        <v>1110</v>
      </c>
      <c r="CC204" s="188">
        <v>1700</v>
      </c>
      <c r="CD204" s="189">
        <v>1820</v>
      </c>
      <c r="CE204" s="188">
        <v>2184</v>
      </c>
      <c r="CF204" s="189">
        <v>2524</v>
      </c>
      <c r="CG204" s="189">
        <v>2816</v>
      </c>
      <c r="CH204" s="190">
        <v>3108</v>
      </c>
      <c r="CI204" s="1" t="s">
        <v>1110</v>
      </c>
      <c r="CJ204" s="180">
        <v>1172</v>
      </c>
      <c r="CK204" s="180">
        <v>1212</v>
      </c>
      <c r="CL204" s="180">
        <v>1590</v>
      </c>
      <c r="CM204" s="180">
        <v>2211</v>
      </c>
      <c r="CN204" s="180">
        <v>2667</v>
      </c>
      <c r="CR204" s="8" t="s">
        <v>1109</v>
      </c>
      <c r="CS204" s="181">
        <v>369278</v>
      </c>
      <c r="CT204" s="181">
        <v>425774</v>
      </c>
      <c r="CU204" s="181">
        <v>513600</v>
      </c>
      <c r="CV204" s="181">
        <v>657408</v>
      </c>
      <c r="CW204" s="181">
        <v>732394</v>
      </c>
      <c r="CX204" s="1"/>
      <c r="CY204" s="8" t="s">
        <v>1109</v>
      </c>
      <c r="CZ204" s="181">
        <v>369278</v>
      </c>
      <c r="DA204" s="181">
        <v>425774</v>
      </c>
      <c r="DB204" s="181">
        <v>513600</v>
      </c>
      <c r="DC204" s="181">
        <v>657408</v>
      </c>
      <c r="DD204" s="181">
        <v>732394</v>
      </c>
    </row>
    <row r="205" spans="1:185" ht="12.75" customHeight="1">
      <c r="C205" s="97"/>
      <c r="D205" s="966" t="s">
        <v>1133</v>
      </c>
      <c r="E205" s="961"/>
      <c r="F205" s="961"/>
      <c r="G205" s="961"/>
      <c r="H205" s="961"/>
      <c r="I205" s="961"/>
      <c r="J205" s="961"/>
      <c r="K205" s="961"/>
      <c r="L205" s="961"/>
      <c r="M205" s="961"/>
      <c r="P205" s="1123">
        <f t="shared" si="2"/>
        <v>0</v>
      </c>
      <c r="Q205" s="961"/>
      <c r="R205" s="961"/>
      <c r="S205" s="961"/>
      <c r="T205" s="961"/>
      <c r="U205" s="961"/>
      <c r="V205" s="117"/>
      <c r="W205" s="1" t="s">
        <v>1135</v>
      </c>
      <c r="Z205" s="1122" t="s">
        <v>1137</v>
      </c>
      <c r="AA205" s="968"/>
      <c r="AB205" s="968"/>
      <c r="AC205" s="968"/>
      <c r="AD205" s="968"/>
      <c r="AE205" s="968"/>
      <c r="AF205" s="968"/>
      <c r="AG205" s="968"/>
      <c r="AH205" s="968"/>
      <c r="AI205" s="968"/>
      <c r="AJ205" s="968"/>
      <c r="AK205" s="968"/>
      <c r="AL205" s="968"/>
      <c r="AM205" s="968"/>
      <c r="AN205" s="969"/>
      <c r="AP205" s="981"/>
      <c r="AQ205" s="893"/>
      <c r="BC205" s="32" t="s">
        <v>1141</v>
      </c>
      <c r="BN205" s="8" t="s">
        <v>1142</v>
      </c>
      <c r="BS205" s="32">
        <v>4</v>
      </c>
      <c r="BT205" s="126" t="s">
        <v>1143</v>
      </c>
      <c r="BU205" s="1"/>
      <c r="CB205" s="182" t="s">
        <v>1116</v>
      </c>
      <c r="CC205" s="188">
        <v>1700</v>
      </c>
      <c r="CD205" s="189">
        <v>1820</v>
      </c>
      <c r="CE205" s="188">
        <v>2184</v>
      </c>
      <c r="CF205" s="189">
        <v>2524</v>
      </c>
      <c r="CG205" s="189">
        <v>2816</v>
      </c>
      <c r="CH205" s="190">
        <v>3108</v>
      </c>
      <c r="CI205" s="1" t="s">
        <v>1116</v>
      </c>
      <c r="CJ205" s="180">
        <v>1068</v>
      </c>
      <c r="CK205" s="180">
        <v>1165</v>
      </c>
      <c r="CL205" s="180">
        <v>1529</v>
      </c>
      <c r="CM205" s="180">
        <v>2126</v>
      </c>
      <c r="CN205" s="180">
        <v>2527</v>
      </c>
      <c r="CR205" s="8" t="s">
        <v>1115</v>
      </c>
      <c r="CS205" s="187">
        <v>402640</v>
      </c>
      <c r="CT205" s="187">
        <v>464240</v>
      </c>
      <c r="CU205" s="187">
        <v>560000</v>
      </c>
      <c r="CV205" s="187">
        <v>716800</v>
      </c>
      <c r="CW205" s="187">
        <v>798560</v>
      </c>
      <c r="CX205" s="1"/>
      <c r="CY205" s="8" t="s">
        <v>1115</v>
      </c>
      <c r="CZ205" s="187">
        <v>402640</v>
      </c>
      <c r="DA205" s="187">
        <v>464240</v>
      </c>
      <c r="DB205" s="187">
        <v>560000</v>
      </c>
      <c r="DC205" s="187">
        <v>716800</v>
      </c>
      <c r="DD205" s="187">
        <v>798560</v>
      </c>
    </row>
    <row r="206" spans="1:185" ht="12.75" customHeight="1">
      <c r="D206" s="216"/>
      <c r="E206" s="216"/>
      <c r="F206" s="216"/>
      <c r="G206" s="216"/>
      <c r="H206" s="216"/>
      <c r="I206" s="216"/>
      <c r="J206" s="216"/>
      <c r="K206" s="216"/>
      <c r="L206" s="216"/>
      <c r="M206" s="216"/>
      <c r="N206" s="216"/>
      <c r="O206" s="216"/>
      <c r="P206" s="216"/>
      <c r="BC206" s="32" t="s">
        <v>1147</v>
      </c>
      <c r="BN206" s="8" t="s">
        <v>1148</v>
      </c>
      <c r="BS206" s="32">
        <v>5</v>
      </c>
      <c r="BT206" s="126" t="s">
        <v>1149</v>
      </c>
      <c r="BU206" s="1"/>
      <c r="CB206" s="182" t="s">
        <v>1123</v>
      </c>
      <c r="CC206" s="188">
        <v>1700</v>
      </c>
      <c r="CD206" s="189">
        <v>1820</v>
      </c>
      <c r="CE206" s="188">
        <v>2184</v>
      </c>
      <c r="CF206" s="189">
        <v>2524</v>
      </c>
      <c r="CG206" s="189">
        <v>2816</v>
      </c>
      <c r="CH206" s="190">
        <v>3108</v>
      </c>
      <c r="CI206" s="1" t="s">
        <v>1123</v>
      </c>
      <c r="CJ206" s="180">
        <v>962</v>
      </c>
      <c r="CK206" s="180">
        <v>969</v>
      </c>
      <c r="CL206" s="180">
        <v>1249</v>
      </c>
      <c r="CM206" s="180">
        <v>1737</v>
      </c>
      <c r="CN206" s="180">
        <v>1915</v>
      </c>
      <c r="CR206" s="8" t="s">
        <v>1122</v>
      </c>
      <c r="CS206" s="181">
        <v>402640</v>
      </c>
      <c r="CT206" s="181">
        <v>464240</v>
      </c>
      <c r="CU206" s="181">
        <v>560000</v>
      </c>
      <c r="CV206" s="181">
        <v>716800</v>
      </c>
      <c r="CW206" s="181">
        <v>798560</v>
      </c>
      <c r="CX206" s="1"/>
      <c r="CY206" s="8" t="s">
        <v>1122</v>
      </c>
      <c r="CZ206" s="181">
        <v>402640</v>
      </c>
      <c r="DA206" s="181">
        <v>464240</v>
      </c>
      <c r="DB206" s="181">
        <v>560000</v>
      </c>
      <c r="DC206" s="181">
        <v>716800</v>
      </c>
      <c r="DD206" s="181">
        <v>798560</v>
      </c>
    </row>
    <row r="207" spans="1:185" ht="12.75" customHeight="1">
      <c r="A207" s="8" t="s">
        <v>1151</v>
      </c>
      <c r="C207" s="8" t="s">
        <v>1152</v>
      </c>
      <c r="BC207" s="14" t="s">
        <v>1153</v>
      </c>
      <c r="BN207" s="8" t="s">
        <v>1154</v>
      </c>
      <c r="BS207" s="32">
        <v>6</v>
      </c>
      <c r="BT207" s="126" t="s">
        <v>1155</v>
      </c>
      <c r="CB207" s="182" t="s">
        <v>1131</v>
      </c>
      <c r="CC207" s="188">
        <v>2286</v>
      </c>
      <c r="CD207" s="189">
        <v>2450</v>
      </c>
      <c r="CE207" s="188">
        <v>2940</v>
      </c>
      <c r="CF207" s="189">
        <v>3396</v>
      </c>
      <c r="CG207" s="189">
        <v>3786</v>
      </c>
      <c r="CH207" s="190">
        <v>4180</v>
      </c>
      <c r="CI207" s="1" t="s">
        <v>1131</v>
      </c>
      <c r="CJ207" s="180">
        <v>1567</v>
      </c>
      <c r="CK207" s="180">
        <v>1705</v>
      </c>
      <c r="CL207" s="180">
        <v>2178</v>
      </c>
      <c r="CM207" s="180">
        <v>2911</v>
      </c>
      <c r="CN207" s="180">
        <v>3297</v>
      </c>
      <c r="CR207" s="8" t="s">
        <v>1130</v>
      </c>
      <c r="CS207" s="187">
        <v>406666</v>
      </c>
      <c r="CT207" s="187">
        <v>468882</v>
      </c>
      <c r="CU207" s="187">
        <v>565600</v>
      </c>
      <c r="CV207" s="187">
        <v>723968</v>
      </c>
      <c r="CW207" s="187">
        <v>806546</v>
      </c>
      <c r="CX207" s="1"/>
      <c r="CY207" s="8" t="s">
        <v>1130</v>
      </c>
      <c r="CZ207" s="187">
        <v>406666</v>
      </c>
      <c r="DA207" s="187">
        <v>468882</v>
      </c>
      <c r="DB207" s="187">
        <v>565600</v>
      </c>
      <c r="DC207" s="187">
        <v>723968</v>
      </c>
      <c r="DD207" s="187">
        <v>806546</v>
      </c>
    </row>
    <row r="208" spans="1:185" ht="12.75" customHeight="1">
      <c r="C208" s="97"/>
      <c r="D208" s="967" t="s">
        <v>1157</v>
      </c>
      <c r="E208" s="968"/>
      <c r="F208" s="968"/>
      <c r="G208" s="968"/>
      <c r="H208" s="968"/>
      <c r="I208" s="968"/>
      <c r="J208" s="968"/>
      <c r="K208" s="968"/>
      <c r="L208" s="968"/>
      <c r="M208" s="969"/>
      <c r="BC208" s="1" t="s">
        <v>1159</v>
      </c>
      <c r="BN208" s="8" t="s">
        <v>1160</v>
      </c>
      <c r="BS208" s="32">
        <v>7</v>
      </c>
      <c r="BT208" s="126" t="s">
        <v>1161</v>
      </c>
      <c r="CB208" s="182" t="s">
        <v>1143</v>
      </c>
      <c r="CC208" s="188">
        <v>2884</v>
      </c>
      <c r="CD208" s="189">
        <v>3090</v>
      </c>
      <c r="CE208" s="188">
        <v>3710</v>
      </c>
      <c r="CF208" s="189">
        <v>4284</v>
      </c>
      <c r="CG208" s="189">
        <v>4780</v>
      </c>
      <c r="CH208" s="190">
        <v>5274</v>
      </c>
      <c r="CI208" s="1" t="s">
        <v>1143</v>
      </c>
      <c r="CJ208" s="180">
        <v>1949</v>
      </c>
      <c r="CK208" s="180">
        <v>2155</v>
      </c>
      <c r="CL208" s="180">
        <v>2827</v>
      </c>
      <c r="CM208" s="180">
        <v>3887</v>
      </c>
      <c r="CN208" s="180">
        <v>4147</v>
      </c>
      <c r="CR208" s="8" t="s">
        <v>1142</v>
      </c>
      <c r="CS208" s="181">
        <v>406666</v>
      </c>
      <c r="CT208" s="181">
        <v>468882</v>
      </c>
      <c r="CU208" s="181">
        <v>565600</v>
      </c>
      <c r="CV208" s="181">
        <v>723968</v>
      </c>
      <c r="CW208" s="181">
        <v>806546</v>
      </c>
      <c r="CX208" s="1"/>
      <c r="CY208" s="8" t="s">
        <v>1142</v>
      </c>
      <c r="CZ208" s="181">
        <v>406666</v>
      </c>
      <c r="DA208" s="181">
        <v>468882</v>
      </c>
      <c r="DB208" s="181">
        <v>565600</v>
      </c>
      <c r="DC208" s="181">
        <v>723968</v>
      </c>
      <c r="DD208" s="181">
        <v>806546</v>
      </c>
    </row>
    <row r="209" spans="1:108" ht="12.75" customHeight="1">
      <c r="BC209" s="32" t="s">
        <v>1163</v>
      </c>
      <c r="BN209" s="8" t="s">
        <v>1164</v>
      </c>
      <c r="BS209" s="32">
        <v>7</v>
      </c>
      <c r="BT209" s="126" t="s">
        <v>1165</v>
      </c>
      <c r="CB209" s="182" t="s">
        <v>1149</v>
      </c>
      <c r="CC209" s="188">
        <v>1794</v>
      </c>
      <c r="CD209" s="189">
        <v>1922</v>
      </c>
      <c r="CE209" s="188">
        <v>2306</v>
      </c>
      <c r="CF209" s="189">
        <v>2664</v>
      </c>
      <c r="CG209" s="189">
        <v>2972</v>
      </c>
      <c r="CH209" s="190">
        <v>3280</v>
      </c>
      <c r="CI209" s="1" t="s">
        <v>1149</v>
      </c>
      <c r="CJ209" s="180">
        <v>1255</v>
      </c>
      <c r="CK209" s="180">
        <v>1356</v>
      </c>
      <c r="CL209" s="180">
        <v>1758</v>
      </c>
      <c r="CM209" s="180">
        <v>2442</v>
      </c>
      <c r="CN209" s="180">
        <v>2823</v>
      </c>
      <c r="CR209" s="8" t="s">
        <v>1148</v>
      </c>
      <c r="CS209" s="187">
        <v>323262</v>
      </c>
      <c r="CT209" s="187">
        <v>372718</v>
      </c>
      <c r="CU209" s="187">
        <v>449600</v>
      </c>
      <c r="CV209" s="187">
        <v>575488</v>
      </c>
      <c r="CW209" s="187">
        <v>641130</v>
      </c>
      <c r="CX209" s="1"/>
      <c r="CY209" s="8" t="s">
        <v>1148</v>
      </c>
      <c r="CZ209" s="187">
        <v>323262</v>
      </c>
      <c r="DA209" s="187">
        <v>372718</v>
      </c>
      <c r="DB209" s="187">
        <v>449600</v>
      </c>
      <c r="DC209" s="187">
        <v>575488</v>
      </c>
      <c r="DD209" s="187">
        <v>641130</v>
      </c>
    </row>
    <row r="210" spans="1:108" ht="12.75" customHeight="1">
      <c r="A210" s="8" t="s">
        <v>1166</v>
      </c>
      <c r="C210" s="8" t="s">
        <v>1167</v>
      </c>
      <c r="BC210" s="32" t="s">
        <v>1168</v>
      </c>
      <c r="BN210" s="8" t="s">
        <v>1169</v>
      </c>
      <c r="BS210" s="32">
        <v>5</v>
      </c>
      <c r="BT210" s="126" t="s">
        <v>1170</v>
      </c>
      <c r="CB210" s="182" t="s">
        <v>1155</v>
      </c>
      <c r="CC210" s="188">
        <v>1784</v>
      </c>
      <c r="CD210" s="189">
        <v>1912</v>
      </c>
      <c r="CE210" s="188">
        <v>2294</v>
      </c>
      <c r="CF210" s="189">
        <v>2650</v>
      </c>
      <c r="CG210" s="189">
        <v>2956</v>
      </c>
      <c r="CH210" s="190">
        <v>3262</v>
      </c>
      <c r="CI210" s="1" t="s">
        <v>1155</v>
      </c>
      <c r="CJ210" s="180">
        <v>1166</v>
      </c>
      <c r="CK210" s="180">
        <v>1272</v>
      </c>
      <c r="CL210" s="180">
        <v>1550</v>
      </c>
      <c r="CM210" s="180">
        <v>2156</v>
      </c>
      <c r="CN210" s="180">
        <v>2600</v>
      </c>
      <c r="CR210" s="8" t="s">
        <v>1154</v>
      </c>
      <c r="CS210" s="181">
        <v>360075</v>
      </c>
      <c r="CT210" s="181">
        <v>415163</v>
      </c>
      <c r="CU210" s="181">
        <v>500800</v>
      </c>
      <c r="CV210" s="181">
        <v>641024</v>
      </c>
      <c r="CW210" s="181">
        <v>714141</v>
      </c>
      <c r="CX210" s="1"/>
      <c r="CY210" s="8" t="s">
        <v>1154</v>
      </c>
      <c r="CZ210" s="181">
        <v>360075</v>
      </c>
      <c r="DA210" s="181">
        <v>415163</v>
      </c>
      <c r="DB210" s="181">
        <v>500800</v>
      </c>
      <c r="DC210" s="181">
        <v>641024</v>
      </c>
      <c r="DD210" s="181">
        <v>714141</v>
      </c>
    </row>
    <row r="211" spans="1:108" ht="12.75" customHeight="1">
      <c r="C211" s="97"/>
      <c r="D211" s="967" t="s">
        <v>1051</v>
      </c>
      <c r="E211" s="968"/>
      <c r="F211" s="968"/>
      <c r="G211" s="968"/>
      <c r="H211" s="968"/>
      <c r="I211" s="968"/>
      <c r="J211" s="968"/>
      <c r="K211" s="968"/>
      <c r="L211" s="968"/>
      <c r="M211" s="969"/>
      <c r="AH211" s="32"/>
      <c r="AI211" s="32"/>
      <c r="BN211" s="8" t="s">
        <v>1172</v>
      </c>
      <c r="BS211" s="32">
        <v>7</v>
      </c>
      <c r="BT211" s="126" t="s">
        <v>1174</v>
      </c>
      <c r="CB211" s="182" t="s">
        <v>1161</v>
      </c>
      <c r="CC211" s="188">
        <v>1700</v>
      </c>
      <c r="CD211" s="189">
        <v>1820</v>
      </c>
      <c r="CE211" s="188">
        <v>2184</v>
      </c>
      <c r="CF211" s="189">
        <v>2524</v>
      </c>
      <c r="CG211" s="189">
        <v>2816</v>
      </c>
      <c r="CH211" s="190">
        <v>3108</v>
      </c>
      <c r="CI211" s="1" t="s">
        <v>1161</v>
      </c>
      <c r="CJ211" s="180">
        <v>952</v>
      </c>
      <c r="CK211" s="180">
        <v>1038</v>
      </c>
      <c r="CL211" s="180">
        <v>1362</v>
      </c>
      <c r="CM211" s="180">
        <v>1865</v>
      </c>
      <c r="CN211" s="180">
        <v>2285</v>
      </c>
      <c r="CR211" s="8" t="s">
        <v>1160</v>
      </c>
      <c r="CS211" s="187">
        <v>402640</v>
      </c>
      <c r="CT211" s="187">
        <v>464240</v>
      </c>
      <c r="CU211" s="187">
        <v>560000</v>
      </c>
      <c r="CV211" s="187">
        <v>716800</v>
      </c>
      <c r="CW211" s="187">
        <v>798560</v>
      </c>
      <c r="CX211" s="1"/>
      <c r="CY211" s="8" t="s">
        <v>1160</v>
      </c>
      <c r="CZ211" s="187">
        <v>402640</v>
      </c>
      <c r="DA211" s="187">
        <v>464240</v>
      </c>
      <c r="DB211" s="187">
        <v>560000</v>
      </c>
      <c r="DC211" s="187">
        <v>716800</v>
      </c>
      <c r="DD211" s="187">
        <v>798560</v>
      </c>
    </row>
    <row r="212" spans="1:108" ht="12.75" customHeight="1">
      <c r="C212" s="97"/>
      <c r="D212" s="1" t="s">
        <v>1176</v>
      </c>
      <c r="Q212" s="973"/>
      <c r="R212" s="969"/>
      <c r="T212" s="1124">
        <f>IFERROR(Q212/AG449,0)</f>
        <v>0</v>
      </c>
      <c r="U212" s="943"/>
      <c r="BC212" s="32" t="s">
        <v>27</v>
      </c>
      <c r="BI212" s="32" t="s">
        <v>1137</v>
      </c>
      <c r="BN212" s="8" t="s">
        <v>1181</v>
      </c>
      <c r="BS212" s="32">
        <v>4</v>
      </c>
      <c r="BT212" s="126" t="s">
        <v>1182</v>
      </c>
      <c r="CB212" s="182" t="s">
        <v>1165</v>
      </c>
      <c r="CC212" s="188">
        <v>1700</v>
      </c>
      <c r="CD212" s="189">
        <v>1820</v>
      </c>
      <c r="CE212" s="188">
        <v>2184</v>
      </c>
      <c r="CF212" s="189">
        <v>2524</v>
      </c>
      <c r="CG212" s="189">
        <v>2816</v>
      </c>
      <c r="CH212" s="190">
        <v>3108</v>
      </c>
      <c r="CI212" s="1" t="s">
        <v>1165</v>
      </c>
      <c r="CJ212" s="180">
        <v>829</v>
      </c>
      <c r="CK212" s="180">
        <v>916</v>
      </c>
      <c r="CL212" s="180">
        <v>1202</v>
      </c>
      <c r="CM212" s="180">
        <v>1636</v>
      </c>
      <c r="CN212" s="180">
        <v>1655</v>
      </c>
      <c r="CR212" s="8" t="s">
        <v>1164</v>
      </c>
      <c r="CS212" s="181">
        <v>402640</v>
      </c>
      <c r="CT212" s="181">
        <v>464240</v>
      </c>
      <c r="CU212" s="181">
        <v>560000</v>
      </c>
      <c r="CV212" s="181">
        <v>716800</v>
      </c>
      <c r="CW212" s="181">
        <v>798560</v>
      </c>
      <c r="CX212" s="1"/>
      <c r="CY212" s="8" t="s">
        <v>1164</v>
      </c>
      <c r="CZ212" s="181">
        <v>402640</v>
      </c>
      <c r="DA212" s="181">
        <v>464240</v>
      </c>
      <c r="DB212" s="181">
        <v>560000</v>
      </c>
      <c r="DC212" s="181">
        <v>716800</v>
      </c>
      <c r="DD212" s="181">
        <v>798560</v>
      </c>
    </row>
    <row r="213" spans="1:108" ht="12.75" customHeight="1">
      <c r="D213" s="222" t="s">
        <v>1184</v>
      </c>
      <c r="BC213" s="32" t="s">
        <v>1186</v>
      </c>
      <c r="BI213" s="1" t="s">
        <v>1187</v>
      </c>
      <c r="BN213" s="8" t="s">
        <v>1188</v>
      </c>
      <c r="BS213" s="32">
        <v>6</v>
      </c>
      <c r="BT213" s="126" t="s">
        <v>1189</v>
      </c>
      <c r="CB213" s="182" t="s">
        <v>1170</v>
      </c>
      <c r="CC213" s="188">
        <v>1700</v>
      </c>
      <c r="CD213" s="189">
        <v>1820</v>
      </c>
      <c r="CE213" s="188">
        <v>2184</v>
      </c>
      <c r="CF213" s="189">
        <v>2524</v>
      </c>
      <c r="CG213" s="189">
        <v>2816</v>
      </c>
      <c r="CH213" s="190">
        <v>3108</v>
      </c>
      <c r="CI213" s="1" t="s">
        <v>1170</v>
      </c>
      <c r="CJ213" s="180">
        <v>1116</v>
      </c>
      <c r="CK213" s="180">
        <v>1123</v>
      </c>
      <c r="CL213" s="180">
        <v>1474</v>
      </c>
      <c r="CM213" s="180">
        <v>2028</v>
      </c>
      <c r="CN213" s="180">
        <v>2393</v>
      </c>
      <c r="CR213" s="8" t="s">
        <v>1169</v>
      </c>
      <c r="CS213" s="187">
        <v>323262</v>
      </c>
      <c r="CT213" s="187">
        <v>372718</v>
      </c>
      <c r="CU213" s="187">
        <v>449600</v>
      </c>
      <c r="CV213" s="187">
        <v>575488</v>
      </c>
      <c r="CW213" s="187">
        <v>641130</v>
      </c>
      <c r="CX213" s="1"/>
      <c r="CY213" s="8" t="s">
        <v>1169</v>
      </c>
      <c r="CZ213" s="187">
        <v>323262</v>
      </c>
      <c r="DA213" s="187">
        <v>372718</v>
      </c>
      <c r="DB213" s="187">
        <v>449600</v>
      </c>
      <c r="DC213" s="187">
        <v>575488</v>
      </c>
      <c r="DD213" s="187">
        <v>641130</v>
      </c>
    </row>
    <row r="214" spans="1:108" ht="12.75" customHeight="1">
      <c r="D214" s="1120" t="s">
        <v>855</v>
      </c>
      <c r="E214" s="893"/>
      <c r="F214" s="893"/>
      <c r="G214" s="893"/>
      <c r="H214" s="893"/>
      <c r="I214" s="893"/>
      <c r="J214" s="893"/>
      <c r="K214" s="893"/>
      <c r="L214" s="893"/>
      <c r="M214" s="893"/>
      <c r="N214" s="893"/>
      <c r="O214" s="893"/>
      <c r="P214" s="893"/>
      <c r="Q214" s="893"/>
      <c r="R214" s="893"/>
      <c r="S214" s="893"/>
      <c r="T214" s="893"/>
      <c r="U214" s="893"/>
      <c r="V214" s="893"/>
      <c r="W214" s="893"/>
      <c r="X214" s="893"/>
      <c r="Y214" s="893"/>
      <c r="Z214" s="893"/>
      <c r="AU214" s="97"/>
      <c r="AV214" s="97"/>
      <c r="AW214" s="97"/>
      <c r="AX214" s="97"/>
      <c r="AY214" s="97"/>
      <c r="BC214" s="32" t="s">
        <v>1191</v>
      </c>
      <c r="BI214" s="1" t="s">
        <v>1192</v>
      </c>
      <c r="BN214" s="8" t="s">
        <v>1193</v>
      </c>
      <c r="BS214" s="32">
        <v>6</v>
      </c>
      <c r="BT214" s="126" t="s">
        <v>1194</v>
      </c>
      <c r="CB214" s="182" t="s">
        <v>1174</v>
      </c>
      <c r="CC214" s="188">
        <v>1790</v>
      </c>
      <c r="CD214" s="189">
        <v>1916</v>
      </c>
      <c r="CE214" s="188">
        <v>2300</v>
      </c>
      <c r="CF214" s="189">
        <v>2656</v>
      </c>
      <c r="CG214" s="189">
        <v>2964</v>
      </c>
      <c r="CH214" s="190">
        <v>3272</v>
      </c>
      <c r="CI214" s="1" t="s">
        <v>1174</v>
      </c>
      <c r="CJ214" s="180">
        <v>1096</v>
      </c>
      <c r="CK214" s="180">
        <v>1257</v>
      </c>
      <c r="CL214" s="180">
        <v>1589</v>
      </c>
      <c r="CM214" s="180">
        <v>2078</v>
      </c>
      <c r="CN214" s="180">
        <v>2666</v>
      </c>
      <c r="CR214" s="8" t="s">
        <v>1172</v>
      </c>
      <c r="CS214" s="181">
        <v>402640</v>
      </c>
      <c r="CT214" s="181">
        <v>464240</v>
      </c>
      <c r="CU214" s="181">
        <v>560000</v>
      </c>
      <c r="CV214" s="181">
        <v>716800</v>
      </c>
      <c r="CW214" s="181">
        <v>798560</v>
      </c>
      <c r="CX214" s="1"/>
      <c r="CY214" s="8" t="s">
        <v>1172</v>
      </c>
      <c r="CZ214" s="181">
        <v>402640</v>
      </c>
      <c r="DA214" s="181">
        <v>464240</v>
      </c>
      <c r="DB214" s="181">
        <v>560000</v>
      </c>
      <c r="DC214" s="181">
        <v>716800</v>
      </c>
      <c r="DD214" s="181">
        <v>798560</v>
      </c>
    </row>
    <row r="215" spans="1:108" ht="12.75" customHeight="1">
      <c r="D215" s="1" t="s">
        <v>1197</v>
      </c>
      <c r="E215" s="32"/>
      <c r="F215" s="32"/>
      <c r="G215" s="32"/>
      <c r="H215" s="32"/>
      <c r="I215" s="32"/>
      <c r="J215" s="32"/>
      <c r="K215" s="32"/>
      <c r="L215" s="32"/>
      <c r="M215" s="32"/>
      <c r="N215" s="32"/>
      <c r="O215" s="32"/>
      <c r="P215" s="32"/>
      <c r="Q215" s="32"/>
      <c r="R215" s="32"/>
      <c r="S215" s="32"/>
      <c r="T215" s="32"/>
      <c r="U215" s="32"/>
      <c r="Z215" s="4"/>
      <c r="AA215" s="32"/>
      <c r="AB215" s="1111"/>
      <c r="AC215" s="968"/>
      <c r="AD215" s="968"/>
      <c r="AE215" s="968"/>
      <c r="AF215" s="968"/>
      <c r="AG215" s="968"/>
      <c r="AH215" s="968"/>
      <c r="AI215" s="968"/>
      <c r="AJ215" s="968"/>
      <c r="AK215" s="968"/>
      <c r="AL215" s="969"/>
      <c r="AM215" s="97"/>
      <c r="AN215" s="97"/>
      <c r="AO215" s="97"/>
      <c r="AP215" s="97"/>
      <c r="AQ215" s="97"/>
      <c r="AR215" s="97"/>
      <c r="AS215" s="97"/>
      <c r="AT215" s="97"/>
      <c r="AU215" s="97"/>
      <c r="AV215" s="97"/>
      <c r="AW215" s="97"/>
      <c r="AX215" s="97"/>
      <c r="AY215" s="97"/>
      <c r="BC215" s="32" t="s">
        <v>1199</v>
      </c>
      <c r="BI215" s="1" t="s">
        <v>1200</v>
      </c>
      <c r="CB215" s="182" t="s">
        <v>1182</v>
      </c>
      <c r="CC215" s="223">
        <v>2746</v>
      </c>
      <c r="CD215" s="224">
        <v>2942</v>
      </c>
      <c r="CE215" s="223">
        <v>3532</v>
      </c>
      <c r="CF215" s="224">
        <v>4082</v>
      </c>
      <c r="CG215" s="224">
        <v>4554</v>
      </c>
      <c r="CH215" s="225">
        <v>5024</v>
      </c>
      <c r="CI215" s="1" t="s">
        <v>1182</v>
      </c>
      <c r="CJ215" s="180">
        <v>1998</v>
      </c>
      <c r="CK215" s="180">
        <v>2250</v>
      </c>
      <c r="CL215" s="180">
        <v>2693</v>
      </c>
      <c r="CM215" s="180">
        <v>3652</v>
      </c>
      <c r="CN215" s="180">
        <v>4240</v>
      </c>
      <c r="CR215" s="8" t="s">
        <v>1181</v>
      </c>
      <c r="CS215" s="187">
        <v>442904</v>
      </c>
      <c r="CT215" s="187">
        <v>510664</v>
      </c>
      <c r="CU215" s="187">
        <v>616000</v>
      </c>
      <c r="CV215" s="187">
        <v>788480</v>
      </c>
      <c r="CW215" s="187">
        <v>878416</v>
      </c>
      <c r="CX215" s="1"/>
      <c r="CY215" s="8" t="s">
        <v>1181</v>
      </c>
      <c r="CZ215" s="187">
        <v>442904</v>
      </c>
      <c r="DA215" s="187">
        <v>510664</v>
      </c>
      <c r="DB215" s="187">
        <v>616000</v>
      </c>
      <c r="DC215" s="187">
        <v>788480</v>
      </c>
      <c r="DD215" s="187">
        <v>878416</v>
      </c>
    </row>
    <row r="216" spans="1:108" ht="12.75" customHeight="1">
      <c r="D216" s="1" t="s">
        <v>1202</v>
      </c>
      <c r="Z216" s="4"/>
      <c r="AB216" s="1111">
        <v>2029</v>
      </c>
      <c r="AC216" s="968"/>
      <c r="AD216" s="968"/>
      <c r="AE216" s="968"/>
      <c r="AF216" s="968"/>
      <c r="AG216" s="968"/>
      <c r="AH216" s="968"/>
      <c r="AI216" s="968"/>
      <c r="AJ216" s="968"/>
      <c r="AK216" s="968"/>
      <c r="AL216" s="969"/>
      <c r="AM216" s="97"/>
      <c r="AN216" s="97"/>
      <c r="AO216" s="97"/>
      <c r="AP216" s="97"/>
      <c r="AQ216" s="97"/>
      <c r="AR216" s="97"/>
      <c r="AS216" s="97"/>
      <c r="AT216" s="97"/>
      <c r="AU216" s="97"/>
      <c r="AV216" s="97"/>
      <c r="AW216" s="97"/>
      <c r="AX216" s="97"/>
      <c r="AY216" s="97"/>
      <c r="BC216" s="32" t="s">
        <v>1204</v>
      </c>
      <c r="BI216" s="32" t="s">
        <v>1205</v>
      </c>
      <c r="CB216" s="182" t="s">
        <v>1189</v>
      </c>
      <c r="CC216" s="226">
        <v>2270</v>
      </c>
      <c r="CD216" s="227">
        <v>2430</v>
      </c>
      <c r="CE216" s="226">
        <v>2916</v>
      </c>
      <c r="CF216" s="227">
        <v>3370</v>
      </c>
      <c r="CG216" s="227">
        <v>3760</v>
      </c>
      <c r="CH216" s="228">
        <v>4148</v>
      </c>
      <c r="CI216" s="1" t="s">
        <v>1189</v>
      </c>
      <c r="CJ216" s="180">
        <v>1604</v>
      </c>
      <c r="CK216" s="180">
        <v>1615</v>
      </c>
      <c r="CL216" s="180">
        <v>2104</v>
      </c>
      <c r="CM216" s="180">
        <v>2917</v>
      </c>
      <c r="CN216" s="180">
        <v>3178</v>
      </c>
      <c r="CR216" s="8" t="s">
        <v>1188</v>
      </c>
      <c r="CS216" s="181">
        <v>360075</v>
      </c>
      <c r="CT216" s="181">
        <v>415163</v>
      </c>
      <c r="CU216" s="181">
        <v>500800</v>
      </c>
      <c r="CV216" s="181">
        <v>641024</v>
      </c>
      <c r="CW216" s="181">
        <v>714141</v>
      </c>
      <c r="CX216" s="1"/>
      <c r="CY216" s="8" t="s">
        <v>1188</v>
      </c>
      <c r="CZ216" s="181">
        <v>360075</v>
      </c>
      <c r="DA216" s="181">
        <v>415163</v>
      </c>
      <c r="DB216" s="181">
        <v>500800</v>
      </c>
      <c r="DC216" s="181">
        <v>641024</v>
      </c>
      <c r="DD216" s="181">
        <v>714141</v>
      </c>
    </row>
    <row r="217" spans="1:108" ht="12.75" customHeight="1">
      <c r="D217" s="1"/>
      <c r="Z217" s="4"/>
      <c r="AB217" s="97"/>
      <c r="AC217" s="97"/>
      <c r="AD217" s="97"/>
      <c r="AE217" s="97"/>
      <c r="AF217" s="97"/>
      <c r="AG217" s="97"/>
      <c r="AH217" s="97"/>
      <c r="AI217" s="97"/>
      <c r="AJ217" s="97"/>
      <c r="AK217" s="97"/>
      <c r="AL217" s="97"/>
      <c r="AM217" s="97"/>
      <c r="AN217" s="97"/>
      <c r="AO217" s="97"/>
      <c r="AP217" s="97"/>
      <c r="AQ217" s="97"/>
      <c r="AR217" s="97"/>
      <c r="AS217" s="97"/>
      <c r="AT217" s="97"/>
      <c r="BC217" s="32" t="s">
        <v>1207</v>
      </c>
      <c r="BI217" s="32" t="s">
        <v>1208</v>
      </c>
      <c r="CB217" s="182" t="s">
        <v>1194</v>
      </c>
      <c r="CC217" s="229">
        <v>1784</v>
      </c>
      <c r="CD217" s="230">
        <v>1912</v>
      </c>
      <c r="CE217" s="229">
        <v>2294</v>
      </c>
      <c r="CF217" s="230">
        <v>2650</v>
      </c>
      <c r="CG217" s="230">
        <v>2956</v>
      </c>
      <c r="CH217" s="231">
        <v>3262</v>
      </c>
      <c r="CI217" s="1" t="s">
        <v>1194</v>
      </c>
      <c r="CJ217" s="180">
        <v>1166</v>
      </c>
      <c r="CK217" s="180">
        <v>1272</v>
      </c>
      <c r="CL217" s="180">
        <v>1550</v>
      </c>
      <c r="CM217" s="180">
        <v>2156</v>
      </c>
      <c r="CN217" s="180">
        <v>2600</v>
      </c>
      <c r="CR217" s="8" t="s">
        <v>1193</v>
      </c>
      <c r="CS217" s="187">
        <v>360075</v>
      </c>
      <c r="CT217" s="187">
        <v>415163</v>
      </c>
      <c r="CU217" s="187">
        <v>500800</v>
      </c>
      <c r="CV217" s="187">
        <v>641024</v>
      </c>
      <c r="CW217" s="187">
        <v>714141</v>
      </c>
      <c r="CX217" s="1"/>
      <c r="CY217" s="8" t="s">
        <v>1193</v>
      </c>
      <c r="CZ217" s="187">
        <v>360075</v>
      </c>
      <c r="DA217" s="187">
        <v>415163</v>
      </c>
      <c r="DB217" s="187">
        <v>500800</v>
      </c>
      <c r="DC217" s="187">
        <v>641024</v>
      </c>
      <c r="DD217" s="187">
        <v>714141</v>
      </c>
    </row>
    <row r="218" spans="1:108" ht="12.75" customHeight="1">
      <c r="A218" s="8" t="s">
        <v>1210</v>
      </c>
      <c r="C218" s="8" t="s">
        <v>1211</v>
      </c>
      <c r="D218" s="117"/>
      <c r="AC218" s="8" t="s">
        <v>1212</v>
      </c>
      <c r="BC218" s="32" t="s">
        <v>1213</v>
      </c>
    </row>
    <row r="219" spans="1:108" ht="12.75" customHeight="1">
      <c r="A219" s="8"/>
      <c r="C219" s="8"/>
      <c r="D219" s="1" t="s">
        <v>1214</v>
      </c>
      <c r="AZ219" s="1"/>
      <c r="BA219" s="1"/>
      <c r="BC219" s="32" t="s">
        <v>1215</v>
      </c>
    </row>
    <row r="220" spans="1:108" ht="12.75" customHeight="1">
      <c r="A220" s="8"/>
      <c r="C220" s="8"/>
      <c r="D220" s="967" t="s">
        <v>1114</v>
      </c>
      <c r="E220" s="968"/>
      <c r="F220" s="968"/>
      <c r="G220" s="968"/>
      <c r="H220" s="968"/>
      <c r="I220" s="968"/>
      <c r="J220" s="968"/>
      <c r="K220" s="968"/>
      <c r="L220" s="968"/>
      <c r="M220" s="968"/>
      <c r="N220" s="968"/>
      <c r="O220" s="968"/>
      <c r="P220" s="968"/>
      <c r="Q220" s="968"/>
      <c r="R220" s="968"/>
      <c r="S220" s="968"/>
      <c r="T220" s="968"/>
      <c r="U220" s="968"/>
      <c r="V220" s="968"/>
      <c r="W220" s="968"/>
      <c r="X220" s="968"/>
      <c r="Y220" s="968"/>
      <c r="Z220" s="969"/>
      <c r="AC220" s="967" t="s">
        <v>839</v>
      </c>
      <c r="AD220" s="968"/>
      <c r="AE220" s="968"/>
      <c r="AF220" s="968"/>
      <c r="AG220" s="968"/>
      <c r="AH220" s="968"/>
      <c r="AI220" s="968"/>
      <c r="AJ220" s="968"/>
      <c r="AK220" s="968"/>
      <c r="AL220" s="968"/>
      <c r="AM220" s="968"/>
      <c r="AN220" s="968"/>
      <c r="AO220" s="968"/>
      <c r="AP220" s="968"/>
      <c r="AQ220" s="969"/>
      <c r="BA220" s="1"/>
      <c r="BC220" s="32" t="s">
        <v>808</v>
      </c>
      <c r="BI220" s="52" t="s">
        <v>1218</v>
      </c>
    </row>
    <row r="221" spans="1:108" ht="12.75" customHeight="1">
      <c r="A221" s="8"/>
      <c r="B221" s="1"/>
      <c r="C221" s="8"/>
      <c r="BA221" s="1"/>
      <c r="BI221" s="52" t="s">
        <v>1220</v>
      </c>
    </row>
    <row r="222" spans="1:108" ht="12.75" customHeight="1">
      <c r="A222" s="8" t="s">
        <v>1221</v>
      </c>
      <c r="B222" s="1"/>
      <c r="C222" s="8" t="s">
        <v>1222</v>
      </c>
      <c r="BA222" s="1"/>
      <c r="BI222" s="52" t="s">
        <v>1223</v>
      </c>
    </row>
    <row r="223" spans="1:108" ht="12.75" customHeight="1">
      <c r="A223" s="8"/>
      <c r="B223" s="1"/>
      <c r="C223" s="8"/>
      <c r="D223" s="1" t="s">
        <v>1224</v>
      </c>
      <c r="BA223" s="1"/>
      <c r="BI223" s="52" t="s">
        <v>1225</v>
      </c>
    </row>
    <row r="224" spans="1:108" ht="12.75" customHeight="1">
      <c r="A224" s="8"/>
      <c r="B224" s="1"/>
      <c r="C224" s="8"/>
      <c r="E224" s="1" t="s">
        <v>699</v>
      </c>
      <c r="V224" s="973" t="s">
        <v>460</v>
      </c>
      <c r="W224" s="969"/>
      <c r="Y224" s="232"/>
      <c r="BA224" s="1"/>
      <c r="BI224" s="52" t="s">
        <v>1227</v>
      </c>
    </row>
    <row r="225" spans="1:69" ht="12.75" customHeight="1">
      <c r="A225" s="8"/>
      <c r="B225" s="1"/>
      <c r="C225" s="8"/>
      <c r="E225" s="1" t="s">
        <v>703</v>
      </c>
      <c r="V225" s="973" t="s">
        <v>901</v>
      </c>
      <c r="W225" s="969"/>
      <c r="Y225" s="234" t="str">
        <f>IF(AND(V225="Yes",OR(V226="Yes",V227="Yes",V228="Yes",V229="Yes")),"!","")</f>
        <v/>
      </c>
      <c r="Z225" s="52" t="str">
        <f t="shared" ref="Z225:Z229" si="3">IF(Y225="!","Requirements for pools/set-asides selected are mutually exclusive.","")</f>
        <v/>
      </c>
      <c r="AA225" s="52"/>
      <c r="AB225" s="52"/>
      <c r="AC225" s="52"/>
      <c r="AD225" s="52"/>
      <c r="AE225" s="52"/>
      <c r="AF225" s="52"/>
      <c r="AG225" s="52"/>
      <c r="AH225" s="52"/>
      <c r="AI225" s="52"/>
      <c r="AJ225" s="52"/>
      <c r="AK225" s="52"/>
      <c r="AL225" s="52"/>
      <c r="AM225" s="52"/>
      <c r="AN225" s="52"/>
      <c r="AO225" s="52"/>
      <c r="AP225" s="52"/>
      <c r="AQ225" s="52"/>
      <c r="AR225" s="52"/>
      <c r="AS225" s="52"/>
      <c r="AT225" s="52"/>
      <c r="BA225" s="1"/>
      <c r="BI225" s="52" t="s">
        <v>1229</v>
      </c>
    </row>
    <row r="226" spans="1:69" ht="12.75" customHeight="1">
      <c r="A226" s="8"/>
      <c r="B226" s="1"/>
      <c r="C226" s="8"/>
      <c r="E226" s="1" t="s">
        <v>707</v>
      </c>
      <c r="V226" s="1071" t="s">
        <v>460</v>
      </c>
      <c r="W226" s="971"/>
      <c r="Y226" s="234" t="str">
        <f>IF(AND(V226="Yes",OR(V227="Yes",V228="Yes",V229="Yes",V225="Yes")),"!","")</f>
        <v/>
      </c>
      <c r="Z226" s="52" t="str">
        <f t="shared" si="3"/>
        <v/>
      </c>
      <c r="AA226" s="52"/>
      <c r="AB226" s="52"/>
      <c r="AC226" s="52"/>
      <c r="AD226" s="52"/>
      <c r="AE226" s="52"/>
      <c r="AF226" s="52"/>
      <c r="AG226" s="52"/>
      <c r="AH226" s="52"/>
      <c r="AI226" s="52"/>
      <c r="AJ226" s="52"/>
      <c r="AK226" s="52"/>
      <c r="AL226" s="52"/>
      <c r="AM226" s="52"/>
      <c r="AN226" s="52"/>
      <c r="AO226" s="52"/>
      <c r="AP226" s="52"/>
      <c r="AQ226" s="52"/>
      <c r="AR226" s="52"/>
      <c r="AS226" s="52"/>
      <c r="AT226" s="52"/>
      <c r="BA226" s="1"/>
      <c r="BI226" s="52" t="s">
        <v>1230</v>
      </c>
    </row>
    <row r="227" spans="1:69" ht="12.75" customHeight="1">
      <c r="A227" s="8"/>
      <c r="B227" s="1"/>
      <c r="C227" s="8"/>
      <c r="E227" s="1" t="s">
        <v>713</v>
      </c>
      <c r="V227" s="1071" t="s">
        <v>460</v>
      </c>
      <c r="W227" s="971"/>
      <c r="Y227" s="234" t="str">
        <f>IF(AND(V227="Yes",OR(V229="Yes",V225="Yes",V226="Yes")),"!","")</f>
        <v/>
      </c>
      <c r="Z227" s="52" t="str">
        <f t="shared" si="3"/>
        <v/>
      </c>
      <c r="AA227" s="52"/>
      <c r="AB227" s="52"/>
      <c r="AC227" s="52"/>
      <c r="AD227" s="52"/>
      <c r="AE227" s="52"/>
      <c r="AF227" s="52"/>
      <c r="AG227" s="52"/>
      <c r="AH227" s="52"/>
      <c r="AI227" s="52"/>
      <c r="AJ227" s="52"/>
      <c r="AK227" s="52"/>
      <c r="AL227" s="52"/>
      <c r="AM227" s="52"/>
      <c r="AN227" s="52"/>
      <c r="AO227" s="52"/>
      <c r="AP227" s="52"/>
      <c r="AQ227" s="52"/>
      <c r="AR227" s="52"/>
      <c r="AS227" s="52"/>
      <c r="AT227" s="52"/>
      <c r="BA227" s="1"/>
      <c r="BI227" s="52" t="s">
        <v>1231</v>
      </c>
    </row>
    <row r="228" spans="1:69" ht="12.75" customHeight="1">
      <c r="A228" s="8"/>
      <c r="B228" s="1"/>
      <c r="C228" s="8"/>
      <c r="E228" s="1" t="s">
        <v>717</v>
      </c>
      <c r="V228" s="1071" t="s">
        <v>460</v>
      </c>
      <c r="W228" s="971"/>
      <c r="Y228" s="234" t="str">
        <f>IF(AND(V228="Yes",OR(V229="Yes",V225="Yes",V226="Yes")),"!","")</f>
        <v/>
      </c>
      <c r="Z228" s="52" t="str">
        <f t="shared" si="3"/>
        <v/>
      </c>
      <c r="AA228" s="52"/>
      <c r="AB228" s="52"/>
      <c r="AC228" s="52"/>
      <c r="AD228" s="52"/>
      <c r="AE228" s="52"/>
      <c r="AF228" s="52"/>
      <c r="AG228" s="52"/>
      <c r="AH228" s="52"/>
      <c r="AI228" s="52"/>
      <c r="AJ228" s="52"/>
      <c r="AK228" s="52"/>
      <c r="AL228" s="52"/>
      <c r="AM228" s="52"/>
      <c r="AN228" s="52"/>
      <c r="AO228" s="52"/>
      <c r="AP228" s="52"/>
      <c r="AQ228" s="52"/>
      <c r="AR228" s="52"/>
      <c r="AS228" s="52"/>
      <c r="AT228" s="52"/>
      <c r="BA228" s="1"/>
      <c r="BI228" s="52" t="s">
        <v>833</v>
      </c>
    </row>
    <row r="229" spans="1:69" ht="12.75" customHeight="1">
      <c r="A229" s="8"/>
      <c r="B229" s="1"/>
      <c r="C229" s="8"/>
      <c r="E229" s="1" t="s">
        <v>722</v>
      </c>
      <c r="V229" s="1071" t="s">
        <v>460</v>
      </c>
      <c r="W229" s="971"/>
      <c r="Y229" s="234" t="str">
        <f>IF(AND(V229="Yes",OR(V228="Yes",V227="Yes",V226="Yes",V225="Yes")),"!","")</f>
        <v/>
      </c>
      <c r="Z229" s="52" t="str">
        <f t="shared" si="3"/>
        <v/>
      </c>
      <c r="AA229" s="52"/>
      <c r="AB229" s="52"/>
      <c r="AC229" s="52"/>
      <c r="AD229" s="52"/>
      <c r="AE229" s="52"/>
      <c r="AF229" s="52"/>
      <c r="AG229" s="52"/>
      <c r="AH229" s="52"/>
      <c r="AI229" s="52"/>
      <c r="AJ229" s="52"/>
      <c r="AK229" s="52"/>
      <c r="AL229" s="52"/>
      <c r="AM229" s="52"/>
      <c r="AN229" s="52"/>
      <c r="AO229" s="52"/>
      <c r="AP229" s="52"/>
      <c r="AQ229" s="52"/>
      <c r="AR229" s="52"/>
      <c r="AS229" s="52"/>
      <c r="AT229" s="52"/>
      <c r="BA229" s="1"/>
      <c r="BI229" s="52" t="s">
        <v>1232</v>
      </c>
    </row>
    <row r="230" spans="1:69" ht="12.75" customHeight="1">
      <c r="A230" s="8"/>
      <c r="B230" s="1"/>
      <c r="C230" s="8"/>
      <c r="BA230" s="1"/>
      <c r="BI230" s="52" t="s">
        <v>1233</v>
      </c>
    </row>
    <row r="231" spans="1:69" ht="12.75" customHeight="1">
      <c r="A231" s="988" t="s">
        <v>1234</v>
      </c>
      <c r="B231" s="901"/>
      <c r="C231" s="901"/>
      <c r="D231" s="901"/>
      <c r="E231" s="901"/>
      <c r="F231" s="901"/>
      <c r="G231" s="901"/>
      <c r="H231" s="901"/>
      <c r="I231" s="901"/>
      <c r="J231" s="901"/>
      <c r="K231" s="901"/>
      <c r="L231" s="901"/>
      <c r="M231" s="901"/>
      <c r="N231" s="901"/>
      <c r="O231" s="901"/>
      <c r="P231" s="901"/>
      <c r="Q231" s="901"/>
      <c r="R231" s="901"/>
      <c r="S231" s="901"/>
      <c r="T231" s="901"/>
      <c r="U231" s="901"/>
      <c r="V231" s="901"/>
      <c r="W231" s="901"/>
      <c r="X231" s="901"/>
      <c r="Y231" s="901"/>
      <c r="Z231" s="901"/>
      <c r="AA231" s="901"/>
      <c r="AB231" s="901"/>
      <c r="AC231" s="901"/>
      <c r="AD231" s="901"/>
      <c r="AE231" s="901"/>
      <c r="AF231" s="901"/>
      <c r="AG231" s="901"/>
      <c r="AH231" s="901"/>
      <c r="AI231" s="901"/>
      <c r="AJ231" s="901"/>
      <c r="AK231" s="901"/>
      <c r="AL231" s="901"/>
      <c r="AM231" s="901"/>
      <c r="AN231" s="901"/>
      <c r="AO231" s="901"/>
      <c r="AP231" s="901"/>
      <c r="AQ231" s="901"/>
      <c r="AR231" s="901"/>
      <c r="AS231" s="901"/>
      <c r="AT231" s="902"/>
      <c r="AU231" s="191"/>
      <c r="AV231" s="191"/>
      <c r="AW231" s="191"/>
      <c r="AX231" s="191"/>
      <c r="AY231" s="191"/>
      <c r="AZ231" s="1"/>
      <c r="BA231" s="1"/>
      <c r="BI231" s="52" t="s">
        <v>1235</v>
      </c>
      <c r="BP231" s="1"/>
    </row>
    <row r="232" spans="1:69" ht="12.75" customHeight="1">
      <c r="A232" s="989"/>
      <c r="B232" s="990"/>
      <c r="C232" s="990"/>
      <c r="D232" s="990"/>
      <c r="E232" s="990"/>
      <c r="F232" s="990"/>
      <c r="G232" s="990"/>
      <c r="H232" s="990"/>
      <c r="I232" s="990"/>
      <c r="J232" s="990"/>
      <c r="K232" s="990"/>
      <c r="L232" s="990"/>
      <c r="M232" s="990"/>
      <c r="N232" s="990"/>
      <c r="O232" s="990"/>
      <c r="P232" s="990"/>
      <c r="Q232" s="990"/>
      <c r="R232" s="990"/>
      <c r="S232" s="990"/>
      <c r="T232" s="990"/>
      <c r="U232" s="990"/>
      <c r="V232" s="990"/>
      <c r="W232" s="990"/>
      <c r="X232" s="990"/>
      <c r="Y232" s="990"/>
      <c r="Z232" s="990"/>
      <c r="AA232" s="990"/>
      <c r="AB232" s="990"/>
      <c r="AC232" s="990"/>
      <c r="AD232" s="990"/>
      <c r="AE232" s="990"/>
      <c r="AF232" s="990"/>
      <c r="AG232" s="990"/>
      <c r="AH232" s="990"/>
      <c r="AI232" s="990"/>
      <c r="AJ232" s="990"/>
      <c r="AK232" s="990"/>
      <c r="AL232" s="990"/>
      <c r="AM232" s="990"/>
      <c r="AN232" s="990"/>
      <c r="AO232" s="990"/>
      <c r="AP232" s="990"/>
      <c r="AQ232" s="990"/>
      <c r="AR232" s="990"/>
      <c r="AS232" s="990"/>
      <c r="AT232" s="991"/>
      <c r="BA232" s="1"/>
      <c r="BB232" s="1"/>
      <c r="BI232" s="52" t="s">
        <v>1236</v>
      </c>
      <c r="BQ232" s="1"/>
    </row>
    <row r="233" spans="1:69" ht="12.75" customHeight="1">
      <c r="AZ233" s="1"/>
      <c r="BA233" s="1"/>
      <c r="BB233" s="1"/>
      <c r="BI233" s="52" t="s">
        <v>1237</v>
      </c>
      <c r="BQ233" s="1"/>
    </row>
    <row r="234" spans="1:69" ht="12.75" customHeight="1">
      <c r="A234" s="8" t="s">
        <v>947</v>
      </c>
      <c r="B234" s="8"/>
      <c r="C234" s="8" t="s">
        <v>1238</v>
      </c>
      <c r="D234" s="8"/>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U234" s="1"/>
      <c r="AV234" s="1"/>
      <c r="AW234" s="1"/>
      <c r="AX234" s="1"/>
      <c r="AY234" s="1"/>
      <c r="BI234" s="52" t="s">
        <v>1239</v>
      </c>
    </row>
    <row r="235" spans="1:69" ht="12.75" customHeight="1">
      <c r="B235" s="1"/>
      <c r="D235" s="1" t="s">
        <v>1240</v>
      </c>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973" t="s">
        <v>855</v>
      </c>
      <c r="AJ235" s="969"/>
      <c r="AL235" s="1"/>
      <c r="AM235" s="1"/>
      <c r="AN235" s="1"/>
      <c r="AO235" s="1"/>
      <c r="AP235" s="1"/>
      <c r="AQ235" s="1"/>
      <c r="AR235" s="1"/>
      <c r="AS235" s="1"/>
      <c r="AT235" s="1"/>
      <c r="AU235" s="1"/>
      <c r="AV235" s="1"/>
      <c r="AW235" s="1"/>
      <c r="AX235" s="1"/>
      <c r="AY235" s="1"/>
      <c r="AZ235" s="1"/>
      <c r="BB235" s="1" t="s">
        <v>1241</v>
      </c>
      <c r="BG235" s="235">
        <f>IF(AND(AND($M$258="for profit",$M$266="for profit",$M$274="nonprofit")),2,0)</f>
        <v>0</v>
      </c>
      <c r="BI235" s="52" t="s">
        <v>1242</v>
      </c>
    </row>
    <row r="236" spans="1:69" ht="12.75" customHeight="1">
      <c r="B236" s="1"/>
      <c r="D236" s="1" t="s">
        <v>1243</v>
      </c>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973" t="s">
        <v>901</v>
      </c>
      <c r="AJ236" s="969"/>
      <c r="AL236" s="1"/>
      <c r="AM236" s="1"/>
      <c r="AN236" s="1"/>
      <c r="AO236" s="1"/>
      <c r="AP236" s="1"/>
      <c r="AQ236" s="1"/>
      <c r="AR236" s="1"/>
      <c r="AS236" s="1"/>
      <c r="AT236" s="1"/>
      <c r="AU236" s="1"/>
      <c r="AV236" s="1"/>
      <c r="AW236" s="1"/>
      <c r="AX236" s="1"/>
      <c r="AY236" s="1"/>
      <c r="BA236" s="1"/>
      <c r="BB236" s="1" t="s">
        <v>1241</v>
      </c>
      <c r="BG236" s="235">
        <f>IF(AND(AND($M$258="for profit",$M$266="nonprofit",$M$274="for profit")),2,0)</f>
        <v>0</v>
      </c>
      <c r="BI236" s="52" t="s">
        <v>1244</v>
      </c>
    </row>
    <row r="237" spans="1:69" ht="12.75" customHeight="1">
      <c r="B237" s="1"/>
      <c r="D237" s="1" t="s">
        <v>1245</v>
      </c>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973" t="s">
        <v>855</v>
      </c>
      <c r="AJ237" s="969"/>
      <c r="AL237" s="1"/>
      <c r="AM237" s="1"/>
      <c r="AN237" s="1"/>
      <c r="AO237" s="1"/>
      <c r="AP237" s="1"/>
      <c r="AQ237" s="1"/>
      <c r="AR237" s="1"/>
      <c r="AS237" s="1"/>
      <c r="AT237" s="1"/>
      <c r="AU237" s="1"/>
      <c r="AV237" s="1"/>
      <c r="AW237" s="1"/>
      <c r="AX237" s="1"/>
      <c r="AY237" s="1"/>
      <c r="AZ237" s="1"/>
      <c r="BA237" s="1"/>
      <c r="BB237" s="1" t="s">
        <v>1241</v>
      </c>
      <c r="BG237" s="235">
        <f>IF(AND(AND($M$258="nonprofit",$M$266="for profit",$M$274="for profit")),2,0)</f>
        <v>0</v>
      </c>
      <c r="BI237" s="52" t="s">
        <v>1246</v>
      </c>
    </row>
    <row r="238" spans="1:69" ht="12.75" customHeight="1">
      <c r="B238" s="1"/>
      <c r="D238" s="1" t="s">
        <v>1247</v>
      </c>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973" t="s">
        <v>855</v>
      </c>
      <c r="AJ238" s="969"/>
      <c r="AL238" s="1"/>
      <c r="AM238" s="1"/>
      <c r="AN238" s="1"/>
      <c r="AO238" s="1"/>
      <c r="AP238" s="1"/>
      <c r="AQ238" s="1"/>
      <c r="AR238" s="1"/>
      <c r="AS238" s="1"/>
      <c r="AT238" s="1"/>
      <c r="AU238" s="1"/>
      <c r="AV238" s="1"/>
      <c r="AW238" s="1"/>
      <c r="AX238" s="1"/>
      <c r="AY238" s="1"/>
      <c r="BA238" s="1"/>
      <c r="BB238" s="1" t="s">
        <v>1241</v>
      </c>
      <c r="BG238" s="235">
        <f>IF(AND(AND($M$258="for profit",$M$266="nonprofit",$M$274="(select one)")),2,0)</f>
        <v>2</v>
      </c>
      <c r="BI238" s="52" t="s">
        <v>1248</v>
      </c>
    </row>
    <row r="239" spans="1:69" ht="12.75" customHeight="1">
      <c r="B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L239" s="1"/>
      <c r="AM239" s="1"/>
      <c r="AN239" s="1"/>
      <c r="AO239" s="1"/>
      <c r="AP239" s="1"/>
      <c r="AQ239" s="1"/>
      <c r="AR239" s="1"/>
      <c r="AS239" s="1"/>
      <c r="AT239" s="1"/>
      <c r="AU239" s="1"/>
      <c r="AV239" s="1"/>
      <c r="AW239" s="1"/>
      <c r="AX239" s="1"/>
      <c r="AY239" s="1"/>
      <c r="BA239" s="1"/>
      <c r="BB239" s="1" t="s">
        <v>1241</v>
      </c>
      <c r="BG239" s="5">
        <f>IF(AND(AND($M$258="nonprofit",$M$266="for profit",$M$274="(select one)")),2,0)</f>
        <v>0</v>
      </c>
      <c r="BI239" s="52" t="s">
        <v>1249</v>
      </c>
    </row>
    <row r="240" spans="1:69" ht="12.75" customHeight="1">
      <c r="A240" s="8" t="s">
        <v>1003</v>
      </c>
      <c r="B240" s="1"/>
      <c r="C240" s="8" t="s">
        <v>1250</v>
      </c>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L240" s="1"/>
      <c r="AM240" s="1"/>
      <c r="AN240" s="1"/>
      <c r="AO240" s="1"/>
      <c r="AP240" s="1"/>
      <c r="AQ240" s="1"/>
      <c r="AR240" s="1"/>
      <c r="AS240" s="1"/>
      <c r="AT240" s="1"/>
      <c r="BA240" s="1"/>
      <c r="BB240" s="1"/>
      <c r="BG240" s="1"/>
      <c r="BI240" s="52" t="s">
        <v>1251</v>
      </c>
    </row>
    <row r="241" spans="1:67" ht="12.75" customHeight="1">
      <c r="D241" s="1" t="s">
        <v>1252</v>
      </c>
      <c r="E241" s="1"/>
      <c r="F241" s="1"/>
      <c r="G241" s="1"/>
      <c r="H241" s="1"/>
      <c r="I241" s="1"/>
      <c r="J241" s="1"/>
      <c r="K241" s="1"/>
      <c r="M241" s="1121" t="str">
        <f>H16</f>
        <v xml:space="preserve">427 SD Housing, LP </v>
      </c>
      <c r="N241" s="961"/>
      <c r="O241" s="961"/>
      <c r="P241" s="961"/>
      <c r="Q241" s="961"/>
      <c r="R241" s="961"/>
      <c r="S241" s="961"/>
      <c r="T241" s="961"/>
      <c r="U241" s="961"/>
      <c r="V241" s="961"/>
      <c r="W241" s="961"/>
      <c r="X241" s="961"/>
      <c r="Y241" s="961"/>
      <c r="Z241" s="961"/>
      <c r="AA241" s="961"/>
      <c r="AB241" s="961"/>
      <c r="AC241" s="961"/>
      <c r="AD241" s="961"/>
      <c r="AE241" s="961"/>
      <c r="AF241" s="961"/>
      <c r="AG241" s="961"/>
      <c r="AH241" s="961"/>
      <c r="AI241" s="961"/>
      <c r="AJ241" s="961"/>
      <c r="AK241" s="961"/>
      <c r="AZ241" s="1"/>
      <c r="BA241" s="1"/>
      <c r="BB241" s="8" t="s">
        <v>1241</v>
      </c>
      <c r="BG241" s="235">
        <f>IF(AND(AND($M$258="nonprofit",$M$266="nonprofit",$M$274="for profit")),2,0)</f>
        <v>0</v>
      </c>
      <c r="BI241" s="52" t="s">
        <v>1253</v>
      </c>
    </row>
    <row r="242" spans="1:67" ht="12.75" customHeight="1">
      <c r="D242" s="1" t="s">
        <v>1254</v>
      </c>
      <c r="E242" s="1"/>
      <c r="F242" s="1"/>
      <c r="G242" s="1"/>
      <c r="H242" s="1"/>
      <c r="I242" s="1"/>
      <c r="J242" s="1"/>
      <c r="K242" s="1"/>
      <c r="M242" s="967" t="s">
        <v>1255</v>
      </c>
      <c r="N242" s="968"/>
      <c r="O242" s="968"/>
      <c r="P242" s="968"/>
      <c r="Q242" s="968"/>
      <c r="R242" s="968"/>
      <c r="S242" s="968"/>
      <c r="T242" s="968"/>
      <c r="U242" s="968"/>
      <c r="V242" s="968"/>
      <c r="W242" s="968"/>
      <c r="X242" s="968"/>
      <c r="Y242" s="968"/>
      <c r="Z242" s="968"/>
      <c r="AA242" s="968"/>
      <c r="AB242" s="968"/>
      <c r="AC242" s="968"/>
      <c r="AD242" s="968"/>
      <c r="AE242" s="969"/>
      <c r="BB242" s="8" t="s">
        <v>1241</v>
      </c>
      <c r="BG242" s="235">
        <f>IF(AND(AND($M$258="nonprofit",$M$266="for profit",$M$274="nonprofit")),2,0)</f>
        <v>0</v>
      </c>
    </row>
    <row r="243" spans="1:67" ht="12.75" customHeight="1">
      <c r="D243" s="1" t="s">
        <v>1028</v>
      </c>
      <c r="E243" s="1"/>
      <c r="M243" s="967" t="s">
        <v>1256</v>
      </c>
      <c r="N243" s="968"/>
      <c r="O243" s="968"/>
      <c r="P243" s="968"/>
      <c r="Q243" s="968"/>
      <c r="R243" s="968"/>
      <c r="S243" s="968"/>
      <c r="T243" s="969"/>
      <c r="V243" s="33" t="s">
        <v>1257</v>
      </c>
      <c r="W243" s="970" t="s">
        <v>1258</v>
      </c>
      <c r="X243" s="971"/>
      <c r="Y243" s="1" t="s">
        <v>1035</v>
      </c>
      <c r="AC243" s="967">
        <v>91902</v>
      </c>
      <c r="AD243" s="968"/>
      <c r="AE243" s="969"/>
      <c r="AU243" s="1"/>
      <c r="AV243" s="1"/>
      <c r="AW243" s="1"/>
      <c r="AX243" s="1"/>
      <c r="AY243" s="1"/>
      <c r="AZ243" s="1"/>
      <c r="BB243" s="8" t="s">
        <v>1241</v>
      </c>
      <c r="BG243" s="5">
        <f>IF(AND(AND($M$258="for profit",$M$266="nonprofit",$M$274="nonprofit")),2,0)</f>
        <v>0</v>
      </c>
    </row>
    <row r="244" spans="1:67" ht="12.75" customHeight="1">
      <c r="D244" s="1" t="s">
        <v>1259</v>
      </c>
      <c r="E244" s="1"/>
      <c r="F244" s="1"/>
      <c r="G244" s="1"/>
      <c r="H244" s="1"/>
      <c r="I244" s="1"/>
      <c r="J244" s="1"/>
      <c r="K244" s="17"/>
      <c r="M244" s="967" t="s">
        <v>1260</v>
      </c>
      <c r="N244" s="968"/>
      <c r="O244" s="968"/>
      <c r="P244" s="968"/>
      <c r="Q244" s="968"/>
      <c r="R244" s="968"/>
      <c r="S244" s="968"/>
      <c r="T244" s="968"/>
      <c r="U244" s="968"/>
      <c r="V244" s="968"/>
      <c r="W244" s="968"/>
      <c r="X244" s="968"/>
      <c r="Y244" s="968"/>
      <c r="Z244" s="968"/>
      <c r="AA244" s="968"/>
      <c r="AB244" s="968"/>
      <c r="AC244" s="968"/>
      <c r="AD244" s="968"/>
      <c r="AE244" s="969"/>
      <c r="AI244" s="1"/>
      <c r="AJ244" s="1"/>
      <c r="AK244" s="1"/>
      <c r="AL244" s="1"/>
      <c r="AM244" s="1"/>
      <c r="AN244" s="1"/>
      <c r="AO244" s="1"/>
      <c r="AP244" s="1"/>
      <c r="AQ244" s="1"/>
      <c r="AR244" s="1"/>
      <c r="AS244" s="1"/>
      <c r="AT244" s="1"/>
      <c r="BB244" s="8"/>
      <c r="BG244" s="1"/>
    </row>
    <row r="245" spans="1:67" ht="12.75" customHeight="1">
      <c r="D245" s="1" t="s">
        <v>1261</v>
      </c>
      <c r="E245" s="1"/>
      <c r="F245" s="1"/>
      <c r="M245" s="972" t="s">
        <v>1262</v>
      </c>
      <c r="N245" s="921"/>
      <c r="O245" s="921"/>
      <c r="P245" s="921"/>
      <c r="Q245" s="921"/>
      <c r="R245" s="971"/>
      <c r="S245" s="1" t="s">
        <v>1263</v>
      </c>
      <c r="T245" s="1"/>
      <c r="U245" s="970"/>
      <c r="V245" s="921"/>
      <c r="W245" s="971"/>
      <c r="X245" s="1" t="s">
        <v>1264</v>
      </c>
      <c r="Z245" s="972"/>
      <c r="AA245" s="921"/>
      <c r="AB245" s="921"/>
      <c r="AC245" s="921"/>
      <c r="AD245" s="921"/>
      <c r="AE245" s="971"/>
      <c r="AU245" s="1"/>
      <c r="AV245" s="1"/>
      <c r="AW245" s="1"/>
      <c r="AX245" s="1"/>
      <c r="AY245" s="1"/>
      <c r="AZ245" s="1"/>
      <c r="BB245" s="1" t="s">
        <v>1265</v>
      </c>
      <c r="BG245" s="235">
        <f>IF(AND(AND($M$258="nonprofit",$M$266="nonprofit",$M$274="(select one)")),1,0)</f>
        <v>0</v>
      </c>
    </row>
    <row r="246" spans="1:67" ht="12.75" customHeight="1">
      <c r="D246" s="1" t="s">
        <v>1266</v>
      </c>
      <c r="E246" s="1"/>
      <c r="F246" s="1"/>
      <c r="M246" s="967" t="s">
        <v>1267</v>
      </c>
      <c r="N246" s="968"/>
      <c r="O246" s="968"/>
      <c r="P246" s="968"/>
      <c r="Q246" s="968"/>
      <c r="R246" s="968"/>
      <c r="S246" s="968"/>
      <c r="T246" s="968"/>
      <c r="U246" s="968"/>
      <c r="V246" s="968"/>
      <c r="W246" s="968"/>
      <c r="X246" s="968"/>
      <c r="Y246" s="968"/>
      <c r="Z246" s="968"/>
      <c r="AA246" s="968"/>
      <c r="AB246" s="968"/>
      <c r="AC246" s="968"/>
      <c r="AD246" s="968"/>
      <c r="AE246" s="969"/>
      <c r="AF246" s="1"/>
      <c r="AG246" s="1"/>
      <c r="AH246" s="1"/>
      <c r="AI246" s="1"/>
      <c r="AJ246" s="1"/>
      <c r="AK246" s="1"/>
      <c r="AL246" s="1"/>
      <c r="AM246" s="1"/>
      <c r="AN246" s="1"/>
      <c r="AO246" s="1"/>
      <c r="AP246" s="1"/>
      <c r="AQ246" s="1"/>
      <c r="AR246" s="1"/>
      <c r="AS246" s="1"/>
      <c r="AT246" s="1"/>
      <c r="AU246" s="1"/>
      <c r="AV246" s="1"/>
      <c r="AW246" s="1"/>
      <c r="AX246" s="1"/>
      <c r="AY246" s="1"/>
      <c r="BB246" s="1" t="s">
        <v>1265</v>
      </c>
      <c r="BG246" s="235">
        <f>IF(AND(AND($M$258="nonprofit",$M$266="nonprofit",$M$274="nonprofit")),1,0)</f>
        <v>0</v>
      </c>
    </row>
    <row r="247" spans="1:67" ht="12.75" customHeight="1">
      <c r="A247" s="8" t="s">
        <v>1119</v>
      </c>
      <c r="C247" s="8" t="s">
        <v>1268</v>
      </c>
      <c r="M247" s="970" t="s">
        <v>1207</v>
      </c>
      <c r="N247" s="921"/>
      <c r="O247" s="921"/>
      <c r="P247" s="921"/>
      <c r="Q247" s="921"/>
      <c r="R247" s="921"/>
      <c r="S247" s="921"/>
      <c r="T247" s="971"/>
      <c r="U247" s="1" t="s">
        <v>1269</v>
      </c>
      <c r="V247" s="1"/>
      <c r="W247" s="1"/>
      <c r="X247" s="1"/>
      <c r="Y247" s="1"/>
      <c r="Z247" s="1"/>
      <c r="AA247" s="1105" t="s">
        <v>1270</v>
      </c>
      <c r="AB247" s="968"/>
      <c r="AC247" s="968"/>
      <c r="AD247" s="968"/>
      <c r="AE247" s="968"/>
      <c r="AF247" s="968"/>
      <c r="AG247" s="968"/>
      <c r="AH247" s="968"/>
      <c r="AI247" s="968"/>
      <c r="AJ247" s="968"/>
      <c r="AK247" s="969"/>
      <c r="AL247" s="1"/>
      <c r="AM247" s="1"/>
      <c r="AN247" s="1"/>
      <c r="AO247" s="1"/>
      <c r="AP247" s="1"/>
      <c r="AQ247" s="1"/>
      <c r="AR247" s="1"/>
      <c r="AS247" s="1"/>
      <c r="AT247" s="1"/>
      <c r="AU247" s="1"/>
      <c r="AV247" s="1"/>
      <c r="AW247" s="1"/>
      <c r="AX247" s="1"/>
      <c r="AY247" s="1"/>
      <c r="BB247" s="1" t="s">
        <v>1265</v>
      </c>
      <c r="BG247" s="235">
        <f>IF(AND(AND($M$258="nonprofit",$M$266="(select one)",$M$274="(select one)")),1,0)</f>
        <v>0</v>
      </c>
    </row>
    <row r="248" spans="1:67" ht="12.75" customHeight="1">
      <c r="D248" s="32" t="s">
        <v>1271</v>
      </c>
      <c r="M248" s="967"/>
      <c r="N248" s="968"/>
      <c r="O248" s="968"/>
      <c r="P248" s="968"/>
      <c r="Q248" s="968"/>
      <c r="R248" s="968"/>
      <c r="S248" s="968"/>
      <c r="T248" s="968"/>
      <c r="U248" s="968"/>
      <c r="V248" s="968"/>
      <c r="W248" s="968"/>
      <c r="X248" s="968"/>
      <c r="Y248" s="968"/>
      <c r="Z248" s="968"/>
      <c r="AA248" s="968"/>
      <c r="AB248" s="968"/>
      <c r="AC248" s="968"/>
      <c r="AD248" s="968"/>
      <c r="AE248" s="969"/>
      <c r="AF248" s="1"/>
      <c r="AG248" s="1"/>
      <c r="AH248" s="1"/>
      <c r="AI248" s="1"/>
      <c r="AJ248" s="1"/>
      <c r="AK248" s="1"/>
      <c r="AL248" s="1"/>
      <c r="AM248" s="1"/>
      <c r="AN248" s="1"/>
      <c r="AO248" s="1"/>
      <c r="AP248" s="1"/>
      <c r="AQ248" s="1"/>
      <c r="AR248" s="1"/>
      <c r="AS248" s="1"/>
      <c r="AT248" s="1"/>
      <c r="BB248" s="1" t="s">
        <v>1272</v>
      </c>
      <c r="BG248" s="235">
        <f>IF(AND(AND($M$258="for profit",$M$266="for profit",$M$274="(select one)")),3,0)</f>
        <v>0</v>
      </c>
    </row>
    <row r="249" spans="1:67" ht="12.75" customHeight="1">
      <c r="D249" s="1"/>
      <c r="BB249" s="1" t="s">
        <v>1272</v>
      </c>
      <c r="BG249" s="235">
        <f>IF(AND(AND($M$258="for profit",$M$266="for profit",$M$274="for profit")),3,0)</f>
        <v>0</v>
      </c>
    </row>
    <row r="250" spans="1:67" ht="12.75" customHeight="1">
      <c r="A250" s="8" t="s">
        <v>1151</v>
      </c>
      <c r="C250" s="8" t="s">
        <v>1273</v>
      </c>
      <c r="D250" s="1"/>
      <c r="L250" s="17"/>
      <c r="M250" s="17"/>
      <c r="N250" s="17"/>
      <c r="AU250" s="1"/>
      <c r="AV250" s="1"/>
      <c r="AW250" s="1"/>
      <c r="AX250" s="1"/>
      <c r="AY250" s="1"/>
      <c r="BB250" s="1" t="s">
        <v>1272</v>
      </c>
      <c r="BG250" s="235">
        <f>IF(AND(AND($M$258="for profit",$M$266="(select one)",$M$274="(select one)")),3,0)</f>
        <v>0</v>
      </c>
    </row>
    <row r="251" spans="1:67" ht="12.75" customHeight="1">
      <c r="D251" s="1"/>
      <c r="L251" s="17"/>
      <c r="M251" s="17"/>
      <c r="N251" s="17"/>
      <c r="O251" s="17"/>
      <c r="P251" s="17"/>
      <c r="Q251" s="17"/>
      <c r="R251" s="17"/>
      <c r="S251" s="17"/>
      <c r="T251" s="17"/>
      <c r="U251" s="17"/>
      <c r="V251" s="17"/>
      <c r="W251" s="17"/>
      <c r="X251" s="17"/>
      <c r="Y251" s="17"/>
      <c r="Z251" s="17"/>
      <c r="AA251" s="17"/>
      <c r="AB251" s="17"/>
      <c r="AC251" s="17"/>
      <c r="AD251" s="17"/>
      <c r="AE251" s="1"/>
      <c r="AF251" s="1"/>
      <c r="AG251" s="1"/>
      <c r="AH251" s="1"/>
      <c r="AI251" s="1"/>
      <c r="AJ251" s="1"/>
      <c r="AK251" s="1"/>
      <c r="AL251" s="1"/>
      <c r="AM251" s="1"/>
      <c r="AN251" s="1"/>
      <c r="AO251" s="1"/>
      <c r="AP251" s="1"/>
      <c r="AQ251" s="1"/>
      <c r="AR251" s="1"/>
      <c r="AS251" s="1"/>
      <c r="AT251" s="1"/>
      <c r="BO251" s="1"/>
    </row>
    <row r="252" spans="1:67" ht="12.75" customHeight="1">
      <c r="A252" s="17"/>
      <c r="B252" s="1"/>
      <c r="C252" s="237" t="s">
        <v>1274</v>
      </c>
      <c r="D252" s="1" t="s">
        <v>1275</v>
      </c>
      <c r="E252" s="1"/>
      <c r="F252" s="1"/>
      <c r="G252" s="1"/>
      <c r="H252" s="1"/>
      <c r="I252" s="1"/>
      <c r="J252" s="1"/>
      <c r="K252" s="1"/>
      <c r="L252" s="1"/>
      <c r="M252" s="1116" t="s">
        <v>1276</v>
      </c>
      <c r="N252" s="968"/>
      <c r="O252" s="968"/>
      <c r="P252" s="968"/>
      <c r="Q252" s="968"/>
      <c r="R252" s="968"/>
      <c r="S252" s="968"/>
      <c r="T252" s="968"/>
      <c r="U252" s="968"/>
      <c r="V252" s="968"/>
      <c r="W252" s="968"/>
      <c r="X252" s="968"/>
      <c r="Y252" s="968"/>
      <c r="Z252" s="968"/>
      <c r="AA252" s="968"/>
      <c r="AB252" s="968"/>
      <c r="AC252" s="968"/>
      <c r="AD252" s="968"/>
      <c r="AE252" s="969"/>
      <c r="AF252" s="1116" t="s">
        <v>1277</v>
      </c>
      <c r="AG252" s="968"/>
      <c r="AH252" s="968"/>
      <c r="AI252" s="968"/>
      <c r="AJ252" s="968"/>
      <c r="AK252" s="969"/>
      <c r="AU252" s="1"/>
      <c r="AV252" s="1"/>
      <c r="AW252" s="1"/>
      <c r="AX252" s="1"/>
      <c r="AY252" s="1"/>
      <c r="BG252" s="32">
        <f>SUM(BG235:BG250)</f>
        <v>2</v>
      </c>
    </row>
    <row r="253" spans="1:67" ht="12.75" customHeight="1">
      <c r="A253" s="17"/>
      <c r="B253" s="1"/>
      <c r="C253" s="1"/>
      <c r="D253" s="1" t="s">
        <v>1254</v>
      </c>
      <c r="E253" s="1"/>
      <c r="F253" s="1"/>
      <c r="G253" s="1"/>
      <c r="H253" s="1"/>
      <c r="I253" s="1"/>
      <c r="J253" s="1"/>
      <c r="K253" s="1"/>
      <c r="L253" s="1"/>
      <c r="M253" s="967" t="s">
        <v>1255</v>
      </c>
      <c r="N253" s="968"/>
      <c r="O253" s="968"/>
      <c r="P253" s="968"/>
      <c r="Q253" s="968"/>
      <c r="R253" s="968"/>
      <c r="S253" s="968"/>
      <c r="T253" s="968"/>
      <c r="U253" s="968"/>
      <c r="V253" s="968"/>
      <c r="W253" s="968"/>
      <c r="X253" s="968"/>
      <c r="Y253" s="968"/>
      <c r="Z253" s="968"/>
      <c r="AA253" s="968"/>
      <c r="AB253" s="968"/>
      <c r="AC253" s="968"/>
      <c r="AD253" s="968"/>
      <c r="AE253" s="969"/>
      <c r="AF253" s="1" t="s">
        <v>1278</v>
      </c>
      <c r="AL253" s="1"/>
      <c r="AM253" s="1"/>
      <c r="AN253" s="1"/>
      <c r="AO253" s="1"/>
      <c r="AP253" s="1"/>
      <c r="AQ253" s="1"/>
      <c r="AR253" s="1"/>
      <c r="AS253" s="1"/>
      <c r="AT253" s="1"/>
      <c r="BB253" s="32" t="s">
        <v>27</v>
      </c>
      <c r="BG253" s="32">
        <v>1</v>
      </c>
      <c r="BH253" s="32" t="s">
        <v>1279</v>
      </c>
    </row>
    <row r="254" spans="1:67" ht="12.75" customHeight="1">
      <c r="A254" s="17"/>
      <c r="B254" s="1"/>
      <c r="C254" s="1"/>
      <c r="D254" s="1" t="s">
        <v>1028</v>
      </c>
      <c r="E254" s="1"/>
      <c r="M254" s="967" t="s">
        <v>1280</v>
      </c>
      <c r="N254" s="968"/>
      <c r="O254" s="968"/>
      <c r="P254" s="968"/>
      <c r="Q254" s="968"/>
      <c r="R254" s="968"/>
      <c r="S254" s="968"/>
      <c r="T254" s="969"/>
      <c r="V254" s="33" t="s">
        <v>1257</v>
      </c>
      <c r="W254" s="970" t="s">
        <v>1281</v>
      </c>
      <c r="X254" s="971"/>
      <c r="Y254" s="1" t="s">
        <v>1035</v>
      </c>
      <c r="AC254" s="967">
        <v>91902</v>
      </c>
      <c r="AD254" s="968"/>
      <c r="AE254" s="969"/>
      <c r="AF254" s="1" t="s">
        <v>1282</v>
      </c>
      <c r="AU254" s="1"/>
      <c r="AV254" s="1"/>
      <c r="AW254" s="1"/>
      <c r="AX254" s="1"/>
      <c r="AY254" s="1"/>
      <c r="BB254" s="1" t="s">
        <v>1283</v>
      </c>
      <c r="BG254" s="32">
        <v>2</v>
      </c>
      <c r="BH254" s="32" t="s">
        <v>1204</v>
      </c>
      <c r="BO254" s="238" t="str">
        <f>VLOOKUP(BG252,BG253:BH256,2,FALSE)</f>
        <v>Joint Venture</v>
      </c>
    </row>
    <row r="255" spans="1:67" ht="12.75" customHeight="1">
      <c r="A255" s="17"/>
      <c r="B255" s="1"/>
      <c r="C255" s="1"/>
      <c r="D255" s="1" t="s">
        <v>1259</v>
      </c>
      <c r="E255" s="1"/>
      <c r="F255" s="1"/>
      <c r="G255" s="1"/>
      <c r="H255" s="1"/>
      <c r="I255" s="1"/>
      <c r="J255" s="1"/>
      <c r="K255" s="1"/>
      <c r="L255" s="17"/>
      <c r="M255" s="967" t="s">
        <v>1284</v>
      </c>
      <c r="N255" s="968"/>
      <c r="O255" s="968"/>
      <c r="P255" s="968"/>
      <c r="Q255" s="968"/>
      <c r="R255" s="968"/>
      <c r="S255" s="968"/>
      <c r="T255" s="968"/>
      <c r="U255" s="968"/>
      <c r="V255" s="968"/>
      <c r="W255" s="968"/>
      <c r="X255" s="968"/>
      <c r="Y255" s="968"/>
      <c r="Z255" s="968"/>
      <c r="AA255" s="968"/>
      <c r="AB255" s="968"/>
      <c r="AC255" s="968"/>
      <c r="AD255" s="968"/>
      <c r="AE255" s="969"/>
      <c r="AH255" s="973"/>
      <c r="AI255" s="968"/>
      <c r="AJ255" s="968"/>
      <c r="AK255" s="969"/>
      <c r="AL255" s="1"/>
      <c r="AM255" s="1"/>
      <c r="AN255" s="1"/>
      <c r="AO255" s="1"/>
      <c r="AP255" s="1"/>
      <c r="AQ255" s="1"/>
      <c r="AR255" s="1"/>
      <c r="AS255" s="1"/>
      <c r="AT255" s="1"/>
      <c r="BB255" s="1" t="s">
        <v>1285</v>
      </c>
      <c r="BG255" s="32">
        <v>3</v>
      </c>
      <c r="BH255" s="32" t="s">
        <v>1286</v>
      </c>
      <c r="BN255" s="1"/>
    </row>
    <row r="256" spans="1:67" ht="12.75" customHeight="1">
      <c r="A256" s="17"/>
      <c r="B256" s="1"/>
      <c r="C256" s="1"/>
      <c r="D256" s="1" t="s">
        <v>1261</v>
      </c>
      <c r="E256" s="1"/>
      <c r="F256" s="1"/>
      <c r="M256" s="972" t="s">
        <v>1287</v>
      </c>
      <c r="N256" s="921"/>
      <c r="O256" s="921"/>
      <c r="P256" s="921"/>
      <c r="Q256" s="921"/>
      <c r="R256" s="971"/>
      <c r="S256" s="1" t="s">
        <v>1263</v>
      </c>
      <c r="T256" s="1"/>
      <c r="U256" s="970"/>
      <c r="V256" s="921"/>
      <c r="W256" s="971"/>
      <c r="X256" s="1" t="s">
        <v>1264</v>
      </c>
      <c r="Z256" s="972"/>
      <c r="AA256" s="921"/>
      <c r="AB256" s="921"/>
      <c r="AC256" s="921"/>
      <c r="AD256" s="921"/>
      <c r="AE256" s="971"/>
      <c r="AU256" s="1"/>
      <c r="AV256" s="1"/>
      <c r="AW256" s="1"/>
      <c r="AX256" s="1"/>
      <c r="AY256" s="1"/>
      <c r="BG256" s="32">
        <v>0</v>
      </c>
      <c r="BH256" s="1" t="str">
        <f>""</f>
        <v/>
      </c>
      <c r="BN256" s="1"/>
    </row>
    <row r="257" spans="1:66" ht="12.75" customHeight="1">
      <c r="A257" s="17"/>
      <c r="B257" s="1"/>
      <c r="C257" s="1"/>
      <c r="D257" s="1" t="s">
        <v>1266</v>
      </c>
      <c r="E257" s="1"/>
      <c r="F257" s="1"/>
      <c r="M257" s="967" t="s">
        <v>1288</v>
      </c>
      <c r="N257" s="968"/>
      <c r="O257" s="968"/>
      <c r="P257" s="968"/>
      <c r="Q257" s="968"/>
      <c r="R257" s="968"/>
      <c r="S257" s="968"/>
      <c r="T257" s="968"/>
      <c r="U257" s="968"/>
      <c r="V257" s="968"/>
      <c r="W257" s="968"/>
      <c r="X257" s="968"/>
      <c r="Y257" s="968"/>
      <c r="Z257" s="968"/>
      <c r="AA257" s="968"/>
      <c r="AB257" s="968"/>
      <c r="AC257" s="968"/>
      <c r="AD257" s="968"/>
      <c r="AE257" s="969"/>
      <c r="AG257" s="1"/>
      <c r="AH257" s="1"/>
      <c r="AI257" s="1"/>
      <c r="AJ257" s="1"/>
      <c r="AK257" s="1"/>
      <c r="AL257" s="1"/>
      <c r="AM257" s="1"/>
      <c r="AN257" s="1"/>
      <c r="AO257" s="1"/>
      <c r="AP257" s="1"/>
      <c r="AQ257" s="1"/>
      <c r="AR257" s="1"/>
      <c r="AS257" s="1"/>
      <c r="AT257" s="1"/>
      <c r="BN257" s="1"/>
    </row>
    <row r="258" spans="1:66" ht="12.75" customHeight="1">
      <c r="A258" s="10"/>
      <c r="B258" s="1"/>
      <c r="C258" s="237"/>
      <c r="D258" s="1" t="s">
        <v>1289</v>
      </c>
      <c r="E258" s="1"/>
      <c r="F258" s="1"/>
      <c r="G258" s="1"/>
      <c r="H258" s="1"/>
      <c r="I258" s="1"/>
      <c r="J258" s="1"/>
      <c r="K258" s="1"/>
      <c r="L258" s="1"/>
      <c r="M258" s="970" t="s">
        <v>1286</v>
      </c>
      <c r="N258" s="921"/>
      <c r="O258" s="921"/>
      <c r="P258" s="921"/>
      <c r="Q258" s="921"/>
      <c r="R258" s="921"/>
      <c r="S258" s="921"/>
      <c r="T258" s="971"/>
      <c r="U258" s="1" t="s">
        <v>1269</v>
      </c>
      <c r="V258" s="1"/>
      <c r="W258" s="1"/>
      <c r="X258" s="1"/>
      <c r="Y258" s="1"/>
      <c r="Z258" s="1"/>
      <c r="AA258" s="1105" t="s">
        <v>1290</v>
      </c>
      <c r="AB258" s="968"/>
      <c r="AC258" s="968"/>
      <c r="AD258" s="968"/>
      <c r="AE258" s="968"/>
      <c r="AF258" s="968"/>
      <c r="AG258" s="968"/>
      <c r="AH258" s="968"/>
      <c r="AI258" s="968"/>
      <c r="AJ258" s="968"/>
      <c r="AK258" s="969"/>
      <c r="BN258" s="1"/>
    </row>
    <row r="259" spans="1:66" ht="12.75" customHeight="1">
      <c r="A259" s="17"/>
      <c r="B259" s="1"/>
      <c r="C259" s="1"/>
      <c r="D259" s="1"/>
      <c r="E259" s="1"/>
      <c r="F259" s="1"/>
      <c r="G259" s="1"/>
      <c r="H259" s="1"/>
      <c r="I259" s="1"/>
      <c r="J259" s="1"/>
      <c r="K259" s="1"/>
      <c r="L259" s="1"/>
      <c r="AG259" s="1"/>
      <c r="AH259" s="1"/>
      <c r="AI259" s="1"/>
      <c r="AJ259" s="1"/>
      <c r="BN259" s="1"/>
    </row>
    <row r="260" spans="1:66" ht="12.75" customHeight="1">
      <c r="A260" s="8"/>
      <c r="B260" s="1"/>
      <c r="C260" s="237" t="s">
        <v>1291</v>
      </c>
      <c r="D260" s="1" t="s">
        <v>1292</v>
      </c>
      <c r="E260" s="1"/>
      <c r="F260" s="1"/>
      <c r="G260" s="1"/>
      <c r="H260" s="1"/>
      <c r="I260" s="1"/>
      <c r="J260" s="1"/>
      <c r="K260" s="1"/>
      <c r="L260" s="1"/>
      <c r="M260" s="1116" t="s">
        <v>1293</v>
      </c>
      <c r="N260" s="968"/>
      <c r="O260" s="968"/>
      <c r="P260" s="968"/>
      <c r="Q260" s="968"/>
      <c r="R260" s="968"/>
      <c r="S260" s="968"/>
      <c r="T260" s="968"/>
      <c r="U260" s="968"/>
      <c r="V260" s="968"/>
      <c r="W260" s="968"/>
      <c r="X260" s="968"/>
      <c r="Y260" s="968"/>
      <c r="Z260" s="968"/>
      <c r="AA260" s="968"/>
      <c r="AB260" s="968"/>
      <c r="AC260" s="968"/>
      <c r="AD260" s="968"/>
      <c r="AE260" s="969"/>
      <c r="AF260" s="1116" t="s">
        <v>1294</v>
      </c>
      <c r="AG260" s="968"/>
      <c r="AH260" s="968"/>
      <c r="AI260" s="968"/>
      <c r="AJ260" s="968"/>
      <c r="AK260" s="969"/>
      <c r="AU260" s="1"/>
      <c r="AV260" s="1"/>
      <c r="AW260" s="1"/>
      <c r="AX260" s="1"/>
      <c r="AY260" s="1"/>
      <c r="BN260" s="1"/>
    </row>
    <row r="261" spans="1:66" ht="12.75" customHeight="1">
      <c r="A261" s="17"/>
      <c r="B261" s="1"/>
      <c r="C261" s="1"/>
      <c r="D261" s="1" t="s">
        <v>1254</v>
      </c>
      <c r="E261" s="1"/>
      <c r="F261" s="1"/>
      <c r="G261" s="1"/>
      <c r="H261" s="1"/>
      <c r="I261" s="1"/>
      <c r="J261" s="1"/>
      <c r="K261" s="1"/>
      <c r="L261" s="1"/>
      <c r="M261" s="967" t="s">
        <v>1295</v>
      </c>
      <c r="N261" s="968"/>
      <c r="O261" s="968"/>
      <c r="P261" s="968"/>
      <c r="Q261" s="968"/>
      <c r="R261" s="968"/>
      <c r="S261" s="968"/>
      <c r="T261" s="968"/>
      <c r="U261" s="968"/>
      <c r="V261" s="968"/>
      <c r="W261" s="968"/>
      <c r="X261" s="968"/>
      <c r="Y261" s="968"/>
      <c r="Z261" s="968"/>
      <c r="AA261" s="968"/>
      <c r="AB261" s="968"/>
      <c r="AC261" s="968"/>
      <c r="AD261" s="968"/>
      <c r="AE261" s="969"/>
      <c r="AF261" s="1" t="s">
        <v>1278</v>
      </c>
      <c r="AL261" s="1"/>
      <c r="AM261" s="1"/>
      <c r="AN261" s="1"/>
      <c r="AO261" s="1"/>
      <c r="AP261" s="1"/>
      <c r="AQ261" s="1"/>
      <c r="AR261" s="1"/>
      <c r="AS261" s="1"/>
      <c r="AT261" s="1"/>
      <c r="BN261" s="1"/>
    </row>
    <row r="262" spans="1:66" ht="12.75" customHeight="1">
      <c r="A262" s="17"/>
      <c r="B262" s="1"/>
      <c r="C262" s="1"/>
      <c r="D262" s="1" t="s">
        <v>1028</v>
      </c>
      <c r="E262" s="1"/>
      <c r="M262" s="967" t="s">
        <v>1039</v>
      </c>
      <c r="N262" s="968"/>
      <c r="O262" s="968"/>
      <c r="P262" s="968"/>
      <c r="Q262" s="968"/>
      <c r="R262" s="968"/>
      <c r="S262" s="968"/>
      <c r="T262" s="969"/>
      <c r="V262" s="33" t="s">
        <v>1257</v>
      </c>
      <c r="W262" s="970" t="s">
        <v>1281</v>
      </c>
      <c r="X262" s="971"/>
      <c r="Y262" s="1" t="s">
        <v>1035</v>
      </c>
      <c r="AC262" s="967">
        <v>95814</v>
      </c>
      <c r="AD262" s="968"/>
      <c r="AE262" s="969"/>
      <c r="AF262" s="1" t="s">
        <v>1282</v>
      </c>
      <c r="AU262" s="1"/>
      <c r="AV262" s="1"/>
      <c r="AW262" s="1"/>
      <c r="AX262" s="1"/>
      <c r="AY262" s="1"/>
      <c r="BN262" s="1"/>
    </row>
    <row r="263" spans="1:66" ht="12.75" customHeight="1">
      <c r="A263" s="17"/>
      <c r="B263" s="1"/>
      <c r="C263" s="1"/>
      <c r="D263" s="1" t="s">
        <v>1259</v>
      </c>
      <c r="E263" s="1"/>
      <c r="F263" s="1"/>
      <c r="G263" s="1"/>
      <c r="H263" s="1"/>
      <c r="I263" s="1"/>
      <c r="J263" s="1"/>
      <c r="K263" s="1"/>
      <c r="L263" s="17"/>
      <c r="M263" s="967" t="s">
        <v>1296</v>
      </c>
      <c r="N263" s="968"/>
      <c r="O263" s="968"/>
      <c r="P263" s="968"/>
      <c r="Q263" s="968"/>
      <c r="R263" s="968"/>
      <c r="S263" s="968"/>
      <c r="T263" s="968"/>
      <c r="U263" s="968"/>
      <c r="V263" s="968"/>
      <c r="W263" s="968"/>
      <c r="X263" s="968"/>
      <c r="Y263" s="968"/>
      <c r="Z263" s="968"/>
      <c r="AA263" s="968"/>
      <c r="AB263" s="968"/>
      <c r="AC263" s="968"/>
      <c r="AD263" s="968"/>
      <c r="AE263" s="969"/>
      <c r="AH263" s="973"/>
      <c r="AI263" s="968"/>
      <c r="AJ263" s="968"/>
      <c r="AK263" s="969"/>
      <c r="AL263" s="1"/>
      <c r="AM263" s="1"/>
      <c r="AN263" s="1"/>
      <c r="AO263" s="1"/>
      <c r="AP263" s="1"/>
      <c r="AQ263" s="1"/>
      <c r="AR263" s="1"/>
      <c r="AS263" s="1"/>
      <c r="AT263" s="1"/>
    </row>
    <row r="264" spans="1:66" ht="12.75" customHeight="1">
      <c r="A264" s="17"/>
      <c r="B264" s="1"/>
      <c r="C264" s="1"/>
      <c r="D264" s="1" t="s">
        <v>1261</v>
      </c>
      <c r="E264" s="1"/>
      <c r="F264" s="1"/>
      <c r="M264" s="972" t="s">
        <v>1297</v>
      </c>
      <c r="N264" s="921"/>
      <c r="O264" s="921"/>
      <c r="P264" s="921"/>
      <c r="Q264" s="921"/>
      <c r="R264" s="971"/>
      <c r="S264" s="1" t="s">
        <v>1263</v>
      </c>
      <c r="T264" s="1"/>
      <c r="U264" s="970"/>
      <c r="V264" s="921"/>
      <c r="W264" s="971"/>
      <c r="X264" s="1" t="s">
        <v>1264</v>
      </c>
      <c r="Z264" s="972"/>
      <c r="AA264" s="921"/>
      <c r="AB264" s="921"/>
      <c r="AC264" s="921"/>
      <c r="AD264" s="921"/>
      <c r="AE264" s="971"/>
      <c r="AU264" s="1"/>
      <c r="AV264" s="1"/>
      <c r="AW264" s="1"/>
      <c r="AX264" s="1"/>
      <c r="AY264" s="1"/>
      <c r="BN264" s="1"/>
    </row>
    <row r="265" spans="1:66" ht="12.75" customHeight="1">
      <c r="A265" s="17"/>
      <c r="B265" s="1"/>
      <c r="C265" s="1"/>
      <c r="D265" s="1" t="s">
        <v>1266</v>
      </c>
      <c r="E265" s="1"/>
      <c r="F265" s="1"/>
      <c r="M265" s="967" t="s">
        <v>1298</v>
      </c>
      <c r="N265" s="968"/>
      <c r="O265" s="968"/>
      <c r="P265" s="968"/>
      <c r="Q265" s="968"/>
      <c r="R265" s="968"/>
      <c r="S265" s="968"/>
      <c r="T265" s="968"/>
      <c r="U265" s="968"/>
      <c r="V265" s="968"/>
      <c r="W265" s="968"/>
      <c r="X265" s="968"/>
      <c r="Y265" s="968"/>
      <c r="Z265" s="968"/>
      <c r="AA265" s="968"/>
      <c r="AB265" s="968"/>
      <c r="AC265" s="968"/>
      <c r="AD265" s="968"/>
      <c r="AE265" s="969"/>
      <c r="AG265" s="1"/>
      <c r="AH265" s="1"/>
      <c r="AI265" s="1"/>
      <c r="AJ265" s="1"/>
      <c r="AK265" s="1"/>
      <c r="AL265" s="1"/>
      <c r="AM265" s="1"/>
      <c r="AN265" s="1"/>
      <c r="AO265" s="1"/>
      <c r="AP265" s="1"/>
      <c r="AQ265" s="1"/>
      <c r="AR265" s="1"/>
      <c r="AS265" s="1"/>
      <c r="AT265" s="1"/>
      <c r="AU265" s="1"/>
      <c r="AV265" s="1"/>
      <c r="AW265" s="1"/>
      <c r="AX265" s="1"/>
      <c r="AY265" s="1"/>
      <c r="BN265" s="1"/>
    </row>
    <row r="266" spans="1:66" ht="12.75" customHeight="1">
      <c r="A266" s="10"/>
      <c r="B266" s="1"/>
      <c r="C266" s="237"/>
      <c r="D266" s="1" t="s">
        <v>1289</v>
      </c>
      <c r="E266" s="1"/>
      <c r="F266" s="1"/>
      <c r="G266" s="1"/>
      <c r="H266" s="1"/>
      <c r="I266" s="1"/>
      <c r="J266" s="1"/>
      <c r="K266" s="1"/>
      <c r="L266" s="1"/>
      <c r="M266" s="970" t="s">
        <v>1279</v>
      </c>
      <c r="N266" s="921"/>
      <c r="O266" s="921"/>
      <c r="P266" s="921"/>
      <c r="Q266" s="921"/>
      <c r="R266" s="921"/>
      <c r="S266" s="921"/>
      <c r="T266" s="971"/>
      <c r="U266" s="1" t="s">
        <v>1269</v>
      </c>
      <c r="V266" s="1"/>
      <c r="W266" s="1"/>
      <c r="X266" s="1"/>
      <c r="Y266" s="1"/>
      <c r="Z266" s="1"/>
      <c r="AA266" s="1105"/>
      <c r="AB266" s="968"/>
      <c r="AC266" s="968"/>
      <c r="AD266" s="968"/>
      <c r="AE266" s="968"/>
      <c r="AF266" s="968"/>
      <c r="AG266" s="968"/>
      <c r="AH266" s="968"/>
      <c r="AI266" s="968"/>
      <c r="AJ266" s="968"/>
      <c r="AK266" s="969"/>
      <c r="AL266" s="1"/>
      <c r="AM266" s="1"/>
      <c r="AN266" s="1"/>
      <c r="AO266" s="1"/>
      <c r="AP266" s="1"/>
      <c r="AQ266" s="1"/>
      <c r="AR266" s="1"/>
      <c r="AS266" s="1"/>
      <c r="AT266" s="1"/>
      <c r="AU266" s="1"/>
      <c r="AV266" s="1"/>
      <c r="AW266" s="1"/>
      <c r="AX266" s="1"/>
      <c r="AY266" s="1"/>
    </row>
    <row r="267" spans="1:66" ht="12.75" customHeight="1">
      <c r="A267" s="10"/>
      <c r="B267" s="1"/>
      <c r="C267" s="237"/>
      <c r="D267" s="1"/>
      <c r="E267" s="1"/>
      <c r="F267" s="1"/>
      <c r="G267" s="1"/>
      <c r="H267" s="1"/>
      <c r="I267" s="1"/>
      <c r="J267" s="1"/>
      <c r="K267" s="1"/>
      <c r="L267" s="1"/>
      <c r="M267" s="17"/>
      <c r="N267" s="17"/>
      <c r="O267" s="17"/>
      <c r="P267" s="17"/>
      <c r="Q267" s="17"/>
      <c r="R267" s="17"/>
      <c r="S267" s="17"/>
      <c r="T267" s="17"/>
      <c r="U267" s="17"/>
      <c r="V267" s="17"/>
      <c r="W267" s="17"/>
      <c r="X267" s="17"/>
      <c r="Y267" s="17"/>
      <c r="Z267" s="17"/>
      <c r="AA267" s="17"/>
      <c r="AB267" s="17"/>
      <c r="AC267" s="17"/>
      <c r="AD267" s="17"/>
      <c r="AE267" s="1"/>
      <c r="AF267" s="1"/>
      <c r="AG267" s="1"/>
      <c r="AH267" s="1"/>
      <c r="AI267" s="1"/>
      <c r="AJ267" s="1"/>
      <c r="AK267" s="1"/>
      <c r="AL267" s="1"/>
      <c r="AM267" s="1"/>
      <c r="AN267" s="1"/>
      <c r="AO267" s="1"/>
      <c r="AP267" s="1"/>
      <c r="AQ267" s="1"/>
      <c r="AR267" s="1"/>
      <c r="AS267" s="1"/>
      <c r="AT267" s="1"/>
      <c r="AU267" s="1"/>
      <c r="AV267" s="1"/>
      <c r="AW267" s="1"/>
      <c r="AX267" s="1"/>
      <c r="AY267" s="1"/>
    </row>
    <row r="268" spans="1:66" ht="12.75" customHeight="1">
      <c r="A268" s="10"/>
      <c r="B268" s="1"/>
      <c r="C268" s="237" t="s">
        <v>1300</v>
      </c>
      <c r="D268" s="1" t="s">
        <v>1275</v>
      </c>
      <c r="E268" s="1"/>
      <c r="F268" s="1"/>
      <c r="G268" s="1"/>
      <c r="H268" s="1"/>
      <c r="I268" s="1"/>
      <c r="J268" s="1"/>
      <c r="K268" s="1"/>
      <c r="L268" s="1"/>
      <c r="M268" s="1116"/>
      <c r="N268" s="968"/>
      <c r="O268" s="968"/>
      <c r="P268" s="968"/>
      <c r="Q268" s="968"/>
      <c r="R268" s="968"/>
      <c r="S268" s="968"/>
      <c r="T268" s="968"/>
      <c r="U268" s="968"/>
      <c r="V268" s="968"/>
      <c r="W268" s="968"/>
      <c r="X268" s="968"/>
      <c r="Y268" s="968"/>
      <c r="Z268" s="968"/>
      <c r="AA268" s="968"/>
      <c r="AB268" s="968"/>
      <c r="AC268" s="968"/>
      <c r="AD268" s="968"/>
      <c r="AE268" s="969"/>
      <c r="AF268" s="1116" t="s">
        <v>27</v>
      </c>
      <c r="AG268" s="968"/>
      <c r="AH268" s="968"/>
      <c r="AI268" s="968"/>
      <c r="AJ268" s="968"/>
      <c r="AK268" s="969"/>
      <c r="AL268" s="1"/>
      <c r="AM268" s="1"/>
      <c r="AN268" s="1"/>
      <c r="AO268" s="1"/>
      <c r="AP268" s="1"/>
      <c r="AQ268" s="1"/>
      <c r="AR268" s="1"/>
      <c r="AS268" s="1"/>
      <c r="AT268" s="1"/>
      <c r="AU268" s="1"/>
      <c r="AV268" s="1"/>
      <c r="AW268" s="1"/>
      <c r="AX268" s="1"/>
      <c r="AY268" s="1"/>
    </row>
    <row r="269" spans="1:66" ht="12.75" customHeight="1">
      <c r="A269" s="10"/>
      <c r="B269" s="1"/>
      <c r="C269" s="1"/>
      <c r="D269" s="1" t="s">
        <v>1254</v>
      </c>
      <c r="E269" s="1"/>
      <c r="F269" s="1"/>
      <c r="G269" s="1"/>
      <c r="H269" s="1"/>
      <c r="I269" s="1"/>
      <c r="J269" s="1"/>
      <c r="K269" s="1"/>
      <c r="L269" s="1"/>
      <c r="M269" s="967"/>
      <c r="N269" s="968"/>
      <c r="O269" s="968"/>
      <c r="P269" s="968"/>
      <c r="Q269" s="968"/>
      <c r="R269" s="968"/>
      <c r="S269" s="968"/>
      <c r="T269" s="968"/>
      <c r="U269" s="968"/>
      <c r="V269" s="968"/>
      <c r="W269" s="968"/>
      <c r="X269" s="968"/>
      <c r="Y269" s="968"/>
      <c r="Z269" s="968"/>
      <c r="AA269" s="968"/>
      <c r="AB269" s="968"/>
      <c r="AC269" s="968"/>
      <c r="AD269" s="968"/>
      <c r="AE269" s="969"/>
      <c r="AF269" s="1" t="s">
        <v>1278</v>
      </c>
      <c r="AL269" s="1"/>
      <c r="AM269" s="1"/>
      <c r="AN269" s="1"/>
      <c r="AO269" s="1"/>
      <c r="AP269" s="1"/>
      <c r="AQ269" s="1"/>
      <c r="AR269" s="1"/>
      <c r="AS269" s="1"/>
      <c r="AT269" s="1"/>
      <c r="AU269" s="1"/>
      <c r="AV269" s="1"/>
      <c r="AW269" s="1"/>
      <c r="AX269" s="1"/>
      <c r="AY269" s="1"/>
    </row>
    <row r="270" spans="1:66" ht="12.75" customHeight="1">
      <c r="A270" s="10"/>
      <c r="B270" s="1"/>
      <c r="C270" s="1"/>
      <c r="D270" s="1" t="s">
        <v>1028</v>
      </c>
      <c r="E270" s="1"/>
      <c r="M270" s="967"/>
      <c r="N270" s="968"/>
      <c r="O270" s="968"/>
      <c r="P270" s="968"/>
      <c r="Q270" s="968"/>
      <c r="R270" s="968"/>
      <c r="S270" s="968"/>
      <c r="T270" s="969"/>
      <c r="V270" s="33" t="s">
        <v>1257</v>
      </c>
      <c r="W270" s="970"/>
      <c r="X270" s="971"/>
      <c r="Y270" s="1" t="s">
        <v>1035</v>
      </c>
      <c r="AC270" s="967"/>
      <c r="AD270" s="968"/>
      <c r="AE270" s="969"/>
      <c r="AF270" s="1" t="s">
        <v>1282</v>
      </c>
      <c r="AL270" s="1"/>
      <c r="AM270" s="1"/>
      <c r="AN270" s="1"/>
      <c r="AO270" s="1"/>
      <c r="AP270" s="1"/>
      <c r="AQ270" s="1"/>
      <c r="AR270" s="1"/>
      <c r="AS270" s="1"/>
      <c r="AT270" s="1"/>
      <c r="AU270" s="1"/>
      <c r="AV270" s="1"/>
      <c r="AW270" s="1"/>
      <c r="AX270" s="1"/>
      <c r="AY270" s="1"/>
    </row>
    <row r="271" spans="1:66" ht="12.75" customHeight="1">
      <c r="A271" s="10"/>
      <c r="B271" s="1"/>
      <c r="C271" s="1"/>
      <c r="D271" s="1" t="s">
        <v>1259</v>
      </c>
      <c r="E271" s="1"/>
      <c r="F271" s="1"/>
      <c r="G271" s="1"/>
      <c r="H271" s="1"/>
      <c r="I271" s="1"/>
      <c r="J271" s="1"/>
      <c r="K271" s="1"/>
      <c r="L271" s="17"/>
      <c r="M271" s="967"/>
      <c r="N271" s="968"/>
      <c r="O271" s="968"/>
      <c r="P271" s="968"/>
      <c r="Q271" s="968"/>
      <c r="R271" s="968"/>
      <c r="S271" s="968"/>
      <c r="T271" s="968"/>
      <c r="U271" s="968"/>
      <c r="V271" s="968"/>
      <c r="W271" s="968"/>
      <c r="X271" s="968"/>
      <c r="Y271" s="968"/>
      <c r="Z271" s="968"/>
      <c r="AA271" s="968"/>
      <c r="AB271" s="968"/>
      <c r="AC271" s="968"/>
      <c r="AD271" s="968"/>
      <c r="AE271" s="969"/>
      <c r="AH271" s="973"/>
      <c r="AI271" s="968"/>
      <c r="AJ271" s="968"/>
      <c r="AK271" s="969"/>
      <c r="AL271" s="1"/>
      <c r="AM271" s="1"/>
      <c r="AN271" s="1"/>
      <c r="AO271" s="1"/>
      <c r="AP271" s="1"/>
      <c r="AQ271" s="1"/>
      <c r="AR271" s="1"/>
      <c r="AS271" s="1"/>
      <c r="AT271" s="1"/>
      <c r="AU271" s="1"/>
      <c r="AV271" s="1"/>
      <c r="AW271" s="1"/>
      <c r="AX271" s="1"/>
      <c r="AY271" s="1"/>
    </row>
    <row r="272" spans="1:66" ht="12.75" customHeight="1">
      <c r="A272" s="10"/>
      <c r="B272" s="1"/>
      <c r="C272" s="1"/>
      <c r="D272" s="1" t="s">
        <v>1261</v>
      </c>
      <c r="E272" s="1"/>
      <c r="F272" s="1"/>
      <c r="M272" s="972"/>
      <c r="N272" s="921"/>
      <c r="O272" s="921"/>
      <c r="P272" s="921"/>
      <c r="Q272" s="921"/>
      <c r="R272" s="971"/>
      <c r="S272" s="1" t="s">
        <v>1263</v>
      </c>
      <c r="T272" s="1"/>
      <c r="U272" s="970"/>
      <c r="V272" s="921"/>
      <c r="W272" s="971"/>
      <c r="X272" s="1" t="s">
        <v>1264</v>
      </c>
      <c r="Z272" s="972"/>
      <c r="AA272" s="921"/>
      <c r="AB272" s="921"/>
      <c r="AC272" s="921"/>
      <c r="AD272" s="921"/>
      <c r="AE272" s="971"/>
      <c r="AL272" s="1"/>
      <c r="AM272" s="1"/>
      <c r="AN272" s="1"/>
      <c r="AO272" s="1"/>
      <c r="AP272" s="1"/>
      <c r="AQ272" s="1"/>
      <c r="AR272" s="1"/>
      <c r="AS272" s="1"/>
      <c r="AT272" s="1"/>
      <c r="AU272" s="1"/>
      <c r="AV272" s="1"/>
      <c r="AW272" s="1"/>
      <c r="AX272" s="1"/>
      <c r="AY272" s="1"/>
    </row>
    <row r="273" spans="1:51" ht="12.75" customHeight="1">
      <c r="A273" s="10"/>
      <c r="B273" s="1"/>
      <c r="C273" s="1"/>
      <c r="D273" s="1" t="s">
        <v>1266</v>
      </c>
      <c r="E273" s="1"/>
      <c r="F273" s="1"/>
      <c r="M273" s="1117"/>
      <c r="N273" s="1118"/>
      <c r="O273" s="1118"/>
      <c r="P273" s="1118"/>
      <c r="Q273" s="1118"/>
      <c r="R273" s="1118"/>
      <c r="S273" s="1118"/>
      <c r="T273" s="1118"/>
      <c r="U273" s="1118"/>
      <c r="V273" s="1118"/>
      <c r="W273" s="1118"/>
      <c r="X273" s="1118"/>
      <c r="Y273" s="1118"/>
      <c r="Z273" s="1118"/>
      <c r="AA273" s="1118"/>
      <c r="AB273" s="1118"/>
      <c r="AC273" s="1118"/>
      <c r="AD273" s="1118"/>
      <c r="AE273" s="1119"/>
      <c r="AG273" s="1"/>
      <c r="AH273" s="1"/>
      <c r="AI273" s="1"/>
      <c r="AJ273" s="1"/>
      <c r="AK273" s="1"/>
      <c r="AL273" s="1"/>
      <c r="AM273" s="1"/>
      <c r="AN273" s="1"/>
      <c r="AO273" s="1"/>
      <c r="AP273" s="1"/>
      <c r="AQ273" s="1"/>
      <c r="AR273" s="1"/>
      <c r="AS273" s="1"/>
      <c r="AT273" s="1"/>
      <c r="AU273" s="1"/>
      <c r="AV273" s="1"/>
      <c r="AW273" s="1"/>
      <c r="AX273" s="1"/>
      <c r="AY273" s="1"/>
    </row>
    <row r="274" spans="1:51" ht="12.75" customHeight="1">
      <c r="A274" s="10"/>
      <c r="B274" s="1"/>
      <c r="C274" s="237"/>
      <c r="D274" s="1" t="s">
        <v>1289</v>
      </c>
      <c r="E274" s="1"/>
      <c r="F274" s="1"/>
      <c r="G274" s="1"/>
      <c r="H274" s="1"/>
      <c r="I274" s="1"/>
      <c r="J274" s="1"/>
      <c r="K274" s="1"/>
      <c r="L274" s="1"/>
      <c r="M274" s="970" t="s">
        <v>27</v>
      </c>
      <c r="N274" s="921"/>
      <c r="O274" s="921"/>
      <c r="P274" s="921"/>
      <c r="Q274" s="921"/>
      <c r="R274" s="921"/>
      <c r="S274" s="921"/>
      <c r="T274" s="971"/>
      <c r="U274" s="1" t="s">
        <v>1269</v>
      </c>
      <c r="V274" s="1"/>
      <c r="W274" s="1"/>
      <c r="X274" s="1"/>
      <c r="Y274" s="1"/>
      <c r="Z274" s="1"/>
      <c r="AA274" s="972"/>
      <c r="AB274" s="921"/>
      <c r="AC274" s="921"/>
      <c r="AD274" s="921"/>
      <c r="AE274" s="921"/>
      <c r="AF274" s="921"/>
      <c r="AG274" s="921"/>
      <c r="AH274" s="921"/>
      <c r="AI274" s="921"/>
      <c r="AJ274" s="921"/>
      <c r="AK274" s="971"/>
      <c r="AL274" s="1"/>
      <c r="AM274" s="1"/>
      <c r="AN274" s="1"/>
      <c r="AO274" s="1"/>
      <c r="AP274" s="1"/>
      <c r="AQ274" s="1"/>
      <c r="AR274" s="1"/>
      <c r="AS274" s="1"/>
      <c r="AT274" s="1"/>
    </row>
    <row r="275" spans="1:51" ht="12.75" customHeight="1">
      <c r="A275" s="17"/>
      <c r="B275" s="1"/>
      <c r="C275" s="1"/>
      <c r="D275" s="1"/>
      <c r="E275" s="1"/>
      <c r="F275" s="1"/>
      <c r="J275" s="17"/>
      <c r="K275" s="17"/>
      <c r="L275" s="17"/>
      <c r="M275" s="17"/>
      <c r="N275" s="17"/>
      <c r="O275" s="17"/>
      <c r="P275" s="17"/>
      <c r="Q275" s="17"/>
      <c r="R275" s="17"/>
      <c r="S275" s="17"/>
      <c r="T275" s="17"/>
      <c r="U275" s="17"/>
      <c r="V275" s="17"/>
      <c r="W275" s="17"/>
      <c r="X275" s="17"/>
      <c r="Y275" s="17"/>
      <c r="AD275" s="235"/>
      <c r="AE275" s="235"/>
    </row>
    <row r="276" spans="1:51" ht="12.75" customHeight="1">
      <c r="A276" s="62" t="s">
        <v>1166</v>
      </c>
      <c r="B276" s="1"/>
      <c r="C276" s="8" t="s">
        <v>1306</v>
      </c>
      <c r="D276" s="1"/>
      <c r="E276" s="1"/>
      <c r="F276" s="1"/>
      <c r="G276" s="1"/>
      <c r="H276" s="1"/>
      <c r="I276" s="1"/>
      <c r="J276" s="1"/>
      <c r="K276" s="1"/>
      <c r="L276" s="1"/>
      <c r="M276" s="17"/>
      <c r="N276" s="17"/>
      <c r="O276" s="17"/>
      <c r="P276" s="17"/>
      <c r="Q276" s="17"/>
      <c r="T276" s="966" t="str">
        <f>IFERROR(BO254,"")</f>
        <v>Joint Venture</v>
      </c>
      <c r="U276" s="961"/>
      <c r="V276" s="961"/>
      <c r="W276" s="961"/>
      <c r="X276" s="961"/>
      <c r="Z276" s="244" t="s">
        <v>1307</v>
      </c>
      <c r="AA276" s="245"/>
      <c r="AB276" s="245"/>
      <c r="AC276" s="245"/>
      <c r="AD276" s="246"/>
      <c r="AE276" s="246"/>
      <c r="AF276" s="246"/>
      <c r="AG276" s="246"/>
      <c r="AH276" s="246"/>
      <c r="AI276" s="246"/>
      <c r="AJ276" s="246"/>
      <c r="AK276" s="246"/>
      <c r="AL276" s="247"/>
    </row>
    <row r="277" spans="1:51" ht="12.75" customHeight="1">
      <c r="A277" s="8"/>
      <c r="B277" s="1"/>
      <c r="C277" s="8"/>
      <c r="I277" s="1"/>
      <c r="J277" s="1"/>
      <c r="K277" s="1"/>
      <c r="L277" s="1"/>
      <c r="M277" s="17"/>
      <c r="N277" s="17"/>
      <c r="O277" s="17"/>
      <c r="P277" s="17"/>
      <c r="Q277" s="17"/>
      <c r="T277" s="1"/>
      <c r="U277" s="1"/>
      <c r="V277" s="1"/>
      <c r="W277" s="17"/>
      <c r="Z277" s="248" t="s">
        <v>1308</v>
      </c>
      <c r="AF277" s="1"/>
      <c r="AG277" s="1"/>
      <c r="AH277" s="1"/>
      <c r="AI277" s="1"/>
      <c r="AJ277" s="1"/>
      <c r="AL277" s="249"/>
    </row>
    <row r="278" spans="1:51" ht="12.75" customHeight="1">
      <c r="A278" s="8" t="s">
        <v>1210</v>
      </c>
      <c r="B278" s="1"/>
      <c r="C278" s="8" t="s">
        <v>165</v>
      </c>
      <c r="D278" s="1"/>
      <c r="E278" s="1"/>
      <c r="F278" s="1"/>
      <c r="G278" s="1"/>
      <c r="H278" s="1"/>
      <c r="I278" s="1"/>
      <c r="J278" s="1"/>
      <c r="K278" s="1"/>
      <c r="L278" s="1"/>
      <c r="M278" s="1"/>
      <c r="N278" s="1"/>
      <c r="O278" s="1"/>
      <c r="P278" s="1"/>
      <c r="Q278" s="1"/>
      <c r="R278" s="1"/>
      <c r="S278" s="1"/>
      <c r="T278" s="1"/>
      <c r="U278" s="1"/>
      <c r="V278" s="1"/>
      <c r="W278" s="1"/>
      <c r="Z278" s="250" t="s">
        <v>1309</v>
      </c>
      <c r="AA278" s="235"/>
      <c r="AB278" s="235"/>
      <c r="AC278" s="235"/>
      <c r="AD278" s="235"/>
      <c r="AE278" s="235"/>
      <c r="AF278" s="235"/>
      <c r="AG278" s="235"/>
      <c r="AH278" s="235"/>
      <c r="AI278" s="235"/>
      <c r="AJ278" s="235"/>
      <c r="AK278" s="235"/>
      <c r="AL278" s="251"/>
    </row>
    <row r="279" spans="1:51" ht="12.75" customHeight="1">
      <c r="A279" s="1"/>
      <c r="B279" s="252">
        <v>0</v>
      </c>
      <c r="D279" s="967" t="s">
        <v>1283</v>
      </c>
      <c r="E279" s="968"/>
      <c r="F279" s="968"/>
      <c r="G279" s="968"/>
      <c r="H279" s="969"/>
      <c r="J279" s="32" t="s">
        <v>1311</v>
      </c>
      <c r="X279" s="974"/>
      <c r="Y279" s="968"/>
      <c r="Z279" s="968"/>
      <c r="AA279" s="968"/>
      <c r="AB279" s="968"/>
      <c r="AC279" s="969"/>
      <c r="AU279" s="1"/>
      <c r="AV279" s="1"/>
      <c r="AW279" s="1"/>
      <c r="AX279" s="1"/>
      <c r="AY279" s="1"/>
    </row>
    <row r="280" spans="1:51" ht="12.75" customHeight="1">
      <c r="A280" s="1"/>
      <c r="B280" s="17"/>
      <c r="D280" s="253" t="s">
        <v>1313</v>
      </c>
      <c r="E280" s="1"/>
      <c r="F280" s="1"/>
      <c r="G280" s="1"/>
      <c r="H280" s="1"/>
      <c r="I280" s="1"/>
      <c r="J280" s="1"/>
      <c r="K280" s="1"/>
      <c r="L280" s="1"/>
      <c r="M280" s="1"/>
      <c r="N280" s="1"/>
      <c r="O280" s="1"/>
      <c r="P280" s="1"/>
      <c r="Q280" s="1"/>
      <c r="R280" s="1"/>
      <c r="S280" s="1"/>
      <c r="T280" s="1"/>
      <c r="U280" s="1"/>
      <c r="V280" s="1"/>
      <c r="W280" s="1"/>
      <c r="X280" s="1"/>
      <c r="Y280" s="1"/>
      <c r="Z280" s="1"/>
      <c r="AA280" s="1"/>
      <c r="AH280" s="1"/>
      <c r="AI280" s="1"/>
      <c r="AJ280" s="1"/>
      <c r="AK280" s="1"/>
      <c r="AL280" s="1"/>
      <c r="AM280" s="1"/>
      <c r="AN280" s="1"/>
      <c r="AO280" s="1"/>
      <c r="AP280" s="1"/>
      <c r="AQ280" s="1"/>
      <c r="AR280" s="1"/>
      <c r="AS280" s="1"/>
      <c r="AT280" s="1"/>
      <c r="AU280" s="1"/>
      <c r="AV280" s="1"/>
      <c r="AW280" s="1"/>
      <c r="AX280" s="1"/>
      <c r="AY280" s="1"/>
    </row>
    <row r="281" spans="1:51" ht="12.75" customHeight="1">
      <c r="A281" s="17"/>
      <c r="B281" s="17"/>
      <c r="C281" s="17"/>
      <c r="D281" s="17"/>
      <c r="E281" s="17"/>
      <c r="F281" s="17"/>
      <c r="G281" s="17"/>
      <c r="H281" s="17"/>
      <c r="I281" s="17"/>
      <c r="J281" s="17"/>
      <c r="K281" s="17"/>
      <c r="L281" s="17"/>
      <c r="M281" s="17"/>
      <c r="N281" s="17"/>
      <c r="O281" s="17"/>
      <c r="P281" s="17"/>
      <c r="Q281" s="17"/>
      <c r="R281" s="17"/>
      <c r="S281" s="17"/>
      <c r="T281" s="17"/>
      <c r="U281" s="1"/>
      <c r="V281" s="1"/>
      <c r="W281" s="252"/>
      <c r="X281" s="1"/>
      <c r="Y281" s="1"/>
      <c r="Z281" s="7"/>
      <c r="AA281" s="7"/>
      <c r="AB281" s="7"/>
      <c r="AC281" s="7"/>
      <c r="AD281" s="7"/>
      <c r="AE281" s="1"/>
      <c r="AK281" s="1"/>
      <c r="AL281" s="1"/>
      <c r="AM281" s="1"/>
      <c r="AN281" s="1"/>
      <c r="AO281" s="1"/>
      <c r="AP281" s="1"/>
      <c r="AQ281" s="1"/>
      <c r="AR281" s="1"/>
      <c r="AS281" s="1"/>
      <c r="AT281" s="1"/>
    </row>
    <row r="282" spans="1:51" ht="12.75" customHeight="1">
      <c r="A282" s="8" t="s">
        <v>1315</v>
      </c>
      <c r="B282" s="8"/>
      <c r="C282" s="8" t="s">
        <v>169</v>
      </c>
      <c r="D282" s="1"/>
      <c r="E282" s="1"/>
      <c r="F282" s="1"/>
      <c r="G282" s="1"/>
      <c r="H282" s="1"/>
      <c r="I282" s="1"/>
      <c r="J282" s="1"/>
      <c r="K282" s="1"/>
      <c r="L282" s="1"/>
      <c r="M282" s="1"/>
      <c r="N282" s="1"/>
      <c r="O282" s="1"/>
      <c r="P282" s="1"/>
      <c r="Q282" s="1"/>
      <c r="R282" s="1"/>
      <c r="S282" s="1"/>
      <c r="T282" s="1"/>
      <c r="AU282" s="1"/>
      <c r="AV282" s="1"/>
      <c r="AW282" s="1"/>
      <c r="AX282" s="1"/>
      <c r="AY282" s="1"/>
    </row>
    <row r="283" spans="1:51" ht="12.75" customHeight="1">
      <c r="D283" s="1" t="s">
        <v>1316</v>
      </c>
      <c r="E283" s="1"/>
      <c r="F283" s="1"/>
      <c r="G283" s="1"/>
      <c r="H283" s="1"/>
      <c r="I283" s="1"/>
      <c r="J283" s="1"/>
      <c r="K283" s="1"/>
      <c r="L283" s="1116" t="s">
        <v>1317</v>
      </c>
      <c r="M283" s="968"/>
      <c r="N283" s="968"/>
      <c r="O283" s="968"/>
      <c r="P283" s="968"/>
      <c r="Q283" s="968"/>
      <c r="R283" s="968"/>
      <c r="S283" s="968"/>
      <c r="T283" s="968"/>
      <c r="U283" s="968"/>
      <c r="V283" s="968"/>
      <c r="W283" s="968"/>
      <c r="X283" s="968"/>
      <c r="Y283" s="968"/>
      <c r="Z283" s="968"/>
      <c r="AA283" s="968"/>
      <c r="AB283" s="968"/>
      <c r="AC283" s="968"/>
      <c r="AD283" s="968"/>
      <c r="AE283" s="968"/>
      <c r="AF283" s="968"/>
      <c r="AG283" s="968"/>
      <c r="AH283" s="968"/>
      <c r="AI283" s="968"/>
      <c r="AJ283" s="969"/>
      <c r="AK283" s="1"/>
      <c r="AL283" s="1"/>
      <c r="AM283" s="1"/>
      <c r="AN283" s="1"/>
      <c r="AO283" s="1"/>
      <c r="AP283" s="1"/>
      <c r="AQ283" s="1"/>
      <c r="AR283" s="1"/>
      <c r="AS283" s="1"/>
      <c r="AT283" s="1"/>
      <c r="AU283" s="1"/>
      <c r="AV283" s="1"/>
      <c r="AW283" s="1"/>
      <c r="AX283" s="1"/>
      <c r="AY283" s="1"/>
    </row>
    <row r="284" spans="1:51" ht="12.75" customHeight="1">
      <c r="D284" s="1" t="s">
        <v>1254</v>
      </c>
      <c r="E284" s="1"/>
      <c r="F284" s="1"/>
      <c r="G284" s="1"/>
      <c r="H284" s="1"/>
      <c r="I284" s="1"/>
      <c r="J284" s="1"/>
      <c r="K284" s="1"/>
      <c r="L284" s="967" t="s">
        <v>1319</v>
      </c>
      <c r="M284" s="968"/>
      <c r="N284" s="968"/>
      <c r="O284" s="968"/>
      <c r="P284" s="968"/>
      <c r="Q284" s="968"/>
      <c r="R284" s="968"/>
      <c r="S284" s="968"/>
      <c r="T284" s="968"/>
      <c r="U284" s="968"/>
      <c r="V284" s="968"/>
      <c r="W284" s="968"/>
      <c r="X284" s="968"/>
      <c r="Y284" s="968"/>
      <c r="Z284" s="968"/>
      <c r="AA284" s="968"/>
      <c r="AB284" s="968"/>
      <c r="AC284" s="968"/>
      <c r="AD284" s="969"/>
      <c r="AK284" s="1"/>
      <c r="AL284" s="1"/>
      <c r="AM284" s="1"/>
      <c r="AN284" s="1"/>
      <c r="AO284" s="1"/>
      <c r="AP284" s="1"/>
      <c r="AQ284" s="1"/>
      <c r="AR284" s="1"/>
      <c r="AS284" s="1"/>
      <c r="AT284" s="1"/>
      <c r="AU284" s="1"/>
      <c r="AV284" s="1"/>
      <c r="AW284" s="1"/>
      <c r="AX284" s="1"/>
      <c r="AY284" s="1"/>
    </row>
    <row r="285" spans="1:51" ht="12.75" customHeight="1">
      <c r="D285" s="1" t="s">
        <v>1028</v>
      </c>
      <c r="E285" s="1"/>
      <c r="L285" s="967" t="s">
        <v>1321</v>
      </c>
      <c r="M285" s="968"/>
      <c r="N285" s="968"/>
      <c r="O285" s="968"/>
      <c r="P285" s="968"/>
      <c r="Q285" s="968"/>
      <c r="R285" s="968"/>
      <c r="S285" s="969"/>
      <c r="U285" s="33" t="s">
        <v>1257</v>
      </c>
      <c r="V285" s="970" t="s">
        <v>1281</v>
      </c>
      <c r="W285" s="971"/>
      <c r="X285" s="1" t="s">
        <v>1035</v>
      </c>
      <c r="AB285" s="967">
        <v>92606</v>
      </c>
      <c r="AC285" s="968"/>
      <c r="AD285" s="969"/>
      <c r="AK285" s="1"/>
      <c r="AL285" s="1"/>
      <c r="AM285" s="1"/>
      <c r="AN285" s="1"/>
      <c r="AO285" s="1"/>
      <c r="AP285" s="1"/>
      <c r="AQ285" s="1"/>
      <c r="AR285" s="1"/>
      <c r="AS285" s="1"/>
      <c r="AT285" s="1"/>
      <c r="AU285" s="1"/>
      <c r="AV285" s="1"/>
      <c r="AW285" s="1"/>
      <c r="AX285" s="1"/>
      <c r="AY285" s="1"/>
    </row>
    <row r="286" spans="1:51" ht="12.75" customHeight="1">
      <c r="D286" s="1" t="s">
        <v>1259</v>
      </c>
      <c r="E286" s="1"/>
      <c r="F286" s="1"/>
      <c r="G286" s="1"/>
      <c r="H286" s="1"/>
      <c r="I286" s="1"/>
      <c r="J286" s="1"/>
      <c r="K286" s="17"/>
      <c r="L286" s="967" t="s">
        <v>1325</v>
      </c>
      <c r="M286" s="968"/>
      <c r="N286" s="968"/>
      <c r="O286" s="968"/>
      <c r="P286" s="968"/>
      <c r="Q286" s="968"/>
      <c r="R286" s="968"/>
      <c r="S286" s="968"/>
      <c r="T286" s="968"/>
      <c r="U286" s="968"/>
      <c r="V286" s="968"/>
      <c r="W286" s="968"/>
      <c r="X286" s="968"/>
      <c r="Y286" s="968"/>
      <c r="Z286" s="968"/>
      <c r="AA286" s="968"/>
      <c r="AB286" s="968"/>
      <c r="AC286" s="968"/>
      <c r="AD286" s="969"/>
      <c r="AI286" s="1"/>
      <c r="AJ286" s="1"/>
      <c r="AK286" s="1"/>
      <c r="AL286" s="1"/>
      <c r="AM286" s="1"/>
      <c r="AN286" s="1"/>
      <c r="AO286" s="1"/>
      <c r="AP286" s="1"/>
      <c r="AQ286" s="1"/>
      <c r="AR286" s="1"/>
      <c r="AS286" s="1"/>
      <c r="AT286" s="1"/>
    </row>
    <row r="287" spans="1:51" ht="12.75" customHeight="1">
      <c r="D287" s="1" t="s">
        <v>1261</v>
      </c>
      <c r="E287" s="1"/>
      <c r="F287" s="1"/>
      <c r="L287" s="972" t="s">
        <v>1287</v>
      </c>
      <c r="M287" s="921"/>
      <c r="N287" s="921"/>
      <c r="O287" s="921"/>
      <c r="P287" s="921"/>
      <c r="Q287" s="971"/>
      <c r="R287" s="1" t="s">
        <v>1263</v>
      </c>
      <c r="S287" s="1"/>
      <c r="T287" s="970"/>
      <c r="U287" s="921"/>
      <c r="V287" s="971"/>
      <c r="W287" s="1" t="s">
        <v>1264</v>
      </c>
      <c r="Y287" s="972"/>
      <c r="Z287" s="921"/>
      <c r="AA287" s="921"/>
      <c r="AB287" s="921"/>
      <c r="AC287" s="921"/>
      <c r="AD287" s="971"/>
    </row>
    <row r="288" spans="1:51" ht="12.75" customHeight="1">
      <c r="D288" s="1" t="s">
        <v>1266</v>
      </c>
      <c r="E288" s="1"/>
      <c r="F288" s="1"/>
      <c r="L288" s="967" t="s">
        <v>1327</v>
      </c>
      <c r="M288" s="968"/>
      <c r="N288" s="968"/>
      <c r="O288" s="968"/>
      <c r="P288" s="968"/>
      <c r="Q288" s="968"/>
      <c r="R288" s="968"/>
      <c r="S288" s="968"/>
      <c r="T288" s="968"/>
      <c r="U288" s="968"/>
      <c r="V288" s="968"/>
      <c r="W288" s="968"/>
      <c r="X288" s="968"/>
      <c r="Y288" s="968"/>
      <c r="Z288" s="968"/>
      <c r="AA288" s="968"/>
      <c r="AB288" s="968"/>
      <c r="AC288" s="968"/>
      <c r="AD288" s="969"/>
      <c r="AF288" s="1"/>
      <c r="AG288" s="1"/>
      <c r="AH288" s="1"/>
      <c r="AI288" s="1"/>
      <c r="AJ288" s="1"/>
      <c r="AU288" s="1"/>
      <c r="AV288" s="1"/>
      <c r="AW288" s="1"/>
      <c r="AX288" s="1"/>
      <c r="AY288" s="1"/>
    </row>
    <row r="289" spans="1:51" ht="12.75" customHeight="1">
      <c r="D289" s="1" t="s">
        <v>1330</v>
      </c>
      <c r="E289" s="1"/>
      <c r="F289" s="1"/>
      <c r="G289" s="1"/>
      <c r="H289" s="1"/>
      <c r="I289" s="1"/>
      <c r="L289" s="970" t="s">
        <v>1331</v>
      </c>
      <c r="M289" s="921"/>
      <c r="N289" s="921"/>
      <c r="O289" s="921"/>
      <c r="P289" s="921"/>
      <c r="Q289" s="921"/>
      <c r="R289" s="921"/>
      <c r="S289" s="921"/>
      <c r="T289" s="921"/>
      <c r="U289" s="921"/>
      <c r="V289" s="921"/>
      <c r="W289" s="921"/>
      <c r="X289" s="921"/>
      <c r="Y289" s="921"/>
      <c r="Z289" s="921"/>
      <c r="AA289" s="921"/>
      <c r="AB289" s="921"/>
      <c r="AC289" s="921"/>
      <c r="AD289" s="971"/>
      <c r="AK289" s="1"/>
      <c r="AL289" s="1"/>
      <c r="AM289" s="1"/>
      <c r="AN289" s="1"/>
      <c r="AO289" s="1"/>
      <c r="AP289" s="1"/>
      <c r="AQ289" s="1"/>
      <c r="AR289" s="1"/>
      <c r="AS289" s="1"/>
      <c r="AT289" s="1"/>
    </row>
    <row r="290" spans="1:51" ht="12.75" customHeight="1">
      <c r="L290" s="117" t="s">
        <v>1333</v>
      </c>
      <c r="AU290" s="191"/>
      <c r="AV290" s="191"/>
      <c r="AW290" s="191"/>
      <c r="AX290" s="191"/>
      <c r="AY290" s="191"/>
    </row>
    <row r="291" spans="1:51" ht="12.75" customHeight="1">
      <c r="A291" s="988" t="s">
        <v>1335</v>
      </c>
      <c r="B291" s="901"/>
      <c r="C291" s="901"/>
      <c r="D291" s="901"/>
      <c r="E291" s="901"/>
      <c r="F291" s="901"/>
      <c r="G291" s="901"/>
      <c r="H291" s="901"/>
      <c r="I291" s="901"/>
      <c r="J291" s="901"/>
      <c r="K291" s="901"/>
      <c r="L291" s="901"/>
      <c r="M291" s="901"/>
      <c r="N291" s="901"/>
      <c r="O291" s="901"/>
      <c r="P291" s="901"/>
      <c r="Q291" s="901"/>
      <c r="R291" s="901"/>
      <c r="S291" s="901"/>
      <c r="T291" s="901"/>
      <c r="U291" s="901"/>
      <c r="V291" s="901"/>
      <c r="W291" s="901"/>
      <c r="X291" s="901"/>
      <c r="Y291" s="901"/>
      <c r="Z291" s="901"/>
      <c r="AA291" s="901"/>
      <c r="AB291" s="901"/>
      <c r="AC291" s="901"/>
      <c r="AD291" s="901"/>
      <c r="AE291" s="901"/>
      <c r="AF291" s="901"/>
      <c r="AG291" s="901"/>
      <c r="AH291" s="901"/>
      <c r="AI291" s="901"/>
      <c r="AJ291" s="901"/>
      <c r="AK291" s="901"/>
      <c r="AL291" s="901"/>
      <c r="AM291" s="901"/>
      <c r="AN291" s="901"/>
      <c r="AO291" s="901"/>
      <c r="AP291" s="901"/>
      <c r="AQ291" s="901"/>
      <c r="AR291" s="901"/>
      <c r="AS291" s="901"/>
      <c r="AT291" s="902"/>
      <c r="AU291" s="191"/>
      <c r="AV291" s="191"/>
      <c r="AW291" s="191"/>
      <c r="AX291" s="191"/>
      <c r="AY291" s="191"/>
    </row>
    <row r="292" spans="1:51" ht="12.75" customHeight="1">
      <c r="A292" s="989"/>
      <c r="B292" s="990"/>
      <c r="C292" s="990"/>
      <c r="D292" s="990"/>
      <c r="E292" s="990"/>
      <c r="F292" s="990"/>
      <c r="G292" s="990"/>
      <c r="H292" s="990"/>
      <c r="I292" s="990"/>
      <c r="J292" s="990"/>
      <c r="K292" s="990"/>
      <c r="L292" s="990"/>
      <c r="M292" s="990"/>
      <c r="N292" s="990"/>
      <c r="O292" s="990"/>
      <c r="P292" s="990"/>
      <c r="Q292" s="990"/>
      <c r="R292" s="990"/>
      <c r="S292" s="990"/>
      <c r="T292" s="990"/>
      <c r="U292" s="990"/>
      <c r="V292" s="990"/>
      <c r="W292" s="990"/>
      <c r="X292" s="990"/>
      <c r="Y292" s="990"/>
      <c r="Z292" s="990"/>
      <c r="AA292" s="990"/>
      <c r="AB292" s="990"/>
      <c r="AC292" s="990"/>
      <c r="AD292" s="990"/>
      <c r="AE292" s="990"/>
      <c r="AF292" s="990"/>
      <c r="AG292" s="990"/>
      <c r="AH292" s="990"/>
      <c r="AI292" s="990"/>
      <c r="AJ292" s="990"/>
      <c r="AK292" s="990"/>
      <c r="AL292" s="990"/>
      <c r="AM292" s="990"/>
      <c r="AN292" s="990"/>
      <c r="AO292" s="990"/>
      <c r="AP292" s="990"/>
      <c r="AQ292" s="990"/>
      <c r="AR292" s="990"/>
      <c r="AS292" s="990"/>
      <c r="AT292" s="991"/>
      <c r="AU292" s="194"/>
      <c r="AV292" s="194"/>
      <c r="AW292" s="194"/>
      <c r="AX292" s="194"/>
      <c r="AY292" s="194"/>
    </row>
    <row r="293" spans="1:51" ht="12.75" customHeight="1">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
      <c r="AL293" s="194"/>
      <c r="AM293" s="194"/>
      <c r="AN293" s="194"/>
      <c r="AO293" s="194"/>
      <c r="AP293" s="194"/>
      <c r="AQ293" s="194"/>
      <c r="AR293" s="194"/>
      <c r="AS293" s="194"/>
      <c r="AT293" s="194"/>
    </row>
    <row r="294" spans="1:51" ht="12.75" customHeight="1">
      <c r="A294" s="8" t="s">
        <v>947</v>
      </c>
      <c r="C294" s="8" t="s">
        <v>1339</v>
      </c>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row>
    <row r="295" spans="1:51" ht="12.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row>
    <row r="296" spans="1:51" ht="12.75" customHeight="1">
      <c r="B296" s="1" t="s">
        <v>1342</v>
      </c>
      <c r="C296" s="1"/>
      <c r="D296" s="1"/>
      <c r="E296" s="1"/>
      <c r="F296" s="1"/>
      <c r="H296" s="967" t="s">
        <v>1343</v>
      </c>
      <c r="I296" s="968"/>
      <c r="J296" s="968"/>
      <c r="K296" s="968"/>
      <c r="L296" s="968"/>
      <c r="M296" s="968"/>
      <c r="N296" s="968"/>
      <c r="O296" s="968"/>
      <c r="P296" s="968"/>
      <c r="Q296" s="968"/>
      <c r="R296" s="969"/>
      <c r="T296" s="1" t="s">
        <v>1345</v>
      </c>
      <c r="V296" s="1"/>
      <c r="W296" s="1"/>
      <c r="X296" s="1"/>
      <c r="Y296" s="1"/>
      <c r="AA296" s="967" t="s">
        <v>1346</v>
      </c>
      <c r="AB296" s="968"/>
      <c r="AC296" s="968"/>
      <c r="AD296" s="968"/>
      <c r="AE296" s="968"/>
      <c r="AF296" s="968"/>
      <c r="AG296" s="968"/>
      <c r="AH296" s="968"/>
      <c r="AI296" s="968"/>
      <c r="AJ296" s="968"/>
      <c r="AK296" s="969"/>
    </row>
    <row r="297" spans="1:51" ht="12.75" customHeight="1">
      <c r="B297" s="1" t="s">
        <v>1347</v>
      </c>
      <c r="C297" s="1"/>
      <c r="D297" s="1"/>
      <c r="E297" s="1"/>
      <c r="F297" s="1"/>
      <c r="H297" s="970" t="s">
        <v>1348</v>
      </c>
      <c r="I297" s="921"/>
      <c r="J297" s="921"/>
      <c r="K297" s="921"/>
      <c r="L297" s="921"/>
      <c r="M297" s="921"/>
      <c r="N297" s="921"/>
      <c r="O297" s="921"/>
      <c r="P297" s="921"/>
      <c r="Q297" s="921"/>
      <c r="R297" s="971"/>
      <c r="T297" s="1" t="s">
        <v>1347</v>
      </c>
      <c r="V297" s="1"/>
      <c r="W297" s="1"/>
      <c r="X297" s="1"/>
      <c r="Y297" s="1"/>
      <c r="AA297" s="970" t="s">
        <v>1350</v>
      </c>
      <c r="AB297" s="921"/>
      <c r="AC297" s="921"/>
      <c r="AD297" s="921"/>
      <c r="AE297" s="921"/>
      <c r="AF297" s="921"/>
      <c r="AG297" s="921"/>
      <c r="AH297" s="921"/>
      <c r="AI297" s="921"/>
      <c r="AJ297" s="921"/>
      <c r="AK297" s="971"/>
    </row>
    <row r="298" spans="1:51" ht="12.75" customHeight="1">
      <c r="B298" s="1" t="s">
        <v>1352</v>
      </c>
      <c r="C298" s="1"/>
      <c r="D298" s="1"/>
      <c r="E298" s="1"/>
      <c r="F298" s="1"/>
      <c r="H298" s="970" t="s">
        <v>1353</v>
      </c>
      <c r="I298" s="921"/>
      <c r="J298" s="921"/>
      <c r="K298" s="921"/>
      <c r="L298" s="921"/>
      <c r="M298" s="921"/>
      <c r="N298" s="921"/>
      <c r="O298" s="921"/>
      <c r="P298" s="921"/>
      <c r="Q298" s="921"/>
      <c r="R298" s="971"/>
      <c r="T298" s="1" t="s">
        <v>1354</v>
      </c>
      <c r="V298" s="1"/>
      <c r="W298" s="1"/>
      <c r="X298" s="1"/>
      <c r="Y298" s="1"/>
      <c r="AA298" s="970" t="s">
        <v>1355</v>
      </c>
      <c r="AB298" s="921"/>
      <c r="AC298" s="921"/>
      <c r="AD298" s="921"/>
      <c r="AE298" s="921"/>
      <c r="AF298" s="921"/>
      <c r="AG298" s="921"/>
      <c r="AH298" s="921"/>
      <c r="AI298" s="921"/>
      <c r="AJ298" s="921"/>
      <c r="AK298" s="971"/>
    </row>
    <row r="299" spans="1:51" ht="12.75" customHeight="1">
      <c r="B299" s="1" t="s">
        <v>1259</v>
      </c>
      <c r="C299" s="1"/>
      <c r="D299" s="1"/>
      <c r="E299" s="1"/>
      <c r="F299" s="1"/>
      <c r="H299" s="970" t="s">
        <v>1325</v>
      </c>
      <c r="I299" s="921"/>
      <c r="J299" s="921"/>
      <c r="K299" s="921"/>
      <c r="L299" s="921"/>
      <c r="M299" s="921"/>
      <c r="N299" s="921"/>
      <c r="O299" s="921"/>
      <c r="P299" s="921"/>
      <c r="Q299" s="921"/>
      <c r="R299" s="971"/>
      <c r="T299" s="1" t="s">
        <v>1259</v>
      </c>
      <c r="V299" s="1"/>
      <c r="W299" s="1"/>
      <c r="X299" s="1"/>
      <c r="Y299" s="1"/>
      <c r="AA299" s="970" t="s">
        <v>1357</v>
      </c>
      <c r="AB299" s="921"/>
      <c r="AC299" s="921"/>
      <c r="AD299" s="921"/>
      <c r="AE299" s="921"/>
      <c r="AF299" s="921"/>
      <c r="AG299" s="921"/>
      <c r="AH299" s="921"/>
      <c r="AI299" s="921"/>
      <c r="AJ299" s="921"/>
      <c r="AK299" s="971"/>
    </row>
    <row r="300" spans="1:51" ht="12.75" customHeight="1">
      <c r="B300" s="1" t="s">
        <v>1261</v>
      </c>
      <c r="C300" s="1"/>
      <c r="D300" s="1"/>
      <c r="E300" s="1"/>
      <c r="F300" s="1"/>
      <c r="G300" s="1"/>
      <c r="H300" s="1105" t="s">
        <v>1287</v>
      </c>
      <c r="I300" s="968"/>
      <c r="J300" s="968"/>
      <c r="K300" s="968"/>
      <c r="L300" s="968"/>
      <c r="M300" s="969"/>
      <c r="N300" s="1" t="s">
        <v>1263</v>
      </c>
      <c r="O300" s="1"/>
      <c r="P300" s="967"/>
      <c r="Q300" s="968"/>
      <c r="R300" s="969"/>
      <c r="S300" s="1"/>
      <c r="T300" s="1" t="s">
        <v>1261</v>
      </c>
      <c r="V300" s="1"/>
      <c r="W300" s="1"/>
      <c r="X300" s="1"/>
      <c r="Y300" s="1"/>
      <c r="AA300" s="1105" t="s">
        <v>1359</v>
      </c>
      <c r="AB300" s="968"/>
      <c r="AC300" s="968"/>
      <c r="AD300" s="968"/>
      <c r="AE300" s="968"/>
      <c r="AF300" s="969"/>
      <c r="AG300" s="1" t="s">
        <v>1263</v>
      </c>
      <c r="AH300" s="1"/>
      <c r="AI300" s="967"/>
      <c r="AJ300" s="968"/>
      <c r="AK300" s="969"/>
    </row>
    <row r="301" spans="1:51" ht="12.75" customHeight="1">
      <c r="B301" s="1" t="s">
        <v>1264</v>
      </c>
      <c r="C301" s="1"/>
      <c r="D301" s="1"/>
      <c r="E301" s="1"/>
      <c r="F301" s="1"/>
      <c r="G301" s="1"/>
      <c r="H301" s="972"/>
      <c r="I301" s="921"/>
      <c r="J301" s="921"/>
      <c r="K301" s="921"/>
      <c r="L301" s="921"/>
      <c r="M301" s="971"/>
      <c r="N301" s="1"/>
      <c r="O301" s="1"/>
      <c r="P301" s="17"/>
      <c r="Q301" s="17"/>
      <c r="R301" s="17"/>
      <c r="S301" s="1"/>
      <c r="T301" s="1" t="s">
        <v>1264</v>
      </c>
      <c r="V301" s="1"/>
      <c r="W301" s="1"/>
      <c r="X301" s="1"/>
      <c r="Y301" s="1"/>
      <c r="AA301" s="972"/>
      <c r="AB301" s="921"/>
      <c r="AC301" s="921"/>
      <c r="AD301" s="921"/>
      <c r="AE301" s="921"/>
      <c r="AF301" s="971"/>
      <c r="AG301" s="1"/>
      <c r="AH301" s="1"/>
      <c r="AI301" s="17"/>
      <c r="AJ301" s="17"/>
      <c r="AK301" s="17"/>
    </row>
    <row r="302" spans="1:51" ht="12.75" customHeight="1">
      <c r="B302" s="1" t="s">
        <v>1360</v>
      </c>
      <c r="C302" s="1"/>
      <c r="D302" s="1"/>
      <c r="E302" s="1"/>
      <c r="F302" s="1"/>
      <c r="G302" s="1"/>
      <c r="H302" s="970" t="s">
        <v>1327</v>
      </c>
      <c r="I302" s="921"/>
      <c r="J302" s="921"/>
      <c r="K302" s="921"/>
      <c r="L302" s="921"/>
      <c r="M302" s="921"/>
      <c r="N302" s="921"/>
      <c r="O302" s="921"/>
      <c r="P302" s="921"/>
      <c r="Q302" s="921"/>
      <c r="R302" s="971"/>
      <c r="S302" s="1"/>
      <c r="T302" s="1" t="s">
        <v>1360</v>
      </c>
      <c r="V302" s="1"/>
      <c r="W302" s="1"/>
      <c r="X302" s="1"/>
      <c r="Y302" s="1"/>
      <c r="AA302" s="970" t="s">
        <v>1362</v>
      </c>
      <c r="AB302" s="921"/>
      <c r="AC302" s="921"/>
      <c r="AD302" s="921"/>
      <c r="AE302" s="921"/>
      <c r="AF302" s="921"/>
      <c r="AG302" s="921"/>
      <c r="AH302" s="921"/>
      <c r="AI302" s="921"/>
      <c r="AJ302" s="921"/>
      <c r="AK302" s="971"/>
    </row>
    <row r="303" spans="1:51" ht="12.75" customHeight="1">
      <c r="B303" s="1"/>
      <c r="C303" s="1"/>
      <c r="D303" s="1"/>
      <c r="E303" s="1"/>
      <c r="F303" s="1"/>
      <c r="G303" s="1"/>
      <c r="H303" s="1"/>
      <c r="I303" s="1"/>
      <c r="J303" s="1"/>
      <c r="K303" s="1"/>
      <c r="L303" s="1"/>
      <c r="M303" s="1"/>
      <c r="N303" s="1"/>
      <c r="O303" s="1"/>
      <c r="P303" s="1"/>
      <c r="Q303" s="1"/>
      <c r="R303" s="1"/>
      <c r="S303" s="1"/>
      <c r="T303" s="1"/>
      <c r="V303" s="1"/>
      <c r="W303" s="1"/>
      <c r="X303" s="1"/>
      <c r="Y303" s="1"/>
      <c r="AA303" s="1"/>
      <c r="AB303" s="1"/>
      <c r="AC303" s="1"/>
      <c r="AD303" s="1"/>
      <c r="AE303" s="1"/>
      <c r="AF303" s="1"/>
      <c r="AG303" s="1"/>
      <c r="AH303" s="1"/>
      <c r="AI303" s="1"/>
      <c r="AJ303" s="1"/>
      <c r="AK303" s="1"/>
    </row>
    <row r="304" spans="1:51" ht="12.75" customHeight="1">
      <c r="B304" s="1" t="s">
        <v>1364</v>
      </c>
      <c r="C304" s="1"/>
      <c r="D304" s="1"/>
      <c r="E304" s="1"/>
      <c r="F304" s="1"/>
      <c r="H304" s="967" t="s">
        <v>1366</v>
      </c>
      <c r="I304" s="968"/>
      <c r="J304" s="968"/>
      <c r="K304" s="968"/>
      <c r="L304" s="968"/>
      <c r="M304" s="968"/>
      <c r="N304" s="968"/>
      <c r="O304" s="968"/>
      <c r="P304" s="968"/>
      <c r="Q304" s="968"/>
      <c r="R304" s="969"/>
      <c r="T304" s="1" t="s">
        <v>1367</v>
      </c>
      <c r="V304" s="1"/>
      <c r="W304" s="1"/>
      <c r="X304" s="1"/>
      <c r="Y304" s="1"/>
      <c r="AA304" s="967" t="s">
        <v>1368</v>
      </c>
      <c r="AB304" s="968"/>
      <c r="AC304" s="968"/>
      <c r="AD304" s="968"/>
      <c r="AE304" s="968"/>
      <c r="AF304" s="968"/>
      <c r="AG304" s="968"/>
      <c r="AH304" s="968"/>
      <c r="AI304" s="968"/>
      <c r="AJ304" s="968"/>
      <c r="AK304" s="969"/>
    </row>
    <row r="305" spans="2:72" ht="12.75" customHeight="1">
      <c r="B305" s="1" t="s">
        <v>1347</v>
      </c>
      <c r="C305" s="1"/>
      <c r="D305" s="1"/>
      <c r="E305" s="1"/>
      <c r="F305" s="1"/>
      <c r="H305" s="970" t="s">
        <v>1369</v>
      </c>
      <c r="I305" s="921"/>
      <c r="J305" s="921"/>
      <c r="K305" s="921"/>
      <c r="L305" s="921"/>
      <c r="M305" s="921"/>
      <c r="N305" s="921"/>
      <c r="O305" s="921"/>
      <c r="P305" s="921"/>
      <c r="Q305" s="921"/>
      <c r="R305" s="971"/>
      <c r="T305" s="1" t="s">
        <v>1347</v>
      </c>
      <c r="V305" s="1"/>
      <c r="W305" s="1"/>
      <c r="X305" s="1"/>
      <c r="Y305" s="1"/>
      <c r="AA305" s="970" t="s">
        <v>1371</v>
      </c>
      <c r="AB305" s="921"/>
      <c r="AC305" s="921"/>
      <c r="AD305" s="921"/>
      <c r="AE305" s="921"/>
      <c r="AF305" s="921"/>
      <c r="AG305" s="921"/>
      <c r="AH305" s="921"/>
      <c r="AI305" s="921"/>
      <c r="AJ305" s="921"/>
      <c r="AK305" s="971"/>
      <c r="AX305" s="232"/>
      <c r="AY305" s="232"/>
      <c r="AZ305" s="232"/>
      <c r="BA305" s="232"/>
      <c r="BB305" s="232"/>
      <c r="BC305" s="232"/>
      <c r="BD305" s="232"/>
      <c r="BE305" s="232"/>
      <c r="BF305" s="232"/>
      <c r="BG305" s="232"/>
      <c r="BH305" s="232"/>
      <c r="BI305" s="232"/>
      <c r="BJ305" s="232"/>
      <c r="BK305" s="232"/>
      <c r="BL305" s="232"/>
      <c r="BM305" s="232"/>
      <c r="BN305" s="232"/>
      <c r="BO305" s="232"/>
      <c r="BP305" s="232"/>
      <c r="BQ305" s="232"/>
      <c r="BR305" s="232"/>
      <c r="BS305" s="232"/>
      <c r="BT305" s="232"/>
    </row>
    <row r="306" spans="2:72" ht="12.75" customHeight="1">
      <c r="B306" s="1" t="s">
        <v>1352</v>
      </c>
      <c r="C306" s="1"/>
      <c r="D306" s="1"/>
      <c r="E306" s="1"/>
      <c r="F306" s="1"/>
      <c r="H306" s="970" t="s">
        <v>1372</v>
      </c>
      <c r="I306" s="921"/>
      <c r="J306" s="921"/>
      <c r="K306" s="921"/>
      <c r="L306" s="921"/>
      <c r="M306" s="921"/>
      <c r="N306" s="921"/>
      <c r="O306" s="921"/>
      <c r="P306" s="921"/>
      <c r="Q306" s="921"/>
      <c r="R306" s="971"/>
      <c r="T306" s="1" t="s">
        <v>1354</v>
      </c>
      <c r="V306" s="1"/>
      <c r="W306" s="1"/>
      <c r="X306" s="1"/>
      <c r="Y306" s="1"/>
      <c r="AA306" s="970" t="s">
        <v>1373</v>
      </c>
      <c r="AB306" s="921"/>
      <c r="AC306" s="921"/>
      <c r="AD306" s="921"/>
      <c r="AE306" s="921"/>
      <c r="AF306" s="921"/>
      <c r="AG306" s="921"/>
      <c r="AH306" s="921"/>
      <c r="AI306" s="921"/>
      <c r="AJ306" s="921"/>
      <c r="AK306" s="971"/>
      <c r="AX306" s="232"/>
      <c r="AY306" s="232"/>
      <c r="AZ306" s="232"/>
      <c r="BA306" s="232"/>
      <c r="BB306" s="232"/>
      <c r="BC306" s="232"/>
      <c r="BD306" s="232"/>
      <c r="BE306" s="232"/>
      <c r="BF306" s="232"/>
      <c r="BG306" s="232"/>
      <c r="BH306" s="232"/>
      <c r="BI306" s="232"/>
      <c r="BJ306" s="232"/>
      <c r="BK306" s="232"/>
      <c r="BL306" s="232"/>
      <c r="BM306" s="232"/>
      <c r="BN306" s="232"/>
      <c r="BO306" s="232"/>
      <c r="BP306" s="232"/>
      <c r="BQ306" s="232"/>
      <c r="BR306" s="232"/>
      <c r="BS306" s="232"/>
      <c r="BT306" s="232"/>
    </row>
    <row r="307" spans="2:72" ht="12.75" customHeight="1">
      <c r="B307" s="1" t="s">
        <v>1259</v>
      </c>
      <c r="C307" s="1"/>
      <c r="D307" s="1"/>
      <c r="E307" s="1"/>
      <c r="F307" s="1"/>
      <c r="H307" s="970" t="s">
        <v>1374</v>
      </c>
      <c r="I307" s="921"/>
      <c r="J307" s="921"/>
      <c r="K307" s="921"/>
      <c r="L307" s="921"/>
      <c r="M307" s="921"/>
      <c r="N307" s="921"/>
      <c r="O307" s="921"/>
      <c r="P307" s="921"/>
      <c r="Q307" s="921"/>
      <c r="R307" s="971"/>
      <c r="T307" s="1" t="s">
        <v>1259</v>
      </c>
      <c r="V307" s="1"/>
      <c r="W307" s="1"/>
      <c r="X307" s="1"/>
      <c r="Y307" s="1"/>
      <c r="AA307" s="970" t="s">
        <v>1375</v>
      </c>
      <c r="AB307" s="921"/>
      <c r="AC307" s="921"/>
      <c r="AD307" s="921"/>
      <c r="AE307" s="921"/>
      <c r="AF307" s="921"/>
      <c r="AG307" s="921"/>
      <c r="AH307" s="921"/>
      <c r="AI307" s="921"/>
      <c r="AJ307" s="921"/>
      <c r="AK307" s="971"/>
    </row>
    <row r="308" spans="2:72" ht="12.75" customHeight="1">
      <c r="B308" s="1" t="s">
        <v>1261</v>
      </c>
      <c r="C308" s="1"/>
      <c r="D308" s="1"/>
      <c r="E308" s="1"/>
      <c r="F308" s="1"/>
      <c r="G308" s="1"/>
      <c r="H308" s="1105"/>
      <c r="I308" s="968"/>
      <c r="J308" s="968"/>
      <c r="K308" s="968"/>
      <c r="L308" s="968"/>
      <c r="M308" s="969"/>
      <c r="N308" s="1" t="s">
        <v>1263</v>
      </c>
      <c r="O308" s="1"/>
      <c r="P308" s="967"/>
      <c r="Q308" s="968"/>
      <c r="R308" s="969"/>
      <c r="S308" s="1"/>
      <c r="T308" s="1" t="s">
        <v>1261</v>
      </c>
      <c r="V308" s="1"/>
      <c r="W308" s="1"/>
      <c r="X308" s="1"/>
      <c r="Y308" s="1"/>
      <c r="AA308" s="1105" t="s">
        <v>1376</v>
      </c>
      <c r="AB308" s="968"/>
      <c r="AC308" s="968"/>
      <c r="AD308" s="968"/>
      <c r="AE308" s="968"/>
      <c r="AF308" s="969"/>
      <c r="AG308" s="1" t="s">
        <v>1263</v>
      </c>
      <c r="AH308" s="1"/>
      <c r="AI308" s="967"/>
      <c r="AJ308" s="968"/>
      <c r="AK308" s="969"/>
    </row>
    <row r="309" spans="2:72" ht="12.75" customHeight="1">
      <c r="B309" s="1" t="s">
        <v>1264</v>
      </c>
      <c r="C309" s="1"/>
      <c r="D309" s="1"/>
      <c r="E309" s="1"/>
      <c r="F309" s="1"/>
      <c r="G309" s="1"/>
      <c r="H309" s="972"/>
      <c r="I309" s="921"/>
      <c r="J309" s="921"/>
      <c r="K309" s="921"/>
      <c r="L309" s="921"/>
      <c r="M309" s="971"/>
      <c r="N309" s="1"/>
      <c r="O309" s="1"/>
      <c r="P309" s="17"/>
      <c r="Q309" s="17"/>
      <c r="R309" s="17"/>
      <c r="S309" s="1"/>
      <c r="T309" s="1" t="s">
        <v>1264</v>
      </c>
      <c r="V309" s="1"/>
      <c r="W309" s="1"/>
      <c r="X309" s="1"/>
      <c r="Y309" s="1"/>
      <c r="AA309" s="972"/>
      <c r="AB309" s="921"/>
      <c r="AC309" s="921"/>
      <c r="AD309" s="921"/>
      <c r="AE309" s="921"/>
      <c r="AF309" s="971"/>
      <c r="AG309" s="1"/>
      <c r="AH309" s="1"/>
      <c r="AI309" s="17"/>
      <c r="AJ309" s="17"/>
      <c r="AK309" s="17"/>
    </row>
    <row r="310" spans="2:72" ht="12.75" customHeight="1">
      <c r="B310" s="1" t="s">
        <v>1360</v>
      </c>
      <c r="C310" s="1"/>
      <c r="D310" s="1"/>
      <c r="E310" s="1"/>
      <c r="F310" s="1"/>
      <c r="G310" s="1"/>
      <c r="H310" s="970" t="s">
        <v>1377</v>
      </c>
      <c r="I310" s="921"/>
      <c r="J310" s="921"/>
      <c r="K310" s="921"/>
      <c r="L310" s="921"/>
      <c r="M310" s="921"/>
      <c r="N310" s="921"/>
      <c r="O310" s="921"/>
      <c r="P310" s="921"/>
      <c r="Q310" s="921"/>
      <c r="R310" s="971"/>
      <c r="S310" s="1"/>
      <c r="T310" s="1" t="s">
        <v>1360</v>
      </c>
      <c r="V310" s="1"/>
      <c r="W310" s="1"/>
      <c r="X310" s="1"/>
      <c r="Y310" s="1"/>
      <c r="AA310" s="970" t="s">
        <v>1378</v>
      </c>
      <c r="AB310" s="921"/>
      <c r="AC310" s="921"/>
      <c r="AD310" s="921"/>
      <c r="AE310" s="921"/>
      <c r="AF310" s="921"/>
      <c r="AG310" s="921"/>
      <c r="AH310" s="921"/>
      <c r="AI310" s="921"/>
      <c r="AJ310" s="921"/>
      <c r="AK310" s="971"/>
    </row>
    <row r="311" spans="2:72" ht="12.75" customHeight="1"/>
    <row r="312" spans="2:72" ht="12.75" customHeight="1">
      <c r="B312" s="1" t="s">
        <v>1379</v>
      </c>
      <c r="C312" s="1"/>
      <c r="D312" s="1"/>
      <c r="E312" s="1"/>
      <c r="F312" s="1"/>
      <c r="H312" s="967" t="s">
        <v>1380</v>
      </c>
      <c r="I312" s="968"/>
      <c r="J312" s="968"/>
      <c r="K312" s="968"/>
      <c r="L312" s="968"/>
      <c r="M312" s="968"/>
      <c r="N312" s="968"/>
      <c r="O312" s="968"/>
      <c r="P312" s="968"/>
      <c r="Q312" s="968"/>
      <c r="R312" s="969"/>
      <c r="T312" s="1" t="s">
        <v>1381</v>
      </c>
      <c r="V312" s="1"/>
      <c r="W312" s="1"/>
      <c r="X312" s="1"/>
      <c r="Y312" s="1"/>
      <c r="AA312" s="967" t="s">
        <v>1382</v>
      </c>
      <c r="AB312" s="968"/>
      <c r="AC312" s="968"/>
      <c r="AD312" s="968"/>
      <c r="AE312" s="968"/>
      <c r="AF312" s="968"/>
      <c r="AG312" s="968"/>
      <c r="AH312" s="968"/>
      <c r="AI312" s="968"/>
      <c r="AJ312" s="968"/>
      <c r="AK312" s="969"/>
    </row>
    <row r="313" spans="2:72" ht="12.75" customHeight="1">
      <c r="B313" s="1" t="s">
        <v>1347</v>
      </c>
      <c r="C313" s="1"/>
      <c r="D313" s="1"/>
      <c r="E313" s="1"/>
      <c r="F313" s="1"/>
      <c r="H313" s="970" t="s">
        <v>1383</v>
      </c>
      <c r="I313" s="921"/>
      <c r="J313" s="921"/>
      <c r="K313" s="921"/>
      <c r="L313" s="921"/>
      <c r="M313" s="921"/>
      <c r="N313" s="921"/>
      <c r="O313" s="921"/>
      <c r="P313" s="921"/>
      <c r="Q313" s="921"/>
      <c r="R313" s="971"/>
      <c r="T313" s="1" t="s">
        <v>1347</v>
      </c>
      <c r="V313" s="1"/>
      <c r="W313" s="1"/>
      <c r="X313" s="1"/>
      <c r="Y313" s="1"/>
      <c r="AA313" s="970" t="s">
        <v>1384</v>
      </c>
      <c r="AB313" s="921"/>
      <c r="AC313" s="921"/>
      <c r="AD313" s="921"/>
      <c r="AE313" s="921"/>
      <c r="AF313" s="921"/>
      <c r="AG313" s="921"/>
      <c r="AH313" s="921"/>
      <c r="AI313" s="921"/>
      <c r="AJ313" s="921"/>
      <c r="AK313" s="971"/>
    </row>
    <row r="314" spans="2:72" ht="12.75" customHeight="1">
      <c r="B314" s="1" t="s">
        <v>1352</v>
      </c>
      <c r="C314" s="1"/>
      <c r="D314" s="1"/>
      <c r="E314" s="1"/>
      <c r="F314" s="1"/>
      <c r="H314" s="970" t="s">
        <v>1385</v>
      </c>
      <c r="I314" s="921"/>
      <c r="J314" s="921"/>
      <c r="K314" s="921"/>
      <c r="L314" s="921"/>
      <c r="M314" s="921"/>
      <c r="N314" s="921"/>
      <c r="O314" s="921"/>
      <c r="P314" s="921"/>
      <c r="Q314" s="921"/>
      <c r="R314" s="971"/>
      <c r="T314" s="1" t="s">
        <v>1354</v>
      </c>
      <c r="V314" s="1"/>
      <c r="W314" s="1"/>
      <c r="X314" s="1"/>
      <c r="Y314" s="1"/>
      <c r="AA314" s="970" t="s">
        <v>1386</v>
      </c>
      <c r="AB314" s="921"/>
      <c r="AC314" s="921"/>
      <c r="AD314" s="921"/>
      <c r="AE314" s="921"/>
      <c r="AF314" s="921"/>
      <c r="AG314" s="921"/>
      <c r="AH314" s="921"/>
      <c r="AI314" s="921"/>
      <c r="AJ314" s="921"/>
      <c r="AK314" s="971"/>
    </row>
    <row r="315" spans="2:72" ht="12.75" customHeight="1">
      <c r="B315" s="1" t="s">
        <v>1259</v>
      </c>
      <c r="C315" s="1"/>
      <c r="D315" s="1"/>
      <c r="E315" s="1"/>
      <c r="F315" s="1"/>
      <c r="H315" s="970" t="s">
        <v>1387</v>
      </c>
      <c r="I315" s="921"/>
      <c r="J315" s="921"/>
      <c r="K315" s="921"/>
      <c r="L315" s="921"/>
      <c r="M315" s="921"/>
      <c r="N315" s="921"/>
      <c r="O315" s="921"/>
      <c r="P315" s="921"/>
      <c r="Q315" s="921"/>
      <c r="R315" s="971"/>
      <c r="T315" s="1" t="s">
        <v>1259</v>
      </c>
      <c r="V315" s="1"/>
      <c r="W315" s="1"/>
      <c r="X315" s="1"/>
      <c r="Y315" s="1"/>
      <c r="AA315" s="970" t="s">
        <v>1388</v>
      </c>
      <c r="AB315" s="921"/>
      <c r="AC315" s="921"/>
      <c r="AD315" s="921"/>
      <c r="AE315" s="921"/>
      <c r="AF315" s="921"/>
      <c r="AG315" s="921"/>
      <c r="AH315" s="921"/>
      <c r="AI315" s="921"/>
      <c r="AJ315" s="921"/>
      <c r="AK315" s="971"/>
    </row>
    <row r="316" spans="2:72" ht="12.75" customHeight="1">
      <c r="B316" s="1" t="s">
        <v>1261</v>
      </c>
      <c r="C316" s="1"/>
      <c r="D316" s="1"/>
      <c r="E316" s="1"/>
      <c r="F316" s="1"/>
      <c r="G316" s="1"/>
      <c r="H316" s="1105" t="s">
        <v>1389</v>
      </c>
      <c r="I316" s="968"/>
      <c r="J316" s="968"/>
      <c r="K316" s="968"/>
      <c r="L316" s="968"/>
      <c r="M316" s="969"/>
      <c r="N316" s="1" t="s">
        <v>1263</v>
      </c>
      <c r="O316" s="1"/>
      <c r="P316" s="967"/>
      <c r="Q316" s="968"/>
      <c r="R316" s="969"/>
      <c r="S316" s="1"/>
      <c r="T316" s="1" t="s">
        <v>1261</v>
      </c>
      <c r="V316" s="1"/>
      <c r="W316" s="1"/>
      <c r="X316" s="1"/>
      <c r="Y316" s="1"/>
      <c r="AA316" s="1105" t="s">
        <v>1390</v>
      </c>
      <c r="AB316" s="968"/>
      <c r="AC316" s="968"/>
      <c r="AD316" s="968"/>
      <c r="AE316" s="968"/>
      <c r="AF316" s="969"/>
      <c r="AG316" s="1" t="s">
        <v>1263</v>
      </c>
      <c r="AH316" s="1"/>
      <c r="AI316" s="967"/>
      <c r="AJ316" s="968"/>
      <c r="AK316" s="969"/>
    </row>
    <row r="317" spans="2:72" ht="12.75" customHeight="1">
      <c r="B317" s="1" t="s">
        <v>1264</v>
      </c>
      <c r="C317" s="1"/>
      <c r="D317" s="1"/>
      <c r="E317" s="1"/>
      <c r="F317" s="1"/>
      <c r="G317" s="1"/>
      <c r="H317" s="972"/>
      <c r="I317" s="921"/>
      <c r="J317" s="921"/>
      <c r="K317" s="921"/>
      <c r="L317" s="921"/>
      <c r="M317" s="971"/>
      <c r="N317" s="1"/>
      <c r="O317" s="1"/>
      <c r="P317" s="17"/>
      <c r="Q317" s="17"/>
      <c r="R317" s="17"/>
      <c r="S317" s="1"/>
      <c r="T317" s="1" t="s">
        <v>1264</v>
      </c>
      <c r="V317" s="1"/>
      <c r="W317" s="1"/>
      <c r="X317" s="1"/>
      <c r="Y317" s="1"/>
      <c r="AA317" s="972"/>
      <c r="AB317" s="921"/>
      <c r="AC317" s="921"/>
      <c r="AD317" s="921"/>
      <c r="AE317" s="921"/>
      <c r="AF317" s="971"/>
      <c r="AG317" s="1"/>
      <c r="AH317" s="1"/>
      <c r="AI317" s="17"/>
      <c r="AJ317" s="17"/>
      <c r="AK317" s="17"/>
    </row>
    <row r="318" spans="2:72" ht="12.75" customHeight="1">
      <c r="B318" s="1" t="s">
        <v>1360</v>
      </c>
      <c r="C318" s="1"/>
      <c r="D318" s="1"/>
      <c r="E318" s="1"/>
      <c r="F318" s="1"/>
      <c r="G318" s="1"/>
      <c r="H318" s="970" t="s">
        <v>1391</v>
      </c>
      <c r="I318" s="921"/>
      <c r="J318" s="921"/>
      <c r="K318" s="921"/>
      <c r="L318" s="921"/>
      <c r="M318" s="921"/>
      <c r="N318" s="921"/>
      <c r="O318" s="921"/>
      <c r="P318" s="921"/>
      <c r="Q318" s="921"/>
      <c r="R318" s="971"/>
      <c r="S318" s="1"/>
      <c r="T318" s="1" t="s">
        <v>1360</v>
      </c>
      <c r="V318" s="1"/>
      <c r="W318" s="1"/>
      <c r="X318" s="1"/>
      <c r="Y318" s="1"/>
      <c r="AA318" s="970" t="s">
        <v>1392</v>
      </c>
      <c r="AB318" s="921"/>
      <c r="AC318" s="921"/>
      <c r="AD318" s="921"/>
      <c r="AE318" s="921"/>
      <c r="AF318" s="921"/>
      <c r="AG318" s="921"/>
      <c r="AH318" s="921"/>
      <c r="AI318" s="921"/>
      <c r="AJ318" s="921"/>
      <c r="AK318" s="971"/>
    </row>
    <row r="319" spans="2:72" ht="12.75" customHeight="1">
      <c r="B319" s="1"/>
      <c r="C319" s="1"/>
      <c r="D319" s="1"/>
      <c r="E319" s="1"/>
      <c r="F319" s="1"/>
      <c r="G319" s="1"/>
      <c r="H319" s="17"/>
      <c r="I319" s="17"/>
      <c r="J319" s="17"/>
      <c r="K319" s="17"/>
      <c r="L319" s="17"/>
      <c r="M319" s="17"/>
      <c r="N319" s="17"/>
      <c r="O319" s="17"/>
      <c r="P319" s="17"/>
      <c r="Q319" s="17"/>
      <c r="R319" s="17"/>
      <c r="S319" s="1"/>
      <c r="T319" s="1"/>
      <c r="V319" s="1"/>
      <c r="W319" s="1"/>
      <c r="X319" s="1"/>
      <c r="Y319" s="1"/>
      <c r="AA319" s="17"/>
      <c r="AB319" s="17"/>
      <c r="AC319" s="17"/>
      <c r="AD319" s="17"/>
      <c r="AE319" s="17"/>
      <c r="AF319" s="17"/>
      <c r="AG319" s="17"/>
      <c r="AH319" s="17"/>
      <c r="AI319" s="17"/>
      <c r="AJ319" s="17"/>
      <c r="AK319" s="17"/>
    </row>
    <row r="320" spans="2:72" ht="12.75" customHeight="1">
      <c r="B320" s="1" t="s">
        <v>1393</v>
      </c>
      <c r="C320" s="1"/>
      <c r="D320" s="1"/>
      <c r="E320" s="1"/>
      <c r="F320" s="1"/>
      <c r="H320" s="967" t="s">
        <v>1380</v>
      </c>
      <c r="I320" s="968"/>
      <c r="J320" s="968"/>
      <c r="K320" s="968"/>
      <c r="L320" s="968"/>
      <c r="M320" s="968"/>
      <c r="N320" s="968"/>
      <c r="O320" s="968"/>
      <c r="P320" s="968"/>
      <c r="Q320" s="968"/>
      <c r="R320" s="969"/>
      <c r="S320" s="1"/>
      <c r="T320" s="1" t="s">
        <v>1394</v>
      </c>
      <c r="V320" s="1"/>
      <c r="W320" s="1"/>
      <c r="X320" s="1"/>
      <c r="Y320" s="1"/>
      <c r="AA320" s="967" t="s">
        <v>1395</v>
      </c>
      <c r="AB320" s="968"/>
      <c r="AC320" s="968"/>
      <c r="AD320" s="968"/>
      <c r="AE320" s="968"/>
      <c r="AF320" s="968"/>
      <c r="AG320" s="968"/>
      <c r="AH320" s="968"/>
      <c r="AI320" s="968"/>
      <c r="AJ320" s="968"/>
      <c r="AK320" s="969"/>
    </row>
    <row r="321" spans="2:37" ht="12.75" customHeight="1">
      <c r="B321" s="1" t="s">
        <v>1347</v>
      </c>
      <c r="C321" s="1"/>
      <c r="D321" s="1"/>
      <c r="E321" s="1"/>
      <c r="F321" s="1"/>
      <c r="H321" s="970" t="s">
        <v>1383</v>
      </c>
      <c r="I321" s="921"/>
      <c r="J321" s="921"/>
      <c r="K321" s="921"/>
      <c r="L321" s="921"/>
      <c r="M321" s="921"/>
      <c r="N321" s="921"/>
      <c r="O321" s="921"/>
      <c r="P321" s="921"/>
      <c r="Q321" s="921"/>
      <c r="R321" s="971"/>
      <c r="S321" s="1"/>
      <c r="T321" s="1" t="s">
        <v>1347</v>
      </c>
      <c r="V321" s="1"/>
      <c r="W321" s="1"/>
      <c r="X321" s="1"/>
      <c r="Y321" s="1"/>
      <c r="AA321" s="970"/>
      <c r="AB321" s="921"/>
      <c r="AC321" s="921"/>
      <c r="AD321" s="921"/>
      <c r="AE321" s="921"/>
      <c r="AF321" s="921"/>
      <c r="AG321" s="921"/>
      <c r="AH321" s="921"/>
      <c r="AI321" s="921"/>
      <c r="AJ321" s="921"/>
      <c r="AK321" s="971"/>
    </row>
    <row r="322" spans="2:37" ht="12.75" customHeight="1">
      <c r="B322" s="1" t="s">
        <v>1352</v>
      </c>
      <c r="C322" s="1"/>
      <c r="D322" s="1"/>
      <c r="E322" s="1"/>
      <c r="F322" s="1"/>
      <c r="H322" s="970" t="s">
        <v>1385</v>
      </c>
      <c r="I322" s="921"/>
      <c r="J322" s="921"/>
      <c r="K322" s="921"/>
      <c r="L322" s="921"/>
      <c r="M322" s="921"/>
      <c r="N322" s="921"/>
      <c r="O322" s="921"/>
      <c r="P322" s="921"/>
      <c r="Q322" s="921"/>
      <c r="R322" s="971"/>
      <c r="S322" s="1"/>
      <c r="T322" s="1" t="s">
        <v>1354</v>
      </c>
      <c r="V322" s="1"/>
      <c r="W322" s="1"/>
      <c r="X322" s="1"/>
      <c r="Y322" s="1"/>
      <c r="AA322" s="970"/>
      <c r="AB322" s="921"/>
      <c r="AC322" s="921"/>
      <c r="AD322" s="921"/>
      <c r="AE322" s="921"/>
      <c r="AF322" s="921"/>
      <c r="AG322" s="921"/>
      <c r="AH322" s="921"/>
      <c r="AI322" s="921"/>
      <c r="AJ322" s="921"/>
      <c r="AK322" s="971"/>
    </row>
    <row r="323" spans="2:37" ht="12.75" customHeight="1">
      <c r="B323" s="1" t="s">
        <v>1259</v>
      </c>
      <c r="C323" s="1"/>
      <c r="D323" s="1"/>
      <c r="E323" s="1"/>
      <c r="F323" s="1"/>
      <c r="H323" s="970" t="s">
        <v>1387</v>
      </c>
      <c r="I323" s="921"/>
      <c r="J323" s="921"/>
      <c r="K323" s="921"/>
      <c r="L323" s="921"/>
      <c r="M323" s="921"/>
      <c r="N323" s="921"/>
      <c r="O323" s="921"/>
      <c r="P323" s="921"/>
      <c r="Q323" s="921"/>
      <c r="R323" s="971"/>
      <c r="S323" s="1"/>
      <c r="T323" s="1" t="s">
        <v>1259</v>
      </c>
      <c r="V323" s="1"/>
      <c r="W323" s="1"/>
      <c r="X323" s="1"/>
      <c r="Y323" s="1"/>
      <c r="AA323" s="970" t="s">
        <v>1396</v>
      </c>
      <c r="AB323" s="921"/>
      <c r="AC323" s="921"/>
      <c r="AD323" s="921"/>
      <c r="AE323" s="921"/>
      <c r="AF323" s="921"/>
      <c r="AG323" s="921"/>
      <c r="AH323" s="921"/>
      <c r="AI323" s="921"/>
      <c r="AJ323" s="921"/>
      <c r="AK323" s="971"/>
    </row>
    <row r="324" spans="2:37" ht="12.75" customHeight="1">
      <c r="B324" s="1" t="s">
        <v>1261</v>
      </c>
      <c r="C324" s="1"/>
      <c r="D324" s="1"/>
      <c r="E324" s="1"/>
      <c r="F324" s="1"/>
      <c r="G324" s="1"/>
      <c r="H324" s="1105" t="s">
        <v>1389</v>
      </c>
      <c r="I324" s="968"/>
      <c r="J324" s="968"/>
      <c r="K324" s="968"/>
      <c r="L324" s="968"/>
      <c r="M324" s="969"/>
      <c r="N324" s="1" t="s">
        <v>1263</v>
      </c>
      <c r="O324" s="1"/>
      <c r="P324" s="967"/>
      <c r="Q324" s="968"/>
      <c r="R324" s="969"/>
      <c r="S324" s="1"/>
      <c r="T324" s="1" t="s">
        <v>1261</v>
      </c>
      <c r="V324" s="1"/>
      <c r="W324" s="1"/>
      <c r="X324" s="1"/>
      <c r="Y324" s="1"/>
      <c r="AA324" s="1105">
        <v>7144730535</v>
      </c>
      <c r="AB324" s="968"/>
      <c r="AC324" s="968"/>
      <c r="AD324" s="968"/>
      <c r="AE324" s="968"/>
      <c r="AF324" s="969"/>
      <c r="AG324" s="1" t="s">
        <v>1263</v>
      </c>
      <c r="AH324" s="1"/>
      <c r="AI324" s="967"/>
      <c r="AJ324" s="968"/>
      <c r="AK324" s="969"/>
    </row>
    <row r="325" spans="2:37" ht="12.75" customHeight="1">
      <c r="B325" s="1" t="s">
        <v>1264</v>
      </c>
      <c r="C325" s="1"/>
      <c r="D325" s="1"/>
      <c r="E325" s="1"/>
      <c r="F325" s="1"/>
      <c r="G325" s="1"/>
      <c r="H325" s="972"/>
      <c r="I325" s="921"/>
      <c r="J325" s="921"/>
      <c r="K325" s="921"/>
      <c r="L325" s="921"/>
      <c r="M325" s="971"/>
      <c r="N325" s="1"/>
      <c r="O325" s="1"/>
      <c r="P325" s="17"/>
      <c r="Q325" s="17"/>
      <c r="R325" s="17"/>
      <c r="S325" s="1"/>
      <c r="T325" s="1" t="s">
        <v>1264</v>
      </c>
      <c r="V325" s="1"/>
      <c r="W325" s="1"/>
      <c r="X325" s="1"/>
      <c r="Y325" s="1"/>
      <c r="AA325" s="972"/>
      <c r="AB325" s="921"/>
      <c r="AC325" s="921"/>
      <c r="AD325" s="921"/>
      <c r="AE325" s="921"/>
      <c r="AF325" s="971"/>
      <c r="AG325" s="1"/>
      <c r="AH325" s="1"/>
      <c r="AI325" s="17"/>
      <c r="AJ325" s="17"/>
      <c r="AK325" s="17"/>
    </row>
    <row r="326" spans="2:37" ht="12.75" customHeight="1">
      <c r="B326" s="1" t="s">
        <v>1360</v>
      </c>
      <c r="C326" s="1"/>
      <c r="D326" s="1"/>
      <c r="E326" s="1"/>
      <c r="F326" s="1"/>
      <c r="G326" s="1"/>
      <c r="H326" s="970" t="s">
        <v>1391</v>
      </c>
      <c r="I326" s="921"/>
      <c r="J326" s="921"/>
      <c r="K326" s="921"/>
      <c r="L326" s="921"/>
      <c r="M326" s="921"/>
      <c r="N326" s="921"/>
      <c r="O326" s="921"/>
      <c r="P326" s="921"/>
      <c r="Q326" s="921"/>
      <c r="R326" s="971"/>
      <c r="S326" s="1"/>
      <c r="T326" s="1" t="s">
        <v>1360</v>
      </c>
      <c r="V326" s="1"/>
      <c r="W326" s="1"/>
      <c r="X326" s="1"/>
      <c r="Y326" s="1"/>
      <c r="AA326" s="970" t="s">
        <v>1397</v>
      </c>
      <c r="AB326" s="921"/>
      <c r="AC326" s="921"/>
      <c r="AD326" s="921"/>
      <c r="AE326" s="921"/>
      <c r="AF326" s="921"/>
      <c r="AG326" s="921"/>
      <c r="AH326" s="921"/>
      <c r="AI326" s="921"/>
      <c r="AJ326" s="921"/>
      <c r="AK326" s="971"/>
    </row>
    <row r="327" spans="2:37" ht="12.75" customHeight="1"/>
    <row r="328" spans="2:37" ht="12.75" customHeight="1">
      <c r="B328" s="1" t="s">
        <v>1398</v>
      </c>
      <c r="C328" s="1"/>
      <c r="D328" s="1"/>
      <c r="E328" s="1"/>
      <c r="F328" s="1"/>
      <c r="H328" s="967"/>
      <c r="I328" s="968"/>
      <c r="J328" s="968"/>
      <c r="K328" s="968"/>
      <c r="L328" s="968"/>
      <c r="M328" s="968"/>
      <c r="N328" s="968"/>
      <c r="O328" s="968"/>
      <c r="P328" s="968"/>
      <c r="Q328" s="968"/>
      <c r="R328" s="969"/>
      <c r="T328" s="1" t="s">
        <v>1399</v>
      </c>
      <c r="V328" s="1"/>
      <c r="W328" s="1"/>
      <c r="X328" s="1"/>
      <c r="Y328" s="1"/>
      <c r="AA328" s="967" t="s">
        <v>1400</v>
      </c>
      <c r="AB328" s="968"/>
      <c r="AC328" s="968"/>
      <c r="AD328" s="968"/>
      <c r="AE328" s="968"/>
      <c r="AF328" s="968"/>
      <c r="AG328" s="968"/>
      <c r="AH328" s="968"/>
      <c r="AI328" s="968"/>
      <c r="AJ328" s="968"/>
      <c r="AK328" s="969"/>
    </row>
    <row r="329" spans="2:37" ht="12.75" customHeight="1">
      <c r="B329" s="1" t="s">
        <v>1347</v>
      </c>
      <c r="C329" s="1"/>
      <c r="D329" s="1"/>
      <c r="E329" s="1"/>
      <c r="F329" s="1"/>
      <c r="H329" s="970"/>
      <c r="I329" s="921"/>
      <c r="J329" s="921"/>
      <c r="K329" s="921"/>
      <c r="L329" s="921"/>
      <c r="M329" s="921"/>
      <c r="N329" s="921"/>
      <c r="O329" s="921"/>
      <c r="P329" s="921"/>
      <c r="Q329" s="921"/>
      <c r="R329" s="971"/>
      <c r="T329" s="1" t="s">
        <v>1347</v>
      </c>
      <c r="V329" s="1"/>
      <c r="W329" s="1"/>
      <c r="X329" s="1"/>
      <c r="Y329" s="1"/>
      <c r="AA329" s="970" t="s">
        <v>1401</v>
      </c>
      <c r="AB329" s="921"/>
      <c r="AC329" s="921"/>
      <c r="AD329" s="921"/>
      <c r="AE329" s="921"/>
      <c r="AF329" s="921"/>
      <c r="AG329" s="921"/>
      <c r="AH329" s="921"/>
      <c r="AI329" s="921"/>
      <c r="AJ329" s="921"/>
      <c r="AK329" s="971"/>
    </row>
    <row r="330" spans="2:37" ht="12.75" customHeight="1">
      <c r="B330" s="1" t="s">
        <v>1352</v>
      </c>
      <c r="C330" s="1"/>
      <c r="D330" s="1"/>
      <c r="E330" s="1"/>
      <c r="F330" s="1"/>
      <c r="H330" s="970"/>
      <c r="I330" s="921"/>
      <c r="J330" s="921"/>
      <c r="K330" s="921"/>
      <c r="L330" s="921"/>
      <c r="M330" s="921"/>
      <c r="N330" s="921"/>
      <c r="O330" s="921"/>
      <c r="P330" s="921"/>
      <c r="Q330" s="921"/>
      <c r="R330" s="971"/>
      <c r="T330" s="1" t="s">
        <v>1354</v>
      </c>
      <c r="V330" s="1"/>
      <c r="W330" s="1"/>
      <c r="X330" s="1"/>
      <c r="Y330" s="1"/>
      <c r="AA330" s="970" t="s">
        <v>1402</v>
      </c>
      <c r="AB330" s="921"/>
      <c r="AC330" s="921"/>
      <c r="AD330" s="921"/>
      <c r="AE330" s="921"/>
      <c r="AF330" s="921"/>
      <c r="AG330" s="921"/>
      <c r="AH330" s="921"/>
      <c r="AI330" s="921"/>
      <c r="AJ330" s="921"/>
      <c r="AK330" s="971"/>
    </row>
    <row r="331" spans="2:37" ht="12.75" customHeight="1">
      <c r="B331" s="1" t="s">
        <v>1259</v>
      </c>
      <c r="C331" s="1"/>
      <c r="D331" s="1"/>
      <c r="E331" s="1"/>
      <c r="F331" s="1"/>
      <c r="H331" s="970"/>
      <c r="I331" s="921"/>
      <c r="J331" s="921"/>
      <c r="K331" s="921"/>
      <c r="L331" s="921"/>
      <c r="M331" s="921"/>
      <c r="N331" s="921"/>
      <c r="O331" s="921"/>
      <c r="P331" s="921"/>
      <c r="Q331" s="921"/>
      <c r="R331" s="971"/>
      <c r="T331" s="1" t="s">
        <v>1259</v>
      </c>
      <c r="V331" s="1"/>
      <c r="W331" s="1"/>
      <c r="X331" s="1"/>
      <c r="Y331" s="1"/>
      <c r="AA331" s="970" t="s">
        <v>1403</v>
      </c>
      <c r="AB331" s="921"/>
      <c r="AC331" s="921"/>
      <c r="AD331" s="921"/>
      <c r="AE331" s="921"/>
      <c r="AF331" s="921"/>
      <c r="AG331" s="921"/>
      <c r="AH331" s="921"/>
      <c r="AI331" s="921"/>
      <c r="AJ331" s="921"/>
      <c r="AK331" s="971"/>
    </row>
    <row r="332" spans="2:37" ht="12.75" customHeight="1">
      <c r="B332" s="1" t="s">
        <v>1261</v>
      </c>
      <c r="C332" s="1"/>
      <c r="D332" s="1"/>
      <c r="E332" s="1"/>
      <c r="F332" s="1"/>
      <c r="G332" s="1"/>
      <c r="H332" s="1105"/>
      <c r="I332" s="968"/>
      <c r="J332" s="968"/>
      <c r="K332" s="968"/>
      <c r="L332" s="968"/>
      <c r="M332" s="969"/>
      <c r="N332" s="1" t="s">
        <v>1263</v>
      </c>
      <c r="O332" s="1"/>
      <c r="P332" s="967"/>
      <c r="Q332" s="968"/>
      <c r="R332" s="969"/>
      <c r="S332" s="1"/>
      <c r="T332" s="1" t="s">
        <v>1261</v>
      </c>
      <c r="V332" s="1"/>
      <c r="W332" s="1"/>
      <c r="X332" s="1"/>
      <c r="Y332" s="1"/>
      <c r="AA332" s="1105" t="s">
        <v>1404</v>
      </c>
      <c r="AB332" s="968"/>
      <c r="AC332" s="968"/>
      <c r="AD332" s="968"/>
      <c r="AE332" s="968"/>
      <c r="AF332" s="969"/>
      <c r="AG332" s="1" t="s">
        <v>1263</v>
      </c>
      <c r="AH332" s="1"/>
      <c r="AI332" s="967"/>
      <c r="AJ332" s="968"/>
      <c r="AK332" s="969"/>
    </row>
    <row r="333" spans="2:37" ht="12.75" customHeight="1">
      <c r="B333" s="1" t="s">
        <v>1264</v>
      </c>
      <c r="C333" s="1"/>
      <c r="D333" s="1"/>
      <c r="E333" s="1"/>
      <c r="F333" s="1"/>
      <c r="G333" s="1"/>
      <c r="H333" s="972"/>
      <c r="I333" s="921"/>
      <c r="J333" s="921"/>
      <c r="K333" s="921"/>
      <c r="L333" s="921"/>
      <c r="M333" s="971"/>
      <c r="N333" s="1"/>
      <c r="O333" s="1"/>
      <c r="P333" s="17"/>
      <c r="Q333" s="17"/>
      <c r="R333" s="17"/>
      <c r="S333" s="1"/>
      <c r="T333" s="1" t="s">
        <v>1264</v>
      </c>
      <c r="V333" s="1"/>
      <c r="W333" s="1"/>
      <c r="X333" s="1"/>
      <c r="Y333" s="1"/>
      <c r="AA333" s="972"/>
      <c r="AB333" s="921"/>
      <c r="AC333" s="921"/>
      <c r="AD333" s="921"/>
      <c r="AE333" s="921"/>
      <c r="AF333" s="971"/>
      <c r="AG333" s="1"/>
      <c r="AH333" s="1"/>
      <c r="AI333" s="17"/>
      <c r="AJ333" s="17"/>
      <c r="AK333" s="17"/>
    </row>
    <row r="334" spans="2:37" ht="12.75" customHeight="1">
      <c r="B334" s="1" t="s">
        <v>1360</v>
      </c>
      <c r="C334" s="1"/>
      <c r="D334" s="1"/>
      <c r="E334" s="1"/>
      <c r="F334" s="1"/>
      <c r="G334" s="1"/>
      <c r="H334" s="970"/>
      <c r="I334" s="921"/>
      <c r="J334" s="921"/>
      <c r="K334" s="921"/>
      <c r="L334" s="921"/>
      <c r="M334" s="921"/>
      <c r="N334" s="921"/>
      <c r="O334" s="921"/>
      <c r="P334" s="921"/>
      <c r="Q334" s="921"/>
      <c r="R334" s="971"/>
      <c r="S334" s="1"/>
      <c r="T334" s="1" t="s">
        <v>1360</v>
      </c>
      <c r="V334" s="1"/>
      <c r="W334" s="1"/>
      <c r="X334" s="1"/>
      <c r="Y334" s="1"/>
      <c r="AA334" s="970" t="s">
        <v>1405</v>
      </c>
      <c r="AB334" s="921"/>
      <c r="AC334" s="921"/>
      <c r="AD334" s="921"/>
      <c r="AE334" s="921"/>
      <c r="AF334" s="921"/>
      <c r="AG334" s="921"/>
      <c r="AH334" s="921"/>
      <c r="AI334" s="921"/>
      <c r="AJ334" s="921"/>
      <c r="AK334" s="971"/>
    </row>
    <row r="335" spans="2:37" ht="12.75" customHeight="1">
      <c r="B335" s="1"/>
      <c r="C335" s="1"/>
      <c r="D335" s="1"/>
      <c r="E335" s="1"/>
      <c r="F335" s="1"/>
      <c r="G335" s="1"/>
      <c r="P335" s="170"/>
      <c r="Q335" s="170"/>
      <c r="R335" s="170"/>
      <c r="S335" s="170"/>
      <c r="T335" s="170"/>
      <c r="U335" s="170"/>
      <c r="V335" s="1"/>
      <c r="W335" s="1"/>
      <c r="X335" s="17"/>
      <c r="Y335" s="17"/>
      <c r="Z335" s="17"/>
    </row>
    <row r="336" spans="2:37" ht="12.75" customHeight="1">
      <c r="B336" s="1" t="s">
        <v>1406</v>
      </c>
      <c r="C336" s="1"/>
      <c r="D336" s="1"/>
      <c r="E336" s="1"/>
      <c r="F336" s="1"/>
      <c r="H336" s="967" t="s">
        <v>1407</v>
      </c>
      <c r="I336" s="968"/>
      <c r="J336" s="968"/>
      <c r="K336" s="968"/>
      <c r="L336" s="968"/>
      <c r="M336" s="968"/>
      <c r="N336" s="968"/>
      <c r="O336" s="968"/>
      <c r="P336" s="968"/>
      <c r="Q336" s="968"/>
      <c r="R336" s="969"/>
      <c r="T336" s="1" t="s">
        <v>1408</v>
      </c>
      <c r="V336" s="1"/>
      <c r="W336" s="1"/>
      <c r="X336" s="1"/>
      <c r="Y336" s="1"/>
      <c r="AA336" s="967" t="s">
        <v>1382</v>
      </c>
      <c r="AB336" s="968"/>
      <c r="AC336" s="968"/>
      <c r="AD336" s="968"/>
      <c r="AE336" s="968"/>
      <c r="AF336" s="968"/>
      <c r="AG336" s="968"/>
      <c r="AH336" s="968"/>
      <c r="AI336" s="968"/>
      <c r="AJ336" s="968"/>
      <c r="AK336" s="969"/>
    </row>
    <row r="337" spans="2:66" ht="12.75" customHeight="1">
      <c r="B337" s="1" t="s">
        <v>1347</v>
      </c>
      <c r="C337" s="1"/>
      <c r="D337" s="1"/>
      <c r="E337" s="1"/>
      <c r="F337" s="1"/>
      <c r="H337" s="970" t="s">
        <v>1401</v>
      </c>
      <c r="I337" s="921"/>
      <c r="J337" s="921"/>
      <c r="K337" s="921"/>
      <c r="L337" s="921"/>
      <c r="M337" s="921"/>
      <c r="N337" s="921"/>
      <c r="O337" s="921"/>
      <c r="P337" s="921"/>
      <c r="Q337" s="921"/>
      <c r="R337" s="971"/>
      <c r="T337" s="1" t="s">
        <v>1347</v>
      </c>
      <c r="V337" s="1"/>
      <c r="W337" s="1"/>
      <c r="X337" s="1"/>
      <c r="Y337" s="1"/>
      <c r="AA337" s="970" t="s">
        <v>1384</v>
      </c>
      <c r="AB337" s="921"/>
      <c r="AC337" s="921"/>
      <c r="AD337" s="921"/>
      <c r="AE337" s="921"/>
      <c r="AF337" s="921"/>
      <c r="AG337" s="921"/>
      <c r="AH337" s="921"/>
      <c r="AI337" s="921"/>
      <c r="AJ337" s="921"/>
      <c r="AK337" s="971"/>
    </row>
    <row r="338" spans="2:66" ht="12.75" customHeight="1">
      <c r="B338" s="1" t="s">
        <v>1352</v>
      </c>
      <c r="C338" s="1"/>
      <c r="D338" s="1"/>
      <c r="E338" s="1"/>
      <c r="F338" s="1"/>
      <c r="H338" s="970" t="s">
        <v>1402</v>
      </c>
      <c r="I338" s="921"/>
      <c r="J338" s="921"/>
      <c r="K338" s="921"/>
      <c r="L338" s="921"/>
      <c r="M338" s="921"/>
      <c r="N338" s="921"/>
      <c r="O338" s="921"/>
      <c r="P338" s="921"/>
      <c r="Q338" s="921"/>
      <c r="R338" s="971"/>
      <c r="T338" s="1" t="s">
        <v>1354</v>
      </c>
      <c r="V338" s="1"/>
      <c r="W338" s="1"/>
      <c r="X338" s="1"/>
      <c r="Y338" s="1"/>
      <c r="AA338" s="970" t="s">
        <v>1386</v>
      </c>
      <c r="AB338" s="921"/>
      <c r="AC338" s="921"/>
      <c r="AD338" s="921"/>
      <c r="AE338" s="921"/>
      <c r="AF338" s="921"/>
      <c r="AG338" s="921"/>
      <c r="AH338" s="921"/>
      <c r="AI338" s="921"/>
      <c r="AJ338" s="921"/>
      <c r="AK338" s="971"/>
    </row>
    <row r="339" spans="2:66" ht="12.75" customHeight="1">
      <c r="B339" s="1" t="s">
        <v>1259</v>
      </c>
      <c r="C339" s="1"/>
      <c r="D339" s="1"/>
      <c r="E339" s="1"/>
      <c r="F339" s="1"/>
      <c r="H339" s="970" t="s">
        <v>1403</v>
      </c>
      <c r="I339" s="921"/>
      <c r="J339" s="921"/>
      <c r="K339" s="921"/>
      <c r="L339" s="921"/>
      <c r="M339" s="921"/>
      <c r="N339" s="921"/>
      <c r="O339" s="921"/>
      <c r="P339" s="921"/>
      <c r="Q339" s="921"/>
      <c r="R339" s="971"/>
      <c r="T339" s="1" t="s">
        <v>1259</v>
      </c>
      <c r="V339" s="1"/>
      <c r="W339" s="1"/>
      <c r="X339" s="1"/>
      <c r="Y339" s="1"/>
      <c r="AA339" s="970" t="s">
        <v>1388</v>
      </c>
      <c r="AB339" s="921"/>
      <c r="AC339" s="921"/>
      <c r="AD339" s="921"/>
      <c r="AE339" s="921"/>
      <c r="AF339" s="921"/>
      <c r="AG339" s="921"/>
      <c r="AH339" s="921"/>
      <c r="AI339" s="921"/>
      <c r="AJ339" s="921"/>
      <c r="AK339" s="971"/>
    </row>
    <row r="340" spans="2:66" ht="12.75" customHeight="1">
      <c r="B340" s="1" t="s">
        <v>1261</v>
      </c>
      <c r="C340" s="1"/>
      <c r="D340" s="1"/>
      <c r="E340" s="1"/>
      <c r="F340" s="1"/>
      <c r="G340" s="1"/>
      <c r="H340" s="1105" t="s">
        <v>1404</v>
      </c>
      <c r="I340" s="968"/>
      <c r="J340" s="968"/>
      <c r="K340" s="968"/>
      <c r="L340" s="968"/>
      <c r="M340" s="969"/>
      <c r="N340" s="1" t="s">
        <v>1263</v>
      </c>
      <c r="O340" s="1"/>
      <c r="P340" s="967"/>
      <c r="Q340" s="968"/>
      <c r="R340" s="969"/>
      <c r="S340" s="1"/>
      <c r="T340" s="1" t="s">
        <v>1261</v>
      </c>
      <c r="V340" s="1"/>
      <c r="W340" s="1"/>
      <c r="X340" s="1"/>
      <c r="Y340" s="1"/>
      <c r="AA340" s="1105" t="s">
        <v>1390</v>
      </c>
      <c r="AB340" s="968"/>
      <c r="AC340" s="968"/>
      <c r="AD340" s="968"/>
      <c r="AE340" s="968"/>
      <c r="AF340" s="969"/>
      <c r="AG340" s="1" t="s">
        <v>1263</v>
      </c>
      <c r="AH340" s="1"/>
      <c r="AI340" s="967"/>
      <c r="AJ340" s="968"/>
      <c r="AK340" s="969"/>
    </row>
    <row r="341" spans="2:66" ht="12.75" customHeight="1">
      <c r="B341" s="1" t="s">
        <v>1264</v>
      </c>
      <c r="C341" s="1"/>
      <c r="D341" s="1"/>
      <c r="E341" s="1"/>
      <c r="F341" s="1"/>
      <c r="G341" s="1"/>
      <c r="H341" s="972"/>
      <c r="I341" s="921"/>
      <c r="J341" s="921"/>
      <c r="K341" s="921"/>
      <c r="L341" s="921"/>
      <c r="M341" s="971"/>
      <c r="N341" s="1"/>
      <c r="O341" s="1"/>
      <c r="P341" s="17"/>
      <c r="Q341" s="17"/>
      <c r="R341" s="17"/>
      <c r="S341" s="1"/>
      <c r="T341" s="1" t="s">
        <v>1264</v>
      </c>
      <c r="V341" s="1"/>
      <c r="W341" s="1"/>
      <c r="X341" s="1"/>
      <c r="Y341" s="1"/>
      <c r="AA341" s="972"/>
      <c r="AB341" s="921"/>
      <c r="AC341" s="921"/>
      <c r="AD341" s="921"/>
      <c r="AE341" s="921"/>
      <c r="AF341" s="971"/>
      <c r="AG341" s="1"/>
      <c r="AH341" s="1"/>
      <c r="AI341" s="17"/>
      <c r="AJ341" s="17"/>
      <c r="AK341" s="17"/>
    </row>
    <row r="342" spans="2:66" ht="12.75" customHeight="1">
      <c r="B342" s="1" t="s">
        <v>1360</v>
      </c>
      <c r="C342" s="1"/>
      <c r="D342" s="1"/>
      <c r="E342" s="1"/>
      <c r="F342" s="1"/>
      <c r="G342" s="1"/>
      <c r="H342" s="970" t="s">
        <v>1405</v>
      </c>
      <c r="I342" s="921"/>
      <c r="J342" s="921"/>
      <c r="K342" s="921"/>
      <c r="L342" s="921"/>
      <c r="M342" s="921"/>
      <c r="N342" s="921"/>
      <c r="O342" s="921"/>
      <c r="P342" s="921"/>
      <c r="Q342" s="921"/>
      <c r="R342" s="971"/>
      <c r="S342" s="1"/>
      <c r="T342" s="1" t="s">
        <v>1360</v>
      </c>
      <c r="V342" s="1"/>
      <c r="W342" s="1"/>
      <c r="X342" s="1"/>
      <c r="Y342" s="1"/>
      <c r="AA342" s="970" t="s">
        <v>1392</v>
      </c>
      <c r="AB342" s="921"/>
      <c r="AC342" s="921"/>
      <c r="AD342" s="921"/>
      <c r="AE342" s="921"/>
      <c r="AF342" s="921"/>
      <c r="AG342" s="921"/>
      <c r="AH342" s="921"/>
      <c r="AI342" s="921"/>
      <c r="AJ342" s="921"/>
      <c r="AK342" s="971"/>
    </row>
    <row r="343" spans="2:66" ht="12.75" customHeight="1">
      <c r="B343" s="1"/>
      <c r="C343" s="1"/>
      <c r="D343" s="1"/>
      <c r="E343" s="1"/>
      <c r="F343" s="1"/>
      <c r="G343" s="1"/>
      <c r="P343" s="170"/>
      <c r="Q343" s="170"/>
      <c r="R343" s="170"/>
      <c r="S343" s="170"/>
      <c r="T343" s="170"/>
      <c r="U343" s="170"/>
      <c r="V343" s="1"/>
      <c r="W343" s="1"/>
      <c r="X343" s="17"/>
      <c r="Y343" s="17"/>
      <c r="Z343" s="17"/>
    </row>
    <row r="344" spans="2:66" ht="12.75" customHeight="1">
      <c r="B344" s="1" t="s">
        <v>1409</v>
      </c>
      <c r="C344" s="1"/>
      <c r="D344" s="1"/>
      <c r="E344" s="1"/>
      <c r="F344" s="1"/>
      <c r="H344" s="967" t="s">
        <v>1225</v>
      </c>
      <c r="I344" s="968"/>
      <c r="J344" s="968"/>
      <c r="K344" s="968"/>
      <c r="L344" s="968"/>
      <c r="M344" s="968"/>
      <c r="N344" s="968"/>
      <c r="O344" s="968"/>
      <c r="P344" s="968"/>
      <c r="Q344" s="968"/>
      <c r="R344" s="969"/>
      <c r="T344" s="1" t="s">
        <v>1410</v>
      </c>
      <c r="V344" s="1"/>
      <c r="W344" s="1"/>
      <c r="X344" s="1"/>
      <c r="Y344" s="1"/>
      <c r="AA344" s="967" t="s">
        <v>1411</v>
      </c>
      <c r="AB344" s="968"/>
      <c r="AC344" s="968"/>
      <c r="AD344" s="968"/>
      <c r="AE344" s="968"/>
      <c r="AF344" s="968"/>
      <c r="AG344" s="968"/>
      <c r="AH344" s="968"/>
      <c r="AI344" s="968"/>
      <c r="AJ344" s="968"/>
      <c r="AK344" s="969"/>
    </row>
    <row r="345" spans="2:66" ht="12.75" customHeight="1">
      <c r="B345" s="1" t="s">
        <v>1347</v>
      </c>
      <c r="C345" s="1"/>
      <c r="D345" s="1"/>
      <c r="E345" s="1"/>
      <c r="F345" s="1"/>
      <c r="H345" s="970" t="s">
        <v>1412</v>
      </c>
      <c r="I345" s="921"/>
      <c r="J345" s="921"/>
      <c r="K345" s="921"/>
      <c r="L345" s="921"/>
      <c r="M345" s="921"/>
      <c r="N345" s="921"/>
      <c r="O345" s="921"/>
      <c r="P345" s="921"/>
      <c r="Q345" s="921"/>
      <c r="R345" s="971"/>
      <c r="T345" s="1" t="s">
        <v>1347</v>
      </c>
      <c r="V345" s="1"/>
      <c r="W345" s="1"/>
      <c r="X345" s="1"/>
      <c r="Y345" s="1"/>
      <c r="AA345" s="970" t="s">
        <v>1413</v>
      </c>
      <c r="AB345" s="921"/>
      <c r="AC345" s="921"/>
      <c r="AD345" s="921"/>
      <c r="AE345" s="921"/>
      <c r="AF345" s="921"/>
      <c r="AG345" s="921"/>
      <c r="AH345" s="921"/>
      <c r="AI345" s="921"/>
      <c r="AJ345" s="921"/>
      <c r="AK345" s="971"/>
    </row>
    <row r="346" spans="2:66" ht="12.75" customHeight="1">
      <c r="B346" s="1" t="s">
        <v>1354</v>
      </c>
      <c r="C346" s="1"/>
      <c r="D346" s="1"/>
      <c r="E346" s="1"/>
      <c r="F346" s="1"/>
      <c r="H346" s="970" t="s">
        <v>1414</v>
      </c>
      <c r="I346" s="921"/>
      <c r="J346" s="921"/>
      <c r="K346" s="921"/>
      <c r="L346" s="921"/>
      <c r="M346" s="921"/>
      <c r="N346" s="921"/>
      <c r="O346" s="921"/>
      <c r="P346" s="921"/>
      <c r="Q346" s="921"/>
      <c r="R346" s="971"/>
      <c r="T346" s="1" t="s">
        <v>1354</v>
      </c>
      <c r="V346" s="1"/>
      <c r="W346" s="1"/>
      <c r="X346" s="1"/>
      <c r="Y346" s="1"/>
      <c r="AA346" s="970" t="s">
        <v>1415</v>
      </c>
      <c r="AB346" s="921"/>
      <c r="AC346" s="921"/>
      <c r="AD346" s="921"/>
      <c r="AE346" s="921"/>
      <c r="AF346" s="921"/>
      <c r="AG346" s="921"/>
      <c r="AH346" s="921"/>
      <c r="AI346" s="921"/>
      <c r="AJ346" s="921"/>
      <c r="AK346" s="971"/>
    </row>
    <row r="347" spans="2:66" ht="12.75" customHeight="1">
      <c r="B347" s="1" t="s">
        <v>1259</v>
      </c>
      <c r="C347" s="1"/>
      <c r="D347" s="1"/>
      <c r="E347" s="1"/>
      <c r="F347" s="1"/>
      <c r="G347" s="1"/>
      <c r="H347" s="970" t="s">
        <v>1416</v>
      </c>
      <c r="I347" s="921"/>
      <c r="J347" s="921"/>
      <c r="K347" s="921"/>
      <c r="L347" s="921"/>
      <c r="M347" s="921"/>
      <c r="N347" s="921"/>
      <c r="O347" s="921"/>
      <c r="P347" s="921"/>
      <c r="Q347" s="921"/>
      <c r="R347" s="971"/>
      <c r="T347" s="1" t="s">
        <v>1259</v>
      </c>
      <c r="V347" s="1"/>
      <c r="W347" s="1"/>
      <c r="X347" s="1"/>
      <c r="Y347" s="1"/>
      <c r="AA347" s="970" t="s">
        <v>1417</v>
      </c>
      <c r="AB347" s="921"/>
      <c r="AC347" s="921"/>
      <c r="AD347" s="921"/>
      <c r="AE347" s="921"/>
      <c r="AF347" s="921"/>
      <c r="AG347" s="921"/>
      <c r="AH347" s="921"/>
      <c r="AI347" s="921"/>
      <c r="AJ347" s="921"/>
      <c r="AK347" s="971"/>
    </row>
    <row r="348" spans="2:66" ht="12.75" customHeight="1">
      <c r="B348" s="1" t="s">
        <v>1261</v>
      </c>
      <c r="C348" s="1"/>
      <c r="D348" s="1"/>
      <c r="E348" s="1"/>
      <c r="F348" s="1"/>
      <c r="G348" s="1"/>
      <c r="H348" s="1105" t="s">
        <v>1418</v>
      </c>
      <c r="I348" s="968"/>
      <c r="J348" s="968"/>
      <c r="K348" s="968"/>
      <c r="L348" s="968"/>
      <c r="M348" s="969"/>
      <c r="N348" s="1" t="s">
        <v>1263</v>
      </c>
      <c r="O348" s="1"/>
      <c r="P348" s="967"/>
      <c r="Q348" s="968"/>
      <c r="R348" s="969"/>
      <c r="S348" s="1"/>
      <c r="T348" s="1" t="s">
        <v>1261</v>
      </c>
      <c r="V348" s="1"/>
      <c r="W348" s="1"/>
      <c r="X348" s="1"/>
      <c r="Y348" s="1"/>
      <c r="AA348" s="1105" t="s">
        <v>1419</v>
      </c>
      <c r="AB348" s="968"/>
      <c r="AC348" s="968"/>
      <c r="AD348" s="968"/>
      <c r="AE348" s="968"/>
      <c r="AF348" s="969"/>
      <c r="AG348" s="1" t="s">
        <v>1263</v>
      </c>
      <c r="AH348" s="1"/>
      <c r="AI348" s="967"/>
      <c r="AJ348" s="968"/>
      <c r="AK348" s="969"/>
    </row>
    <row r="349" spans="2:66" ht="12.75" customHeight="1">
      <c r="B349" s="1" t="s">
        <v>1264</v>
      </c>
      <c r="C349" s="1"/>
      <c r="D349" s="1"/>
      <c r="E349" s="1"/>
      <c r="F349" s="1"/>
      <c r="G349" s="1"/>
      <c r="H349" s="972"/>
      <c r="I349" s="921"/>
      <c r="J349" s="921"/>
      <c r="K349" s="921"/>
      <c r="L349" s="921"/>
      <c r="M349" s="971"/>
      <c r="N349" s="1"/>
      <c r="O349" s="1"/>
      <c r="P349" s="17"/>
      <c r="Q349" s="17"/>
      <c r="R349" s="17"/>
      <c r="S349" s="1"/>
      <c r="T349" s="1" t="s">
        <v>1264</v>
      </c>
      <c r="V349" s="1"/>
      <c r="W349" s="1"/>
      <c r="X349" s="1"/>
      <c r="Y349" s="1"/>
      <c r="AA349" s="972"/>
      <c r="AB349" s="921"/>
      <c r="AC349" s="921"/>
      <c r="AD349" s="921"/>
      <c r="AE349" s="921"/>
      <c r="AF349" s="971"/>
      <c r="AG349" s="1"/>
      <c r="AH349" s="1"/>
      <c r="AI349" s="17"/>
      <c r="AJ349" s="17"/>
      <c r="AK349" s="17"/>
    </row>
    <row r="350" spans="2:66" ht="12.75" customHeight="1">
      <c r="B350" s="1" t="s">
        <v>1360</v>
      </c>
      <c r="C350" s="1"/>
      <c r="D350" s="1"/>
      <c r="E350" s="1"/>
      <c r="F350" s="1"/>
      <c r="G350" s="1"/>
      <c r="H350" s="970" t="s">
        <v>1421</v>
      </c>
      <c r="I350" s="921"/>
      <c r="J350" s="921"/>
      <c r="K350" s="921"/>
      <c r="L350" s="921"/>
      <c r="M350" s="921"/>
      <c r="N350" s="921"/>
      <c r="O350" s="921"/>
      <c r="P350" s="921"/>
      <c r="Q350" s="921"/>
      <c r="R350" s="971"/>
      <c r="S350" s="1"/>
      <c r="T350" s="1" t="s">
        <v>1360</v>
      </c>
      <c r="V350" s="1"/>
      <c r="W350" s="1"/>
      <c r="X350" s="1"/>
      <c r="Y350" s="1"/>
      <c r="AA350" s="970" t="s">
        <v>1422</v>
      </c>
      <c r="AB350" s="921"/>
      <c r="AC350" s="921"/>
      <c r="AD350" s="921"/>
      <c r="AE350" s="921"/>
      <c r="AF350" s="921"/>
      <c r="AG350" s="921"/>
      <c r="AH350" s="921"/>
      <c r="AI350" s="921"/>
      <c r="AJ350" s="921"/>
      <c r="AK350" s="971"/>
    </row>
    <row r="351" spans="2:66" ht="12.75" customHeight="1">
      <c r="B351" s="1"/>
      <c r="C351" s="1"/>
      <c r="D351" s="1"/>
      <c r="E351" s="1"/>
      <c r="F351" s="1"/>
      <c r="G351" s="1"/>
      <c r="H351" s="17"/>
      <c r="I351" s="17"/>
      <c r="J351" s="17"/>
      <c r="K351" s="17"/>
      <c r="L351" s="17"/>
      <c r="M351" s="17"/>
      <c r="N351" s="17"/>
      <c r="O351" s="17"/>
      <c r="P351" s="17"/>
      <c r="Q351" s="17"/>
      <c r="R351" s="17"/>
      <c r="S351" s="1"/>
      <c r="T351" s="1"/>
      <c r="V351" s="1"/>
      <c r="W351" s="1"/>
      <c r="X351" s="1"/>
      <c r="Y351" s="1"/>
      <c r="AA351" s="17"/>
      <c r="AB351" s="17"/>
      <c r="AC351" s="17"/>
      <c r="AD351" s="17"/>
      <c r="AE351" s="17"/>
      <c r="AF351" s="17"/>
      <c r="AG351" s="17"/>
      <c r="AH351" s="17"/>
      <c r="AI351" s="17"/>
      <c r="AJ351" s="17"/>
      <c r="AK351" s="17"/>
      <c r="BN351" s="32" t="s">
        <v>855</v>
      </c>
    </row>
    <row r="352" spans="2:66" ht="12.75" customHeight="1">
      <c r="B352" s="1"/>
      <c r="C352" s="1"/>
      <c r="D352" s="1"/>
      <c r="E352" s="1"/>
      <c r="F352" s="1"/>
      <c r="I352" s="1" t="s">
        <v>1423</v>
      </c>
      <c r="P352" s="967"/>
      <c r="Q352" s="968"/>
      <c r="R352" s="968"/>
      <c r="S352" s="968"/>
      <c r="T352" s="968"/>
      <c r="U352" s="968"/>
      <c r="V352" s="968"/>
      <c r="W352" s="968"/>
      <c r="X352" s="968"/>
      <c r="Y352" s="968"/>
      <c r="Z352" s="968"/>
      <c r="AA352" s="968"/>
      <c r="AB352" s="968"/>
      <c r="AC352" s="968"/>
      <c r="AD352" s="968"/>
      <c r="AE352" s="969"/>
      <c r="BN352" s="32" t="s">
        <v>460</v>
      </c>
    </row>
    <row r="353" spans="1:66" ht="12.75" customHeight="1">
      <c r="B353" s="1"/>
      <c r="C353" s="1"/>
      <c r="D353" s="1"/>
      <c r="E353" s="1"/>
      <c r="F353" s="1"/>
      <c r="I353" s="1" t="s">
        <v>1347</v>
      </c>
      <c r="P353" s="970"/>
      <c r="Q353" s="921"/>
      <c r="R353" s="921"/>
      <c r="S353" s="921"/>
      <c r="T353" s="921"/>
      <c r="U353" s="921"/>
      <c r="V353" s="921"/>
      <c r="W353" s="921"/>
      <c r="X353" s="921"/>
      <c r="Y353" s="921"/>
      <c r="Z353" s="921"/>
      <c r="AA353" s="921"/>
      <c r="AB353" s="921"/>
      <c r="AC353" s="921"/>
      <c r="AD353" s="921"/>
      <c r="AE353" s="971"/>
      <c r="BN353" s="32" t="s">
        <v>901</v>
      </c>
    </row>
    <row r="354" spans="1:66" ht="12.75" customHeight="1">
      <c r="B354" s="1"/>
      <c r="C354" s="1"/>
      <c r="D354" s="1"/>
      <c r="E354" s="1"/>
      <c r="F354" s="1"/>
      <c r="I354" s="1" t="s">
        <v>1354</v>
      </c>
      <c r="P354" s="970"/>
      <c r="Q354" s="921"/>
      <c r="R354" s="921"/>
      <c r="S354" s="921"/>
      <c r="T354" s="921"/>
      <c r="U354" s="921"/>
      <c r="V354" s="921"/>
      <c r="W354" s="921"/>
      <c r="X354" s="921"/>
      <c r="Y354" s="921"/>
      <c r="Z354" s="921"/>
      <c r="AA354" s="921"/>
      <c r="AB354" s="921"/>
      <c r="AC354" s="921"/>
      <c r="AD354" s="921"/>
      <c r="AE354" s="971"/>
    </row>
    <row r="355" spans="1:66" ht="12.75" customHeight="1">
      <c r="B355" s="1"/>
      <c r="C355" s="1"/>
      <c r="D355" s="1"/>
      <c r="E355" s="1"/>
      <c r="F355" s="1"/>
      <c r="G355" s="1"/>
      <c r="I355" s="1" t="s">
        <v>1259</v>
      </c>
      <c r="P355" s="970"/>
      <c r="Q355" s="921"/>
      <c r="R355" s="921"/>
      <c r="S355" s="921"/>
      <c r="T355" s="921"/>
      <c r="U355" s="921"/>
      <c r="V355" s="921"/>
      <c r="W355" s="921"/>
      <c r="X355" s="921"/>
      <c r="Y355" s="921"/>
      <c r="Z355" s="921"/>
      <c r="AA355" s="921"/>
      <c r="AB355" s="921"/>
      <c r="AC355" s="921"/>
      <c r="AD355" s="921"/>
      <c r="AE355" s="971"/>
    </row>
    <row r="356" spans="1:66" ht="12.75" customHeight="1">
      <c r="B356" s="1"/>
      <c r="C356" s="1"/>
      <c r="D356" s="1"/>
      <c r="E356" s="1"/>
      <c r="F356" s="1"/>
      <c r="G356" s="1"/>
      <c r="H356" s="260"/>
      <c r="I356" s="1" t="s">
        <v>1261</v>
      </c>
      <c r="P356" s="972"/>
      <c r="Q356" s="921"/>
      <c r="R356" s="921"/>
      <c r="S356" s="921"/>
      <c r="T356" s="921"/>
      <c r="U356" s="921"/>
      <c r="V356" s="921"/>
      <c r="W356" s="921"/>
      <c r="X356" s="921"/>
      <c r="Y356" s="921"/>
      <c r="Z356" s="971"/>
      <c r="AA356" s="1" t="s">
        <v>1263</v>
      </c>
      <c r="AB356" s="1"/>
      <c r="AC356" s="970"/>
      <c r="AD356" s="921"/>
      <c r="AE356" s="971"/>
      <c r="AF356" s="260"/>
      <c r="AG356" s="1"/>
      <c r="AH356" s="1"/>
      <c r="AI356" s="1"/>
      <c r="AJ356" s="1"/>
      <c r="AK356" s="1"/>
    </row>
    <row r="357" spans="1:66" ht="12.75" customHeight="1">
      <c r="B357" s="1"/>
      <c r="C357" s="1"/>
      <c r="D357" s="1"/>
      <c r="E357" s="1"/>
      <c r="F357" s="1"/>
      <c r="G357" s="1"/>
      <c r="H357" s="260"/>
      <c r="I357" s="1" t="s">
        <v>1264</v>
      </c>
      <c r="P357" s="972"/>
      <c r="Q357" s="921"/>
      <c r="R357" s="921"/>
      <c r="S357" s="921"/>
      <c r="T357" s="921"/>
      <c r="U357" s="921"/>
      <c r="V357" s="921"/>
      <c r="W357" s="921"/>
      <c r="X357" s="921"/>
      <c r="Y357" s="921"/>
      <c r="Z357" s="971"/>
      <c r="AF357" s="260"/>
      <c r="AG357" s="1"/>
      <c r="AH357" s="1"/>
      <c r="AI357" s="17"/>
      <c r="AJ357" s="17"/>
      <c r="AK357" s="17"/>
    </row>
    <row r="358" spans="1:66" ht="12.75" customHeight="1">
      <c r="B358" s="1"/>
      <c r="C358" s="1"/>
      <c r="D358" s="1"/>
      <c r="E358" s="1"/>
      <c r="F358" s="1"/>
      <c r="G358" s="1"/>
      <c r="I358" s="1" t="s">
        <v>1360</v>
      </c>
      <c r="P358" s="967"/>
      <c r="Q358" s="968"/>
      <c r="R358" s="968"/>
      <c r="S358" s="968"/>
      <c r="T358" s="968"/>
      <c r="U358" s="968"/>
      <c r="V358" s="968"/>
      <c r="W358" s="968"/>
      <c r="X358" s="968"/>
      <c r="Y358" s="968"/>
      <c r="Z358" s="968"/>
      <c r="AA358" s="968"/>
      <c r="AB358" s="968"/>
      <c r="AC358" s="968"/>
      <c r="AD358" s="968"/>
      <c r="AE358" s="969"/>
    </row>
    <row r="359" spans="1:66" ht="12.75" customHeight="1">
      <c r="T359" s="17"/>
      <c r="U359" s="17"/>
      <c r="V359" s="17"/>
      <c r="W359" s="17"/>
      <c r="X359" s="17"/>
      <c r="Y359" s="17"/>
      <c r="Z359" s="17"/>
      <c r="AU359" s="191"/>
      <c r="AV359" s="191"/>
      <c r="AW359" s="191"/>
      <c r="AX359" s="191"/>
      <c r="AY359" s="191"/>
    </row>
    <row r="360" spans="1:66" ht="12.75" customHeight="1">
      <c r="A360" s="988" t="s">
        <v>1424</v>
      </c>
      <c r="B360" s="901"/>
      <c r="C360" s="901"/>
      <c r="D360" s="901"/>
      <c r="E360" s="901"/>
      <c r="F360" s="901"/>
      <c r="G360" s="901"/>
      <c r="H360" s="901"/>
      <c r="I360" s="901"/>
      <c r="J360" s="901"/>
      <c r="K360" s="901"/>
      <c r="L360" s="901"/>
      <c r="M360" s="901"/>
      <c r="N360" s="901"/>
      <c r="O360" s="901"/>
      <c r="P360" s="901"/>
      <c r="Q360" s="901"/>
      <c r="R360" s="901"/>
      <c r="S360" s="901"/>
      <c r="T360" s="901"/>
      <c r="U360" s="901"/>
      <c r="V360" s="901"/>
      <c r="W360" s="901"/>
      <c r="X360" s="901"/>
      <c r="Y360" s="901"/>
      <c r="Z360" s="901"/>
      <c r="AA360" s="901"/>
      <c r="AB360" s="901"/>
      <c r="AC360" s="901"/>
      <c r="AD360" s="901"/>
      <c r="AE360" s="901"/>
      <c r="AF360" s="901"/>
      <c r="AG360" s="901"/>
      <c r="AH360" s="901"/>
      <c r="AI360" s="901"/>
      <c r="AJ360" s="901"/>
      <c r="AK360" s="901"/>
      <c r="AL360" s="901"/>
      <c r="AM360" s="901"/>
      <c r="AN360" s="901"/>
      <c r="AO360" s="901"/>
      <c r="AP360" s="901"/>
      <c r="AQ360" s="901"/>
      <c r="AR360" s="901"/>
      <c r="AS360" s="901"/>
      <c r="AT360" s="902"/>
      <c r="AU360" s="191"/>
      <c r="AV360" s="191"/>
      <c r="AW360" s="191"/>
      <c r="AX360" s="191"/>
      <c r="AY360" s="191"/>
    </row>
    <row r="361" spans="1:66" ht="12.75" customHeight="1">
      <c r="A361" s="989"/>
      <c r="B361" s="990"/>
      <c r="C361" s="990"/>
      <c r="D361" s="990"/>
      <c r="E361" s="990"/>
      <c r="F361" s="990"/>
      <c r="G361" s="990"/>
      <c r="H361" s="990"/>
      <c r="I361" s="990"/>
      <c r="J361" s="990"/>
      <c r="K361" s="990"/>
      <c r="L361" s="990"/>
      <c r="M361" s="990"/>
      <c r="N361" s="990"/>
      <c r="O361" s="990"/>
      <c r="P361" s="990"/>
      <c r="Q361" s="990"/>
      <c r="R361" s="990"/>
      <c r="S361" s="990"/>
      <c r="T361" s="990"/>
      <c r="U361" s="990"/>
      <c r="V361" s="990"/>
      <c r="W361" s="990"/>
      <c r="X361" s="990"/>
      <c r="Y361" s="990"/>
      <c r="Z361" s="990"/>
      <c r="AA361" s="990"/>
      <c r="AB361" s="990"/>
      <c r="AC361" s="990"/>
      <c r="AD361" s="990"/>
      <c r="AE361" s="990"/>
      <c r="AF361" s="990"/>
      <c r="AG361" s="990"/>
      <c r="AH361" s="990"/>
      <c r="AI361" s="990"/>
      <c r="AJ361" s="990"/>
      <c r="AK361" s="990"/>
      <c r="AL361" s="990"/>
      <c r="AM361" s="990"/>
      <c r="AN361" s="990"/>
      <c r="AO361" s="990"/>
      <c r="AP361" s="990"/>
      <c r="AQ361" s="990"/>
      <c r="AR361" s="990"/>
      <c r="AS361" s="990"/>
      <c r="AT361" s="991"/>
      <c r="AU361" s="194"/>
      <c r="AV361" s="194"/>
      <c r="AW361" s="194"/>
      <c r="AX361" s="194"/>
      <c r="AY361" s="194"/>
    </row>
    <row r="362" spans="1:66" ht="12.75" customHeight="1">
      <c r="I362" s="1"/>
      <c r="J362" s="1"/>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
      <c r="AL362" s="194"/>
      <c r="AM362" s="194"/>
      <c r="AN362" s="194"/>
      <c r="AO362" s="194"/>
      <c r="AP362" s="194"/>
      <c r="AQ362" s="194"/>
      <c r="AR362" s="194"/>
      <c r="AS362" s="194"/>
      <c r="AT362" s="194"/>
    </row>
    <row r="363" spans="1:66" ht="12.75" customHeight="1">
      <c r="A363" s="8" t="s">
        <v>947</v>
      </c>
      <c r="B363" s="8"/>
      <c r="C363" s="8" t="s">
        <v>1430</v>
      </c>
    </row>
    <row r="364" spans="1:66" ht="12.75" customHeight="1">
      <c r="D364" s="1" t="s">
        <v>435</v>
      </c>
      <c r="M364" s="973" t="s">
        <v>855</v>
      </c>
      <c r="N364" s="969"/>
      <c r="P364" s="32" t="s">
        <v>1431</v>
      </c>
      <c r="AJ364" s="973" t="s">
        <v>855</v>
      </c>
      <c r="AK364" s="969"/>
    </row>
    <row r="365" spans="1:66" ht="12.75" customHeight="1">
      <c r="D365" s="1" t="s">
        <v>426</v>
      </c>
      <c r="M365" s="973" t="s">
        <v>855</v>
      </c>
      <c r="N365" s="969"/>
      <c r="P365" s="1" t="s">
        <v>1432</v>
      </c>
      <c r="AJ365" s="1070"/>
      <c r="AK365" s="971"/>
    </row>
    <row r="366" spans="1:66" ht="12.75" customHeight="1">
      <c r="D366" s="1" t="s">
        <v>1434</v>
      </c>
      <c r="M366" s="973" t="s">
        <v>855</v>
      </c>
      <c r="N366" s="969"/>
      <c r="P366" s="32" t="s">
        <v>1435</v>
      </c>
      <c r="AJ366" s="973" t="s">
        <v>855</v>
      </c>
      <c r="AK366" s="969"/>
    </row>
    <row r="367" spans="1:66" ht="12.75" customHeight="1">
      <c r="D367" s="1" t="s">
        <v>1436</v>
      </c>
      <c r="M367" s="973" t="s">
        <v>901</v>
      </c>
      <c r="N367" s="969"/>
      <c r="Q367" s="1"/>
    </row>
    <row r="368" spans="1:66" ht="12.75" customHeight="1">
      <c r="Q368" s="1"/>
    </row>
    <row r="369" spans="1:34" ht="12.75" customHeight="1">
      <c r="Q369" s="1"/>
    </row>
    <row r="370" spans="1:34" ht="12.75" customHeight="1">
      <c r="A370" s="8" t="s">
        <v>1003</v>
      </c>
      <c r="B370" s="8"/>
      <c r="C370" s="8" t="s">
        <v>1437</v>
      </c>
      <c r="D370" s="8"/>
    </row>
    <row r="371" spans="1:34" ht="12.75" customHeight="1">
      <c r="D371" s="41" t="s">
        <v>1438</v>
      </c>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4" ht="12.75" customHeight="1">
      <c r="D372" s="41" t="s">
        <v>1440</v>
      </c>
      <c r="E372" s="4"/>
      <c r="F372" s="4"/>
      <c r="G372" s="4"/>
      <c r="H372" s="4"/>
      <c r="I372" s="4"/>
      <c r="J372" s="4"/>
      <c r="K372" s="4"/>
      <c r="L372" s="4"/>
      <c r="M372" s="4"/>
      <c r="N372" s="973" t="s">
        <v>901</v>
      </c>
      <c r="O372" s="969"/>
      <c r="P372" s="4"/>
      <c r="Q372" s="4"/>
      <c r="R372" s="4"/>
      <c r="S372" s="4"/>
      <c r="T372" s="4"/>
      <c r="U372" s="4"/>
      <c r="V372" s="4"/>
      <c r="W372" s="4"/>
      <c r="X372" s="4"/>
      <c r="Y372" s="4"/>
      <c r="Z372" s="4"/>
      <c r="AC372" s="4"/>
      <c r="AD372" s="4"/>
      <c r="AE372" s="4"/>
    </row>
    <row r="373" spans="1:34" ht="12.75" customHeight="1">
      <c r="E373" s="32" t="s">
        <v>1443</v>
      </c>
      <c r="Y373" s="973" t="s">
        <v>855</v>
      </c>
      <c r="Z373" s="969"/>
    </row>
    <row r="374" spans="1:34" ht="12.75" customHeight="1">
      <c r="D374" s="1" t="s">
        <v>1445</v>
      </c>
      <c r="Q374" s="967" t="s">
        <v>1446</v>
      </c>
      <c r="R374" s="968"/>
      <c r="S374" s="968"/>
      <c r="T374" s="968"/>
      <c r="U374" s="968"/>
      <c r="V374" s="968"/>
      <c r="W374" s="968"/>
      <c r="X374" s="968"/>
      <c r="Y374" s="968"/>
      <c r="Z374" s="968"/>
      <c r="AA374" s="968"/>
      <c r="AB374" s="968"/>
      <c r="AC374" s="968"/>
      <c r="AD374" s="968"/>
      <c r="AE374" s="968"/>
      <c r="AF374" s="968"/>
      <c r="AG374" s="969"/>
    </row>
    <row r="375" spans="1:34" ht="12.75" customHeight="1">
      <c r="D375" s="32" t="s">
        <v>1447</v>
      </c>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4" ht="12.75" customHeight="1">
      <c r="D376" s="32" t="s">
        <v>1448</v>
      </c>
      <c r="E376" s="4"/>
      <c r="F376" s="4"/>
      <c r="G376" s="4"/>
      <c r="H376" s="4"/>
      <c r="I376" s="4"/>
      <c r="J376" s="973" t="s">
        <v>460</v>
      </c>
      <c r="K376" s="969"/>
      <c r="L376" s="4"/>
      <c r="M376" s="4"/>
      <c r="N376" s="4"/>
      <c r="O376" s="4"/>
      <c r="P376" s="4"/>
      <c r="Q376" s="4"/>
      <c r="R376" s="4"/>
      <c r="S376" s="4"/>
      <c r="T376" s="4"/>
      <c r="U376" s="4"/>
      <c r="V376" s="4"/>
      <c r="W376" s="4"/>
      <c r="X376" s="4"/>
      <c r="Y376" s="4"/>
      <c r="Z376" s="4"/>
      <c r="AC376" s="4"/>
      <c r="AD376" s="4"/>
      <c r="AE376" s="4"/>
    </row>
    <row r="377" spans="1:34" ht="12.75" customHeight="1">
      <c r="E377" s="895" t="s">
        <v>1451</v>
      </c>
      <c r="F377" s="893"/>
      <c r="G377" s="893"/>
      <c r="H377" s="893"/>
      <c r="I377" s="893"/>
      <c r="J377" s="893"/>
      <c r="K377" s="893"/>
      <c r="L377" s="893"/>
      <c r="M377" s="893"/>
      <c r="N377" s="893"/>
      <c r="O377" s="893"/>
      <c r="P377" s="893"/>
      <c r="Q377" s="893"/>
      <c r="R377" s="893"/>
      <c r="S377" s="893"/>
      <c r="T377" s="893"/>
      <c r="U377" s="893"/>
      <c r="V377" s="893"/>
      <c r="W377" s="893"/>
      <c r="X377" s="893"/>
      <c r="Y377" s="893"/>
      <c r="Z377" s="893"/>
      <c r="AA377" s="893"/>
      <c r="AB377" s="893"/>
      <c r="AC377" s="893"/>
      <c r="AD377" s="893"/>
      <c r="AE377" s="893"/>
      <c r="AF377" s="893"/>
      <c r="AG377" s="893"/>
      <c r="AH377" s="893"/>
    </row>
    <row r="378" spans="1:34" ht="12.75" customHeight="1">
      <c r="E378" s="893"/>
      <c r="F378" s="893"/>
      <c r="G378" s="893"/>
      <c r="H378" s="893"/>
      <c r="I378" s="893"/>
      <c r="J378" s="893"/>
      <c r="K378" s="893"/>
      <c r="L378" s="893"/>
      <c r="M378" s="893"/>
      <c r="N378" s="893"/>
      <c r="O378" s="893"/>
      <c r="P378" s="893"/>
      <c r="Q378" s="893"/>
      <c r="R378" s="893"/>
      <c r="S378" s="893"/>
      <c r="T378" s="893"/>
      <c r="U378" s="893"/>
      <c r="V378" s="893"/>
      <c r="W378" s="893"/>
      <c r="X378" s="893"/>
      <c r="Y378" s="893"/>
      <c r="Z378" s="893"/>
      <c r="AA378" s="893"/>
      <c r="AB378" s="893"/>
      <c r="AC378" s="893"/>
      <c r="AD378" s="893"/>
      <c r="AE378" s="893"/>
      <c r="AF378" s="893"/>
      <c r="AG378" s="893"/>
      <c r="AH378" s="893"/>
    </row>
    <row r="379" spans="1:34" ht="12.75" customHeight="1">
      <c r="E379" s="1" t="s">
        <v>1452</v>
      </c>
      <c r="F379" s="1"/>
      <c r="G379" s="1"/>
      <c r="H379" s="1"/>
      <c r="I379" s="1"/>
      <c r="J379" s="1"/>
      <c r="K379" s="1"/>
      <c r="L379" s="1"/>
      <c r="N379" s="973" t="s">
        <v>1453</v>
      </c>
      <c r="O379" s="968"/>
      <c r="P379" s="968"/>
      <c r="Q379" s="969"/>
      <c r="R379" s="1"/>
      <c r="U379" s="1" t="s">
        <v>1454</v>
      </c>
      <c r="V379" s="1"/>
      <c r="W379" s="1"/>
      <c r="X379" s="1"/>
      <c r="Y379" s="1"/>
      <c r="Z379" s="1"/>
      <c r="AA379" s="1"/>
      <c r="AB379" s="1"/>
      <c r="AC379" s="973">
        <v>27</v>
      </c>
      <c r="AD379" s="968"/>
      <c r="AE379" s="968"/>
      <c r="AF379" s="969"/>
    </row>
    <row r="380" spans="1:34" ht="12.75" customHeight="1">
      <c r="E380" s="1" t="s">
        <v>1457</v>
      </c>
      <c r="F380" s="1"/>
      <c r="G380" s="1"/>
      <c r="H380" s="1"/>
      <c r="I380" s="1"/>
      <c r="J380" s="1"/>
      <c r="K380" s="1"/>
      <c r="L380" s="1"/>
      <c r="N380" s="973">
        <v>27</v>
      </c>
      <c r="O380" s="968"/>
      <c r="P380" s="968"/>
      <c r="Q380" s="969"/>
      <c r="R380" s="1"/>
      <c r="U380" s="1" t="s">
        <v>1458</v>
      </c>
      <c r="V380" s="1"/>
      <c r="W380" s="1"/>
      <c r="X380" s="1"/>
      <c r="Y380" s="1"/>
      <c r="Z380" s="1"/>
      <c r="AA380" s="1"/>
      <c r="AB380" s="1"/>
      <c r="AC380" s="973">
        <v>235</v>
      </c>
      <c r="AD380" s="968"/>
      <c r="AE380" s="968"/>
      <c r="AF380" s="969"/>
    </row>
    <row r="381" spans="1:34" ht="12.75" customHeight="1">
      <c r="E381" s="1" t="s">
        <v>1459</v>
      </c>
      <c r="F381" s="1"/>
      <c r="G381" s="1"/>
      <c r="H381" s="1"/>
      <c r="I381" s="1"/>
      <c r="J381" s="1"/>
      <c r="K381" s="1"/>
      <c r="L381" s="1"/>
      <c r="N381" s="973">
        <v>2</v>
      </c>
      <c r="O381" s="968"/>
      <c r="P381" s="968"/>
      <c r="Q381" s="969"/>
      <c r="R381" s="1"/>
      <c r="V381" s="1"/>
      <c r="W381" s="1"/>
      <c r="X381" s="1"/>
      <c r="Y381" s="1"/>
      <c r="Z381" s="1"/>
      <c r="AA381" s="1"/>
      <c r="AB381" s="1"/>
    </row>
    <row r="382" spans="1:34" ht="12.75" customHeight="1">
      <c r="E382" s="1" t="s">
        <v>1460</v>
      </c>
      <c r="F382" s="1"/>
      <c r="G382" s="1"/>
      <c r="H382" s="1"/>
      <c r="I382" s="1"/>
      <c r="J382" s="1"/>
      <c r="K382" s="1"/>
      <c r="L382" s="1"/>
      <c r="N382" s="1100" t="s">
        <v>1461</v>
      </c>
      <c r="O382" s="901"/>
      <c r="P382" s="901"/>
      <c r="Q382" s="901"/>
      <c r="R382" s="901"/>
      <c r="S382" s="901"/>
      <c r="T382" s="901"/>
      <c r="U382" s="901"/>
      <c r="V382" s="901"/>
      <c r="W382" s="901"/>
      <c r="X382" s="901"/>
      <c r="Y382" s="901"/>
      <c r="Z382" s="901"/>
      <c r="AA382" s="901"/>
      <c r="AB382" s="901"/>
      <c r="AC382" s="901"/>
      <c r="AD382" s="901"/>
      <c r="AE382" s="901"/>
      <c r="AF382" s="902"/>
    </row>
    <row r="383" spans="1:34" ht="12.75" customHeight="1">
      <c r="E383" s="1"/>
      <c r="F383" s="1"/>
      <c r="G383" s="1"/>
      <c r="H383" s="1"/>
      <c r="I383" s="1"/>
      <c r="J383" s="1"/>
      <c r="K383" s="1"/>
      <c r="L383" s="1"/>
      <c r="N383" s="1098"/>
      <c r="O383" s="961"/>
      <c r="P383" s="961"/>
      <c r="Q383" s="961"/>
      <c r="R383" s="961"/>
      <c r="S383" s="961"/>
      <c r="T383" s="961"/>
      <c r="U383" s="961"/>
      <c r="V383" s="961"/>
      <c r="W383" s="961"/>
      <c r="X383" s="961"/>
      <c r="Y383" s="961"/>
      <c r="Z383" s="961"/>
      <c r="AA383" s="961"/>
      <c r="AB383" s="961"/>
      <c r="AC383" s="961"/>
      <c r="AD383" s="961"/>
      <c r="AE383" s="961"/>
      <c r="AF383" s="1099"/>
    </row>
    <row r="384" spans="1:34" ht="12.75" customHeight="1">
      <c r="C384" s="24"/>
      <c r="E384" s="1"/>
      <c r="F384" s="1"/>
      <c r="G384" s="1"/>
      <c r="H384" s="1"/>
      <c r="I384" s="1"/>
      <c r="J384" s="1"/>
      <c r="K384" s="1"/>
      <c r="L384" s="1"/>
    </row>
    <row r="385" spans="1:36" ht="12.75" customHeight="1">
      <c r="D385" s="8" t="s">
        <v>1463</v>
      </c>
      <c r="E385" s="8"/>
      <c r="F385" s="1"/>
      <c r="G385" s="1"/>
      <c r="H385" s="1"/>
      <c r="I385" s="1"/>
      <c r="J385" s="1"/>
      <c r="K385" s="1"/>
      <c r="L385" s="1"/>
    </row>
    <row r="386" spans="1:36" ht="12.75" customHeight="1">
      <c r="E386" s="1" t="s">
        <v>1464</v>
      </c>
      <c r="F386" s="1"/>
      <c r="G386" s="1"/>
      <c r="H386" s="1"/>
      <c r="I386" s="1"/>
      <c r="J386" s="1"/>
      <c r="K386" s="1"/>
      <c r="L386" s="1"/>
      <c r="N386" s="32" t="s">
        <v>970</v>
      </c>
      <c r="R386" s="33" t="s">
        <v>971</v>
      </c>
      <c r="S386" s="1107">
        <v>98</v>
      </c>
      <c r="T386" s="969"/>
      <c r="U386" s="7" t="s">
        <v>973</v>
      </c>
      <c r="V386" s="1107">
        <v>802</v>
      </c>
      <c r="W386" s="969"/>
      <c r="Y386" s="32" t="s">
        <v>970</v>
      </c>
      <c r="AC386" s="33" t="s">
        <v>971</v>
      </c>
      <c r="AD386" s="1107">
        <v>98</v>
      </c>
      <c r="AE386" s="969"/>
      <c r="AF386" s="7" t="s">
        <v>973</v>
      </c>
      <c r="AG386" s="1107">
        <v>803</v>
      </c>
      <c r="AH386" s="969"/>
    </row>
    <row r="387" spans="1:36" ht="12.75" customHeight="1">
      <c r="E387" s="1" t="s">
        <v>1465</v>
      </c>
      <c r="F387" s="1"/>
      <c r="G387" s="1"/>
      <c r="H387" s="1"/>
      <c r="I387" s="1"/>
      <c r="J387" s="1"/>
      <c r="K387" s="1"/>
      <c r="L387" s="1"/>
      <c r="N387" s="1107">
        <v>1999</v>
      </c>
      <c r="O387" s="968"/>
      <c r="P387" s="969"/>
    </row>
    <row r="388" spans="1:36" ht="12.75" customHeight="1">
      <c r="E388" s="1" t="s">
        <v>1466</v>
      </c>
      <c r="F388" s="1"/>
      <c r="G388" s="1"/>
      <c r="H388" s="1"/>
      <c r="I388" s="1"/>
      <c r="J388" s="1"/>
      <c r="K388" s="1"/>
      <c r="L388" s="1"/>
      <c r="AG388" s="1101" t="s">
        <v>460</v>
      </c>
      <c r="AH388" s="969"/>
    </row>
    <row r="389" spans="1:36" ht="12.75" customHeight="1">
      <c r="E389" s="1"/>
      <c r="F389" s="1"/>
      <c r="G389" s="1" t="s">
        <v>1467</v>
      </c>
      <c r="H389" s="1"/>
      <c r="I389" s="1"/>
      <c r="J389" s="1"/>
      <c r="K389" s="1"/>
      <c r="L389" s="1"/>
      <c r="AG389" s="1101" t="s">
        <v>460</v>
      </c>
      <c r="AH389" s="969"/>
    </row>
    <row r="390" spans="1:36" ht="12.75" customHeight="1">
      <c r="E390" s="1"/>
      <c r="F390" s="1"/>
      <c r="G390" s="261" t="s">
        <v>1469</v>
      </c>
      <c r="H390" s="1"/>
      <c r="I390" s="1"/>
      <c r="J390" s="1"/>
      <c r="K390" s="1"/>
      <c r="L390" s="1"/>
      <c r="V390" s="973" t="s">
        <v>855</v>
      </c>
      <c r="W390" s="969"/>
      <c r="Y390" s="117" t="s">
        <v>1470</v>
      </c>
    </row>
    <row r="391" spans="1:36" ht="12.75" customHeight="1">
      <c r="E391" s="1" t="s">
        <v>1471</v>
      </c>
      <c r="F391" s="1"/>
      <c r="G391" s="1"/>
      <c r="H391" s="1"/>
      <c r="I391" s="1"/>
      <c r="J391" s="1"/>
      <c r="K391" s="1"/>
      <c r="L391" s="1"/>
      <c r="V391" s="973" t="s">
        <v>855</v>
      </c>
      <c r="W391" s="969"/>
      <c r="Y391" s="1" t="s">
        <v>1472</v>
      </c>
    </row>
    <row r="392" spans="1:36" ht="12.75" customHeight="1"/>
    <row r="393" spans="1:36" ht="12.75" customHeight="1">
      <c r="A393" s="8" t="s">
        <v>1473</v>
      </c>
      <c r="B393" s="8"/>
    </row>
    <row r="394" spans="1:36" ht="12.75" customHeight="1">
      <c r="D394" s="32" t="s">
        <v>1474</v>
      </c>
      <c r="J394" s="967" t="s">
        <v>1475</v>
      </c>
      <c r="K394" s="968"/>
      <c r="L394" s="968"/>
      <c r="M394" s="968"/>
      <c r="N394" s="968"/>
      <c r="O394" s="968"/>
      <c r="P394" s="968"/>
      <c r="Q394" s="968"/>
      <c r="R394" s="968"/>
      <c r="S394" s="968"/>
      <c r="T394" s="968"/>
      <c r="U394" s="969"/>
      <c r="V394" s="17" t="s">
        <v>1476</v>
      </c>
      <c r="W394" s="17"/>
      <c r="X394" s="17"/>
      <c r="Y394" s="17"/>
      <c r="Z394" s="17"/>
      <c r="AA394" s="17"/>
      <c r="AB394" s="17"/>
      <c r="AC394" s="967" t="s">
        <v>1477</v>
      </c>
      <c r="AD394" s="968"/>
      <c r="AE394" s="968"/>
      <c r="AF394" s="968"/>
      <c r="AG394" s="968"/>
      <c r="AH394" s="968"/>
      <c r="AI394" s="968"/>
      <c r="AJ394" s="969"/>
    </row>
    <row r="395" spans="1:36" ht="12.75" customHeight="1">
      <c r="D395" s="1" t="s">
        <v>1478</v>
      </c>
      <c r="J395" s="970" t="s">
        <v>1477</v>
      </c>
      <c r="K395" s="921"/>
      <c r="L395" s="921"/>
      <c r="M395" s="921"/>
      <c r="N395" s="921"/>
      <c r="O395" s="921"/>
      <c r="P395" s="921"/>
      <c r="Q395" s="921"/>
      <c r="R395" s="921"/>
      <c r="S395" s="921"/>
      <c r="T395" s="921"/>
      <c r="U395" s="971"/>
      <c r="V395" s="1" t="s">
        <v>1478</v>
      </c>
      <c r="W395" s="17"/>
      <c r="X395" s="17"/>
      <c r="Y395" s="17"/>
      <c r="Z395" s="17"/>
      <c r="AA395" s="17"/>
      <c r="AB395" s="17"/>
      <c r="AC395" s="967"/>
      <c r="AD395" s="968"/>
      <c r="AE395" s="968"/>
      <c r="AF395" s="968"/>
      <c r="AG395" s="968"/>
      <c r="AH395" s="968"/>
      <c r="AI395" s="968"/>
      <c r="AJ395" s="969"/>
    </row>
    <row r="396" spans="1:36" ht="12.75" customHeight="1">
      <c r="D396" s="1" t="s">
        <v>851</v>
      </c>
      <c r="J396" s="970" t="s">
        <v>1480</v>
      </c>
      <c r="K396" s="921"/>
      <c r="L396" s="921"/>
      <c r="M396" s="921"/>
      <c r="N396" s="921"/>
      <c r="O396" s="921"/>
      <c r="P396" s="921"/>
      <c r="Q396" s="921"/>
      <c r="R396" s="921"/>
      <c r="S396" s="921"/>
      <c r="T396" s="921"/>
      <c r="U396" s="971"/>
      <c r="V396" s="1" t="s">
        <v>851</v>
      </c>
      <c r="W396" s="17"/>
      <c r="X396" s="17"/>
      <c r="Y396" s="17"/>
      <c r="Z396" s="17"/>
      <c r="AA396" s="17"/>
      <c r="AB396" s="17"/>
      <c r="AC396" s="967"/>
      <c r="AD396" s="968"/>
      <c r="AE396" s="968"/>
      <c r="AF396" s="968"/>
      <c r="AG396" s="968"/>
      <c r="AH396" s="968"/>
      <c r="AI396" s="968"/>
      <c r="AJ396" s="969"/>
    </row>
    <row r="397" spans="1:36" ht="12.75" customHeight="1">
      <c r="D397" s="32" t="s">
        <v>1483</v>
      </c>
      <c r="J397" s="1071"/>
      <c r="K397" s="921"/>
      <c r="L397" s="921"/>
      <c r="M397" s="921"/>
      <c r="N397" s="921"/>
      <c r="O397" s="921"/>
      <c r="P397" s="921"/>
      <c r="Q397" s="921"/>
      <c r="R397" s="921"/>
      <c r="S397" s="921"/>
      <c r="T397" s="921"/>
      <c r="U397" s="971"/>
      <c r="V397" s="967"/>
      <c r="W397" s="968"/>
      <c r="X397" s="968"/>
      <c r="Y397" s="968"/>
      <c r="Z397" s="968"/>
      <c r="AA397" s="968"/>
      <c r="AB397" s="968"/>
      <c r="AC397" s="968"/>
      <c r="AD397" s="968"/>
      <c r="AE397" s="968"/>
      <c r="AF397" s="968"/>
      <c r="AG397" s="968"/>
      <c r="AH397" s="968"/>
      <c r="AI397" s="968"/>
      <c r="AJ397" s="969"/>
    </row>
    <row r="398" spans="1:36" ht="12.75" customHeight="1">
      <c r="D398" s="32" t="s">
        <v>1485</v>
      </c>
      <c r="Q398" s="1104">
        <v>46260</v>
      </c>
      <c r="R398" s="921"/>
      <c r="S398" s="921"/>
      <c r="T398" s="921"/>
      <c r="U398" s="971"/>
      <c r="V398" s="32" t="s">
        <v>1486</v>
      </c>
      <c r="AI398" s="973" t="s">
        <v>460</v>
      </c>
      <c r="AJ398" s="969"/>
    </row>
    <row r="399" spans="1:36" ht="12.75" customHeight="1">
      <c r="D399" s="32" t="s">
        <v>1487</v>
      </c>
      <c r="Q399" s="1104">
        <v>46568</v>
      </c>
      <c r="R399" s="921"/>
      <c r="S399" s="921"/>
      <c r="T399" s="921"/>
      <c r="U399" s="971"/>
      <c r="W399" s="97" t="s">
        <v>1488</v>
      </c>
      <c r="AG399" s="1012"/>
      <c r="AH399" s="968"/>
      <c r="AI399" s="968"/>
      <c r="AJ399" s="969"/>
    </row>
    <row r="400" spans="1:36" ht="12.75" customHeight="1">
      <c r="D400" s="32" t="s">
        <v>1489</v>
      </c>
      <c r="Q400" s="1007">
        <v>61000000</v>
      </c>
      <c r="R400" s="921"/>
      <c r="S400" s="921"/>
      <c r="T400" s="921"/>
      <c r="U400" s="971"/>
      <c r="V400" s="1" t="s">
        <v>1490</v>
      </c>
      <c r="AG400" s="1106">
        <v>46478</v>
      </c>
      <c r="AH400" s="921"/>
      <c r="AI400" s="921"/>
      <c r="AJ400" s="971"/>
    </row>
    <row r="401" spans="4:36" ht="12.75" customHeight="1">
      <c r="D401" s="32" t="s">
        <v>1261</v>
      </c>
      <c r="I401" s="1105"/>
      <c r="J401" s="968"/>
      <c r="K401" s="968"/>
      <c r="L401" s="968"/>
      <c r="M401" s="968"/>
      <c r="N401" s="969"/>
      <c r="Q401" s="1" t="s">
        <v>1263</v>
      </c>
      <c r="S401" s="1102"/>
      <c r="T401" s="921"/>
      <c r="U401" s="971"/>
      <c r="V401" s="32" t="s">
        <v>1491</v>
      </c>
      <c r="AI401" s="973" t="s">
        <v>460</v>
      </c>
      <c r="AJ401" s="969"/>
    </row>
    <row r="402" spans="4:36" ht="12.75" customHeight="1">
      <c r="D402" s="32" t="s">
        <v>1492</v>
      </c>
      <c r="Q402" s="1012"/>
      <c r="R402" s="968"/>
      <c r="S402" s="968"/>
      <c r="T402" s="968"/>
      <c r="U402" s="969"/>
      <c r="V402" s="32" t="s">
        <v>1493</v>
      </c>
      <c r="AG402" s="1012"/>
      <c r="AH402" s="968"/>
      <c r="AI402" s="968"/>
      <c r="AJ402" s="969"/>
    </row>
    <row r="403" spans="4:36" ht="12.75" customHeight="1">
      <c r="D403" s="32" t="s">
        <v>1495</v>
      </c>
      <c r="Q403" s="1103">
        <v>0.01</v>
      </c>
      <c r="R403" s="921"/>
      <c r="S403" s="921"/>
      <c r="T403" s="921"/>
      <c r="U403" s="971"/>
      <c r="V403" s="32" t="s">
        <v>1496</v>
      </c>
      <c r="AG403" s="1012">
        <v>0</v>
      </c>
      <c r="AH403" s="968"/>
      <c r="AI403" s="968"/>
      <c r="AJ403" s="969"/>
    </row>
    <row r="404" spans="4:36" ht="12.75" customHeight="1">
      <c r="D404" s="32" t="s">
        <v>1498</v>
      </c>
      <c r="AG404" s="1012">
        <v>0</v>
      </c>
      <c r="AH404" s="968"/>
      <c r="AI404" s="968"/>
      <c r="AJ404" s="969"/>
    </row>
    <row r="405" spans="4:36" ht="12.75" customHeight="1">
      <c r="AG405" s="263"/>
      <c r="AH405" s="263"/>
      <c r="AI405" s="263"/>
      <c r="AJ405" s="263"/>
    </row>
    <row r="406" spans="4:36" ht="12.75" customHeight="1">
      <c r="D406" s="1" t="s">
        <v>1501</v>
      </c>
      <c r="AG406" s="263"/>
      <c r="AH406" s="263"/>
      <c r="AI406" s="973" t="s">
        <v>460</v>
      </c>
      <c r="AJ406" s="969"/>
    </row>
    <row r="407" spans="4:36" ht="12.75" customHeight="1">
      <c r="D407" s="1" t="s">
        <v>1503</v>
      </c>
      <c r="T407" s="967"/>
      <c r="U407" s="968"/>
      <c r="V407" s="968"/>
      <c r="W407" s="968"/>
      <c r="X407" s="968"/>
      <c r="Y407" s="968"/>
      <c r="Z407" s="968"/>
      <c r="AA407" s="968"/>
      <c r="AB407" s="968"/>
      <c r="AC407" s="968"/>
      <c r="AD407" s="968"/>
      <c r="AE407" s="968"/>
      <c r="AF407" s="968"/>
      <c r="AG407" s="968"/>
      <c r="AH407" s="968"/>
      <c r="AI407" s="968"/>
      <c r="AJ407" s="969"/>
    </row>
    <row r="408" spans="4:36" ht="12.75" customHeight="1">
      <c r="D408" s="1" t="s">
        <v>1506</v>
      </c>
      <c r="T408" s="967"/>
      <c r="U408" s="968"/>
      <c r="V408" s="968"/>
      <c r="W408" s="968"/>
      <c r="X408" s="968"/>
      <c r="Y408" s="968"/>
      <c r="Z408" s="968"/>
      <c r="AA408" s="968"/>
      <c r="AB408" s="968"/>
      <c r="AC408" s="968"/>
      <c r="AD408" s="968"/>
      <c r="AE408" s="968"/>
      <c r="AF408" s="968"/>
      <c r="AG408" s="968"/>
      <c r="AH408" s="968"/>
      <c r="AI408" s="968"/>
      <c r="AJ408" s="969"/>
    </row>
    <row r="409" spans="4:36" ht="12.75" customHeight="1">
      <c r="AG409" s="263"/>
      <c r="AH409" s="263"/>
      <c r="AI409" s="263"/>
      <c r="AJ409" s="263"/>
    </row>
    <row r="410" spans="4:36" ht="12.75" customHeight="1">
      <c r="D410" s="1" t="s">
        <v>1510</v>
      </c>
      <c r="S410" s="967" t="s">
        <v>460</v>
      </c>
      <c r="T410" s="968"/>
      <c r="U410" s="969"/>
      <c r="V410" s="32" t="s">
        <v>1512</v>
      </c>
      <c r="AG410" s="1114"/>
      <c r="AH410" s="968"/>
      <c r="AI410" s="968"/>
      <c r="AJ410" s="969"/>
    </row>
    <row r="411" spans="4:36" ht="12.75" customHeight="1">
      <c r="D411" s="1" t="s">
        <v>1513</v>
      </c>
      <c r="S411" s="967" t="s">
        <v>855</v>
      </c>
      <c r="T411" s="968"/>
      <c r="U411" s="969"/>
      <c r="V411" s="32" t="s">
        <v>1515</v>
      </c>
      <c r="AE411" s="1012"/>
      <c r="AF411" s="968"/>
      <c r="AG411" s="968"/>
      <c r="AH411" s="968"/>
      <c r="AI411" s="968"/>
      <c r="AJ411" s="969"/>
    </row>
    <row r="412" spans="4:36" ht="12.75" customHeight="1">
      <c r="D412" s="1" t="s">
        <v>1516</v>
      </c>
      <c r="K412" s="1111"/>
      <c r="L412" s="968"/>
      <c r="M412" s="968"/>
      <c r="N412" s="968"/>
      <c r="O412" s="968"/>
      <c r="P412" s="968"/>
      <c r="Q412" s="968"/>
      <c r="R412" s="968"/>
      <c r="S412" s="968"/>
      <c r="T412" s="968"/>
      <c r="U412" s="968"/>
      <c r="V412" s="968"/>
      <c r="W412" s="968"/>
      <c r="X412" s="968"/>
      <c r="Y412" s="968"/>
      <c r="Z412" s="968"/>
      <c r="AA412" s="968"/>
      <c r="AB412" s="968"/>
      <c r="AC412" s="968"/>
      <c r="AD412" s="968"/>
      <c r="AE412" s="968"/>
      <c r="AF412" s="968"/>
      <c r="AG412" s="968"/>
      <c r="AH412" s="968"/>
      <c r="AI412" s="968"/>
      <c r="AJ412" s="969"/>
    </row>
    <row r="413" spans="4:36" ht="12.75" customHeight="1">
      <c r="D413" s="1" t="s">
        <v>1517</v>
      </c>
      <c r="K413" s="1111"/>
      <c r="L413" s="968"/>
      <c r="M413" s="968"/>
      <c r="N413" s="968"/>
      <c r="O413" s="968"/>
      <c r="P413" s="968"/>
      <c r="Q413" s="968"/>
      <c r="R413" s="968"/>
      <c r="S413" s="968"/>
      <c r="T413" s="968"/>
      <c r="U413" s="968"/>
      <c r="V413" s="968"/>
      <c r="W413" s="968"/>
      <c r="X413" s="968"/>
      <c r="Y413" s="968"/>
      <c r="Z413" s="968"/>
      <c r="AA413" s="968"/>
      <c r="AB413" s="968"/>
      <c r="AC413" s="968"/>
      <c r="AD413" s="968"/>
      <c r="AE413" s="968"/>
      <c r="AF413" s="968"/>
      <c r="AG413" s="968"/>
      <c r="AH413" s="968"/>
      <c r="AI413" s="968"/>
      <c r="AJ413" s="969"/>
    </row>
    <row r="414" spans="4:36" ht="12.75" customHeight="1">
      <c r="D414" s="1" t="s">
        <v>1518</v>
      </c>
      <c r="E414" s="3"/>
      <c r="F414" s="3"/>
      <c r="G414" s="3"/>
      <c r="H414" s="3"/>
      <c r="I414" s="3"/>
      <c r="J414" s="3"/>
      <c r="K414" s="3"/>
      <c r="L414" s="3"/>
      <c r="M414" s="3"/>
      <c r="N414" s="3"/>
      <c r="O414" s="3"/>
      <c r="P414" s="3"/>
      <c r="Q414" s="3"/>
      <c r="R414" s="3"/>
      <c r="S414" s="1115" t="s">
        <v>1137</v>
      </c>
      <c r="T414" s="921"/>
      <c r="U414" s="921"/>
      <c r="V414" s="921"/>
      <c r="W414" s="921"/>
      <c r="X414" s="921"/>
      <c r="Y414" s="921"/>
      <c r="Z414" s="921"/>
      <c r="AA414" s="921"/>
      <c r="AB414" s="921"/>
      <c r="AC414" s="921"/>
      <c r="AD414" s="921"/>
      <c r="AE414" s="921"/>
      <c r="AF414" s="921"/>
      <c r="AG414" s="921"/>
      <c r="AH414" s="921"/>
      <c r="AI414" s="921"/>
      <c r="AJ414" s="971"/>
    </row>
    <row r="415" spans="4:36" ht="12.75" customHeight="1">
      <c r="D415" s="894" t="s">
        <v>1519</v>
      </c>
      <c r="E415" s="893"/>
      <c r="F415" s="893"/>
      <c r="G415" s="893"/>
      <c r="H415" s="893"/>
      <c r="I415" s="893"/>
      <c r="J415" s="893"/>
      <c r="K415" s="893"/>
      <c r="L415" s="893"/>
      <c r="M415" s="893"/>
      <c r="N415" s="893"/>
      <c r="O415" s="893"/>
      <c r="P415" s="893"/>
      <c r="Q415" s="893"/>
      <c r="R415" s="893"/>
      <c r="S415" s="893"/>
      <c r="T415" s="893"/>
      <c r="U415" s="893"/>
      <c r="V415" s="893"/>
      <c r="W415" s="893"/>
      <c r="X415" s="893"/>
      <c r="Y415" s="893"/>
      <c r="Z415" s="893"/>
      <c r="AA415" s="893"/>
      <c r="AB415" s="893"/>
      <c r="AC415" s="893"/>
      <c r="AD415" s="893"/>
      <c r="AE415" s="893"/>
      <c r="AF415" s="893"/>
      <c r="AG415" s="893"/>
      <c r="AH415" s="893"/>
      <c r="AI415" s="893"/>
      <c r="AJ415" s="893"/>
    </row>
    <row r="416" spans="4:36" ht="12.75" customHeight="1">
      <c r="D416" s="893"/>
      <c r="E416" s="893"/>
      <c r="F416" s="893"/>
      <c r="G416" s="893"/>
      <c r="H416" s="893"/>
      <c r="I416" s="893"/>
      <c r="J416" s="893"/>
      <c r="K416" s="893"/>
      <c r="L416" s="893"/>
      <c r="M416" s="893"/>
      <c r="N416" s="893"/>
      <c r="O416" s="893"/>
      <c r="P416" s="893"/>
      <c r="Q416" s="893"/>
      <c r="R416" s="893"/>
      <c r="S416" s="893"/>
      <c r="T416" s="893"/>
      <c r="U416" s="893"/>
      <c r="V416" s="893"/>
      <c r="W416" s="893"/>
      <c r="X416" s="893"/>
      <c r="Y416" s="893"/>
      <c r="Z416" s="893"/>
      <c r="AA416" s="893"/>
      <c r="AB416" s="893"/>
      <c r="AC416" s="893"/>
      <c r="AD416" s="893"/>
      <c r="AE416" s="893"/>
      <c r="AF416" s="893"/>
      <c r="AG416" s="893"/>
      <c r="AH416" s="893"/>
      <c r="AI416" s="893"/>
      <c r="AJ416" s="893"/>
    </row>
    <row r="417" spans="1:39" ht="12.75" customHeight="1">
      <c r="AG417" s="263"/>
      <c r="AH417" s="263"/>
      <c r="AI417" s="263"/>
      <c r="AJ417" s="263"/>
    </row>
    <row r="418" spans="1:39" ht="12.75" customHeight="1">
      <c r="A418" s="8" t="s">
        <v>1151</v>
      </c>
      <c r="B418" s="8"/>
      <c r="C418" s="8" t="s">
        <v>188</v>
      </c>
    </row>
    <row r="419" spans="1:39" ht="12.75" customHeight="1">
      <c r="B419" s="8"/>
      <c r="C419" s="8"/>
      <c r="D419" s="8" t="s">
        <v>1520</v>
      </c>
      <c r="I419" s="967" t="s">
        <v>1521</v>
      </c>
      <c r="J419" s="968"/>
      <c r="K419" s="968"/>
      <c r="L419" s="968"/>
      <c r="M419" s="968"/>
      <c r="N419" s="968"/>
      <c r="O419" s="968"/>
      <c r="P419" s="968"/>
      <c r="Q419" s="968"/>
      <c r="R419" s="968"/>
      <c r="S419" s="968"/>
      <c r="T419" s="968"/>
      <c r="U419" s="968"/>
      <c r="V419" s="968"/>
      <c r="W419" s="968"/>
      <c r="X419" s="968"/>
      <c r="Y419" s="968"/>
      <c r="Z419" s="968"/>
      <c r="AA419" s="968"/>
      <c r="AB419" s="968"/>
      <c r="AC419" s="968"/>
      <c r="AD419" s="968"/>
      <c r="AE419" s="969"/>
    </row>
    <row r="420" spans="1:39" ht="12.75" customHeight="1">
      <c r="E420" s="32" t="s">
        <v>1522</v>
      </c>
      <c r="R420" s="973" t="s">
        <v>855</v>
      </c>
      <c r="S420" s="969"/>
      <c r="AC420" s="33" t="s">
        <v>1523</v>
      </c>
      <c r="AD420" s="973"/>
      <c r="AE420" s="969"/>
    </row>
    <row r="421" spans="1:39" ht="12.75" customHeight="1">
      <c r="E421" s="32" t="s">
        <v>1525</v>
      </c>
      <c r="R421" s="973" t="s">
        <v>855</v>
      </c>
      <c r="S421" s="969"/>
      <c r="AC421" s="33" t="s">
        <v>1523</v>
      </c>
      <c r="AD421" s="973"/>
      <c r="AE421" s="969"/>
    </row>
    <row r="422" spans="1:39" ht="12.75" customHeight="1">
      <c r="E422" s="32" t="s">
        <v>1526</v>
      </c>
      <c r="S422" s="973" t="s">
        <v>855</v>
      </c>
      <c r="T422" s="969"/>
    </row>
    <row r="423" spans="1:39" ht="12.75" customHeight="1">
      <c r="E423" s="32" t="s">
        <v>289</v>
      </c>
      <c r="H423" s="1097" t="s">
        <v>1528</v>
      </c>
      <c r="I423" s="901"/>
      <c r="J423" s="901"/>
      <c r="K423" s="901"/>
      <c r="L423" s="901"/>
      <c r="M423" s="901"/>
      <c r="N423" s="901"/>
      <c r="O423" s="901"/>
      <c r="P423" s="901"/>
      <c r="Q423" s="901"/>
      <c r="R423" s="901"/>
      <c r="S423" s="901"/>
      <c r="T423" s="901"/>
      <c r="U423" s="901"/>
      <c r="V423" s="901"/>
      <c r="W423" s="901"/>
      <c r="X423" s="901"/>
      <c r="Y423" s="901"/>
      <c r="Z423" s="901"/>
      <c r="AA423" s="901"/>
      <c r="AB423" s="901"/>
      <c r="AC423" s="901"/>
      <c r="AD423" s="901"/>
      <c r="AE423" s="902"/>
    </row>
    <row r="424" spans="1:39" ht="12.75" customHeight="1">
      <c r="H424" s="1098"/>
      <c r="I424" s="961"/>
      <c r="J424" s="961"/>
      <c r="K424" s="961"/>
      <c r="L424" s="961"/>
      <c r="M424" s="961"/>
      <c r="N424" s="961"/>
      <c r="O424" s="961"/>
      <c r="P424" s="961"/>
      <c r="Q424" s="961"/>
      <c r="R424" s="961"/>
      <c r="S424" s="961"/>
      <c r="T424" s="961"/>
      <c r="U424" s="961"/>
      <c r="V424" s="961"/>
      <c r="W424" s="961"/>
      <c r="X424" s="961"/>
      <c r="Y424" s="961"/>
      <c r="Z424" s="961"/>
      <c r="AA424" s="961"/>
      <c r="AB424" s="961"/>
      <c r="AC424" s="961"/>
      <c r="AD424" s="961"/>
      <c r="AE424" s="1099"/>
    </row>
    <row r="425" spans="1:39" ht="12.75" customHeight="1"/>
    <row r="426" spans="1:39" ht="12.75" customHeight="1">
      <c r="A426" s="8" t="s">
        <v>1166</v>
      </c>
      <c r="B426" s="8"/>
      <c r="C426" s="8"/>
      <c r="D426" s="8" t="s">
        <v>194</v>
      </c>
      <c r="AF426" s="8" t="s">
        <v>1531</v>
      </c>
    </row>
    <row r="427" spans="1:39" ht="12.75" customHeight="1">
      <c r="E427" s="1107"/>
      <c r="F427" s="968"/>
      <c r="G427" s="969"/>
      <c r="H427" s="10" t="s">
        <v>1532</v>
      </c>
      <c r="I427" s="1107"/>
      <c r="J427" s="968"/>
      <c r="K427" s="969"/>
      <c r="L427" s="32" t="s">
        <v>1533</v>
      </c>
      <c r="N427" s="33" t="s">
        <v>61</v>
      </c>
      <c r="P427" s="1108">
        <v>4.5999999999999996</v>
      </c>
      <c r="Q427" s="968"/>
      <c r="R427" s="969"/>
      <c r="S427" s="32" t="s">
        <v>1534</v>
      </c>
      <c r="W427" s="1109">
        <f>IF(E427&gt;0,(E427*I427),(P427*43560))</f>
        <v>200375.99999999997</v>
      </c>
      <c r="X427" s="961"/>
      <c r="Y427" s="961"/>
      <c r="Z427" s="32" t="s">
        <v>1535</v>
      </c>
      <c r="AF427" s="1110">
        <f>IFERROR(IF(P427&gt;0,(AG446/P427),(AG446/(W427/43560))),0)</f>
        <v>51.086956521739133</v>
      </c>
      <c r="AG427" s="961"/>
      <c r="AH427" s="961"/>
      <c r="AM427" s="1"/>
    </row>
    <row r="428" spans="1:39" ht="12.75" customHeight="1">
      <c r="E428" s="32" t="s">
        <v>1536</v>
      </c>
    </row>
    <row r="429" spans="1:39" ht="12.75" customHeight="1">
      <c r="E429" s="1111" t="s">
        <v>1537</v>
      </c>
      <c r="F429" s="968"/>
      <c r="G429" s="968"/>
      <c r="H429" s="968"/>
      <c r="I429" s="968"/>
      <c r="J429" s="968"/>
      <c r="K429" s="968"/>
      <c r="L429" s="968"/>
      <c r="M429" s="968"/>
      <c r="N429" s="968"/>
      <c r="O429" s="968"/>
      <c r="P429" s="968"/>
      <c r="Q429" s="968"/>
      <c r="R429" s="968"/>
      <c r="S429" s="968"/>
      <c r="T429" s="968"/>
      <c r="U429" s="968"/>
      <c r="V429" s="968"/>
      <c r="W429" s="968"/>
      <c r="X429" s="968"/>
      <c r="Y429" s="968"/>
      <c r="Z429" s="968"/>
      <c r="AA429" s="968"/>
      <c r="AB429" s="968"/>
      <c r="AC429" s="968"/>
      <c r="AD429" s="968"/>
      <c r="AE429" s="968"/>
      <c r="AF429" s="968"/>
      <c r="AG429" s="968"/>
      <c r="AH429" s="968"/>
      <c r="AI429" s="968"/>
      <c r="AJ429" s="969"/>
    </row>
    <row r="430" spans="1:39" ht="12.75" customHeight="1">
      <c r="E430" s="17" t="s">
        <v>1539</v>
      </c>
      <c r="F430" s="97"/>
      <c r="G430" s="97"/>
      <c r="H430" s="97"/>
      <c r="I430" s="1112"/>
      <c r="J430" s="968"/>
      <c r="K430" s="969"/>
      <c r="L430" s="97"/>
      <c r="M430" s="17"/>
      <c r="N430" s="97"/>
      <c r="O430" s="97"/>
      <c r="P430" s="1113" t="e">
        <f>(DU761+DU784+DU806)/I430</f>
        <v>#DIV/0!</v>
      </c>
      <c r="Q430" s="961"/>
      <c r="R430" s="961"/>
      <c r="S430" s="17" t="s">
        <v>1540</v>
      </c>
      <c r="T430" s="97"/>
      <c r="U430" s="97"/>
      <c r="V430" s="97"/>
      <c r="W430" s="97"/>
      <c r="X430" s="97"/>
      <c r="Y430" s="97"/>
      <c r="Z430" s="97"/>
      <c r="AA430" s="97"/>
      <c r="AB430" s="97"/>
      <c r="AC430" s="97"/>
      <c r="AD430" s="97"/>
      <c r="AE430" s="97"/>
      <c r="AF430" s="97"/>
      <c r="AG430" s="97"/>
      <c r="AH430" s="97"/>
      <c r="AI430" s="97"/>
      <c r="AJ430" s="97"/>
    </row>
    <row r="431" spans="1:39" ht="12.75" customHeight="1"/>
    <row r="432" spans="1:39" ht="12.75" customHeight="1">
      <c r="A432" s="8" t="s">
        <v>1210</v>
      </c>
      <c r="B432" s="8"/>
      <c r="C432" s="8"/>
      <c r="D432" s="8" t="s">
        <v>196</v>
      </c>
    </row>
    <row r="433" spans="1:36" ht="12.75" customHeight="1">
      <c r="E433" s="32" t="s">
        <v>1542</v>
      </c>
      <c r="P433" s="973">
        <v>30</v>
      </c>
      <c r="Q433" s="969"/>
      <c r="S433" s="32" t="s">
        <v>1544</v>
      </c>
      <c r="AE433" s="973">
        <v>27</v>
      </c>
      <c r="AF433" s="969"/>
    </row>
    <row r="434" spans="1:36" ht="12.75" customHeight="1">
      <c r="E434" s="32" t="s">
        <v>1545</v>
      </c>
      <c r="P434" s="973">
        <v>3</v>
      </c>
      <c r="Q434" s="969"/>
      <c r="S434" s="32" t="s">
        <v>1546</v>
      </c>
      <c r="AE434" s="973" t="s">
        <v>855</v>
      </c>
      <c r="AF434" s="969"/>
    </row>
    <row r="435" spans="1:36" ht="12.75" customHeight="1">
      <c r="F435" s="117" t="s">
        <v>1548</v>
      </c>
    </row>
    <row r="436" spans="1:36" ht="12.75" customHeight="1">
      <c r="F436" s="1100"/>
      <c r="G436" s="901"/>
      <c r="H436" s="901"/>
      <c r="I436" s="901"/>
      <c r="J436" s="901"/>
      <c r="K436" s="901"/>
      <c r="L436" s="901"/>
      <c r="M436" s="901"/>
      <c r="N436" s="901"/>
      <c r="O436" s="901"/>
      <c r="P436" s="901"/>
      <c r="Q436" s="901"/>
      <c r="R436" s="901"/>
      <c r="S436" s="901"/>
      <c r="T436" s="901"/>
      <c r="U436" s="901"/>
      <c r="V436" s="901"/>
      <c r="W436" s="901"/>
      <c r="X436" s="901"/>
      <c r="Y436" s="901"/>
      <c r="Z436" s="901"/>
      <c r="AA436" s="901"/>
      <c r="AB436" s="901"/>
      <c r="AC436" s="901"/>
      <c r="AD436" s="901"/>
      <c r="AE436" s="901"/>
      <c r="AF436" s="901"/>
      <c r="AG436" s="901"/>
      <c r="AH436" s="902"/>
    </row>
    <row r="437" spans="1:36" ht="12.75" customHeight="1">
      <c r="F437" s="1098"/>
      <c r="G437" s="961"/>
      <c r="H437" s="961"/>
      <c r="I437" s="961"/>
      <c r="J437" s="961"/>
      <c r="K437" s="961"/>
      <c r="L437" s="961"/>
      <c r="M437" s="961"/>
      <c r="N437" s="961"/>
      <c r="O437" s="961"/>
      <c r="P437" s="961"/>
      <c r="Q437" s="961"/>
      <c r="R437" s="961"/>
      <c r="S437" s="961"/>
      <c r="T437" s="961"/>
      <c r="U437" s="961"/>
      <c r="V437" s="961"/>
      <c r="W437" s="961"/>
      <c r="X437" s="961"/>
      <c r="Y437" s="961"/>
      <c r="Z437" s="961"/>
      <c r="AA437" s="961"/>
      <c r="AB437" s="961"/>
      <c r="AC437" s="961"/>
      <c r="AD437" s="961"/>
      <c r="AE437" s="961"/>
      <c r="AF437" s="961"/>
      <c r="AG437" s="961"/>
      <c r="AH437" s="1099"/>
    </row>
    <row r="438" spans="1:36" ht="12.75" customHeight="1">
      <c r="E438" s="32" t="s">
        <v>1552</v>
      </c>
      <c r="P438" s="7"/>
      <c r="Q438" s="973" t="s">
        <v>460</v>
      </c>
      <c r="R438" s="969"/>
    </row>
    <row r="439" spans="1:36" ht="12.75" customHeight="1">
      <c r="F439" s="32" t="s">
        <v>1556</v>
      </c>
      <c r="P439" s="7"/>
      <c r="Q439" s="7"/>
      <c r="AF439" s="973" t="s">
        <v>901</v>
      </c>
      <c r="AG439" s="969"/>
    </row>
    <row r="440" spans="1:36" ht="12.75" customHeight="1"/>
    <row r="441" spans="1:36" ht="12.75" customHeight="1">
      <c r="A441" s="8"/>
      <c r="B441" s="8"/>
      <c r="C441" s="8"/>
      <c r="E441" s="1" t="s">
        <v>1558</v>
      </c>
      <c r="Z441" s="973" t="s">
        <v>901</v>
      </c>
      <c r="AA441" s="969"/>
    </row>
    <row r="442" spans="1:36" ht="12.75" customHeight="1">
      <c r="F442" s="41" t="s">
        <v>1560</v>
      </c>
      <c r="G442" s="4"/>
      <c r="H442" s="4"/>
      <c r="I442" s="4"/>
      <c r="J442" s="4"/>
      <c r="K442" s="4"/>
      <c r="L442" s="4"/>
      <c r="M442" s="4"/>
      <c r="N442" s="4"/>
      <c r="O442" s="4"/>
      <c r="P442" s="4"/>
      <c r="Q442" s="4"/>
      <c r="R442" s="4"/>
      <c r="S442" s="4"/>
      <c r="T442" s="4"/>
      <c r="U442" s="4"/>
      <c r="V442" s="4"/>
      <c r="W442" s="4"/>
      <c r="AB442" s="4"/>
    </row>
    <row r="443" spans="1:36" ht="12.75" customHeight="1">
      <c r="F443" s="32" t="s">
        <v>1562</v>
      </c>
      <c r="G443" s="4"/>
      <c r="I443" s="4"/>
      <c r="J443" s="4"/>
      <c r="K443" s="4"/>
      <c r="L443" s="4"/>
      <c r="M443" s="4"/>
      <c r="N443" s="4"/>
      <c r="O443" s="117"/>
      <c r="P443" s="4"/>
      <c r="Q443" s="4"/>
      <c r="R443" s="4"/>
      <c r="S443" s="4"/>
      <c r="T443" s="4"/>
      <c r="U443" s="4"/>
      <c r="V443" s="4"/>
      <c r="W443" s="4"/>
      <c r="Z443" s="973" t="s">
        <v>460</v>
      </c>
      <c r="AA443" s="969"/>
    </row>
    <row r="444" spans="1:36" ht="12.75" customHeight="1"/>
    <row r="445" spans="1:36" ht="12.75" customHeight="1">
      <c r="A445" s="8" t="s">
        <v>1315</v>
      </c>
      <c r="B445" s="8"/>
      <c r="C445" s="8"/>
      <c r="D445" s="8" t="s">
        <v>205</v>
      </c>
      <c r="AF445" s="235"/>
    </row>
    <row r="446" spans="1:36" ht="12.75" customHeight="1">
      <c r="D446" s="1013" t="s">
        <v>1568</v>
      </c>
      <c r="E446" s="921"/>
      <c r="F446" s="921"/>
      <c r="G446" s="921"/>
      <c r="H446" s="921"/>
      <c r="I446" s="921"/>
      <c r="J446" s="921"/>
      <c r="K446" s="921"/>
      <c r="L446" s="921"/>
      <c r="M446" s="921"/>
      <c r="N446" s="921"/>
      <c r="O446" s="921"/>
      <c r="P446" s="921"/>
      <c r="Q446" s="921"/>
      <c r="R446" s="921"/>
      <c r="S446" s="921"/>
      <c r="T446" s="921"/>
      <c r="U446" s="921"/>
      <c r="V446" s="921"/>
      <c r="W446" s="921"/>
      <c r="X446" s="921"/>
      <c r="Y446" s="921"/>
      <c r="Z446" s="921"/>
      <c r="AA446" s="921"/>
      <c r="AB446" s="921"/>
      <c r="AC446" s="921"/>
      <c r="AD446" s="921"/>
      <c r="AE446" s="921"/>
      <c r="AF446" s="943"/>
      <c r="AG446" s="949">
        <v>235</v>
      </c>
      <c r="AH446" s="921"/>
      <c r="AI446" s="921"/>
      <c r="AJ446" s="943"/>
    </row>
    <row r="447" spans="1:36" ht="12.75" customHeight="1">
      <c r="D447" s="1013" t="s">
        <v>1571</v>
      </c>
      <c r="E447" s="921"/>
      <c r="F447" s="921"/>
      <c r="G447" s="921"/>
      <c r="H447" s="921"/>
      <c r="I447" s="921"/>
      <c r="J447" s="921"/>
      <c r="K447" s="921"/>
      <c r="L447" s="921"/>
      <c r="M447" s="921"/>
      <c r="N447" s="921"/>
      <c r="O447" s="921"/>
      <c r="P447" s="921"/>
      <c r="Q447" s="921"/>
      <c r="R447" s="921"/>
      <c r="S447" s="921"/>
      <c r="T447" s="921"/>
      <c r="U447" s="921"/>
      <c r="V447" s="921"/>
      <c r="W447" s="921"/>
      <c r="X447" s="921"/>
      <c r="Y447" s="921"/>
      <c r="Z447" s="921"/>
      <c r="AA447" s="921"/>
      <c r="AB447" s="921"/>
      <c r="AC447" s="921"/>
      <c r="AD447" s="921"/>
      <c r="AE447" s="921"/>
      <c r="AF447" s="943"/>
      <c r="AG447" s="950">
        <v>232</v>
      </c>
      <c r="AH447" s="921"/>
      <c r="AI447" s="921"/>
      <c r="AJ447" s="943"/>
    </row>
    <row r="448" spans="1:36" ht="12.75" customHeight="1">
      <c r="D448" s="1013" t="s">
        <v>1573</v>
      </c>
      <c r="E448" s="921"/>
      <c r="F448" s="921"/>
      <c r="G448" s="921"/>
      <c r="H448" s="921"/>
      <c r="I448" s="921"/>
      <c r="J448" s="921"/>
      <c r="K448" s="921"/>
      <c r="L448" s="921"/>
      <c r="M448" s="921"/>
      <c r="N448" s="921"/>
      <c r="O448" s="921"/>
      <c r="P448" s="921"/>
      <c r="Q448" s="921"/>
      <c r="R448" s="921"/>
      <c r="S448" s="921"/>
      <c r="T448" s="921"/>
      <c r="U448" s="921"/>
      <c r="V448" s="921"/>
      <c r="W448" s="921"/>
      <c r="X448" s="921"/>
      <c r="Y448" s="921"/>
      <c r="Z448" s="921"/>
      <c r="AA448" s="921"/>
      <c r="AB448" s="921"/>
      <c r="AC448" s="921"/>
      <c r="AD448" s="921"/>
      <c r="AE448" s="921"/>
      <c r="AF448" s="943"/>
      <c r="AG448" s="949">
        <v>232</v>
      </c>
      <c r="AH448" s="921"/>
      <c r="AI448" s="921"/>
      <c r="AJ448" s="943"/>
    </row>
    <row r="449" spans="4:55" ht="12.75" customHeight="1">
      <c r="D449" s="1013" t="s">
        <v>1575</v>
      </c>
      <c r="E449" s="921"/>
      <c r="F449" s="921"/>
      <c r="G449" s="921"/>
      <c r="H449" s="921"/>
      <c r="I449" s="921"/>
      <c r="J449" s="921"/>
      <c r="K449" s="921"/>
      <c r="L449" s="921"/>
      <c r="M449" s="921"/>
      <c r="N449" s="921"/>
      <c r="O449" s="921"/>
      <c r="P449" s="921"/>
      <c r="Q449" s="921"/>
      <c r="R449" s="921"/>
      <c r="S449" s="921"/>
      <c r="T449" s="921"/>
      <c r="U449" s="921"/>
      <c r="V449" s="921"/>
      <c r="W449" s="921"/>
      <c r="X449" s="921"/>
      <c r="Y449" s="921"/>
      <c r="Z449" s="921"/>
      <c r="AA449" s="921"/>
      <c r="AB449" s="921"/>
      <c r="AC449" s="921"/>
      <c r="AD449" s="921"/>
      <c r="AE449" s="921"/>
      <c r="AF449" s="943"/>
      <c r="AG449" s="949">
        <v>232</v>
      </c>
      <c r="AH449" s="921"/>
      <c r="AI449" s="921"/>
      <c r="AJ449" s="943"/>
    </row>
    <row r="450" spans="4:55" ht="12.75" customHeight="1">
      <c r="D450" s="1013" t="s">
        <v>1577</v>
      </c>
      <c r="E450" s="921"/>
      <c r="F450" s="921"/>
      <c r="G450" s="921"/>
      <c r="H450" s="921"/>
      <c r="I450" s="921"/>
      <c r="J450" s="921"/>
      <c r="K450" s="921"/>
      <c r="L450" s="921"/>
      <c r="M450" s="921"/>
      <c r="N450" s="921"/>
      <c r="O450" s="921"/>
      <c r="P450" s="921"/>
      <c r="Q450" s="921"/>
      <c r="R450" s="921"/>
      <c r="S450" s="921"/>
      <c r="T450" s="921"/>
      <c r="U450" s="921"/>
      <c r="V450" s="921"/>
      <c r="W450" s="921"/>
      <c r="X450" s="921"/>
      <c r="Y450" s="921"/>
      <c r="Z450" s="921"/>
      <c r="AA450" s="921"/>
      <c r="AB450" s="921"/>
      <c r="AC450" s="921"/>
      <c r="AD450" s="921"/>
      <c r="AE450" s="921"/>
      <c r="AF450" s="943"/>
      <c r="AG450" s="1094">
        <f>IF(ISERROR(AG449/AG448),0,AG449/AG448)</f>
        <v>1</v>
      </c>
      <c r="AH450" s="921"/>
      <c r="AI450" s="921"/>
      <c r="AJ450" s="943"/>
    </row>
    <row r="451" spans="4:55" ht="12.75" customHeight="1">
      <c r="D451" s="1013" t="s">
        <v>1580</v>
      </c>
      <c r="E451" s="921"/>
      <c r="F451" s="921"/>
      <c r="G451" s="921"/>
      <c r="H451" s="921"/>
      <c r="I451" s="921"/>
      <c r="J451" s="921"/>
      <c r="K451" s="921"/>
      <c r="L451" s="921"/>
      <c r="M451" s="921"/>
      <c r="N451" s="921"/>
      <c r="O451" s="921"/>
      <c r="P451" s="921"/>
      <c r="Q451" s="921"/>
      <c r="R451" s="921"/>
      <c r="S451" s="921"/>
      <c r="T451" s="921"/>
      <c r="U451" s="921"/>
      <c r="V451" s="921"/>
      <c r="W451" s="921"/>
      <c r="X451" s="921"/>
      <c r="Y451" s="921"/>
      <c r="Z451" s="921"/>
      <c r="AA451" s="921"/>
      <c r="AB451" s="921"/>
      <c r="AC451" s="921"/>
      <c r="AD451" s="921"/>
      <c r="AE451" s="921"/>
      <c r="AF451" s="943"/>
      <c r="AG451" s="951">
        <v>177000</v>
      </c>
      <c r="AH451" s="921"/>
      <c r="AI451" s="921"/>
      <c r="AJ451" s="943"/>
    </row>
    <row r="452" spans="4:55" ht="12.75" customHeight="1">
      <c r="D452" s="1013" t="s">
        <v>1583</v>
      </c>
      <c r="E452" s="921"/>
      <c r="F452" s="921"/>
      <c r="G452" s="921"/>
      <c r="H452" s="921"/>
      <c r="I452" s="921"/>
      <c r="J452" s="921"/>
      <c r="K452" s="921"/>
      <c r="L452" s="921"/>
      <c r="M452" s="921"/>
      <c r="N452" s="921"/>
      <c r="O452" s="921"/>
      <c r="P452" s="921"/>
      <c r="Q452" s="921"/>
      <c r="R452" s="921"/>
      <c r="S452" s="921"/>
      <c r="T452" s="921"/>
      <c r="U452" s="921"/>
      <c r="V452" s="921"/>
      <c r="W452" s="921"/>
      <c r="X452" s="921"/>
      <c r="Y452" s="921"/>
      <c r="Z452" s="921"/>
      <c r="AA452" s="921"/>
      <c r="AB452" s="921"/>
      <c r="AC452" s="921"/>
      <c r="AD452" s="921"/>
      <c r="AE452" s="921"/>
      <c r="AF452" s="943"/>
      <c r="AG452" s="951">
        <v>177000</v>
      </c>
      <c r="AH452" s="921"/>
      <c r="AI452" s="921"/>
      <c r="AJ452" s="943"/>
    </row>
    <row r="453" spans="4:55" ht="12.75" customHeight="1">
      <c r="D453" s="1013" t="s">
        <v>1584</v>
      </c>
      <c r="E453" s="921"/>
      <c r="F453" s="921"/>
      <c r="G453" s="921"/>
      <c r="H453" s="921"/>
      <c r="I453" s="921"/>
      <c r="J453" s="921"/>
      <c r="K453" s="921"/>
      <c r="L453" s="921"/>
      <c r="M453" s="921"/>
      <c r="N453" s="921"/>
      <c r="O453" s="921"/>
      <c r="P453" s="921"/>
      <c r="Q453" s="921"/>
      <c r="R453" s="921"/>
      <c r="S453" s="921"/>
      <c r="T453" s="921"/>
      <c r="U453" s="921"/>
      <c r="V453" s="921"/>
      <c r="W453" s="921"/>
      <c r="X453" s="921"/>
      <c r="Y453" s="921"/>
      <c r="Z453" s="921"/>
      <c r="AA453" s="921"/>
      <c r="AB453" s="921"/>
      <c r="AC453" s="921"/>
      <c r="AD453" s="921"/>
      <c r="AE453" s="921"/>
      <c r="AF453" s="943"/>
      <c r="AG453" s="1094">
        <f>IF(ISERROR(AG452/AG451),0,AG452/AG451)</f>
        <v>1</v>
      </c>
      <c r="AH453" s="921"/>
      <c r="AI453" s="921"/>
      <c r="AJ453" s="943"/>
    </row>
    <row r="454" spans="4:55" ht="12.75" customHeight="1">
      <c r="D454" s="1013" t="s">
        <v>1587</v>
      </c>
      <c r="E454" s="921"/>
      <c r="F454" s="921"/>
      <c r="G454" s="921"/>
      <c r="H454" s="921"/>
      <c r="I454" s="921"/>
      <c r="J454" s="921"/>
      <c r="K454" s="921"/>
      <c r="L454" s="921"/>
      <c r="M454" s="921"/>
      <c r="N454" s="921"/>
      <c r="O454" s="921"/>
      <c r="P454" s="921"/>
      <c r="Q454" s="921"/>
      <c r="R454" s="921"/>
      <c r="S454" s="921"/>
      <c r="T454" s="921"/>
      <c r="U454" s="921"/>
      <c r="V454" s="921"/>
      <c r="W454" s="921"/>
      <c r="X454" s="921"/>
      <c r="Y454" s="921"/>
      <c r="Z454" s="921"/>
      <c r="AA454" s="921"/>
      <c r="AB454" s="921"/>
      <c r="AC454" s="921"/>
      <c r="AD454" s="921"/>
      <c r="AE454" s="921"/>
      <c r="AF454" s="943"/>
      <c r="AG454" s="1094">
        <f>MIN(IF(AG450&gt;AG453,AG453,AG450),1)</f>
        <v>1</v>
      </c>
      <c r="AH454" s="921"/>
      <c r="AI454" s="921"/>
      <c r="AJ454" s="943"/>
    </row>
    <row r="455" spans="4:55" ht="12.75" customHeight="1">
      <c r="D455" s="1013" t="s">
        <v>1590</v>
      </c>
      <c r="E455" s="921"/>
      <c r="F455" s="921"/>
      <c r="G455" s="921"/>
      <c r="H455" s="921"/>
      <c r="I455" s="921"/>
      <c r="J455" s="921"/>
      <c r="K455" s="921"/>
      <c r="L455" s="921"/>
      <c r="M455" s="921"/>
      <c r="N455" s="921"/>
      <c r="O455" s="921"/>
      <c r="P455" s="921"/>
      <c r="Q455" s="921"/>
      <c r="R455" s="921"/>
      <c r="S455" s="921"/>
      <c r="T455" s="921"/>
      <c r="U455" s="921"/>
      <c r="V455" s="921"/>
      <c r="W455" s="921"/>
      <c r="X455" s="921"/>
      <c r="Y455" s="921"/>
      <c r="Z455" s="921"/>
      <c r="AA455" s="921"/>
      <c r="AB455" s="921"/>
      <c r="AC455" s="921"/>
      <c r="AD455" s="921"/>
      <c r="AE455" s="921"/>
      <c r="AF455" s="943"/>
      <c r="AG455" s="951">
        <v>3000</v>
      </c>
      <c r="AH455" s="921"/>
      <c r="AI455" s="921"/>
      <c r="AJ455" s="943"/>
      <c r="AZ455" s="1"/>
      <c r="BA455" s="1"/>
      <c r="BB455" s="1"/>
      <c r="BC455" s="1"/>
    </row>
    <row r="456" spans="4:55" ht="12.75" customHeight="1">
      <c r="D456" s="1013" t="s">
        <v>1592</v>
      </c>
      <c r="E456" s="921"/>
      <c r="F456" s="921"/>
      <c r="G456" s="921"/>
      <c r="H456" s="921"/>
      <c r="I456" s="921"/>
      <c r="J456" s="921"/>
      <c r="K456" s="921"/>
      <c r="L456" s="921"/>
      <c r="M456" s="921"/>
      <c r="N456" s="921"/>
      <c r="O456" s="921"/>
      <c r="P456" s="921"/>
      <c r="Q456" s="921"/>
      <c r="R456" s="921"/>
      <c r="S456" s="921"/>
      <c r="T456" s="921"/>
      <c r="U456" s="921"/>
      <c r="V456" s="921"/>
      <c r="W456" s="921"/>
      <c r="X456" s="921"/>
      <c r="Y456" s="921"/>
      <c r="Z456" s="921"/>
      <c r="AA456" s="921"/>
      <c r="AB456" s="921"/>
      <c r="AC456" s="921"/>
      <c r="AD456" s="921"/>
      <c r="AE456" s="921"/>
      <c r="AF456" s="943"/>
      <c r="AG456" s="951">
        <v>0</v>
      </c>
      <c r="AH456" s="921"/>
      <c r="AI456" s="921"/>
      <c r="AJ456" s="943"/>
      <c r="AZ456" s="1"/>
      <c r="BA456" s="1"/>
      <c r="BB456" s="1"/>
      <c r="BC456" s="1"/>
    </row>
    <row r="457" spans="4:55" ht="12.75" customHeight="1">
      <c r="D457" s="1013" t="s">
        <v>1594</v>
      </c>
      <c r="E457" s="921"/>
      <c r="F457" s="921"/>
      <c r="G457" s="921"/>
      <c r="H457" s="921"/>
      <c r="I457" s="921"/>
      <c r="J457" s="921"/>
      <c r="K457" s="921"/>
      <c r="L457" s="921"/>
      <c r="M457" s="921"/>
      <c r="N457" s="921"/>
      <c r="O457" s="921"/>
      <c r="P457" s="921"/>
      <c r="Q457" s="921"/>
      <c r="R457" s="921"/>
      <c r="S457" s="921"/>
      <c r="T457" s="921"/>
      <c r="U457" s="921"/>
      <c r="V457" s="921"/>
      <c r="W457" s="921"/>
      <c r="X457" s="921"/>
      <c r="Y457" s="921"/>
      <c r="Z457" s="921"/>
      <c r="AA457" s="921"/>
      <c r="AB457" s="921"/>
      <c r="AC457" s="921"/>
      <c r="AD457" s="921"/>
      <c r="AE457" s="921"/>
      <c r="AF457" s="943"/>
      <c r="AG457" s="951">
        <v>2500</v>
      </c>
      <c r="AH457" s="921"/>
      <c r="AI457" s="921"/>
      <c r="AJ457" s="943"/>
      <c r="AZ457" s="1"/>
      <c r="BA457" s="1"/>
      <c r="BB457" s="1"/>
      <c r="BC457" s="1"/>
    </row>
    <row r="458" spans="4:55" ht="12.75" customHeight="1">
      <c r="D458" s="1013" t="s">
        <v>1596</v>
      </c>
      <c r="E458" s="921"/>
      <c r="F458" s="921"/>
      <c r="G458" s="921"/>
      <c r="H458" s="921"/>
      <c r="I458" s="921"/>
      <c r="J458" s="921"/>
      <c r="K458" s="921"/>
      <c r="L458" s="921"/>
      <c r="M458" s="921"/>
      <c r="N458" s="921"/>
      <c r="O458" s="921"/>
      <c r="P458" s="921"/>
      <c r="Q458" s="921"/>
      <c r="R458" s="921"/>
      <c r="S458" s="921"/>
      <c r="T458" s="921"/>
      <c r="U458" s="921"/>
      <c r="V458" s="921"/>
      <c r="W458" s="921"/>
      <c r="X458" s="921"/>
      <c r="Y458" s="921"/>
      <c r="Z458" s="921"/>
      <c r="AA458" s="921"/>
      <c r="AB458" s="921"/>
      <c r="AC458" s="921"/>
      <c r="AD458" s="921"/>
      <c r="AE458" s="921"/>
      <c r="AF458" s="943"/>
      <c r="AG458" s="951">
        <v>2000</v>
      </c>
      <c r="AH458" s="921"/>
      <c r="AI458" s="921"/>
      <c r="AJ458" s="943"/>
      <c r="BB458" s="1"/>
      <c r="BC458" s="1"/>
    </row>
    <row r="459" spans="4:55" ht="12.75" customHeight="1">
      <c r="D459" s="1013" t="s">
        <v>1600</v>
      </c>
      <c r="E459" s="921"/>
      <c r="F459" s="921"/>
      <c r="G459" s="921"/>
      <c r="H459" s="921"/>
      <c r="I459" s="921"/>
      <c r="J459" s="921"/>
      <c r="K459" s="921"/>
      <c r="L459" s="921"/>
      <c r="M459" s="921"/>
      <c r="N459" s="921"/>
      <c r="O459" s="921"/>
      <c r="P459" s="921"/>
      <c r="Q459" s="921"/>
      <c r="R459" s="921"/>
      <c r="S459" s="921"/>
      <c r="T459" s="921"/>
      <c r="U459" s="921"/>
      <c r="V459" s="921"/>
      <c r="W459" s="921"/>
      <c r="X459" s="921"/>
      <c r="Y459" s="921"/>
      <c r="Z459" s="921"/>
      <c r="AA459" s="921"/>
      <c r="AB459" s="921"/>
      <c r="AC459" s="921"/>
      <c r="AD459" s="921"/>
      <c r="AE459" s="921"/>
      <c r="AF459" s="943"/>
      <c r="AG459" s="1095">
        <f>AG451+AG455+AG457+AG458</f>
        <v>184500</v>
      </c>
      <c r="AH459" s="921"/>
      <c r="AI459" s="921"/>
      <c r="AJ459" s="943"/>
      <c r="AZ459" s="1"/>
      <c r="BA459" s="1"/>
      <c r="BB459" s="1"/>
      <c r="BC459" s="1"/>
    </row>
    <row r="460" spans="4:55" ht="12.75" customHeight="1">
      <c r="D460" s="1096" t="s">
        <v>1603</v>
      </c>
      <c r="E460" s="947"/>
      <c r="F460" s="947"/>
      <c r="G460" s="947"/>
      <c r="H460" s="947"/>
      <c r="I460" s="947"/>
      <c r="J460" s="947"/>
      <c r="K460" s="947"/>
      <c r="L460" s="947"/>
      <c r="M460" s="947"/>
      <c r="N460" s="947"/>
      <c r="O460" s="947"/>
      <c r="P460" s="947"/>
      <c r="Q460" s="947"/>
      <c r="R460" s="947"/>
      <c r="S460" s="947"/>
      <c r="T460" s="947"/>
      <c r="U460" s="947"/>
      <c r="V460" s="947"/>
      <c r="W460" s="947"/>
      <c r="X460" s="947"/>
      <c r="Y460" s="947"/>
      <c r="Z460" s="947"/>
      <c r="AA460" s="947"/>
      <c r="AB460" s="947"/>
      <c r="AC460" s="947"/>
      <c r="AD460" s="947"/>
      <c r="AE460" s="947"/>
      <c r="AF460" s="947"/>
      <c r="AG460" s="947"/>
      <c r="AH460" s="947"/>
      <c r="AI460" s="947"/>
      <c r="AJ460" s="947"/>
      <c r="AZ460" s="1"/>
      <c r="BA460" s="1"/>
      <c r="BB460" s="1"/>
      <c r="BC460" s="1"/>
    </row>
    <row r="461" spans="4:55" ht="12.75" customHeight="1">
      <c r="D461" s="893"/>
      <c r="E461" s="893"/>
      <c r="F461" s="893"/>
      <c r="G461" s="893"/>
      <c r="H461" s="893"/>
      <c r="I461" s="893"/>
      <c r="J461" s="893"/>
      <c r="K461" s="893"/>
      <c r="L461" s="893"/>
      <c r="M461" s="893"/>
      <c r="N461" s="893"/>
      <c r="O461" s="893"/>
      <c r="P461" s="893"/>
      <c r="Q461" s="893"/>
      <c r="R461" s="893"/>
      <c r="S461" s="893"/>
      <c r="T461" s="893"/>
      <c r="U461" s="893"/>
      <c r="V461" s="893"/>
      <c r="W461" s="893"/>
      <c r="X461" s="893"/>
      <c r="Y461" s="893"/>
      <c r="Z461" s="893"/>
      <c r="AA461" s="893"/>
      <c r="AB461" s="893"/>
      <c r="AC461" s="893"/>
      <c r="AD461" s="893"/>
      <c r="AE461" s="893"/>
      <c r="AF461" s="893"/>
      <c r="AG461" s="893"/>
      <c r="AH461" s="893"/>
      <c r="AI461" s="893"/>
      <c r="AJ461" s="893"/>
      <c r="AZ461" s="1"/>
      <c r="BA461" s="1"/>
      <c r="BB461" s="1"/>
      <c r="BC461" s="1"/>
    </row>
    <row r="462" spans="4:55" ht="12.75" customHeight="1">
      <c r="D462" s="284"/>
      <c r="E462" s="285"/>
      <c r="F462" s="285"/>
      <c r="G462" s="285"/>
      <c r="H462" s="285"/>
      <c r="I462" s="285"/>
      <c r="J462" s="285"/>
      <c r="K462" s="285"/>
      <c r="L462" s="285"/>
      <c r="M462" s="285"/>
      <c r="N462" s="285"/>
      <c r="O462" s="285"/>
      <c r="P462" s="285"/>
      <c r="Q462" s="285"/>
      <c r="R462" s="285"/>
      <c r="S462" s="285"/>
      <c r="T462" s="285"/>
      <c r="U462" s="285"/>
      <c r="V462" s="285"/>
      <c r="W462" s="285"/>
      <c r="X462" s="285"/>
      <c r="Y462" s="285"/>
      <c r="Z462" s="285"/>
      <c r="AA462" s="285"/>
      <c r="AB462" s="285"/>
      <c r="AC462" s="285"/>
      <c r="AD462" s="285"/>
      <c r="AE462" s="285"/>
      <c r="AF462" s="285"/>
      <c r="AG462" s="285"/>
      <c r="AH462" s="285"/>
      <c r="AI462" s="285"/>
      <c r="AJ462" s="286"/>
      <c r="AZ462" s="1"/>
      <c r="BA462" s="1" t="str">
        <f>N583</f>
        <v>Yes</v>
      </c>
      <c r="BB462" s="1"/>
      <c r="BC462" s="1"/>
    </row>
    <row r="463" spans="4:55" ht="12.75" customHeight="1">
      <c r="D463" s="8" t="s">
        <v>1610</v>
      </c>
      <c r="E463" s="285"/>
      <c r="F463" s="285"/>
      <c r="G463" s="285"/>
      <c r="H463" s="285"/>
      <c r="I463" s="285"/>
      <c r="J463" s="285"/>
      <c r="K463" s="285"/>
      <c r="L463" s="285"/>
      <c r="M463" s="285"/>
      <c r="N463" s="285"/>
      <c r="O463" s="285"/>
      <c r="P463" s="285"/>
      <c r="Q463" s="285"/>
      <c r="R463" s="285"/>
      <c r="S463" s="285"/>
      <c r="T463" s="285"/>
      <c r="U463" s="285"/>
      <c r="V463" s="285"/>
      <c r="W463" s="285"/>
      <c r="X463" s="285"/>
      <c r="Y463" s="285"/>
      <c r="Z463" s="285"/>
      <c r="AA463" s="285"/>
      <c r="AB463" s="285"/>
      <c r="AC463" s="953">
        <f>IF(AG446=0,"",'Sources and Uses Budget'!B105/Application!AG446)</f>
        <v>422027.71489361703</v>
      </c>
      <c r="AD463" s="921"/>
      <c r="AE463" s="921"/>
      <c r="AF463" s="943"/>
      <c r="AG463" s="285"/>
      <c r="AH463" s="285"/>
      <c r="AI463" s="285"/>
      <c r="AJ463" s="286"/>
      <c r="AZ463" s="1"/>
      <c r="BA463" s="1" t="str">
        <f>AG583</f>
        <v>Yes</v>
      </c>
      <c r="BB463" s="1"/>
      <c r="BC463" s="1"/>
    </row>
    <row r="464" spans="4:55" ht="12.75" customHeight="1">
      <c r="D464" s="8" t="s">
        <v>1612</v>
      </c>
      <c r="E464" s="285"/>
      <c r="F464" s="285"/>
      <c r="G464" s="285"/>
      <c r="H464" s="285"/>
      <c r="I464" s="285"/>
      <c r="J464" s="285"/>
      <c r="K464" s="285"/>
      <c r="L464" s="285"/>
      <c r="M464" s="285"/>
      <c r="N464" s="285"/>
      <c r="O464" s="285"/>
      <c r="P464" s="285"/>
      <c r="Q464" s="285"/>
      <c r="R464" s="285"/>
      <c r="S464" s="285"/>
      <c r="T464" s="285"/>
      <c r="U464" s="285"/>
      <c r="V464" s="285"/>
      <c r="W464" s="285"/>
      <c r="X464" s="285"/>
      <c r="Y464" s="285"/>
      <c r="Z464" s="285"/>
      <c r="AA464" s="285"/>
      <c r="AB464" s="285"/>
      <c r="AC464" s="953">
        <f>IF(AG446=0,"",'Sources and Uses Budget'!C105/Application!AG446)</f>
        <v>422027.71489361703</v>
      </c>
      <c r="AD464" s="921"/>
      <c r="AE464" s="921"/>
      <c r="AF464" s="943"/>
      <c r="AG464" s="285"/>
      <c r="AH464" s="285"/>
      <c r="AI464" s="285"/>
      <c r="AJ464" s="286"/>
      <c r="AZ464" s="1"/>
      <c r="BA464" s="1"/>
      <c r="BB464" s="1"/>
      <c r="BC464" s="1"/>
    </row>
    <row r="465" spans="1:55" ht="12.75" customHeight="1">
      <c r="D465" s="8" t="s">
        <v>1616</v>
      </c>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953">
        <f>IF(AG446=0,"",('Sources and Uses Budget'!$S$107+'Sources and Uses Budget'!$T$107)/Application!AG446)</f>
        <v>376773.54893617023</v>
      </c>
      <c r="AD465" s="921"/>
      <c r="AE465" s="921"/>
      <c r="AF465" s="943"/>
      <c r="AG465" s="285"/>
      <c r="AH465" s="285"/>
      <c r="AI465" s="285"/>
      <c r="AJ465" s="286"/>
      <c r="AZ465" s="1"/>
      <c r="BA465" s="1"/>
      <c r="BB465" s="1"/>
      <c r="BC465" s="1"/>
    </row>
    <row r="466" spans="1:55" ht="12.75" customHeight="1">
      <c r="D466" s="285"/>
      <c r="E466" s="285"/>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c r="AC466" s="285"/>
      <c r="AD466" s="285"/>
      <c r="AE466" s="285"/>
      <c r="AF466" s="285"/>
      <c r="AG466" s="285"/>
      <c r="AH466" s="285"/>
      <c r="AI466" s="285"/>
      <c r="AJ466" s="286"/>
      <c r="AZ466" s="1"/>
      <c r="BA466" s="1"/>
      <c r="BB466" s="1"/>
      <c r="BC466" s="1"/>
    </row>
    <row r="467" spans="1:55" ht="12.75" customHeight="1">
      <c r="A467" s="8" t="s">
        <v>1617</v>
      </c>
      <c r="D467" s="8" t="s">
        <v>208</v>
      </c>
      <c r="E467" s="285"/>
      <c r="F467" s="285"/>
      <c r="G467" s="285"/>
      <c r="H467" s="285"/>
      <c r="I467" s="285"/>
      <c r="J467" s="285"/>
      <c r="K467" s="285"/>
      <c r="L467" s="285"/>
      <c r="M467" s="285"/>
      <c r="N467" s="285"/>
      <c r="O467" s="285"/>
      <c r="P467" s="285"/>
      <c r="Q467" s="285"/>
      <c r="R467" s="285"/>
      <c r="S467" s="285"/>
      <c r="T467" s="285"/>
      <c r="U467" s="285"/>
      <c r="V467" s="285"/>
      <c r="W467" s="285"/>
      <c r="X467" s="285"/>
      <c r="Y467" s="285"/>
      <c r="Z467" s="285"/>
      <c r="AA467" s="285"/>
      <c r="AB467" s="285"/>
      <c r="AC467" s="285"/>
      <c r="AD467" s="285"/>
      <c r="AE467" s="285"/>
      <c r="AF467" s="285"/>
      <c r="AG467" s="285"/>
      <c r="AH467" s="285"/>
      <c r="AI467" s="285"/>
      <c r="AJ467" s="286"/>
      <c r="AZ467" s="1"/>
      <c r="BA467" s="1"/>
      <c r="BB467" s="1"/>
      <c r="BC467" s="1"/>
    </row>
    <row r="468" spans="1:55" ht="12.75" customHeight="1">
      <c r="D468" s="297" t="s">
        <v>1618</v>
      </c>
      <c r="E468" s="285"/>
      <c r="F468" s="285"/>
      <c r="G468" s="285"/>
      <c r="H468" s="285"/>
      <c r="I468" s="285"/>
      <c r="J468" s="285"/>
      <c r="K468" s="285"/>
      <c r="L468" s="285"/>
      <c r="M468" s="285"/>
      <c r="N468" s="285"/>
      <c r="O468" s="285"/>
      <c r="P468" s="285"/>
      <c r="Q468" s="285"/>
      <c r="R468" s="285"/>
      <c r="S468" s="285"/>
      <c r="T468" s="285"/>
      <c r="U468" s="285"/>
      <c r="V468" s="285"/>
      <c r="W468" s="285"/>
      <c r="X468" s="285"/>
      <c r="Y468" s="285"/>
      <c r="Z468" s="285"/>
      <c r="AA468" s="285"/>
      <c r="AB468" s="285"/>
      <c r="AC468" s="285"/>
      <c r="AD468" s="285"/>
      <c r="AE468" s="285"/>
      <c r="AF468" s="285"/>
      <c r="AG468" s="285"/>
      <c r="AH468" s="285"/>
      <c r="AI468" s="285"/>
      <c r="AJ468" s="286"/>
      <c r="AZ468" s="1"/>
      <c r="BA468" s="1"/>
      <c r="BB468" s="1"/>
      <c r="BC468" s="1"/>
    </row>
    <row r="469" spans="1:55" ht="12.75" customHeight="1">
      <c r="D469" s="297" t="s">
        <v>1621</v>
      </c>
      <c r="E469" s="285"/>
      <c r="F469" s="285"/>
      <c r="G469" s="285"/>
      <c r="H469" s="285"/>
      <c r="I469" s="285"/>
      <c r="J469" s="285"/>
      <c r="K469" s="285"/>
      <c r="L469" s="285"/>
      <c r="M469" s="285"/>
      <c r="N469" s="285"/>
      <c r="O469" s="285"/>
      <c r="P469" s="285"/>
      <c r="Q469" s="285"/>
      <c r="R469" s="285"/>
      <c r="S469" s="285"/>
      <c r="T469" s="285"/>
      <c r="U469" s="285"/>
      <c r="V469" s="285"/>
      <c r="W469" s="285"/>
      <c r="X469" s="285"/>
      <c r="Y469" s="285"/>
      <c r="Z469" s="285"/>
      <c r="AA469" s="285"/>
      <c r="AB469" s="285"/>
      <c r="AC469" s="285"/>
      <c r="AD469" s="285"/>
      <c r="AE469" s="285"/>
      <c r="AF469" s="285"/>
      <c r="AG469" s="285"/>
      <c r="AH469" s="285"/>
      <c r="AI469" s="285"/>
      <c r="AJ469" s="286"/>
      <c r="AZ469" s="1"/>
      <c r="BA469" s="1" t="str">
        <f>N591</f>
        <v>Yes</v>
      </c>
      <c r="BB469" s="1"/>
      <c r="BC469" s="1"/>
    </row>
    <row r="470" spans="1:55" ht="12.75" customHeight="1">
      <c r="D470" s="297" t="s">
        <v>1624</v>
      </c>
      <c r="E470" s="285"/>
      <c r="F470" s="285"/>
      <c r="G470" s="285"/>
      <c r="H470" s="285"/>
      <c r="I470" s="285"/>
      <c r="J470" s="285"/>
      <c r="K470" s="285"/>
      <c r="L470" s="285"/>
      <c r="M470" s="285"/>
      <c r="N470" s="285"/>
      <c r="O470" s="285"/>
      <c r="P470" s="285"/>
      <c r="Q470" s="285"/>
      <c r="R470" s="285"/>
      <c r="S470" s="285"/>
      <c r="T470" s="285"/>
      <c r="U470" s="285"/>
      <c r="V470" s="285"/>
      <c r="W470" s="285"/>
      <c r="X470" s="285"/>
      <c r="Y470" s="285"/>
      <c r="Z470" s="285"/>
      <c r="AA470" s="285"/>
      <c r="AB470" s="285"/>
      <c r="AC470" s="285"/>
      <c r="AD470" s="285"/>
      <c r="AE470" s="285"/>
      <c r="AF470" s="285"/>
      <c r="AG470" s="285"/>
      <c r="AH470" s="285"/>
      <c r="AI470" s="285"/>
      <c r="AJ470" s="286"/>
      <c r="AZ470" s="1"/>
      <c r="BA470" s="1" t="str">
        <f>AG591</f>
        <v>Yes</v>
      </c>
      <c r="BB470" s="1"/>
      <c r="BC470" s="1"/>
    </row>
    <row r="471" spans="1:55" ht="12.75" customHeight="1">
      <c r="D471" s="284"/>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6"/>
      <c r="AZ471" s="1"/>
      <c r="BA471" s="1"/>
      <c r="BB471" s="1"/>
      <c r="BC471" s="1"/>
    </row>
    <row r="472" spans="1:55" ht="12.75" customHeight="1">
      <c r="A472" s="1"/>
      <c r="B472" s="1"/>
      <c r="C472" s="1"/>
      <c r="D472" s="297" t="s">
        <v>1626</v>
      </c>
      <c r="E472" s="297"/>
      <c r="F472" s="297"/>
      <c r="G472" s="297"/>
      <c r="H472" s="297"/>
      <c r="I472" s="297"/>
      <c r="J472" s="297"/>
      <c r="K472" s="297"/>
      <c r="L472" s="297"/>
      <c r="M472" s="297"/>
      <c r="N472" s="297"/>
      <c r="O472" s="297"/>
      <c r="P472" s="297"/>
      <c r="Q472" s="297"/>
      <c r="R472" s="297"/>
      <c r="S472" s="297"/>
      <c r="T472" s="297"/>
      <c r="U472" s="297"/>
      <c r="V472" s="297"/>
      <c r="W472" s="297"/>
      <c r="X472" s="297"/>
      <c r="Y472" s="297"/>
      <c r="Z472" s="297"/>
      <c r="AA472" s="297"/>
      <c r="AB472" s="297"/>
      <c r="AC472" s="297"/>
      <c r="AD472" s="285"/>
      <c r="AE472" s="285"/>
      <c r="AF472" s="285"/>
      <c r="AG472" s="285"/>
      <c r="AH472" s="285"/>
      <c r="AI472" s="285"/>
      <c r="AJ472" s="286"/>
      <c r="AZ472" s="1"/>
      <c r="BA472" s="1"/>
      <c r="BB472" s="1"/>
      <c r="BC472" s="1"/>
    </row>
    <row r="473" spans="1:55" ht="12.75" customHeight="1">
      <c r="A473" s="1"/>
      <c r="B473" s="1"/>
      <c r="C473" s="1"/>
      <c r="D473" s="1087" t="s">
        <v>1627</v>
      </c>
      <c r="E473" s="921"/>
      <c r="F473" s="921"/>
      <c r="G473" s="921"/>
      <c r="H473" s="921"/>
      <c r="I473" s="921"/>
      <c r="J473" s="921"/>
      <c r="K473" s="921"/>
      <c r="L473" s="921"/>
      <c r="M473" s="921"/>
      <c r="N473" s="921"/>
      <c r="O473" s="921"/>
      <c r="P473" s="921"/>
      <c r="Q473" s="921"/>
      <c r="R473" s="921"/>
      <c r="S473" s="921"/>
      <c r="T473" s="921"/>
      <c r="U473" s="921"/>
      <c r="V473" s="943"/>
      <c r="W473" s="1088">
        <v>0</v>
      </c>
      <c r="X473" s="921"/>
      <c r="Y473" s="943"/>
      <c r="Z473" s="297"/>
      <c r="AA473" s="297"/>
      <c r="AB473" s="297"/>
      <c r="AC473" s="297"/>
      <c r="AD473" s="285"/>
      <c r="AE473" s="285"/>
      <c r="AF473" s="285"/>
      <c r="AG473" s="285"/>
      <c r="AH473" s="285"/>
      <c r="AI473" s="285"/>
      <c r="AJ473" s="286"/>
      <c r="AZ473" s="1"/>
      <c r="BA473" s="1"/>
      <c r="BB473" s="1"/>
      <c r="BC473" s="1"/>
    </row>
    <row r="474" spans="1:55" ht="12.75" customHeight="1">
      <c r="A474" s="1"/>
      <c r="B474" s="1"/>
      <c r="C474" s="1"/>
      <c r="D474" s="1087" t="s">
        <v>1629</v>
      </c>
      <c r="E474" s="921"/>
      <c r="F474" s="921"/>
      <c r="G474" s="921"/>
      <c r="H474" s="921"/>
      <c r="I474" s="921"/>
      <c r="J474" s="921"/>
      <c r="K474" s="921"/>
      <c r="L474" s="921"/>
      <c r="M474" s="921"/>
      <c r="N474" s="921"/>
      <c r="O474" s="921"/>
      <c r="P474" s="921"/>
      <c r="Q474" s="921"/>
      <c r="R474" s="921"/>
      <c r="S474" s="921"/>
      <c r="T474" s="921"/>
      <c r="U474" s="921"/>
      <c r="V474" s="943"/>
      <c r="W474" s="1088">
        <v>0</v>
      </c>
      <c r="X474" s="921"/>
      <c r="Y474" s="943"/>
      <c r="Z474" s="297"/>
      <c r="AA474" s="297"/>
      <c r="AB474" s="297"/>
      <c r="AC474" s="297"/>
      <c r="AD474" s="285"/>
      <c r="AE474" s="285"/>
      <c r="AF474" s="285"/>
      <c r="AG474" s="285"/>
      <c r="AH474" s="285"/>
      <c r="AI474" s="285"/>
      <c r="AJ474" s="286"/>
      <c r="AZ474" s="1"/>
      <c r="BA474" s="1"/>
      <c r="BB474" s="1"/>
      <c r="BC474" s="1"/>
    </row>
    <row r="475" spans="1:55" ht="12.75" customHeight="1">
      <c r="A475" s="1"/>
      <c r="B475" s="1"/>
      <c r="C475" s="1"/>
      <c r="D475" s="1087" t="s">
        <v>1630</v>
      </c>
      <c r="E475" s="921"/>
      <c r="F475" s="921"/>
      <c r="G475" s="921"/>
      <c r="H475" s="921"/>
      <c r="I475" s="921"/>
      <c r="J475" s="921"/>
      <c r="K475" s="921"/>
      <c r="L475" s="921"/>
      <c r="M475" s="921"/>
      <c r="N475" s="921"/>
      <c r="O475" s="921"/>
      <c r="P475" s="921"/>
      <c r="Q475" s="921"/>
      <c r="R475" s="921"/>
      <c r="S475" s="921"/>
      <c r="T475" s="921"/>
      <c r="U475" s="921"/>
      <c r="V475" s="943"/>
      <c r="W475" s="1088">
        <v>0</v>
      </c>
      <c r="X475" s="921"/>
      <c r="Y475" s="943"/>
      <c r="Z475" s="297"/>
      <c r="AA475" s="297"/>
      <c r="AB475" s="297"/>
      <c r="AC475" s="297"/>
      <c r="AD475" s="285"/>
      <c r="AE475" s="285"/>
      <c r="AF475" s="285"/>
      <c r="AG475" s="285"/>
      <c r="AH475" s="285"/>
      <c r="AI475" s="285"/>
      <c r="AJ475" s="286"/>
      <c r="AZ475" s="1"/>
      <c r="BA475" s="1"/>
      <c r="BB475" s="1"/>
      <c r="BC475" s="1"/>
    </row>
    <row r="476" spans="1:55" ht="12.75" customHeight="1">
      <c r="A476" s="1"/>
      <c r="B476" s="1"/>
      <c r="C476" s="1"/>
      <c r="D476" s="1087" t="s">
        <v>1631</v>
      </c>
      <c r="E476" s="921"/>
      <c r="F476" s="921"/>
      <c r="G476" s="921"/>
      <c r="H476" s="921"/>
      <c r="I476" s="921"/>
      <c r="J476" s="921"/>
      <c r="K476" s="921"/>
      <c r="L476" s="921"/>
      <c r="M476" s="921"/>
      <c r="N476" s="921"/>
      <c r="O476" s="921"/>
      <c r="P476" s="921"/>
      <c r="Q476" s="921"/>
      <c r="R476" s="921"/>
      <c r="S476" s="921"/>
      <c r="T476" s="921"/>
      <c r="U476" s="921"/>
      <c r="V476" s="943"/>
      <c r="W476" s="1088">
        <v>0</v>
      </c>
      <c r="X476" s="921"/>
      <c r="Y476" s="943"/>
      <c r="Z476" s="297"/>
      <c r="AA476" s="297"/>
      <c r="AB476" s="297"/>
      <c r="AC476" s="297"/>
      <c r="AD476" s="285"/>
      <c r="AE476" s="285"/>
      <c r="AF476" s="285"/>
      <c r="AG476" s="285"/>
      <c r="AH476" s="285"/>
      <c r="AI476" s="285"/>
      <c r="AJ476" s="286"/>
      <c r="AZ476" s="1"/>
      <c r="BA476" s="1"/>
      <c r="BB476" s="1"/>
      <c r="BC476" s="1"/>
    </row>
    <row r="477" spans="1:55" ht="12.75" customHeight="1">
      <c r="A477" s="1"/>
      <c r="B477" s="1"/>
      <c r="C477" s="1"/>
      <c r="D477" s="1087" t="s">
        <v>1633</v>
      </c>
      <c r="E477" s="921"/>
      <c r="F477" s="921"/>
      <c r="G477" s="921"/>
      <c r="H477" s="921"/>
      <c r="I477" s="921"/>
      <c r="J477" s="921"/>
      <c r="K477" s="921"/>
      <c r="L477" s="921"/>
      <c r="M477" s="921"/>
      <c r="N477" s="921"/>
      <c r="O477" s="921"/>
      <c r="P477" s="921"/>
      <c r="Q477" s="921"/>
      <c r="R477" s="921"/>
      <c r="S477" s="921"/>
      <c r="T477" s="921"/>
      <c r="U477" s="921"/>
      <c r="V477" s="943"/>
      <c r="W477" s="1088">
        <v>0</v>
      </c>
      <c r="X477" s="921"/>
      <c r="Y477" s="943"/>
      <c r="Z477" s="297"/>
      <c r="AA477" s="297"/>
      <c r="AB477" s="297"/>
      <c r="AC477" s="297"/>
      <c r="AD477" s="285"/>
      <c r="AE477" s="285"/>
      <c r="AF477" s="285"/>
      <c r="AG477" s="285"/>
      <c r="AH477" s="285"/>
      <c r="AI477" s="285"/>
      <c r="AJ477" s="286"/>
      <c r="AZ477" s="1"/>
      <c r="BA477" s="1" t="str">
        <f>N599</f>
        <v>Yes</v>
      </c>
      <c r="BB477" s="1"/>
      <c r="BC477" s="1"/>
    </row>
    <row r="478" spans="1:55" ht="12.75" customHeight="1">
      <c r="A478" s="1"/>
      <c r="B478" s="1"/>
      <c r="C478" s="1"/>
      <c r="D478" s="1087" t="s">
        <v>1636</v>
      </c>
      <c r="E478" s="921"/>
      <c r="F478" s="921"/>
      <c r="G478" s="921"/>
      <c r="H478" s="921"/>
      <c r="I478" s="921"/>
      <c r="J478" s="921"/>
      <c r="K478" s="921"/>
      <c r="L478" s="921"/>
      <c r="M478" s="921"/>
      <c r="N478" s="921"/>
      <c r="O478" s="921"/>
      <c r="P478" s="921"/>
      <c r="Q478" s="921"/>
      <c r="R478" s="921"/>
      <c r="S478" s="921"/>
      <c r="T478" s="921"/>
      <c r="U478" s="921"/>
      <c r="V478" s="943"/>
      <c r="W478" s="1088">
        <v>0</v>
      </c>
      <c r="X478" s="921"/>
      <c r="Y478" s="943"/>
      <c r="Z478" s="297"/>
      <c r="AA478" s="297"/>
      <c r="AB478" s="297"/>
      <c r="AC478" s="297"/>
      <c r="AD478" s="285"/>
      <c r="AE478" s="285"/>
      <c r="AF478" s="285"/>
      <c r="AG478" s="285"/>
      <c r="AH478" s="285"/>
      <c r="AI478" s="285"/>
      <c r="AJ478" s="286"/>
      <c r="AZ478" s="1"/>
      <c r="BA478" s="1" t="str">
        <f>AG599</f>
        <v>No</v>
      </c>
      <c r="BB478" s="1"/>
      <c r="BC478" s="1"/>
    </row>
    <row r="479" spans="1:55" ht="12.75" customHeight="1">
      <c r="A479" s="1"/>
      <c r="B479" s="1"/>
      <c r="C479" s="1"/>
      <c r="D479" s="1087" t="s">
        <v>1638</v>
      </c>
      <c r="E479" s="921"/>
      <c r="F479" s="921"/>
      <c r="G479" s="921"/>
      <c r="H479" s="921"/>
      <c r="I479" s="921"/>
      <c r="J479" s="921"/>
      <c r="K479" s="921"/>
      <c r="L479" s="921"/>
      <c r="M479" s="921"/>
      <c r="N479" s="921"/>
      <c r="O479" s="921"/>
      <c r="P479" s="921"/>
      <c r="Q479" s="921"/>
      <c r="R479" s="921"/>
      <c r="S479" s="921"/>
      <c r="T479" s="921"/>
      <c r="U479" s="921"/>
      <c r="V479" s="943"/>
      <c r="W479" s="1088">
        <v>0</v>
      </c>
      <c r="X479" s="921"/>
      <c r="Y479" s="943"/>
      <c r="Z479" s="297"/>
      <c r="AA479" s="297"/>
      <c r="AB479" s="297"/>
      <c r="AC479" s="297"/>
      <c r="AD479" s="285"/>
      <c r="AE479" s="285"/>
      <c r="AF479" s="285"/>
      <c r="AG479" s="285"/>
      <c r="AH479" s="285"/>
      <c r="AI479" s="285"/>
      <c r="AJ479" s="286"/>
      <c r="AZ479" s="1"/>
      <c r="BA479" s="1"/>
      <c r="BB479" s="1"/>
      <c r="BC479" s="1"/>
    </row>
    <row r="480" spans="1:55" ht="12.75" customHeight="1">
      <c r="A480" s="1"/>
      <c r="B480" s="1"/>
      <c r="C480" s="1"/>
      <c r="D480" s="1087" t="s">
        <v>1644</v>
      </c>
      <c r="E480" s="921"/>
      <c r="F480" s="921"/>
      <c r="G480" s="921"/>
      <c r="H480" s="921"/>
      <c r="I480" s="921"/>
      <c r="J480" s="921"/>
      <c r="K480" s="921"/>
      <c r="L480" s="921"/>
      <c r="M480" s="921"/>
      <c r="N480" s="921"/>
      <c r="O480" s="921"/>
      <c r="P480" s="921"/>
      <c r="Q480" s="921"/>
      <c r="R480" s="921"/>
      <c r="S480" s="921"/>
      <c r="T480" s="921"/>
      <c r="U480" s="921"/>
      <c r="V480" s="943"/>
      <c r="W480" s="1088">
        <v>0</v>
      </c>
      <c r="X480" s="921"/>
      <c r="Y480" s="943"/>
      <c r="Z480" s="297"/>
      <c r="AA480" s="297"/>
      <c r="AB480" s="297"/>
      <c r="AC480" s="297"/>
      <c r="AD480" s="285"/>
      <c r="AE480" s="285"/>
      <c r="AF480" s="285"/>
      <c r="AG480" s="285"/>
      <c r="AH480" s="285"/>
      <c r="AI480" s="285"/>
      <c r="AJ480" s="286"/>
      <c r="AZ480" s="1"/>
      <c r="BA480" s="1"/>
      <c r="BB480" s="1"/>
      <c r="BC480" s="1"/>
    </row>
    <row r="481" spans="1:55" ht="12.75" customHeight="1">
      <c r="A481" s="1"/>
      <c r="B481" s="1"/>
      <c r="C481" s="1"/>
      <c r="D481" s="1087" t="s">
        <v>1646</v>
      </c>
      <c r="E481" s="921"/>
      <c r="F481" s="921"/>
      <c r="G481" s="921"/>
      <c r="H481" s="921"/>
      <c r="I481" s="921"/>
      <c r="J481" s="921"/>
      <c r="K481" s="921"/>
      <c r="L481" s="921"/>
      <c r="M481" s="921"/>
      <c r="N481" s="921"/>
      <c r="O481" s="921"/>
      <c r="P481" s="921"/>
      <c r="Q481" s="921"/>
      <c r="R481" s="921"/>
      <c r="S481" s="921"/>
      <c r="T481" s="921"/>
      <c r="U481" s="921"/>
      <c r="V481" s="943"/>
      <c r="W481" s="1088">
        <v>19</v>
      </c>
      <c r="X481" s="921"/>
      <c r="Y481" s="943"/>
      <c r="Z481" s="297"/>
      <c r="AA481" s="297"/>
      <c r="AB481" s="297"/>
      <c r="AC481" s="297"/>
      <c r="AD481" s="285"/>
      <c r="AE481" s="285"/>
      <c r="AF481" s="285"/>
      <c r="AG481" s="285"/>
      <c r="AH481" s="285"/>
      <c r="AI481" s="285"/>
      <c r="AJ481" s="286"/>
      <c r="AZ481" s="1"/>
      <c r="BA481" s="1"/>
      <c r="BB481" s="1"/>
      <c r="BC481" s="1"/>
    </row>
    <row r="482" spans="1:55" ht="12.75" customHeight="1">
      <c r="A482" s="1"/>
      <c r="B482" s="1"/>
      <c r="C482" s="1"/>
      <c r="D482" s="307" t="s">
        <v>289</v>
      </c>
      <c r="E482" s="308"/>
      <c r="F482" s="309"/>
      <c r="G482" s="1089"/>
      <c r="H482" s="921"/>
      <c r="I482" s="921"/>
      <c r="J482" s="921"/>
      <c r="K482" s="921"/>
      <c r="L482" s="921"/>
      <c r="M482" s="921"/>
      <c r="N482" s="921"/>
      <c r="O482" s="921"/>
      <c r="P482" s="921"/>
      <c r="Q482" s="921"/>
      <c r="R482" s="921"/>
      <c r="S482" s="921"/>
      <c r="T482" s="921"/>
      <c r="U482" s="921"/>
      <c r="V482" s="943"/>
      <c r="W482" s="1088">
        <v>0</v>
      </c>
      <c r="X482" s="921"/>
      <c r="Y482" s="943"/>
      <c r="Z482" s="297"/>
      <c r="AA482" s="297"/>
      <c r="AB482" s="297"/>
      <c r="AC482" s="297"/>
      <c r="AD482" s="285"/>
      <c r="AE482" s="285"/>
      <c r="AF482" s="285"/>
      <c r="AG482" s="285"/>
      <c r="AH482" s="285"/>
      <c r="AI482" s="285"/>
      <c r="AJ482" s="286"/>
      <c r="AZ482" s="1"/>
      <c r="BA482" s="1"/>
      <c r="BB482" s="1"/>
      <c r="BC482" s="1"/>
    </row>
    <row r="483" spans="1:55" ht="12.75" customHeight="1">
      <c r="A483" s="1"/>
      <c r="B483" s="1"/>
      <c r="C483" s="1"/>
      <c r="D483" s="310" t="s">
        <v>1647</v>
      </c>
      <c r="E483" s="311"/>
      <c r="F483" s="311"/>
      <c r="G483" s="297"/>
      <c r="H483" s="297"/>
      <c r="I483" s="297"/>
      <c r="J483" s="297"/>
      <c r="K483" s="297"/>
      <c r="L483" s="297"/>
      <c r="M483" s="297"/>
      <c r="N483" s="297"/>
      <c r="O483" s="297"/>
      <c r="P483" s="297"/>
      <c r="Q483" s="297"/>
      <c r="R483" s="297"/>
      <c r="S483" s="297"/>
      <c r="T483" s="297"/>
      <c r="U483" s="297"/>
      <c r="V483" s="297"/>
      <c r="W483" s="312"/>
      <c r="X483" s="312"/>
      <c r="Y483" s="313"/>
      <c r="Z483" s="297"/>
      <c r="AA483" s="297"/>
      <c r="AB483" s="297"/>
      <c r="AC483" s="297"/>
      <c r="AD483" s="285"/>
      <c r="AE483" s="285"/>
      <c r="AF483" s="285"/>
      <c r="AG483" s="285"/>
      <c r="AH483" s="285"/>
      <c r="AI483" s="285"/>
      <c r="AJ483" s="286"/>
      <c r="AZ483" s="1"/>
      <c r="BA483" s="1"/>
      <c r="BB483" s="1"/>
      <c r="BC483" s="1"/>
    </row>
    <row r="484" spans="1:55" ht="12.75" customHeight="1">
      <c r="A484" s="1"/>
      <c r="B484" s="1"/>
      <c r="C484" s="1"/>
      <c r="D484" s="315"/>
      <c r="E484" s="316"/>
      <c r="F484" s="316"/>
      <c r="G484" s="316"/>
      <c r="H484" s="316"/>
      <c r="I484" s="316"/>
      <c r="J484" s="316"/>
      <c r="K484" s="316"/>
      <c r="L484" s="316"/>
      <c r="M484" s="316"/>
      <c r="N484" s="316"/>
      <c r="O484" s="316"/>
      <c r="P484" s="316"/>
      <c r="Q484" s="316"/>
      <c r="R484" s="316"/>
      <c r="S484" s="316"/>
      <c r="T484" s="316"/>
      <c r="U484" s="316"/>
      <c r="V484" s="316"/>
      <c r="W484" s="318"/>
      <c r="X484" s="318"/>
      <c r="Y484" s="319"/>
      <c r="Z484" s="297"/>
      <c r="AA484" s="297"/>
      <c r="AB484" s="297"/>
      <c r="AC484" s="297"/>
      <c r="AD484" s="285"/>
      <c r="AE484" s="285"/>
      <c r="AF484" s="285"/>
      <c r="AG484" s="285"/>
      <c r="AH484" s="285"/>
      <c r="AI484" s="285"/>
      <c r="AJ484" s="286"/>
      <c r="AZ484" s="1"/>
      <c r="BA484" s="1"/>
      <c r="BB484" s="1"/>
      <c r="BC484" s="1"/>
    </row>
    <row r="485" spans="1:55" ht="12.75" customHeight="1">
      <c r="A485" s="1"/>
      <c r="B485" s="1"/>
      <c r="C485" s="1"/>
      <c r="D485" s="315"/>
      <c r="E485" s="316"/>
      <c r="F485" s="316"/>
      <c r="G485" s="316"/>
      <c r="H485" s="316"/>
      <c r="I485" s="316"/>
      <c r="J485" s="316"/>
      <c r="K485" s="316"/>
      <c r="L485" s="316"/>
      <c r="M485" s="316"/>
      <c r="N485" s="316"/>
      <c r="O485" s="316"/>
      <c r="P485" s="316"/>
      <c r="Q485" s="316"/>
      <c r="R485" s="316"/>
      <c r="S485" s="316"/>
      <c r="T485" s="316"/>
      <c r="U485" s="316"/>
      <c r="V485" s="316"/>
      <c r="W485" s="318"/>
      <c r="X485" s="318"/>
      <c r="Y485" s="319"/>
      <c r="Z485" s="297"/>
      <c r="AA485" s="297"/>
      <c r="AB485" s="297"/>
      <c r="AC485" s="297"/>
      <c r="AD485" s="285"/>
      <c r="AE485" s="285"/>
      <c r="AF485" s="285"/>
      <c r="AG485" s="285"/>
      <c r="AH485" s="285"/>
      <c r="AI485" s="285"/>
      <c r="AJ485" s="286"/>
      <c r="AZ485" s="1"/>
      <c r="BA485" s="1"/>
      <c r="BB485" s="1"/>
      <c r="BC485" s="1"/>
    </row>
    <row r="486" spans="1:55" ht="12.75" customHeight="1">
      <c r="A486" s="1"/>
      <c r="B486" s="1"/>
      <c r="C486" s="1"/>
      <c r="D486" s="315"/>
      <c r="E486" s="316"/>
      <c r="F486" s="316"/>
      <c r="G486" s="316"/>
      <c r="H486" s="316"/>
      <c r="I486" s="316"/>
      <c r="J486" s="316"/>
      <c r="K486" s="316"/>
      <c r="L486" s="316"/>
      <c r="M486" s="316"/>
      <c r="N486" s="316"/>
      <c r="O486" s="316"/>
      <c r="P486" s="316"/>
      <c r="Q486" s="316"/>
      <c r="R486" s="316"/>
      <c r="S486" s="316"/>
      <c r="T486" s="316"/>
      <c r="U486" s="316"/>
      <c r="V486" s="316"/>
      <c r="W486" s="318"/>
      <c r="X486" s="318"/>
      <c r="Y486" s="319"/>
      <c r="Z486" s="297"/>
      <c r="AA486" s="297"/>
      <c r="AB486" s="297"/>
      <c r="AC486" s="297"/>
      <c r="AD486" s="285"/>
      <c r="AE486" s="285"/>
      <c r="AF486" s="285"/>
      <c r="AG486" s="285"/>
      <c r="AH486" s="285"/>
      <c r="AI486" s="285"/>
      <c r="AJ486" s="286"/>
      <c r="AZ486" s="1"/>
      <c r="BA486" s="1" t="str">
        <f>N607</f>
        <v>No</v>
      </c>
      <c r="BB486" s="1"/>
      <c r="BC486" s="1"/>
    </row>
    <row r="487" spans="1:55" ht="12.75" customHeight="1">
      <c r="AU487" s="191"/>
      <c r="AV487" s="191"/>
      <c r="AW487" s="191"/>
      <c r="AX487" s="191"/>
      <c r="AY487" s="191"/>
      <c r="AZ487" s="1"/>
      <c r="BA487" s="1" t="str">
        <f>AG607</f>
        <v>No</v>
      </c>
      <c r="BB487" s="1"/>
      <c r="BC487" s="1"/>
    </row>
    <row r="488" spans="1:55" ht="12.75" customHeight="1">
      <c r="A488" s="988" t="s">
        <v>1655</v>
      </c>
      <c r="B488" s="901"/>
      <c r="C488" s="901"/>
      <c r="D488" s="901"/>
      <c r="E488" s="901"/>
      <c r="F488" s="901"/>
      <c r="G488" s="901"/>
      <c r="H488" s="901"/>
      <c r="I488" s="901"/>
      <c r="J488" s="901"/>
      <c r="K488" s="901"/>
      <c r="L488" s="901"/>
      <c r="M488" s="901"/>
      <c r="N488" s="901"/>
      <c r="O488" s="901"/>
      <c r="P488" s="901"/>
      <c r="Q488" s="901"/>
      <c r="R488" s="901"/>
      <c r="S488" s="901"/>
      <c r="T488" s="901"/>
      <c r="U488" s="901"/>
      <c r="V488" s="901"/>
      <c r="W488" s="901"/>
      <c r="X488" s="901"/>
      <c r="Y488" s="901"/>
      <c r="Z488" s="901"/>
      <c r="AA488" s="901"/>
      <c r="AB488" s="901"/>
      <c r="AC488" s="901"/>
      <c r="AD488" s="901"/>
      <c r="AE488" s="901"/>
      <c r="AF488" s="901"/>
      <c r="AG488" s="901"/>
      <c r="AH488" s="901"/>
      <c r="AI488" s="901"/>
      <c r="AJ488" s="901"/>
      <c r="AK488" s="901"/>
      <c r="AL488" s="901"/>
      <c r="AM488" s="901"/>
      <c r="AN488" s="901"/>
      <c r="AO488" s="901"/>
      <c r="AP488" s="901"/>
      <c r="AQ488" s="901"/>
      <c r="AR488" s="901"/>
      <c r="AS488" s="901"/>
      <c r="AT488" s="902"/>
      <c r="AU488" s="191"/>
      <c r="AV488" s="191"/>
      <c r="AW488" s="191"/>
      <c r="AX488" s="191"/>
      <c r="AY488" s="191"/>
      <c r="AZ488" s="1"/>
      <c r="BB488" s="1"/>
      <c r="BC488" s="1"/>
    </row>
    <row r="489" spans="1:55" ht="12.75" customHeight="1">
      <c r="A489" s="989"/>
      <c r="B489" s="990"/>
      <c r="C489" s="990"/>
      <c r="D489" s="990"/>
      <c r="E489" s="990"/>
      <c r="F489" s="990"/>
      <c r="G489" s="990"/>
      <c r="H489" s="990"/>
      <c r="I489" s="990"/>
      <c r="J489" s="990"/>
      <c r="K489" s="990"/>
      <c r="L489" s="990"/>
      <c r="M489" s="990"/>
      <c r="N489" s="990"/>
      <c r="O489" s="990"/>
      <c r="P489" s="990"/>
      <c r="Q489" s="990"/>
      <c r="R489" s="990"/>
      <c r="S489" s="990"/>
      <c r="T489" s="990"/>
      <c r="U489" s="990"/>
      <c r="V489" s="990"/>
      <c r="W489" s="990"/>
      <c r="X489" s="990"/>
      <c r="Y489" s="990"/>
      <c r="Z489" s="990"/>
      <c r="AA489" s="990"/>
      <c r="AB489" s="990"/>
      <c r="AC489" s="990"/>
      <c r="AD489" s="990"/>
      <c r="AE489" s="990"/>
      <c r="AF489" s="990"/>
      <c r="AG489" s="990"/>
      <c r="AH489" s="990"/>
      <c r="AI489" s="990"/>
      <c r="AJ489" s="990"/>
      <c r="AK489" s="990"/>
      <c r="AL489" s="990"/>
      <c r="AM489" s="990"/>
      <c r="AN489" s="990"/>
      <c r="AO489" s="990"/>
      <c r="AP489" s="990"/>
      <c r="AQ489" s="990"/>
      <c r="AR489" s="990"/>
      <c r="AS489" s="990"/>
      <c r="AT489" s="991"/>
      <c r="AZ489" s="1"/>
      <c r="BB489" s="1"/>
      <c r="BC489" s="1"/>
    </row>
    <row r="490" spans="1:55" ht="12.75" customHeight="1">
      <c r="AZ490" s="1"/>
      <c r="BB490" s="1"/>
      <c r="BC490" s="1"/>
    </row>
    <row r="491" spans="1:55" ht="12.75" customHeight="1">
      <c r="A491" s="8" t="s">
        <v>947</v>
      </c>
      <c r="C491" s="8" t="s">
        <v>212</v>
      </c>
      <c r="AZ491" s="1"/>
      <c r="BB491" s="1"/>
      <c r="BC491" s="1"/>
    </row>
    <row r="492" spans="1:55" ht="12.75" customHeight="1">
      <c r="AZ492" s="1"/>
      <c r="BB492" s="1"/>
      <c r="BC492" s="1"/>
    </row>
    <row r="493" spans="1:55" ht="12.75" customHeight="1">
      <c r="B493" s="272"/>
      <c r="C493" s="5"/>
      <c r="D493" s="5"/>
      <c r="E493" s="5"/>
      <c r="F493" s="5"/>
      <c r="G493" s="5"/>
      <c r="H493" s="5"/>
      <c r="I493" s="5"/>
      <c r="J493" s="5"/>
      <c r="K493" s="5"/>
      <c r="L493" s="5"/>
      <c r="M493" s="5"/>
      <c r="N493" s="5"/>
      <c r="O493" s="5"/>
      <c r="P493" s="321"/>
      <c r="Q493" s="1082" t="s">
        <v>1659</v>
      </c>
      <c r="R493" s="921"/>
      <c r="S493" s="921"/>
      <c r="T493" s="921"/>
      <c r="U493" s="921"/>
      <c r="V493" s="921"/>
      <c r="W493" s="921"/>
      <c r="X493" s="921"/>
      <c r="Y493" s="921"/>
      <c r="Z493" s="921"/>
      <c r="AA493" s="921"/>
      <c r="AB493" s="921"/>
      <c r="AC493" s="921"/>
      <c r="AD493" s="921"/>
      <c r="AE493" s="921"/>
      <c r="AF493" s="921"/>
      <c r="AG493" s="921"/>
      <c r="AH493" s="921"/>
      <c r="AI493" s="921"/>
      <c r="AJ493" s="921"/>
      <c r="AK493" s="943"/>
      <c r="AZ493" s="1"/>
      <c r="BB493" s="1"/>
      <c r="BC493" s="1"/>
    </row>
    <row r="494" spans="1:55" ht="12.75" customHeight="1">
      <c r="B494" s="272" t="s">
        <v>1660</v>
      </c>
      <c r="C494" s="5"/>
      <c r="D494" s="5"/>
      <c r="E494" s="5"/>
      <c r="F494" s="5"/>
      <c r="G494" s="5"/>
      <c r="H494" s="5"/>
      <c r="I494" s="5"/>
      <c r="J494" s="5"/>
      <c r="K494" s="5"/>
      <c r="L494" s="5"/>
      <c r="M494" s="5"/>
      <c r="N494" s="5"/>
      <c r="O494" s="5"/>
      <c r="P494" s="5"/>
      <c r="Q494" s="983" t="s">
        <v>1661</v>
      </c>
      <c r="R494" s="921"/>
      <c r="S494" s="921"/>
      <c r="T494" s="921"/>
      <c r="U494" s="921"/>
      <c r="V494" s="921"/>
      <c r="W494" s="921"/>
      <c r="X494" s="921"/>
      <c r="Y494" s="921"/>
      <c r="Z494" s="921"/>
      <c r="AA494" s="921"/>
      <c r="AB494" s="921"/>
      <c r="AC494" s="921"/>
      <c r="AD494" s="921"/>
      <c r="AE494" s="921"/>
      <c r="AF494" s="921"/>
      <c r="AG494" s="921"/>
      <c r="AH494" s="921"/>
      <c r="AI494" s="921"/>
      <c r="AJ494" s="921"/>
      <c r="AK494" s="943"/>
      <c r="AZ494" s="1"/>
      <c r="BB494" s="1"/>
      <c r="BC494" s="1"/>
    </row>
    <row r="495" spans="1:55" ht="12.75" customHeight="1">
      <c r="B495" s="272" t="s">
        <v>1663</v>
      </c>
      <c r="C495" s="5"/>
      <c r="D495" s="5"/>
      <c r="E495" s="5"/>
      <c r="F495" s="5"/>
      <c r="G495" s="5"/>
      <c r="H495" s="5"/>
      <c r="I495" s="5"/>
      <c r="J495" s="5"/>
      <c r="K495" s="5"/>
      <c r="L495" s="5"/>
      <c r="M495" s="5"/>
      <c r="N495" s="5"/>
      <c r="O495" s="5"/>
      <c r="P495" s="5"/>
      <c r="Q495" s="983" t="s">
        <v>2820</v>
      </c>
      <c r="R495" s="921"/>
      <c r="S495" s="921"/>
      <c r="T495" s="921"/>
      <c r="U495" s="921"/>
      <c r="V495" s="921"/>
      <c r="W495" s="921"/>
      <c r="X495" s="921"/>
      <c r="Y495" s="921"/>
      <c r="Z495" s="921"/>
      <c r="AA495" s="921"/>
      <c r="AB495" s="921"/>
      <c r="AC495" s="921"/>
      <c r="AD495" s="921"/>
      <c r="AE495" s="921"/>
      <c r="AF495" s="921"/>
      <c r="AG495" s="921"/>
      <c r="AH495" s="921"/>
      <c r="AI495" s="921"/>
      <c r="AJ495" s="921"/>
      <c r="AK495" s="943"/>
      <c r="AZ495" s="1"/>
      <c r="BB495" s="1"/>
      <c r="BC495" s="1"/>
    </row>
    <row r="496" spans="1:55" ht="12.75" customHeight="1">
      <c r="B496" s="272" t="s">
        <v>1665</v>
      </c>
      <c r="C496" s="5"/>
      <c r="D496" s="5"/>
      <c r="E496" s="5"/>
      <c r="F496" s="5"/>
      <c r="G496" s="5"/>
      <c r="H496" s="5"/>
      <c r="I496" s="5"/>
      <c r="J496" s="5"/>
      <c r="K496" s="5"/>
      <c r="L496" s="5"/>
      <c r="M496" s="5"/>
      <c r="N496" s="5"/>
      <c r="O496" s="5"/>
      <c r="P496" s="5"/>
      <c r="Q496" s="983" t="s">
        <v>2820</v>
      </c>
      <c r="R496" s="921"/>
      <c r="S496" s="921"/>
      <c r="T496" s="921"/>
      <c r="U496" s="921"/>
      <c r="V496" s="921"/>
      <c r="W496" s="921"/>
      <c r="X496" s="921"/>
      <c r="Y496" s="921"/>
      <c r="Z496" s="921"/>
      <c r="AA496" s="921"/>
      <c r="AB496" s="921"/>
      <c r="AC496" s="921"/>
      <c r="AD496" s="921"/>
      <c r="AE496" s="921"/>
      <c r="AF496" s="921"/>
      <c r="AG496" s="921"/>
      <c r="AH496" s="921"/>
      <c r="AI496" s="921"/>
      <c r="AJ496" s="921"/>
      <c r="AK496" s="943"/>
      <c r="AZ496" s="1"/>
      <c r="BA496" s="1"/>
      <c r="BB496" s="1"/>
      <c r="BC496" s="1"/>
    </row>
    <row r="497" spans="1:66" ht="12.75" customHeight="1">
      <c r="B497" s="1090" t="s">
        <v>1668</v>
      </c>
      <c r="C497" s="947"/>
      <c r="D497" s="947"/>
      <c r="E497" s="947"/>
      <c r="F497" s="947"/>
      <c r="G497" s="947"/>
      <c r="H497" s="947"/>
      <c r="I497" s="947"/>
      <c r="J497" s="947"/>
      <c r="K497" s="947"/>
      <c r="L497" s="947"/>
      <c r="M497" s="947"/>
      <c r="N497" s="947"/>
      <c r="O497" s="947"/>
      <c r="P497" s="948"/>
      <c r="Q497" s="1091" t="s">
        <v>460</v>
      </c>
      <c r="R497" s="948"/>
      <c r="S497" s="1092" t="s">
        <v>1671</v>
      </c>
      <c r="T497" s="947"/>
      <c r="U497" s="947"/>
      <c r="V497" s="947"/>
      <c r="W497" s="947"/>
      <c r="X497" s="947"/>
      <c r="Y497" s="947"/>
      <c r="Z497" s="947"/>
      <c r="AA497" s="947"/>
      <c r="AB497" s="947"/>
      <c r="AC497" s="947"/>
      <c r="AD497" s="947"/>
      <c r="AE497" s="947"/>
      <c r="AF497" s="947"/>
      <c r="AG497" s="947"/>
      <c r="AH497" s="947"/>
      <c r="AI497" s="947"/>
      <c r="AJ497" s="947"/>
      <c r="AK497" s="948"/>
      <c r="AZ497" s="1"/>
      <c r="BA497" s="1"/>
      <c r="BB497" s="1"/>
      <c r="BC497" s="1"/>
    </row>
    <row r="498" spans="1:66" ht="12.75" customHeight="1">
      <c r="B498" s="960"/>
      <c r="C498" s="961"/>
      <c r="D498" s="961"/>
      <c r="E498" s="961"/>
      <c r="F498" s="961"/>
      <c r="G498" s="961"/>
      <c r="H498" s="961"/>
      <c r="I498" s="961"/>
      <c r="J498" s="961"/>
      <c r="K498" s="961"/>
      <c r="L498" s="961"/>
      <c r="M498" s="961"/>
      <c r="N498" s="961"/>
      <c r="O498" s="961"/>
      <c r="P498" s="962"/>
      <c r="Q498" s="960"/>
      <c r="R498" s="962"/>
      <c r="S498" s="960"/>
      <c r="T498" s="961"/>
      <c r="U498" s="961"/>
      <c r="V498" s="961"/>
      <c r="W498" s="961"/>
      <c r="X498" s="961"/>
      <c r="Y498" s="961"/>
      <c r="Z498" s="961"/>
      <c r="AA498" s="961"/>
      <c r="AB498" s="961"/>
      <c r="AC498" s="961"/>
      <c r="AD498" s="961"/>
      <c r="AE498" s="961"/>
      <c r="AF498" s="961"/>
      <c r="AG498" s="961"/>
      <c r="AH498" s="961"/>
      <c r="AI498" s="961"/>
      <c r="AJ498" s="961"/>
      <c r="AK498" s="962"/>
      <c r="AZ498" s="1"/>
      <c r="BA498" s="1"/>
      <c r="BB498" s="1"/>
      <c r="BC498" s="1"/>
    </row>
    <row r="499" spans="1:66" ht="12.75" customHeight="1">
      <c r="B499" s="326" t="s">
        <v>1675</v>
      </c>
      <c r="C499" s="236"/>
      <c r="D499" s="236"/>
      <c r="E499" s="236"/>
      <c r="F499" s="236"/>
      <c r="G499" s="236"/>
      <c r="H499" s="236"/>
      <c r="I499" s="236"/>
      <c r="J499" s="236"/>
      <c r="K499" s="236"/>
      <c r="L499" s="236"/>
      <c r="M499" s="236"/>
      <c r="N499" s="236"/>
      <c r="O499" s="236"/>
      <c r="P499" s="236"/>
      <c r="Q499" s="1093" t="s">
        <v>1676</v>
      </c>
      <c r="R499" s="921"/>
      <c r="S499" s="921"/>
      <c r="T499" s="921"/>
      <c r="U499" s="921"/>
      <c r="V499" s="921"/>
      <c r="W499" s="921"/>
      <c r="X499" s="921"/>
      <c r="Y499" s="921"/>
      <c r="Z499" s="921"/>
      <c r="AA499" s="921"/>
      <c r="AB499" s="921"/>
      <c r="AC499" s="921"/>
      <c r="AD499" s="921"/>
      <c r="AE499" s="921"/>
      <c r="AF499" s="921"/>
      <c r="AG499" s="921"/>
      <c r="AH499" s="921"/>
      <c r="AI499" s="921"/>
      <c r="AJ499" s="921"/>
      <c r="AK499" s="943"/>
      <c r="AZ499" s="1"/>
      <c r="BA499" s="1"/>
      <c r="BB499" s="1"/>
      <c r="BC499" s="1"/>
    </row>
    <row r="500" spans="1:66" ht="12.75" customHeight="1">
      <c r="B500" s="272" t="s">
        <v>1678</v>
      </c>
      <c r="C500" s="5"/>
      <c r="D500" s="5"/>
      <c r="E500" s="5"/>
      <c r="F500" s="5"/>
      <c r="G500" s="5"/>
      <c r="H500" s="5"/>
      <c r="I500" s="5"/>
      <c r="J500" s="5"/>
      <c r="K500" s="5"/>
      <c r="L500" s="5"/>
      <c r="M500" s="5"/>
      <c r="N500" s="5"/>
      <c r="O500" s="5"/>
      <c r="P500" s="5"/>
      <c r="Q500" s="983">
        <v>0</v>
      </c>
      <c r="R500" s="921"/>
      <c r="S500" s="921"/>
      <c r="T500" s="921"/>
      <c r="U500" s="921"/>
      <c r="V500" s="921"/>
      <c r="W500" s="921"/>
      <c r="X500" s="921"/>
      <c r="Y500" s="921"/>
      <c r="Z500" s="921"/>
      <c r="AA500" s="921"/>
      <c r="AB500" s="921"/>
      <c r="AC500" s="921"/>
      <c r="AD500" s="921"/>
      <c r="AE500" s="921"/>
      <c r="AF500" s="921"/>
      <c r="AG500" s="921"/>
      <c r="AH500" s="921"/>
      <c r="AI500" s="921"/>
      <c r="AJ500" s="921"/>
      <c r="AK500" s="943"/>
      <c r="AZ500" s="1"/>
      <c r="BA500" s="1"/>
      <c r="BB500" s="1"/>
      <c r="BC500" s="1"/>
    </row>
    <row r="501" spans="1:66" ht="12.75" customHeight="1">
      <c r="B501" s="272" t="s">
        <v>1680</v>
      </c>
      <c r="C501" s="5"/>
      <c r="D501" s="5"/>
      <c r="E501" s="5"/>
      <c r="F501" s="5"/>
      <c r="G501" s="5"/>
      <c r="H501" s="5"/>
      <c r="I501" s="5"/>
      <c r="J501" s="5"/>
      <c r="K501" s="5"/>
      <c r="L501" s="5"/>
      <c r="M501" s="5"/>
      <c r="N501" s="5"/>
      <c r="O501" s="5"/>
      <c r="P501" s="5"/>
      <c r="Q501" s="983">
        <v>489.5</v>
      </c>
      <c r="R501" s="921"/>
      <c r="S501" s="921"/>
      <c r="T501" s="921"/>
      <c r="U501" s="921"/>
      <c r="V501" s="921"/>
      <c r="W501" s="921"/>
      <c r="X501" s="921"/>
      <c r="Y501" s="921"/>
      <c r="Z501" s="921"/>
      <c r="AA501" s="921"/>
      <c r="AB501" s="921"/>
      <c r="AC501" s="921"/>
      <c r="AD501" s="921"/>
      <c r="AE501" s="921"/>
      <c r="AF501" s="921"/>
      <c r="AG501" s="921"/>
      <c r="AH501" s="921"/>
      <c r="AI501" s="921"/>
      <c r="AJ501" s="921"/>
      <c r="AK501" s="943"/>
      <c r="AZ501" s="1"/>
      <c r="BA501" s="1"/>
      <c r="BB501" s="1"/>
      <c r="BC501" s="1"/>
    </row>
    <row r="502" spans="1:66" ht="12.75" customHeight="1">
      <c r="B502" s="272" t="s">
        <v>1681</v>
      </c>
      <c r="C502" s="5"/>
      <c r="D502" s="5"/>
      <c r="E502" s="5"/>
      <c r="F502" s="5"/>
      <c r="G502" s="5"/>
      <c r="H502" s="5"/>
      <c r="I502" s="5"/>
      <c r="J502" s="5"/>
      <c r="K502" s="5"/>
      <c r="L502" s="5"/>
      <c r="M502" s="5"/>
      <c r="N502" s="5"/>
      <c r="O502" s="5"/>
      <c r="P502" s="5"/>
      <c r="Q502" s="983">
        <v>271</v>
      </c>
      <c r="R502" s="921"/>
      <c r="S502" s="921"/>
      <c r="T502" s="921"/>
      <c r="U502" s="921"/>
      <c r="V502" s="921"/>
      <c r="W502" s="921"/>
      <c r="X502" s="921"/>
      <c r="Y502" s="921"/>
      <c r="Z502" s="921"/>
      <c r="AA502" s="921"/>
      <c r="AB502" s="921"/>
      <c r="AC502" s="921"/>
      <c r="AD502" s="921"/>
      <c r="AE502" s="921"/>
      <c r="AF502" s="921"/>
      <c r="AG502" s="921"/>
      <c r="AH502" s="921"/>
      <c r="AI502" s="921"/>
      <c r="AJ502" s="921"/>
      <c r="AK502" s="943"/>
      <c r="AZ502" s="1"/>
      <c r="BA502" s="1"/>
      <c r="BB502" s="1"/>
      <c r="BC502" s="1"/>
    </row>
    <row r="503" spans="1:66" ht="12.75" customHeight="1">
      <c r="B503" s="272" t="s">
        <v>1683</v>
      </c>
      <c r="C503" s="5"/>
      <c r="D503" s="5"/>
      <c r="E503" s="5"/>
      <c r="F503" s="5"/>
      <c r="G503" s="5"/>
      <c r="H503" s="5"/>
      <c r="I503" s="5"/>
      <c r="J503" s="5"/>
      <c r="K503" s="5"/>
      <c r="L503" s="5"/>
      <c r="M503" s="950"/>
      <c r="N503" s="921"/>
      <c r="O503" s="921"/>
      <c r="P503" s="943"/>
      <c r="Q503" s="272" t="s">
        <v>1684</v>
      </c>
      <c r="R503" s="5"/>
      <c r="S503" s="5"/>
      <c r="T503" s="5"/>
      <c r="U503" s="5"/>
      <c r="V503" s="5"/>
      <c r="W503" s="5"/>
      <c r="X503" s="5"/>
      <c r="Y503" s="5"/>
      <c r="Z503" s="5"/>
      <c r="AA503" s="5"/>
      <c r="AB503" s="5"/>
      <c r="AC503" s="5"/>
      <c r="AD503" s="5"/>
      <c r="AE503" s="5"/>
      <c r="AF503" s="5"/>
      <c r="AG503" s="5"/>
      <c r="AH503" s="950"/>
      <c r="AI503" s="921"/>
      <c r="AJ503" s="921"/>
      <c r="AK503" s="943"/>
      <c r="AZ503" s="1"/>
      <c r="BA503" s="1"/>
      <c r="BB503" s="1"/>
      <c r="BC503" s="1"/>
    </row>
    <row r="504" spans="1:66" ht="12.75" customHeight="1">
      <c r="B504" s="24"/>
      <c r="Q504" s="17"/>
      <c r="R504" s="17"/>
      <c r="S504" s="17"/>
      <c r="T504" s="17"/>
      <c r="U504" s="17"/>
      <c r="V504" s="17"/>
      <c r="W504" s="17"/>
      <c r="X504" s="17"/>
      <c r="Y504" s="17"/>
      <c r="Z504" s="17"/>
      <c r="AA504" s="17"/>
      <c r="AB504" s="17"/>
      <c r="AC504" s="17"/>
      <c r="AD504" s="17"/>
      <c r="AE504" s="17"/>
      <c r="AF504" s="17"/>
      <c r="AG504" s="17"/>
      <c r="AH504" s="17"/>
      <c r="AI504" s="17"/>
      <c r="AJ504" s="17"/>
      <c r="AK504" s="17"/>
      <c r="AZ504" s="1"/>
      <c r="BA504" s="1"/>
      <c r="BB504" s="1"/>
      <c r="BC504" s="1"/>
    </row>
    <row r="505" spans="1:66" ht="12.75" customHeight="1">
      <c r="A505" s="8" t="s">
        <v>1003</v>
      </c>
      <c r="C505" s="8" t="s">
        <v>214</v>
      </c>
      <c r="Q505" s="17"/>
      <c r="R505" s="17"/>
      <c r="S505" s="17"/>
      <c r="T505" s="17"/>
      <c r="U505" s="17"/>
      <c r="V505" s="17"/>
      <c r="W505" s="17"/>
      <c r="X505" s="17"/>
      <c r="Y505" s="17"/>
      <c r="Z505" s="17"/>
      <c r="AA505" s="17"/>
      <c r="AB505" s="17"/>
      <c r="AC505" s="17"/>
      <c r="AD505" s="17"/>
      <c r="AE505" s="17"/>
      <c r="AF505" s="17"/>
      <c r="AG505" s="17"/>
      <c r="AH505" s="17"/>
      <c r="AI505" s="17"/>
      <c r="AJ505" s="17"/>
      <c r="AK505" s="17"/>
      <c r="AZ505" s="1"/>
      <c r="BA505" s="1"/>
      <c r="BB505" s="1"/>
      <c r="BC505" s="1"/>
      <c r="BD505" s="1"/>
      <c r="BE505" s="1"/>
      <c r="BF505" s="1"/>
      <c r="BG505" s="1"/>
      <c r="BH505" s="1"/>
      <c r="BI505" s="1"/>
      <c r="BJ505" s="1"/>
      <c r="BK505" s="1"/>
      <c r="BL505" s="1"/>
      <c r="BM505" s="1"/>
      <c r="BN505" s="1"/>
    </row>
    <row r="506" spans="1:66" ht="12.75" customHeight="1">
      <c r="B506" s="27"/>
      <c r="C506" s="24"/>
      <c r="Q506" s="17"/>
      <c r="R506" s="17"/>
      <c r="S506" s="17"/>
      <c r="T506" s="17"/>
      <c r="U506" s="17"/>
      <c r="V506" s="17"/>
      <c r="W506" s="17"/>
      <c r="X506" s="17"/>
      <c r="Y506" s="17"/>
      <c r="Z506" s="17"/>
      <c r="AA506" s="17"/>
      <c r="AB506" s="17"/>
      <c r="AC506" s="17"/>
      <c r="AD506" s="17"/>
      <c r="AE506" s="17"/>
      <c r="AF506" s="17"/>
      <c r="AG506" s="17"/>
      <c r="AH506" s="17"/>
      <c r="AI506" s="17"/>
      <c r="AJ506" s="17"/>
      <c r="AK506" s="17"/>
      <c r="AZ506" s="1"/>
      <c r="BA506" s="1"/>
      <c r="BB506" s="1"/>
      <c r="BC506" s="1"/>
      <c r="BD506" s="1"/>
      <c r="BE506" s="1"/>
      <c r="BF506" s="1"/>
      <c r="BG506" s="1"/>
      <c r="BH506" s="1"/>
      <c r="BI506" s="1"/>
      <c r="BJ506" s="1"/>
      <c r="BK506" s="1"/>
      <c r="BL506" s="1"/>
      <c r="BM506" s="1"/>
      <c r="BN506" s="1"/>
    </row>
    <row r="507" spans="1:66" ht="12.75" customHeight="1">
      <c r="B507" s="265"/>
      <c r="C507" s="246"/>
      <c r="D507" s="331"/>
      <c r="E507" s="246"/>
      <c r="F507" s="246"/>
      <c r="G507" s="246"/>
      <c r="H507" s="246"/>
      <c r="I507" s="246"/>
      <c r="J507" s="246"/>
      <c r="K507" s="246"/>
      <c r="L507" s="246"/>
      <c r="M507" s="246"/>
      <c r="N507" s="246"/>
      <c r="O507" s="246"/>
      <c r="P507" s="246"/>
      <c r="Q507" s="246"/>
      <c r="R507" s="246"/>
      <c r="S507" s="246"/>
      <c r="T507" s="246"/>
      <c r="U507" s="246"/>
      <c r="V507" s="246"/>
      <c r="W507" s="246"/>
      <c r="X507" s="246"/>
      <c r="Y507" s="246"/>
      <c r="Z507" s="246"/>
      <c r="AA507" s="246"/>
      <c r="AB507" s="247"/>
      <c r="AC507" s="1082" t="s">
        <v>1686</v>
      </c>
      <c r="AD507" s="921"/>
      <c r="AE507" s="921"/>
      <c r="AF507" s="921"/>
      <c r="AG507" s="921"/>
      <c r="AH507" s="921"/>
      <c r="AI507" s="921"/>
      <c r="AJ507" s="921"/>
      <c r="AK507" s="943"/>
      <c r="AZ507" s="1"/>
      <c r="BA507" s="1"/>
      <c r="BB507" s="1"/>
      <c r="BC507" s="1"/>
      <c r="BD507" s="1"/>
      <c r="BE507" s="1"/>
      <c r="BF507" s="1"/>
      <c r="BG507" s="1"/>
      <c r="BH507" s="1"/>
      <c r="BI507" s="1"/>
      <c r="BJ507" s="1"/>
      <c r="BK507" s="1"/>
      <c r="BL507" s="1"/>
      <c r="BM507" s="1"/>
      <c r="BN507" s="1"/>
    </row>
    <row r="508" spans="1:66" ht="12.75" customHeight="1">
      <c r="B508" s="268"/>
      <c r="C508" s="235"/>
      <c r="D508" s="235"/>
      <c r="E508" s="235"/>
      <c r="F508" s="235"/>
      <c r="G508" s="235"/>
      <c r="H508" s="235"/>
      <c r="I508" s="235"/>
      <c r="J508" s="235"/>
      <c r="K508" s="235"/>
      <c r="L508" s="235"/>
      <c r="M508" s="235"/>
      <c r="N508" s="235"/>
      <c r="O508" s="235"/>
      <c r="P508" s="235"/>
      <c r="Q508" s="235"/>
      <c r="R508" s="235"/>
      <c r="S508" s="235"/>
      <c r="T508" s="235"/>
      <c r="U508" s="235"/>
      <c r="V508" s="235"/>
      <c r="W508" s="235"/>
      <c r="X508" s="235"/>
      <c r="Y508" s="235"/>
      <c r="Z508" s="235"/>
      <c r="AA508" s="235"/>
      <c r="AB508" s="251"/>
      <c r="AC508" s="1082" t="s">
        <v>1687</v>
      </c>
      <c r="AD508" s="921"/>
      <c r="AE508" s="921"/>
      <c r="AF508" s="921"/>
      <c r="AG508" s="39" t="s">
        <v>1688</v>
      </c>
      <c r="AH508" s="1083" t="s">
        <v>1689</v>
      </c>
      <c r="AI508" s="921"/>
      <c r="AJ508" s="921"/>
      <c r="AK508" s="943"/>
      <c r="AZ508" s="1"/>
      <c r="BA508" s="1"/>
      <c r="BB508" s="1"/>
      <c r="BC508" s="1"/>
      <c r="BD508" s="1"/>
      <c r="BE508" s="1"/>
      <c r="BF508" s="1"/>
      <c r="BG508" s="1"/>
      <c r="BH508" s="1"/>
      <c r="BI508" s="1"/>
      <c r="BJ508" s="1"/>
      <c r="BK508" s="1"/>
      <c r="BL508" s="1"/>
      <c r="BM508" s="1"/>
      <c r="BN508" s="1"/>
    </row>
    <row r="509" spans="1:66" ht="12.75" customHeight="1">
      <c r="B509" s="1062" t="s">
        <v>1690</v>
      </c>
      <c r="C509" s="947"/>
      <c r="D509" s="947"/>
      <c r="E509" s="947"/>
      <c r="F509" s="947"/>
      <c r="G509" s="947"/>
      <c r="H509" s="948"/>
      <c r="I509" s="246" t="s">
        <v>1691</v>
      </c>
      <c r="J509" s="246"/>
      <c r="K509" s="246"/>
      <c r="L509" s="246"/>
      <c r="M509" s="246"/>
      <c r="N509" s="246"/>
      <c r="O509" s="246"/>
      <c r="P509" s="246"/>
      <c r="Q509" s="246"/>
      <c r="R509" s="246"/>
      <c r="S509" s="246"/>
      <c r="T509" s="246"/>
      <c r="U509" s="246"/>
      <c r="V509" s="246"/>
      <c r="W509" s="246"/>
      <c r="AC509" s="1080" t="s">
        <v>855</v>
      </c>
      <c r="AD509" s="968"/>
      <c r="AE509" s="968"/>
      <c r="AF509" s="969"/>
      <c r="AG509" s="10" t="s">
        <v>1688</v>
      </c>
      <c r="AH509" s="1071">
        <v>0</v>
      </c>
      <c r="AI509" s="921"/>
      <c r="AJ509" s="921"/>
      <c r="AK509" s="943"/>
      <c r="AZ509" s="1"/>
      <c r="BA509" s="1"/>
      <c r="BB509" s="1"/>
      <c r="BC509" s="1"/>
      <c r="BD509" s="1"/>
      <c r="BE509" s="1"/>
      <c r="BF509" s="1"/>
      <c r="BG509" s="1"/>
      <c r="BH509" s="1"/>
      <c r="BI509" s="1"/>
      <c r="BJ509" s="1"/>
      <c r="BK509" s="1"/>
      <c r="BL509" s="1"/>
      <c r="BM509" s="1"/>
      <c r="BN509" s="1"/>
    </row>
    <row r="510" spans="1:66" ht="12.75" customHeight="1">
      <c r="B510" s="958"/>
      <c r="C510" s="893"/>
      <c r="D510" s="893"/>
      <c r="E510" s="893"/>
      <c r="F510" s="893"/>
      <c r="G510" s="893"/>
      <c r="H510" s="959"/>
      <c r="I510" s="235" t="s">
        <v>1693</v>
      </c>
      <c r="J510" s="235"/>
      <c r="K510" s="235"/>
      <c r="L510" s="235"/>
      <c r="M510" s="235"/>
      <c r="N510" s="235"/>
      <c r="O510" s="235"/>
      <c r="P510" s="235"/>
      <c r="Q510" s="235"/>
      <c r="R510" s="235"/>
      <c r="S510" s="235"/>
      <c r="T510" s="235"/>
      <c r="U510" s="235"/>
      <c r="V510" s="235"/>
      <c r="W510" s="235"/>
      <c r="X510" s="235"/>
      <c r="Y510" s="235"/>
      <c r="Z510" s="235"/>
      <c r="AA510" s="235"/>
      <c r="AB510" s="235"/>
      <c r="AC510" s="1080" t="s">
        <v>855</v>
      </c>
      <c r="AD510" s="968"/>
      <c r="AE510" s="968"/>
      <c r="AF510" s="969"/>
      <c r="AG510" s="314" t="s">
        <v>1688</v>
      </c>
      <c r="AH510" s="1071"/>
      <c r="AI510" s="921"/>
      <c r="AJ510" s="921"/>
      <c r="AK510" s="943"/>
      <c r="AZ510" s="1"/>
      <c r="BA510" s="1"/>
      <c r="BB510" s="1"/>
      <c r="BC510" s="1"/>
      <c r="BD510" s="1"/>
      <c r="BE510" s="1"/>
      <c r="BF510" s="1"/>
      <c r="BG510" s="1"/>
      <c r="BH510" s="1"/>
      <c r="BI510" s="1"/>
      <c r="BJ510" s="1"/>
      <c r="BK510" s="1"/>
      <c r="BL510" s="1"/>
      <c r="BM510" s="1"/>
      <c r="BN510" s="1"/>
    </row>
    <row r="511" spans="1:66" ht="12.75" customHeight="1">
      <c r="B511" s="1062" t="s">
        <v>1695</v>
      </c>
      <c r="C511" s="947"/>
      <c r="D511" s="947"/>
      <c r="E511" s="947"/>
      <c r="F511" s="947"/>
      <c r="G511" s="947"/>
      <c r="H511" s="948"/>
      <c r="I511" s="246" t="s">
        <v>1696</v>
      </c>
      <c r="J511" s="246"/>
      <c r="K511" s="246"/>
      <c r="L511" s="246"/>
      <c r="M511" s="246"/>
      <c r="N511" s="246"/>
      <c r="O511" s="246"/>
      <c r="P511" s="246"/>
      <c r="Q511" s="246"/>
      <c r="R511" s="246"/>
      <c r="S511" s="246"/>
      <c r="T511" s="246"/>
      <c r="U511" s="246"/>
      <c r="V511" s="246"/>
      <c r="W511" s="246"/>
      <c r="AC511" s="1080" t="s">
        <v>855</v>
      </c>
      <c r="AD511" s="968"/>
      <c r="AE511" s="968"/>
      <c r="AF511" s="969"/>
      <c r="AG511" s="10" t="s">
        <v>1688</v>
      </c>
      <c r="AH511" s="1071"/>
      <c r="AI511" s="921"/>
      <c r="AJ511" s="921"/>
      <c r="AK511" s="943"/>
      <c r="AZ511" s="1"/>
      <c r="BA511" s="1"/>
      <c r="BB511" s="1"/>
      <c r="BC511" s="1"/>
      <c r="BD511" s="1"/>
      <c r="BE511" s="1"/>
      <c r="BF511" s="1"/>
      <c r="BG511" s="1"/>
      <c r="BH511" s="1"/>
      <c r="BI511" s="1"/>
      <c r="BJ511" s="1"/>
      <c r="BK511" s="1"/>
      <c r="BL511" s="1"/>
      <c r="BM511" s="1"/>
      <c r="BN511" s="1"/>
    </row>
    <row r="512" spans="1:66" ht="12.75" customHeight="1">
      <c r="B512" s="958"/>
      <c r="C512" s="893"/>
      <c r="D512" s="893"/>
      <c r="E512" s="893"/>
      <c r="F512" s="893"/>
      <c r="G512" s="893"/>
      <c r="H512" s="959"/>
      <c r="I512" s="32" t="s">
        <v>1698</v>
      </c>
      <c r="AC512" s="1080" t="s">
        <v>855</v>
      </c>
      <c r="AD512" s="968"/>
      <c r="AE512" s="968"/>
      <c r="AF512" s="969"/>
      <c r="AG512" s="10" t="s">
        <v>1688</v>
      </c>
      <c r="AH512" s="1071"/>
      <c r="AI512" s="921"/>
      <c r="AJ512" s="921"/>
      <c r="AK512" s="943"/>
      <c r="AZ512" s="1"/>
      <c r="BA512" s="1"/>
      <c r="BB512" s="1"/>
      <c r="BC512" s="1"/>
      <c r="BD512" s="1"/>
      <c r="BE512" s="1"/>
      <c r="BF512" s="1"/>
      <c r="BG512" s="1"/>
      <c r="BH512" s="1"/>
      <c r="BI512" s="1"/>
      <c r="BJ512" s="1"/>
      <c r="BK512" s="1"/>
      <c r="BL512" s="1"/>
      <c r="BM512" s="1"/>
      <c r="BN512" s="1"/>
    </row>
    <row r="513" spans="2:66" ht="12.75" customHeight="1">
      <c r="B513" s="958"/>
      <c r="C513" s="893"/>
      <c r="D513" s="893"/>
      <c r="E513" s="893"/>
      <c r="F513" s="893"/>
      <c r="G513" s="893"/>
      <c r="H513" s="959"/>
      <c r="I513" s="32" t="s">
        <v>1700</v>
      </c>
      <c r="AC513" s="1080" t="s">
        <v>855</v>
      </c>
      <c r="AD513" s="968"/>
      <c r="AE513" s="968"/>
      <c r="AF513" s="969"/>
      <c r="AG513" s="10" t="s">
        <v>1688</v>
      </c>
      <c r="AH513" s="1071"/>
      <c r="AI513" s="921"/>
      <c r="AJ513" s="921"/>
      <c r="AK513" s="943"/>
      <c r="AZ513" s="1"/>
      <c r="BA513" s="1"/>
      <c r="BB513" s="1"/>
      <c r="BC513" s="1"/>
      <c r="BD513" s="1"/>
      <c r="BE513" s="1"/>
      <c r="BF513" s="1"/>
      <c r="BG513" s="1"/>
      <c r="BH513" s="1"/>
      <c r="BI513" s="1"/>
      <c r="BJ513" s="1"/>
      <c r="BK513" s="1"/>
      <c r="BL513" s="1"/>
      <c r="BM513" s="1"/>
      <c r="BN513" s="1"/>
    </row>
    <row r="514" spans="2:66" ht="12.75" customHeight="1">
      <c r="B514" s="958"/>
      <c r="C514" s="893"/>
      <c r="D514" s="893"/>
      <c r="E514" s="893"/>
      <c r="F514" s="893"/>
      <c r="G514" s="893"/>
      <c r="H514" s="959"/>
      <c r="I514" s="32" t="s">
        <v>1702</v>
      </c>
      <c r="AC514" s="1080" t="s">
        <v>855</v>
      </c>
      <c r="AD514" s="968"/>
      <c r="AE514" s="968"/>
      <c r="AF514" s="969"/>
      <c r="AG514" s="10" t="s">
        <v>1688</v>
      </c>
      <c r="AH514" s="1071"/>
      <c r="AI514" s="921"/>
      <c r="AJ514" s="921"/>
      <c r="AK514" s="943"/>
      <c r="AZ514" s="1"/>
      <c r="BA514" s="1"/>
      <c r="BB514" s="1"/>
      <c r="BC514" s="1"/>
      <c r="BD514" s="1"/>
      <c r="BE514" s="1"/>
      <c r="BF514" s="1"/>
      <c r="BG514" s="1"/>
      <c r="BH514" s="1"/>
      <c r="BI514" s="1"/>
      <c r="BJ514" s="1"/>
      <c r="BK514" s="1"/>
      <c r="BL514" s="1"/>
      <c r="BM514" s="1"/>
      <c r="BN514" s="1"/>
    </row>
    <row r="515" spans="2:66" ht="12.75" customHeight="1">
      <c r="B515" s="958"/>
      <c r="C515" s="893"/>
      <c r="D515" s="893"/>
      <c r="E515" s="893"/>
      <c r="F515" s="893"/>
      <c r="G515" s="893"/>
      <c r="H515" s="959"/>
      <c r="I515" s="1" t="s">
        <v>1704</v>
      </c>
      <c r="AC515" s="949">
        <v>4</v>
      </c>
      <c r="AD515" s="921"/>
      <c r="AE515" s="921"/>
      <c r="AF515" s="971"/>
      <c r="AG515" s="10" t="s">
        <v>1688</v>
      </c>
      <c r="AH515" s="1071">
        <v>2027</v>
      </c>
      <c r="AI515" s="921"/>
      <c r="AJ515" s="921"/>
      <c r="AK515" s="943"/>
      <c r="AZ515" s="1"/>
      <c r="BA515" s="1"/>
      <c r="BB515" s="1"/>
      <c r="BC515" s="1"/>
      <c r="BD515" s="1"/>
      <c r="BE515" s="1"/>
      <c r="BF515" s="1"/>
      <c r="BG515" s="1"/>
      <c r="BH515" s="1"/>
      <c r="BI515" s="1"/>
      <c r="BJ515" s="1"/>
      <c r="BK515" s="1"/>
      <c r="BL515" s="1"/>
      <c r="BM515" s="1"/>
      <c r="BN515" s="1"/>
    </row>
    <row r="516" spans="2:66" ht="12.75" customHeight="1">
      <c r="B516" s="958"/>
      <c r="C516" s="893"/>
      <c r="D516" s="893"/>
      <c r="E516" s="893"/>
      <c r="F516" s="893"/>
      <c r="G516" s="893"/>
      <c r="H516" s="959"/>
      <c r="I516" s="235" t="s">
        <v>289</v>
      </c>
      <c r="J516" s="235"/>
      <c r="K516" s="235"/>
      <c r="L516" s="967" t="s">
        <v>1705</v>
      </c>
      <c r="M516" s="968"/>
      <c r="N516" s="968"/>
      <c r="O516" s="968"/>
      <c r="P516" s="968"/>
      <c r="Q516" s="968"/>
      <c r="R516" s="968"/>
      <c r="S516" s="968"/>
      <c r="T516" s="968"/>
      <c r="U516" s="968"/>
      <c r="V516" s="968"/>
      <c r="W516" s="968"/>
      <c r="X516" s="968"/>
      <c r="Y516" s="968"/>
      <c r="Z516" s="968"/>
      <c r="AA516" s="968"/>
      <c r="AB516" s="980"/>
      <c r="AC516" s="1080" t="s">
        <v>855</v>
      </c>
      <c r="AD516" s="968"/>
      <c r="AE516" s="968"/>
      <c r="AF516" s="969"/>
      <c r="AG516" s="314" t="s">
        <v>1688</v>
      </c>
      <c r="AH516" s="1071"/>
      <c r="AI516" s="921"/>
      <c r="AJ516" s="921"/>
      <c r="AK516" s="943"/>
      <c r="AZ516" s="1"/>
      <c r="BA516" s="1"/>
      <c r="BB516" s="1"/>
      <c r="BC516" s="1"/>
      <c r="BD516" s="1"/>
      <c r="BE516" s="1"/>
      <c r="BF516" s="1"/>
      <c r="BG516" s="1"/>
      <c r="BH516" s="1"/>
      <c r="BI516" s="1"/>
      <c r="BJ516" s="1"/>
      <c r="BK516" s="1"/>
      <c r="BL516" s="1"/>
      <c r="BM516" s="1"/>
      <c r="BN516" s="1"/>
    </row>
    <row r="517" spans="2:66" ht="12.75" customHeight="1">
      <c r="B517" s="333"/>
      <c r="C517" s="334"/>
      <c r="D517" s="334"/>
      <c r="E517" s="334"/>
      <c r="F517" s="334"/>
      <c r="G517" s="334"/>
      <c r="H517" s="335"/>
      <c r="I517" s="1" t="s">
        <v>1706</v>
      </c>
      <c r="AC517" s="949" t="s">
        <v>1137</v>
      </c>
      <c r="AD517" s="921"/>
      <c r="AE517" s="921"/>
      <c r="AF517" s="943"/>
      <c r="AG517" s="10"/>
      <c r="AH517" s="981"/>
      <c r="AI517" s="893"/>
      <c r="AJ517" s="893"/>
      <c r="AK517" s="959"/>
      <c r="AZ517" s="1"/>
      <c r="BA517" s="1"/>
      <c r="BB517" s="1"/>
      <c r="BC517" s="1"/>
      <c r="BD517" s="1"/>
      <c r="BE517" s="1"/>
      <c r="BF517" s="1"/>
      <c r="BG517" s="1"/>
      <c r="BH517" s="1"/>
      <c r="BI517" s="1"/>
      <c r="BJ517" s="1"/>
      <c r="BK517" s="1"/>
      <c r="BL517" s="1"/>
      <c r="BM517" s="1"/>
      <c r="BN517" s="1"/>
    </row>
    <row r="518" spans="2:66" ht="12.75" customHeight="1">
      <c r="B518" s="333"/>
      <c r="C518" s="334"/>
      <c r="D518" s="334"/>
      <c r="E518" s="334"/>
      <c r="F518" s="334"/>
      <c r="G518" s="334"/>
      <c r="H518" s="335"/>
      <c r="I518" s="32" t="s">
        <v>1707</v>
      </c>
      <c r="AC518" s="949"/>
      <c r="AD518" s="921"/>
      <c r="AE518" s="921"/>
      <c r="AF518" s="943"/>
      <c r="AG518" s="10"/>
      <c r="AH518" s="981"/>
      <c r="AI518" s="893"/>
      <c r="AJ518" s="893"/>
      <c r="AK518" s="959"/>
      <c r="AZ518" s="1"/>
      <c r="BA518" s="1"/>
      <c r="BB518" s="1"/>
      <c r="BC518" s="1"/>
      <c r="BD518" s="1"/>
      <c r="BE518" s="1"/>
      <c r="BF518" s="1"/>
      <c r="BG518" s="1"/>
      <c r="BH518" s="1"/>
      <c r="BI518" s="1"/>
      <c r="BJ518" s="1"/>
      <c r="BK518" s="1"/>
      <c r="BL518" s="1"/>
      <c r="BM518" s="1"/>
      <c r="BN518" s="1"/>
    </row>
    <row r="519" spans="2:66" ht="12.75" customHeight="1">
      <c r="B519" s="333"/>
      <c r="C519" s="334"/>
      <c r="D519" s="334"/>
      <c r="E519" s="334"/>
      <c r="F519" s="334"/>
      <c r="G519" s="334"/>
      <c r="H519" s="335"/>
      <c r="I519" s="32" t="s">
        <v>1708</v>
      </c>
      <c r="AC519" s="336"/>
      <c r="AD519" s="337"/>
      <c r="AE519" s="337"/>
      <c r="AF519" s="338"/>
      <c r="AG519" s="10"/>
      <c r="AH519" s="7"/>
      <c r="AI519" s="7"/>
      <c r="AJ519" s="7"/>
      <c r="AK519" s="339"/>
      <c r="AZ519" s="1"/>
      <c r="BA519" s="1"/>
      <c r="BB519" s="1"/>
      <c r="BC519" s="1"/>
      <c r="BD519" s="1"/>
      <c r="BE519" s="1"/>
      <c r="BF519" s="1"/>
      <c r="BG519" s="1"/>
      <c r="BH519" s="1"/>
      <c r="BI519" s="1"/>
      <c r="BJ519" s="1"/>
      <c r="BK519" s="1"/>
      <c r="BL519" s="1"/>
      <c r="BM519" s="1"/>
      <c r="BN519" s="1"/>
    </row>
    <row r="520" spans="2:66" ht="12.75" customHeight="1">
      <c r="B520" s="333"/>
      <c r="C520" s="334"/>
      <c r="D520" s="334"/>
      <c r="E520" s="334"/>
      <c r="F520" s="334"/>
      <c r="G520" s="334"/>
      <c r="H520" s="335"/>
      <c r="I520" s="268" t="s">
        <v>1709</v>
      </c>
      <c r="J520" s="235"/>
      <c r="K520" s="235"/>
      <c r="L520" s="235"/>
      <c r="M520" s="235"/>
      <c r="N520" s="235"/>
      <c r="O520" s="235"/>
      <c r="P520" s="235"/>
      <c r="Q520" s="235"/>
      <c r="R520" s="235"/>
      <c r="S520" s="235"/>
      <c r="T520" s="235"/>
      <c r="U520" s="235"/>
      <c r="V520" s="235"/>
      <c r="W520" s="235"/>
      <c r="X520" s="235"/>
      <c r="Y520" s="235"/>
      <c r="Z520" s="235"/>
      <c r="AA520" s="235"/>
      <c r="AB520" s="235"/>
      <c r="AC520" s="1085"/>
      <c r="AD520" s="921"/>
      <c r="AE520" s="921"/>
      <c r="AF520" s="943"/>
      <c r="AG520" s="314"/>
      <c r="AH520" s="1084"/>
      <c r="AI520" s="961"/>
      <c r="AJ520" s="961"/>
      <c r="AK520" s="962"/>
      <c r="AZ520" s="1"/>
      <c r="BA520" s="1"/>
      <c r="BB520" s="1"/>
      <c r="BC520" s="1"/>
      <c r="BD520" s="1"/>
      <c r="BE520" s="1"/>
      <c r="BF520" s="1"/>
      <c r="BG520" s="1"/>
      <c r="BH520" s="1"/>
      <c r="BI520" s="1"/>
      <c r="BJ520" s="1"/>
      <c r="BK520" s="1"/>
      <c r="BL520" s="1"/>
      <c r="BM520" s="1"/>
      <c r="BN520" s="1" t="s">
        <v>1137</v>
      </c>
    </row>
    <row r="521" spans="2:66" ht="12.75" customHeight="1">
      <c r="B521" s="333"/>
      <c r="C521" s="334"/>
      <c r="D521" s="334"/>
      <c r="E521" s="334"/>
      <c r="F521" s="334"/>
      <c r="G521" s="334"/>
      <c r="H521" s="335"/>
      <c r="I521" s="1"/>
      <c r="L521" s="17"/>
      <c r="M521" s="17"/>
      <c r="N521" s="17"/>
      <c r="O521" s="17"/>
      <c r="P521" s="17"/>
      <c r="Q521" s="17"/>
      <c r="R521" s="17"/>
      <c r="S521" s="17"/>
      <c r="T521" s="17"/>
      <c r="U521" s="17"/>
      <c r="V521" s="17"/>
      <c r="W521" s="17"/>
      <c r="X521" s="116"/>
      <c r="Y521" s="116"/>
      <c r="Z521" s="116"/>
      <c r="AA521" s="116"/>
      <c r="AB521" s="340"/>
      <c r="AC521" s="1086" t="s">
        <v>1687</v>
      </c>
      <c r="AD521" s="961"/>
      <c r="AE521" s="961"/>
      <c r="AF521" s="961"/>
      <c r="AG521" s="314" t="s">
        <v>1688</v>
      </c>
      <c r="AH521" s="995" t="s">
        <v>1689</v>
      </c>
      <c r="AI521" s="961"/>
      <c r="AJ521" s="961"/>
      <c r="AK521" s="962"/>
      <c r="AZ521" s="1"/>
      <c r="BA521" s="1"/>
      <c r="BB521" s="1"/>
      <c r="BC521" s="1"/>
      <c r="BD521" s="1"/>
      <c r="BE521" s="1"/>
      <c r="BF521" s="1"/>
      <c r="BG521" s="1"/>
      <c r="BH521" s="1"/>
      <c r="BI521" s="1"/>
      <c r="BJ521" s="1"/>
      <c r="BK521" s="1"/>
      <c r="BL521" s="1"/>
      <c r="BM521" s="1"/>
      <c r="BN521" s="1" t="s">
        <v>1713</v>
      </c>
    </row>
    <row r="522" spans="2:66" ht="12.75" customHeight="1">
      <c r="B522" s="1062" t="s">
        <v>1714</v>
      </c>
      <c r="C522" s="947"/>
      <c r="D522" s="947"/>
      <c r="E522" s="947"/>
      <c r="F522" s="947"/>
      <c r="G522" s="947"/>
      <c r="H522" s="948"/>
      <c r="I522" s="246" t="s">
        <v>1715</v>
      </c>
      <c r="J522" s="246"/>
      <c r="K522" s="246"/>
      <c r="L522" s="246"/>
      <c r="M522" s="246"/>
      <c r="N522" s="246"/>
      <c r="O522" s="246"/>
      <c r="P522" s="246"/>
      <c r="Q522" s="246"/>
      <c r="R522" s="246"/>
      <c r="S522" s="246"/>
      <c r="T522" s="246"/>
      <c r="U522" s="246"/>
      <c r="V522" s="246"/>
      <c r="W522" s="246"/>
      <c r="AC522" s="1080">
        <v>9</v>
      </c>
      <c r="AD522" s="968"/>
      <c r="AE522" s="968"/>
      <c r="AF522" s="969"/>
      <c r="AG522" s="10" t="s">
        <v>1688</v>
      </c>
      <c r="AH522" s="1071">
        <v>2026</v>
      </c>
      <c r="AI522" s="921"/>
      <c r="AJ522" s="921"/>
      <c r="AK522" s="943"/>
      <c r="AZ522" s="1"/>
      <c r="BA522" s="1"/>
      <c r="BB522" s="1"/>
      <c r="BC522" s="1"/>
      <c r="BD522" s="1"/>
      <c r="BE522" s="1"/>
      <c r="BF522" s="1"/>
      <c r="BG522" s="1"/>
      <c r="BH522" s="1"/>
      <c r="BI522" s="1"/>
      <c r="BJ522" s="1"/>
      <c r="BK522" s="1"/>
      <c r="BL522" s="1"/>
      <c r="BM522" s="1"/>
      <c r="BN522" s="1" t="s">
        <v>1717</v>
      </c>
    </row>
    <row r="523" spans="2:66" ht="12.75" customHeight="1">
      <c r="B523" s="958"/>
      <c r="C523" s="893"/>
      <c r="D523" s="893"/>
      <c r="E523" s="893"/>
      <c r="F523" s="893"/>
      <c r="G523" s="893"/>
      <c r="H523" s="959"/>
      <c r="I523" s="32" t="s">
        <v>1718</v>
      </c>
      <c r="AC523" s="1080">
        <v>2</v>
      </c>
      <c r="AD523" s="968"/>
      <c r="AE523" s="968"/>
      <c r="AF523" s="969"/>
      <c r="AG523" s="10" t="s">
        <v>1688</v>
      </c>
      <c r="AH523" s="1071">
        <v>2027</v>
      </c>
      <c r="AI523" s="921"/>
      <c r="AJ523" s="921"/>
      <c r="AK523" s="943"/>
      <c r="AZ523" s="1"/>
      <c r="BA523" s="1"/>
      <c r="BB523" s="1"/>
      <c r="BC523" s="1"/>
      <c r="BD523" s="1"/>
      <c r="BE523" s="1"/>
      <c r="BF523" s="1"/>
      <c r="BG523" s="1"/>
      <c r="BH523" s="1"/>
      <c r="BI523" s="1"/>
      <c r="BJ523" s="1"/>
      <c r="BK523" s="1"/>
      <c r="BL523" s="1"/>
      <c r="BM523" s="1"/>
      <c r="BN523" s="1" t="s">
        <v>1720</v>
      </c>
    </row>
    <row r="524" spans="2:66" ht="12.75" customHeight="1">
      <c r="B524" s="958"/>
      <c r="C524" s="893"/>
      <c r="D524" s="893"/>
      <c r="E524" s="893"/>
      <c r="F524" s="893"/>
      <c r="G524" s="893"/>
      <c r="H524" s="959"/>
      <c r="I524" s="235" t="s">
        <v>1721</v>
      </c>
      <c r="J524" s="235"/>
      <c r="K524" s="235"/>
      <c r="L524" s="235"/>
      <c r="M524" s="235"/>
      <c r="N524" s="235"/>
      <c r="O524" s="235"/>
      <c r="P524" s="235"/>
      <c r="Q524" s="235"/>
      <c r="R524" s="235"/>
      <c r="S524" s="235"/>
      <c r="T524" s="235"/>
      <c r="U524" s="235"/>
      <c r="V524" s="235"/>
      <c r="W524" s="235"/>
      <c r="X524" s="235"/>
      <c r="Y524" s="235"/>
      <c r="Z524" s="235"/>
      <c r="AA524" s="235"/>
      <c r="AB524" s="235"/>
      <c r="AC524" s="1080">
        <v>4</v>
      </c>
      <c r="AD524" s="968"/>
      <c r="AE524" s="968"/>
      <c r="AF524" s="969"/>
      <c r="AG524" s="314" t="s">
        <v>1688</v>
      </c>
      <c r="AH524" s="1071">
        <v>2027</v>
      </c>
      <c r="AI524" s="921"/>
      <c r="AJ524" s="921"/>
      <c r="AK524" s="943"/>
      <c r="AZ524" s="1"/>
      <c r="BA524" s="1"/>
      <c r="BB524" s="1"/>
      <c r="BC524" s="1"/>
      <c r="BD524" s="1"/>
      <c r="BE524" s="1"/>
      <c r="BF524" s="1"/>
      <c r="BG524" s="1"/>
      <c r="BH524" s="1"/>
      <c r="BI524" s="1"/>
      <c r="BJ524" s="1"/>
      <c r="BK524" s="1"/>
      <c r="BL524" s="1"/>
      <c r="BM524" s="1"/>
      <c r="BN524" s="1" t="s">
        <v>1722</v>
      </c>
    </row>
    <row r="525" spans="2:66" ht="12.75" customHeight="1">
      <c r="B525" s="1062" t="s">
        <v>598</v>
      </c>
      <c r="C525" s="947"/>
      <c r="D525" s="947"/>
      <c r="E525" s="947"/>
      <c r="F525" s="947"/>
      <c r="G525" s="947"/>
      <c r="H525" s="948"/>
      <c r="I525" s="246" t="s">
        <v>1715</v>
      </c>
      <c r="J525" s="246"/>
      <c r="K525" s="246"/>
      <c r="L525" s="246"/>
      <c r="M525" s="246"/>
      <c r="N525" s="246"/>
      <c r="O525" s="246"/>
      <c r="P525" s="246"/>
      <c r="Q525" s="246"/>
      <c r="R525" s="246"/>
      <c r="S525" s="246"/>
      <c r="T525" s="246"/>
      <c r="U525" s="246"/>
      <c r="V525" s="246"/>
      <c r="W525" s="246"/>
      <c r="X525" s="246"/>
      <c r="Y525" s="246"/>
      <c r="Z525" s="246"/>
      <c r="AA525" s="246"/>
      <c r="AB525" s="246"/>
      <c r="AC525" s="949">
        <v>9</v>
      </c>
      <c r="AD525" s="921"/>
      <c r="AE525" s="921"/>
      <c r="AF525" s="971"/>
      <c r="AG525" s="341" t="s">
        <v>1688</v>
      </c>
      <c r="AH525" s="1071">
        <v>2026</v>
      </c>
      <c r="AI525" s="921"/>
      <c r="AJ525" s="921"/>
      <c r="AK525" s="943"/>
      <c r="AZ525" s="1"/>
      <c r="BB525" s="1"/>
      <c r="BC525" s="1"/>
      <c r="BD525" s="1"/>
      <c r="BE525" s="1"/>
      <c r="BF525" s="1"/>
      <c r="BG525" s="1"/>
      <c r="BH525" s="1"/>
      <c r="BI525" s="1"/>
      <c r="BJ525" s="1"/>
      <c r="BK525" s="1"/>
      <c r="BL525" s="1"/>
      <c r="BM525" s="1"/>
      <c r="BN525" s="1" t="s">
        <v>1723</v>
      </c>
    </row>
    <row r="526" spans="2:66" ht="12.75" customHeight="1">
      <c r="B526" s="958"/>
      <c r="C526" s="893"/>
      <c r="D526" s="893"/>
      <c r="E526" s="893"/>
      <c r="F526" s="893"/>
      <c r="G526" s="893"/>
      <c r="H526" s="959"/>
      <c r="I526" s="32" t="s">
        <v>1718</v>
      </c>
      <c r="AC526" s="1080">
        <v>2</v>
      </c>
      <c r="AD526" s="968"/>
      <c r="AE526" s="968"/>
      <c r="AF526" s="969"/>
      <c r="AG526" s="10" t="s">
        <v>1688</v>
      </c>
      <c r="AH526" s="1071">
        <v>2027</v>
      </c>
      <c r="AI526" s="921"/>
      <c r="AJ526" s="921"/>
      <c r="AK526" s="943"/>
      <c r="BB526" s="1"/>
      <c r="BC526" s="1"/>
      <c r="BD526" s="1"/>
      <c r="BE526" s="1"/>
      <c r="BF526" s="1"/>
      <c r="BG526" s="1"/>
      <c r="BH526" s="1"/>
      <c r="BI526" s="1"/>
      <c r="BJ526" s="1"/>
      <c r="BK526" s="1"/>
      <c r="BL526" s="1"/>
      <c r="BM526" s="1"/>
      <c r="BN526" s="1" t="s">
        <v>1724</v>
      </c>
    </row>
    <row r="527" spans="2:66" ht="12.75" customHeight="1">
      <c r="B527" s="960"/>
      <c r="C527" s="961"/>
      <c r="D527" s="961"/>
      <c r="E527" s="961"/>
      <c r="F527" s="961"/>
      <c r="G527" s="961"/>
      <c r="H527" s="962"/>
      <c r="I527" s="235" t="s">
        <v>1721</v>
      </c>
      <c r="J527" s="235"/>
      <c r="K527" s="235"/>
      <c r="L527" s="235"/>
      <c r="M527" s="235"/>
      <c r="N527" s="235"/>
      <c r="O527" s="235"/>
      <c r="P527" s="235"/>
      <c r="Q527" s="235"/>
      <c r="R527" s="235"/>
      <c r="S527" s="235"/>
      <c r="T527" s="235"/>
      <c r="U527" s="235"/>
      <c r="V527" s="235"/>
      <c r="W527" s="235"/>
      <c r="X527" s="235"/>
      <c r="Y527" s="235"/>
      <c r="Z527" s="235"/>
      <c r="AA527" s="235"/>
      <c r="AB527" s="235"/>
      <c r="AC527" s="1080">
        <v>4</v>
      </c>
      <c r="AD527" s="968"/>
      <c r="AE527" s="968"/>
      <c r="AF527" s="969"/>
      <c r="AG527" s="314" t="s">
        <v>1688</v>
      </c>
      <c r="AH527" s="1071">
        <v>2027</v>
      </c>
      <c r="AI527" s="921"/>
      <c r="AJ527" s="921"/>
      <c r="AK527" s="943"/>
      <c r="BB527" s="1"/>
      <c r="BC527" s="1"/>
      <c r="BD527" s="1"/>
      <c r="BE527" s="1"/>
      <c r="BF527" s="1"/>
      <c r="BG527" s="1"/>
      <c r="BH527" s="1"/>
      <c r="BI527" s="1"/>
      <c r="BJ527" s="1"/>
      <c r="BK527" s="1"/>
      <c r="BL527" s="1"/>
      <c r="BM527" s="1"/>
      <c r="BN527" s="1" t="s">
        <v>1725</v>
      </c>
    </row>
    <row r="528" spans="2:66" ht="12.75" customHeight="1">
      <c r="B528" s="1062" t="s">
        <v>1726</v>
      </c>
      <c r="C528" s="947"/>
      <c r="D528" s="947"/>
      <c r="E528" s="947"/>
      <c r="F528" s="947"/>
      <c r="G528" s="947"/>
      <c r="H528" s="948"/>
      <c r="I528" s="265" t="s">
        <v>1728</v>
      </c>
      <c r="J528" s="246"/>
      <c r="K528" s="246"/>
      <c r="L528" s="246"/>
      <c r="M528" s="246"/>
      <c r="N528" s="246"/>
      <c r="O528" s="967" t="s">
        <v>1705</v>
      </c>
      <c r="P528" s="968"/>
      <c r="Q528" s="968"/>
      <c r="R528" s="968"/>
      <c r="S528" s="968"/>
      <c r="T528" s="968"/>
      <c r="U528" s="968"/>
      <c r="V528" s="968"/>
      <c r="W528" s="968"/>
      <c r="X528" s="968"/>
      <c r="Y528" s="968"/>
      <c r="Z528" s="968"/>
      <c r="AA528" s="969"/>
      <c r="AB528" s="247"/>
      <c r="AC528" s="949" t="s">
        <v>855</v>
      </c>
      <c r="AD528" s="921"/>
      <c r="AE528" s="921"/>
      <c r="AF528" s="971"/>
      <c r="AG528" s="341" t="s">
        <v>1688</v>
      </c>
      <c r="AH528" s="1071"/>
      <c r="AI528" s="921"/>
      <c r="AJ528" s="921"/>
      <c r="AK528" s="943"/>
      <c r="AZ528" s="1"/>
      <c r="BB528" s="1"/>
      <c r="BC528" s="1"/>
      <c r="BD528" s="1"/>
      <c r="BE528" s="1"/>
      <c r="BF528" s="1"/>
      <c r="BG528" s="1"/>
      <c r="BH528" s="1"/>
      <c r="BI528" s="1"/>
      <c r="BJ528" s="1"/>
      <c r="BK528" s="1"/>
      <c r="BL528" s="1"/>
      <c r="BM528" s="1"/>
      <c r="BN528" s="1" t="s">
        <v>1730</v>
      </c>
    </row>
    <row r="529" spans="2:66" ht="12.75" customHeight="1">
      <c r="B529" s="958"/>
      <c r="C529" s="893"/>
      <c r="D529" s="893"/>
      <c r="E529" s="893"/>
      <c r="F529" s="893"/>
      <c r="G529" s="893"/>
      <c r="H529" s="959"/>
      <c r="I529" s="267" t="s">
        <v>74</v>
      </c>
      <c r="AB529" s="249"/>
      <c r="AC529" s="1080" t="s">
        <v>855</v>
      </c>
      <c r="AD529" s="968"/>
      <c r="AE529" s="968"/>
      <c r="AF529" s="969"/>
      <c r="AG529" s="10" t="s">
        <v>1688</v>
      </c>
      <c r="AH529" s="1071"/>
      <c r="AI529" s="921"/>
      <c r="AJ529" s="921"/>
      <c r="AK529" s="943"/>
      <c r="AZ529" s="1"/>
      <c r="BB529" s="1"/>
      <c r="BC529" s="1"/>
      <c r="BD529" s="1"/>
      <c r="BE529" s="1"/>
      <c r="BF529" s="1"/>
      <c r="BG529" s="1"/>
      <c r="BH529" s="1"/>
      <c r="BI529" s="1"/>
      <c r="BJ529" s="1"/>
      <c r="BK529" s="1"/>
      <c r="BL529" s="1"/>
      <c r="BM529" s="1"/>
      <c r="BN529" s="1" t="s">
        <v>1734</v>
      </c>
    </row>
    <row r="530" spans="2:66" ht="12.75" customHeight="1">
      <c r="B530" s="958"/>
      <c r="C530" s="893"/>
      <c r="D530" s="893"/>
      <c r="E530" s="893"/>
      <c r="F530" s="893"/>
      <c r="G530" s="893"/>
      <c r="H530" s="959"/>
      <c r="I530" s="268" t="s">
        <v>1735</v>
      </c>
      <c r="J530" s="235"/>
      <c r="K530" s="235"/>
      <c r="L530" s="235"/>
      <c r="M530" s="235"/>
      <c r="N530" s="235"/>
      <c r="O530" s="235"/>
      <c r="P530" s="235"/>
      <c r="Q530" s="235"/>
      <c r="R530" s="235"/>
      <c r="S530" s="235"/>
      <c r="T530" s="235"/>
      <c r="U530" s="235"/>
      <c r="V530" s="235"/>
      <c r="W530" s="235"/>
      <c r="X530" s="235"/>
      <c r="Y530" s="235"/>
      <c r="Z530" s="235"/>
      <c r="AA530" s="235"/>
      <c r="AB530" s="251"/>
      <c r="AC530" s="1080" t="s">
        <v>855</v>
      </c>
      <c r="AD530" s="968"/>
      <c r="AE530" s="968"/>
      <c r="AF530" s="969"/>
      <c r="AG530" s="314" t="s">
        <v>1688</v>
      </c>
      <c r="AH530" s="1071"/>
      <c r="AI530" s="921"/>
      <c r="AJ530" s="921"/>
      <c r="AK530" s="943"/>
      <c r="AZ530" s="1"/>
      <c r="BA530" s="1"/>
      <c r="BB530" s="1"/>
      <c r="BC530" s="1"/>
      <c r="BD530" s="1"/>
      <c r="BE530" s="1"/>
      <c r="BF530" s="1"/>
      <c r="BG530" s="1"/>
      <c r="BH530" s="1"/>
      <c r="BI530" s="1"/>
      <c r="BJ530" s="1"/>
      <c r="BK530" s="1"/>
      <c r="BL530" s="1"/>
      <c r="BM530" s="1"/>
      <c r="BN530" s="1" t="s">
        <v>1737</v>
      </c>
    </row>
    <row r="531" spans="2:66" ht="12.75" customHeight="1">
      <c r="B531" s="958"/>
      <c r="C531" s="893"/>
      <c r="D531" s="893"/>
      <c r="E531" s="893"/>
      <c r="F531" s="893"/>
      <c r="G531" s="893"/>
      <c r="H531" s="959"/>
      <c r="I531" s="246" t="s">
        <v>1738</v>
      </c>
      <c r="J531" s="246"/>
      <c r="K531" s="246"/>
      <c r="L531" s="246"/>
      <c r="M531" s="246"/>
      <c r="N531" s="246"/>
      <c r="O531" s="967" t="s">
        <v>1705</v>
      </c>
      <c r="P531" s="968"/>
      <c r="Q531" s="968"/>
      <c r="R531" s="968"/>
      <c r="S531" s="968"/>
      <c r="T531" s="968"/>
      <c r="U531" s="968"/>
      <c r="V531" s="968"/>
      <c r="W531" s="968"/>
      <c r="X531" s="968"/>
      <c r="Y531" s="968"/>
      <c r="Z531" s="968"/>
      <c r="AA531" s="969"/>
      <c r="AC531" s="1080" t="s">
        <v>855</v>
      </c>
      <c r="AD531" s="968"/>
      <c r="AE531" s="968"/>
      <c r="AF531" s="969"/>
      <c r="AG531" s="10" t="s">
        <v>1688</v>
      </c>
      <c r="AH531" s="1071"/>
      <c r="AI531" s="921"/>
      <c r="AJ531" s="921"/>
      <c r="AK531" s="943"/>
      <c r="AZ531" s="1"/>
      <c r="BA531" s="1"/>
      <c r="BB531" s="1"/>
      <c r="BC531" s="1"/>
      <c r="BD531" s="1"/>
      <c r="BE531" s="1"/>
      <c r="BF531" s="1"/>
      <c r="BG531" s="1"/>
      <c r="BH531" s="1"/>
      <c r="BI531" s="1"/>
      <c r="BJ531" s="1"/>
      <c r="BK531" s="1"/>
      <c r="BL531" s="1"/>
      <c r="BM531" s="1"/>
      <c r="BN531" s="1" t="s">
        <v>1740</v>
      </c>
    </row>
    <row r="532" spans="2:66" ht="12.75" customHeight="1">
      <c r="B532" s="958"/>
      <c r="C532" s="893"/>
      <c r="D532" s="893"/>
      <c r="E532" s="893"/>
      <c r="F532" s="893"/>
      <c r="G532" s="893"/>
      <c r="H532" s="959"/>
      <c r="I532" s="32" t="s">
        <v>74</v>
      </c>
      <c r="AC532" s="1080" t="s">
        <v>855</v>
      </c>
      <c r="AD532" s="968"/>
      <c r="AE532" s="968"/>
      <c r="AF532" s="969"/>
      <c r="AG532" s="10" t="s">
        <v>1688</v>
      </c>
      <c r="AH532" s="1071"/>
      <c r="AI532" s="921"/>
      <c r="AJ532" s="921"/>
      <c r="AK532" s="943"/>
      <c r="AZ532" s="1"/>
      <c r="BA532" s="1"/>
      <c r="BB532" s="1"/>
      <c r="BC532" s="1"/>
      <c r="BD532" s="1"/>
      <c r="BE532" s="1"/>
      <c r="BF532" s="1"/>
      <c r="BG532" s="1"/>
      <c r="BH532" s="1"/>
      <c r="BI532" s="1"/>
      <c r="BJ532" s="1"/>
      <c r="BK532" s="1"/>
      <c r="BL532" s="1"/>
      <c r="BM532" s="1"/>
      <c r="BN532" s="1" t="s">
        <v>1742</v>
      </c>
    </row>
    <row r="533" spans="2:66" ht="12.75" customHeight="1">
      <c r="B533" s="958"/>
      <c r="C533" s="893"/>
      <c r="D533" s="893"/>
      <c r="E533" s="893"/>
      <c r="F533" s="893"/>
      <c r="G533" s="893"/>
      <c r="H533" s="959"/>
      <c r="I533" s="235" t="s">
        <v>1735</v>
      </c>
      <c r="J533" s="235"/>
      <c r="K533" s="235"/>
      <c r="L533" s="235"/>
      <c r="M533" s="235"/>
      <c r="N533" s="235"/>
      <c r="O533" s="235"/>
      <c r="P533" s="235"/>
      <c r="Q533" s="235"/>
      <c r="R533" s="235"/>
      <c r="S533" s="235"/>
      <c r="T533" s="235"/>
      <c r="U533" s="235"/>
      <c r="V533" s="235"/>
      <c r="W533" s="235"/>
      <c r="X533" s="235"/>
      <c r="Y533" s="235"/>
      <c r="Z533" s="235"/>
      <c r="AA533" s="235"/>
      <c r="AB533" s="235"/>
      <c r="AC533" s="1080" t="s">
        <v>855</v>
      </c>
      <c r="AD533" s="968"/>
      <c r="AE533" s="968"/>
      <c r="AF533" s="969"/>
      <c r="AG533" s="314" t="s">
        <v>1688</v>
      </c>
      <c r="AH533" s="1071"/>
      <c r="AI533" s="921"/>
      <c r="AJ533" s="921"/>
      <c r="AK533" s="943"/>
      <c r="AZ533" s="1"/>
      <c r="BA533" s="1"/>
      <c r="BB533" s="1"/>
      <c r="BC533" s="1"/>
      <c r="BD533" s="1"/>
      <c r="BE533" s="1"/>
      <c r="BF533" s="1"/>
      <c r="BG533" s="1"/>
      <c r="BH533" s="1"/>
      <c r="BI533" s="1"/>
      <c r="BJ533" s="1"/>
      <c r="BK533" s="1"/>
      <c r="BL533" s="1"/>
      <c r="BM533" s="1"/>
      <c r="BN533" s="1" t="s">
        <v>1743</v>
      </c>
    </row>
    <row r="534" spans="2:66" ht="12.75" customHeight="1">
      <c r="B534" s="958"/>
      <c r="C534" s="893"/>
      <c r="D534" s="893"/>
      <c r="E534" s="893"/>
      <c r="F534" s="893"/>
      <c r="G534" s="893"/>
      <c r="H534" s="959"/>
      <c r="I534" s="246" t="s">
        <v>1738</v>
      </c>
      <c r="J534" s="246"/>
      <c r="K534" s="246"/>
      <c r="L534" s="246"/>
      <c r="M534" s="246"/>
      <c r="N534" s="246"/>
      <c r="O534" s="967" t="s">
        <v>1705</v>
      </c>
      <c r="P534" s="968"/>
      <c r="Q534" s="968"/>
      <c r="R534" s="968"/>
      <c r="S534" s="968"/>
      <c r="T534" s="968"/>
      <c r="U534" s="968"/>
      <c r="V534" s="968"/>
      <c r="W534" s="968"/>
      <c r="X534" s="968"/>
      <c r="Y534" s="968"/>
      <c r="Z534" s="968"/>
      <c r="AA534" s="969"/>
      <c r="AC534" s="1080" t="s">
        <v>855</v>
      </c>
      <c r="AD534" s="968"/>
      <c r="AE534" s="968"/>
      <c r="AF534" s="969"/>
      <c r="AG534" s="10" t="s">
        <v>1688</v>
      </c>
      <c r="AH534" s="1071"/>
      <c r="AI534" s="921"/>
      <c r="AJ534" s="921"/>
      <c r="AK534" s="943"/>
      <c r="AZ534" s="1"/>
      <c r="BA534" s="1"/>
      <c r="BB534" s="1"/>
      <c r="BC534" s="1"/>
      <c r="BD534" s="1"/>
      <c r="BE534" s="1"/>
      <c r="BF534" s="1"/>
      <c r="BG534" s="1"/>
      <c r="BH534" s="1"/>
      <c r="BI534" s="1"/>
      <c r="BJ534" s="1"/>
      <c r="BK534" s="1"/>
      <c r="BL534" s="1"/>
      <c r="BM534" s="1"/>
      <c r="BN534" s="1" t="s">
        <v>1744</v>
      </c>
    </row>
    <row r="535" spans="2:66" ht="12.75" customHeight="1">
      <c r="B535" s="958"/>
      <c r="C535" s="893"/>
      <c r="D535" s="893"/>
      <c r="E535" s="893"/>
      <c r="F535" s="893"/>
      <c r="G535" s="893"/>
      <c r="H535" s="959"/>
      <c r="I535" s="32" t="s">
        <v>74</v>
      </c>
      <c r="AC535" s="1080" t="s">
        <v>855</v>
      </c>
      <c r="AD535" s="968"/>
      <c r="AE535" s="968"/>
      <c r="AF535" s="969"/>
      <c r="AG535" s="10" t="s">
        <v>1688</v>
      </c>
      <c r="AH535" s="1071"/>
      <c r="AI535" s="921"/>
      <c r="AJ535" s="921"/>
      <c r="AK535" s="943"/>
      <c r="AZ535" s="1"/>
      <c r="BA535" s="1"/>
      <c r="BB535" s="1"/>
      <c r="BC535" s="1"/>
      <c r="BD535" s="1"/>
      <c r="BE535" s="1"/>
      <c r="BF535" s="1"/>
      <c r="BG535" s="1"/>
      <c r="BH535" s="1"/>
      <c r="BI535" s="1"/>
      <c r="BJ535" s="1"/>
      <c r="BK535" s="1"/>
      <c r="BL535" s="1"/>
      <c r="BM535" s="1"/>
      <c r="BN535" s="1" t="s">
        <v>1746</v>
      </c>
    </row>
    <row r="536" spans="2:66" ht="12.75" customHeight="1">
      <c r="B536" s="958"/>
      <c r="C536" s="893"/>
      <c r="D536" s="893"/>
      <c r="E536" s="893"/>
      <c r="F536" s="893"/>
      <c r="G536" s="893"/>
      <c r="H536" s="959"/>
      <c r="I536" s="235" t="s">
        <v>1735</v>
      </c>
      <c r="J536" s="235"/>
      <c r="K536" s="235"/>
      <c r="L536" s="235"/>
      <c r="M536" s="235"/>
      <c r="N536" s="235"/>
      <c r="O536" s="235"/>
      <c r="P536" s="235"/>
      <c r="Q536" s="235"/>
      <c r="R536" s="235"/>
      <c r="S536" s="235"/>
      <c r="T536" s="235"/>
      <c r="U536" s="235"/>
      <c r="V536" s="235"/>
      <c r="W536" s="235"/>
      <c r="X536" s="235"/>
      <c r="Y536" s="235"/>
      <c r="Z536" s="235"/>
      <c r="AA536" s="235"/>
      <c r="AB536" s="235"/>
      <c r="AC536" s="1080" t="s">
        <v>855</v>
      </c>
      <c r="AD536" s="968"/>
      <c r="AE536" s="968"/>
      <c r="AF536" s="969"/>
      <c r="AG536" s="314" t="s">
        <v>1688</v>
      </c>
      <c r="AH536" s="1071"/>
      <c r="AI536" s="921"/>
      <c r="AJ536" s="921"/>
      <c r="AK536" s="943"/>
      <c r="AZ536" s="1"/>
      <c r="BA536" s="1"/>
      <c r="BB536" s="1"/>
      <c r="BC536" s="1"/>
      <c r="BD536" s="1"/>
      <c r="BE536" s="1"/>
      <c r="BF536" s="1"/>
      <c r="BG536" s="1"/>
      <c r="BH536" s="1"/>
      <c r="BI536" s="1"/>
      <c r="BJ536" s="1"/>
      <c r="BK536" s="1"/>
      <c r="BL536" s="1"/>
      <c r="BM536" s="1"/>
      <c r="BN536" s="1" t="s">
        <v>1747</v>
      </c>
    </row>
    <row r="537" spans="2:66" ht="12.75" customHeight="1">
      <c r="B537" s="958"/>
      <c r="C537" s="893"/>
      <c r="D537" s="893"/>
      <c r="E537" s="893"/>
      <c r="F537" s="893"/>
      <c r="G537" s="893"/>
      <c r="H537" s="959"/>
      <c r="I537" s="246" t="s">
        <v>1738</v>
      </c>
      <c r="J537" s="246"/>
      <c r="K537" s="246"/>
      <c r="L537" s="246"/>
      <c r="M537" s="246"/>
      <c r="N537" s="246"/>
      <c r="O537" s="967" t="s">
        <v>1705</v>
      </c>
      <c r="P537" s="968"/>
      <c r="Q537" s="968"/>
      <c r="R537" s="968"/>
      <c r="S537" s="968"/>
      <c r="T537" s="968"/>
      <c r="U537" s="968"/>
      <c r="V537" s="968"/>
      <c r="W537" s="968"/>
      <c r="X537" s="968"/>
      <c r="Y537" s="968"/>
      <c r="Z537" s="968"/>
      <c r="AA537" s="969"/>
      <c r="AC537" s="1080" t="s">
        <v>855</v>
      </c>
      <c r="AD537" s="968"/>
      <c r="AE537" s="968"/>
      <c r="AF537" s="969"/>
      <c r="AG537" s="10" t="s">
        <v>1688</v>
      </c>
      <c r="AH537" s="1071"/>
      <c r="AI537" s="921"/>
      <c r="AJ537" s="921"/>
      <c r="AK537" s="943"/>
      <c r="AZ537" s="1"/>
      <c r="BA537" s="1"/>
      <c r="BB537" s="1"/>
      <c r="BC537" s="1"/>
      <c r="BD537" s="1"/>
      <c r="BE537" s="1"/>
      <c r="BF537" s="1"/>
      <c r="BG537" s="1"/>
      <c r="BH537" s="1"/>
      <c r="BI537" s="1"/>
      <c r="BJ537" s="1"/>
      <c r="BK537" s="1"/>
      <c r="BL537" s="1"/>
      <c r="BM537" s="1"/>
      <c r="BN537" s="1" t="s">
        <v>1748</v>
      </c>
    </row>
    <row r="538" spans="2:66" ht="12.75" customHeight="1">
      <c r="B538" s="958"/>
      <c r="C538" s="893"/>
      <c r="D538" s="893"/>
      <c r="E538" s="893"/>
      <c r="F538" s="893"/>
      <c r="G538" s="893"/>
      <c r="H538" s="959"/>
      <c r="I538" s="32" t="s">
        <v>74</v>
      </c>
      <c r="AC538" s="1080" t="s">
        <v>855</v>
      </c>
      <c r="AD538" s="968"/>
      <c r="AE538" s="968"/>
      <c r="AF538" s="969"/>
      <c r="AG538" s="10" t="s">
        <v>1688</v>
      </c>
      <c r="AH538" s="1071"/>
      <c r="AI538" s="921"/>
      <c r="AJ538" s="921"/>
      <c r="AK538" s="943"/>
      <c r="AZ538" s="1"/>
      <c r="BA538" s="1"/>
      <c r="BB538" s="1"/>
      <c r="BC538" s="1"/>
      <c r="BD538" s="1"/>
      <c r="BE538" s="1"/>
      <c r="BF538" s="1"/>
      <c r="BG538" s="1"/>
      <c r="BH538" s="1"/>
      <c r="BI538" s="1"/>
      <c r="BJ538" s="1"/>
      <c r="BK538" s="1"/>
      <c r="BL538" s="1"/>
      <c r="BM538" s="1"/>
      <c r="BN538" s="1" t="s">
        <v>1749</v>
      </c>
    </row>
    <row r="539" spans="2:66" ht="12.75" customHeight="1">
      <c r="B539" s="958"/>
      <c r="C539" s="893"/>
      <c r="D539" s="893"/>
      <c r="E539" s="893"/>
      <c r="F539" s="893"/>
      <c r="G539" s="893"/>
      <c r="H539" s="959"/>
      <c r="I539" s="235" t="s">
        <v>1735</v>
      </c>
      <c r="J539" s="235"/>
      <c r="K539" s="235"/>
      <c r="L539" s="235"/>
      <c r="M539" s="235"/>
      <c r="N539" s="235"/>
      <c r="O539" s="235"/>
      <c r="P539" s="235"/>
      <c r="Q539" s="235"/>
      <c r="R539" s="235"/>
      <c r="S539" s="235"/>
      <c r="T539" s="235"/>
      <c r="U539" s="235"/>
      <c r="V539" s="235"/>
      <c r="W539" s="235"/>
      <c r="X539" s="235"/>
      <c r="Y539" s="235"/>
      <c r="Z539" s="235"/>
      <c r="AA539" s="235"/>
      <c r="AB539" s="235"/>
      <c r="AC539" s="1080" t="s">
        <v>855</v>
      </c>
      <c r="AD539" s="968"/>
      <c r="AE539" s="968"/>
      <c r="AF539" s="969"/>
      <c r="AG539" s="314" t="s">
        <v>1688</v>
      </c>
      <c r="AH539" s="1071"/>
      <c r="AI539" s="921"/>
      <c r="AJ539" s="921"/>
      <c r="AK539" s="943"/>
      <c r="AZ539" s="1"/>
      <c r="BA539" s="1"/>
      <c r="BB539" s="1"/>
      <c r="BC539" s="1"/>
      <c r="BD539" s="1"/>
      <c r="BE539" s="1"/>
      <c r="BF539" s="1"/>
      <c r="BG539" s="1"/>
      <c r="BH539" s="1"/>
      <c r="BI539" s="1"/>
      <c r="BJ539" s="1"/>
      <c r="BK539" s="1"/>
      <c r="BL539" s="1"/>
      <c r="BM539" s="1"/>
      <c r="BN539" s="1" t="s">
        <v>1751</v>
      </c>
    </row>
    <row r="540" spans="2:66" ht="12.75" customHeight="1">
      <c r="B540" s="958"/>
      <c r="C540" s="893"/>
      <c r="D540" s="893"/>
      <c r="E540" s="893"/>
      <c r="F540" s="893"/>
      <c r="G540" s="893"/>
      <c r="H540" s="959"/>
      <c r="I540" s="246" t="s">
        <v>1738</v>
      </c>
      <c r="J540" s="246"/>
      <c r="K540" s="246"/>
      <c r="L540" s="246"/>
      <c r="M540" s="246"/>
      <c r="N540" s="246"/>
      <c r="O540" s="967" t="s">
        <v>1705</v>
      </c>
      <c r="P540" s="968"/>
      <c r="Q540" s="968"/>
      <c r="R540" s="968"/>
      <c r="S540" s="968"/>
      <c r="T540" s="968"/>
      <c r="U540" s="968"/>
      <c r="V540" s="968"/>
      <c r="W540" s="968"/>
      <c r="X540" s="968"/>
      <c r="Y540" s="968"/>
      <c r="Z540" s="968"/>
      <c r="AA540" s="969"/>
      <c r="AC540" s="1080" t="s">
        <v>855</v>
      </c>
      <c r="AD540" s="968"/>
      <c r="AE540" s="968"/>
      <c r="AF540" s="969"/>
      <c r="AG540" s="10" t="s">
        <v>1688</v>
      </c>
      <c r="AH540" s="1071"/>
      <c r="AI540" s="921"/>
      <c r="AJ540" s="921"/>
      <c r="AK540" s="943"/>
      <c r="AZ540" s="1"/>
      <c r="BA540" s="1"/>
      <c r="BB540" s="1"/>
      <c r="BC540" s="1"/>
      <c r="BD540" s="1"/>
      <c r="BE540" s="1"/>
      <c r="BF540" s="1"/>
      <c r="BG540" s="1"/>
      <c r="BH540" s="1"/>
      <c r="BI540" s="1"/>
      <c r="BJ540" s="1"/>
      <c r="BK540" s="1"/>
      <c r="BL540" s="1"/>
      <c r="BM540" s="1"/>
      <c r="BN540" s="1" t="s">
        <v>1753</v>
      </c>
    </row>
    <row r="541" spans="2:66" ht="12.75" customHeight="1">
      <c r="B541" s="958"/>
      <c r="C541" s="893"/>
      <c r="D541" s="893"/>
      <c r="E541" s="893"/>
      <c r="F541" s="893"/>
      <c r="G541" s="893"/>
      <c r="H541" s="959"/>
      <c r="I541" s="32" t="s">
        <v>74</v>
      </c>
      <c r="AC541" s="1080" t="s">
        <v>855</v>
      </c>
      <c r="AD541" s="968"/>
      <c r="AE541" s="968"/>
      <c r="AF541" s="969"/>
      <c r="AG541" s="314" t="s">
        <v>1688</v>
      </c>
      <c r="AH541" s="1071"/>
      <c r="AI541" s="921"/>
      <c r="AJ541" s="921"/>
      <c r="AK541" s="943"/>
      <c r="AZ541" s="1"/>
      <c r="BA541" s="1"/>
      <c r="BB541" s="1"/>
      <c r="BC541" s="1"/>
      <c r="BD541" s="1"/>
      <c r="BE541" s="1"/>
      <c r="BF541" s="1"/>
      <c r="BG541" s="1"/>
      <c r="BH541" s="1"/>
      <c r="BI541" s="1"/>
      <c r="BJ541" s="1"/>
      <c r="BK541" s="1"/>
      <c r="BL541" s="1"/>
      <c r="BM541" s="1"/>
      <c r="BN541" s="1" t="s">
        <v>1756</v>
      </c>
    </row>
    <row r="542" spans="2:66" ht="12.75" customHeight="1">
      <c r="B542" s="958"/>
      <c r="C542" s="893"/>
      <c r="D542" s="893"/>
      <c r="E542" s="893"/>
      <c r="F542" s="893"/>
      <c r="G542" s="893"/>
      <c r="H542" s="959"/>
      <c r="I542" s="235" t="s">
        <v>1735</v>
      </c>
      <c r="J542" s="235"/>
      <c r="K542" s="235"/>
      <c r="L542" s="235"/>
      <c r="M542" s="235"/>
      <c r="N542" s="235"/>
      <c r="O542" s="235"/>
      <c r="P542" s="235"/>
      <c r="Q542" s="235"/>
      <c r="R542" s="235"/>
      <c r="S542" s="235"/>
      <c r="T542" s="235"/>
      <c r="U542" s="235"/>
      <c r="V542" s="235"/>
      <c r="W542" s="235"/>
      <c r="X542" s="235"/>
      <c r="Y542" s="235"/>
      <c r="Z542" s="235"/>
      <c r="AA542" s="235"/>
      <c r="AB542" s="235"/>
      <c r="AC542" s="1080" t="s">
        <v>855</v>
      </c>
      <c r="AD542" s="968"/>
      <c r="AE542" s="968"/>
      <c r="AF542" s="969"/>
      <c r="AG542" s="10" t="s">
        <v>1688</v>
      </c>
      <c r="AH542" s="1071"/>
      <c r="AI542" s="921"/>
      <c r="AJ542" s="921"/>
      <c r="AK542" s="943"/>
      <c r="AZ542" s="1"/>
      <c r="BA542" s="1"/>
      <c r="BB542" s="1"/>
      <c r="BC542" s="1"/>
      <c r="BD542" s="1"/>
      <c r="BE542" s="1"/>
      <c r="BF542" s="1"/>
      <c r="BG542" s="1"/>
      <c r="BH542" s="1"/>
      <c r="BI542" s="1"/>
      <c r="BJ542" s="1"/>
      <c r="BK542" s="1"/>
      <c r="BL542" s="1"/>
      <c r="BM542" s="1"/>
      <c r="BN542" s="1" t="s">
        <v>1757</v>
      </c>
    </row>
    <row r="543" spans="2:66" ht="12.75" customHeight="1">
      <c r="B543" s="958"/>
      <c r="C543" s="893"/>
      <c r="D543" s="893"/>
      <c r="E543" s="893"/>
      <c r="F543" s="893"/>
      <c r="G543" s="893"/>
      <c r="H543" s="959"/>
      <c r="I543" s="246" t="s">
        <v>1738</v>
      </c>
      <c r="J543" s="246"/>
      <c r="K543" s="246"/>
      <c r="L543" s="246"/>
      <c r="M543" s="246"/>
      <c r="N543" s="246"/>
      <c r="O543" s="967" t="s">
        <v>1705</v>
      </c>
      <c r="P543" s="968"/>
      <c r="Q543" s="968"/>
      <c r="R543" s="968"/>
      <c r="S543" s="968"/>
      <c r="T543" s="968"/>
      <c r="U543" s="968"/>
      <c r="V543" s="968"/>
      <c r="W543" s="968"/>
      <c r="X543" s="968"/>
      <c r="Y543" s="968"/>
      <c r="Z543" s="968"/>
      <c r="AA543" s="969"/>
      <c r="AC543" s="1080" t="s">
        <v>855</v>
      </c>
      <c r="AD543" s="968"/>
      <c r="AE543" s="968"/>
      <c r="AF543" s="969"/>
      <c r="AG543" s="314" t="s">
        <v>1688</v>
      </c>
      <c r="AH543" s="1071"/>
      <c r="AI543" s="921"/>
      <c r="AJ543" s="921"/>
      <c r="AK543" s="943"/>
      <c r="AZ543" s="1"/>
      <c r="BA543" s="1"/>
      <c r="BB543" s="1"/>
      <c r="BC543" s="1"/>
      <c r="BD543" s="1"/>
      <c r="BE543" s="1"/>
      <c r="BF543" s="1"/>
      <c r="BG543" s="1"/>
      <c r="BH543" s="1"/>
      <c r="BI543" s="1"/>
      <c r="BJ543" s="1"/>
      <c r="BK543" s="1"/>
      <c r="BL543" s="1"/>
      <c r="BM543" s="1"/>
      <c r="BN543" s="1" t="s">
        <v>1758</v>
      </c>
    </row>
    <row r="544" spans="2:66" ht="12.75" customHeight="1">
      <c r="B544" s="958"/>
      <c r="C544" s="893"/>
      <c r="D544" s="893"/>
      <c r="E544" s="893"/>
      <c r="F544" s="893"/>
      <c r="G544" s="893"/>
      <c r="H544" s="959"/>
      <c r="I544" s="32" t="s">
        <v>74</v>
      </c>
      <c r="AC544" s="1080" t="s">
        <v>855</v>
      </c>
      <c r="AD544" s="968"/>
      <c r="AE544" s="968"/>
      <c r="AF544" s="969"/>
      <c r="AG544" s="10" t="s">
        <v>1688</v>
      </c>
      <c r="AH544" s="1071"/>
      <c r="AI544" s="921"/>
      <c r="AJ544" s="921"/>
      <c r="AK544" s="943"/>
      <c r="AZ544" s="1"/>
      <c r="BA544" s="1"/>
      <c r="BB544" s="1"/>
      <c r="BC544" s="1"/>
      <c r="BD544" s="1"/>
      <c r="BE544" s="1"/>
      <c r="BF544" s="1"/>
      <c r="BG544" s="1"/>
      <c r="BH544" s="1"/>
      <c r="BI544" s="1"/>
      <c r="BJ544" s="1"/>
      <c r="BK544" s="1"/>
      <c r="BL544" s="1"/>
      <c r="BM544" s="1"/>
      <c r="BN544" s="1" t="s">
        <v>1759</v>
      </c>
    </row>
    <row r="545" spans="1:66" ht="12.75" customHeight="1">
      <c r="B545" s="958"/>
      <c r="C545" s="893"/>
      <c r="D545" s="893"/>
      <c r="E545" s="893"/>
      <c r="F545" s="893"/>
      <c r="G545" s="893"/>
      <c r="H545" s="959"/>
      <c r="I545" s="235" t="s">
        <v>1735</v>
      </c>
      <c r="J545" s="235"/>
      <c r="K545" s="235"/>
      <c r="L545" s="235"/>
      <c r="M545" s="235"/>
      <c r="N545" s="235"/>
      <c r="O545" s="235"/>
      <c r="P545" s="235"/>
      <c r="Q545" s="235"/>
      <c r="R545" s="235"/>
      <c r="S545" s="235"/>
      <c r="T545" s="235"/>
      <c r="U545" s="235"/>
      <c r="V545" s="235"/>
      <c r="W545" s="235"/>
      <c r="X545" s="235"/>
      <c r="Y545" s="235"/>
      <c r="Z545" s="235"/>
      <c r="AA545" s="235"/>
      <c r="AB545" s="235"/>
      <c r="AC545" s="1080" t="s">
        <v>855</v>
      </c>
      <c r="AD545" s="968"/>
      <c r="AE545" s="968"/>
      <c r="AF545" s="969"/>
      <c r="AG545" s="314" t="s">
        <v>1688</v>
      </c>
      <c r="AH545" s="1071"/>
      <c r="AI545" s="921"/>
      <c r="AJ545" s="921"/>
      <c r="AK545" s="943"/>
      <c r="AZ545" s="1"/>
      <c r="BA545" s="1"/>
      <c r="BB545" s="1"/>
      <c r="BC545" s="1"/>
      <c r="BD545" s="1"/>
      <c r="BE545" s="1"/>
      <c r="BF545" s="1"/>
      <c r="BG545" s="1"/>
      <c r="BH545" s="1"/>
      <c r="BI545" s="1"/>
      <c r="BJ545" s="1"/>
      <c r="BK545" s="1"/>
      <c r="BL545" s="1"/>
      <c r="BM545" s="1"/>
      <c r="BN545" s="1" t="s">
        <v>1760</v>
      </c>
    </row>
    <row r="546" spans="1:66" ht="12.75" customHeight="1">
      <c r="B546" s="958"/>
      <c r="C546" s="893"/>
      <c r="D546" s="893"/>
      <c r="E546" s="893"/>
      <c r="F546" s="893"/>
      <c r="G546" s="893"/>
      <c r="H546" s="959"/>
      <c r="I546" s="246" t="s">
        <v>1761</v>
      </c>
      <c r="J546" s="246"/>
      <c r="K546" s="246"/>
      <c r="L546" s="246"/>
      <c r="M546" s="246"/>
      <c r="N546" s="246"/>
      <c r="O546" s="246"/>
      <c r="P546" s="246"/>
      <c r="Q546" s="246"/>
      <c r="R546" s="246"/>
      <c r="S546" s="246"/>
      <c r="T546" s="246"/>
      <c r="U546" s="246"/>
      <c r="V546" s="246"/>
      <c r="W546" s="246"/>
      <c r="AC546" s="1080" t="s">
        <v>855</v>
      </c>
      <c r="AD546" s="968"/>
      <c r="AE546" s="968"/>
      <c r="AF546" s="969"/>
      <c r="AG546" s="314" t="s">
        <v>1688</v>
      </c>
      <c r="AH546" s="1071"/>
      <c r="AI546" s="921"/>
      <c r="AJ546" s="921"/>
      <c r="AK546" s="943"/>
      <c r="AZ546" s="1"/>
      <c r="BA546" s="1"/>
      <c r="BB546" s="1"/>
      <c r="BC546" s="1"/>
      <c r="BD546" s="1"/>
      <c r="BE546" s="1"/>
      <c r="BF546" s="1"/>
      <c r="BG546" s="1"/>
      <c r="BH546" s="1"/>
      <c r="BI546" s="1"/>
      <c r="BJ546" s="1"/>
      <c r="BK546" s="1"/>
      <c r="BL546" s="1"/>
      <c r="BM546" s="1"/>
      <c r="BN546" s="1"/>
    </row>
    <row r="547" spans="1:66" ht="12.75" customHeight="1">
      <c r="B547" s="958"/>
      <c r="C547" s="893"/>
      <c r="D547" s="893"/>
      <c r="E547" s="893"/>
      <c r="F547" s="893"/>
      <c r="G547" s="893"/>
      <c r="H547" s="959"/>
      <c r="I547" s="32" t="s">
        <v>1762</v>
      </c>
      <c r="AC547" s="1080">
        <v>4</v>
      </c>
      <c r="AD547" s="968"/>
      <c r="AE547" s="968"/>
      <c r="AF547" s="969"/>
      <c r="AG547" s="10" t="s">
        <v>1688</v>
      </c>
      <c r="AH547" s="1071">
        <v>2027</v>
      </c>
      <c r="AI547" s="921"/>
      <c r="AJ547" s="921"/>
      <c r="AK547" s="943"/>
      <c r="AZ547" s="1"/>
      <c r="BA547" s="1"/>
      <c r="BB547" s="1"/>
      <c r="BC547" s="1"/>
      <c r="BD547" s="1"/>
      <c r="BE547" s="1"/>
      <c r="BF547" s="1"/>
      <c r="BG547" s="1"/>
      <c r="BH547" s="1"/>
      <c r="BI547" s="1"/>
      <c r="BJ547" s="1"/>
      <c r="BK547" s="1"/>
      <c r="BL547" s="1"/>
      <c r="BM547" s="1"/>
      <c r="BN547" s="1"/>
    </row>
    <row r="548" spans="1:66" ht="12.75" customHeight="1">
      <c r="B548" s="958"/>
      <c r="C548" s="893"/>
      <c r="D548" s="893"/>
      <c r="E548" s="893"/>
      <c r="F548" s="893"/>
      <c r="G548" s="893"/>
      <c r="H548" s="959"/>
      <c r="I548" s="32" t="s">
        <v>1763</v>
      </c>
      <c r="AC548" s="1080">
        <v>12</v>
      </c>
      <c r="AD548" s="968"/>
      <c r="AE548" s="968"/>
      <c r="AF548" s="969"/>
      <c r="AG548" s="314" t="s">
        <v>1688</v>
      </c>
      <c r="AH548" s="1071">
        <v>2028</v>
      </c>
      <c r="AI548" s="921"/>
      <c r="AJ548" s="921"/>
      <c r="AK548" s="943"/>
      <c r="AZ548" s="1"/>
      <c r="BA548" s="1"/>
      <c r="BB548" s="1"/>
      <c r="BC548" s="1"/>
      <c r="BD548" s="1"/>
      <c r="BE548" s="1"/>
      <c r="BF548" s="1"/>
      <c r="BG548" s="1"/>
      <c r="BH548" s="1"/>
      <c r="BI548" s="1"/>
      <c r="BJ548" s="1"/>
      <c r="BK548" s="1"/>
      <c r="BL548" s="1"/>
      <c r="BM548" s="1"/>
      <c r="BN548" s="1"/>
    </row>
    <row r="549" spans="1:66" ht="12.75" customHeight="1">
      <c r="B549" s="958"/>
      <c r="C549" s="893"/>
      <c r="D549" s="893"/>
      <c r="E549" s="893"/>
      <c r="F549" s="893"/>
      <c r="G549" s="893"/>
      <c r="H549" s="959"/>
      <c r="I549" s="32" t="s">
        <v>1764</v>
      </c>
      <c r="AC549" s="1080">
        <v>3</v>
      </c>
      <c r="AD549" s="968"/>
      <c r="AE549" s="968"/>
      <c r="AF549" s="969"/>
      <c r="AG549" s="314" t="s">
        <v>1688</v>
      </c>
      <c r="AH549" s="1071">
        <v>2029</v>
      </c>
      <c r="AI549" s="921"/>
      <c r="AJ549" s="921"/>
      <c r="AK549" s="943"/>
      <c r="AZ549" s="1"/>
      <c r="BA549" s="1"/>
      <c r="BB549" s="1"/>
      <c r="BC549" s="1"/>
      <c r="BD549" s="1"/>
      <c r="BE549" s="1"/>
      <c r="BF549" s="1"/>
      <c r="BG549" s="1"/>
      <c r="BH549" s="1"/>
      <c r="BI549" s="1"/>
      <c r="BJ549" s="1"/>
      <c r="BK549" s="1"/>
      <c r="BL549" s="1"/>
      <c r="BM549" s="1"/>
      <c r="BN549" s="1"/>
    </row>
    <row r="550" spans="1:66" ht="12.75" customHeight="1">
      <c r="B550" s="960"/>
      <c r="C550" s="961"/>
      <c r="D550" s="961"/>
      <c r="E550" s="961"/>
      <c r="F550" s="961"/>
      <c r="G550" s="961"/>
      <c r="H550" s="962"/>
      <c r="I550" s="235" t="s">
        <v>1766</v>
      </c>
      <c r="J550" s="235"/>
      <c r="K550" s="235"/>
      <c r="L550" s="235"/>
      <c r="M550" s="235"/>
      <c r="N550" s="235"/>
      <c r="O550" s="235"/>
      <c r="P550" s="235"/>
      <c r="Q550" s="235"/>
      <c r="R550" s="235"/>
      <c r="S550" s="235"/>
      <c r="T550" s="235"/>
      <c r="U550" s="235"/>
      <c r="V550" s="235"/>
      <c r="W550" s="235"/>
      <c r="X550" s="235"/>
      <c r="Y550" s="235"/>
      <c r="Z550" s="235"/>
      <c r="AA550" s="235"/>
      <c r="AB550" s="235"/>
      <c r="AC550" s="1080">
        <v>1</v>
      </c>
      <c r="AD550" s="968"/>
      <c r="AE550" s="968"/>
      <c r="AF550" s="969"/>
      <c r="AG550" s="314" t="s">
        <v>1688</v>
      </c>
      <c r="AH550" s="1071">
        <v>2028</v>
      </c>
      <c r="AI550" s="921"/>
      <c r="AJ550" s="921"/>
      <c r="AK550" s="943"/>
      <c r="BB550" s="1"/>
      <c r="BC550" s="1"/>
      <c r="BD550" s="1"/>
      <c r="BE550" s="1"/>
      <c r="BF550" s="1"/>
      <c r="BG550" s="1"/>
      <c r="BH550" s="1" t="s">
        <v>39</v>
      </c>
      <c r="BI550" s="1" t="str">
        <f>N657</f>
        <v>Yes</v>
      </c>
      <c r="BJ550" s="1"/>
      <c r="BK550" s="1"/>
      <c r="BL550" s="1"/>
      <c r="BM550" s="1"/>
      <c r="BN550" s="1"/>
    </row>
    <row r="551" spans="1:66" ht="12.75" customHeight="1">
      <c r="B551" s="344"/>
      <c r="C551" s="334"/>
      <c r="D551" s="334"/>
      <c r="E551" s="334"/>
      <c r="F551" s="334"/>
      <c r="G551" s="334"/>
      <c r="H551" s="334"/>
      <c r="AB551" s="334"/>
      <c r="AU551" s="61"/>
      <c r="AV551" s="61"/>
      <c r="AW551" s="61"/>
      <c r="AX551" s="61"/>
      <c r="AY551" s="61"/>
      <c r="BB551" s="1"/>
      <c r="BC551" s="1"/>
      <c r="BD551" s="1"/>
      <c r="BE551" s="1"/>
      <c r="BF551" s="1"/>
      <c r="BG551" s="1"/>
      <c r="BH551" s="1" t="s">
        <v>56</v>
      </c>
      <c r="BI551" s="1" t="str">
        <f>AG657</f>
        <v>Yes</v>
      </c>
      <c r="BJ551" s="1"/>
      <c r="BK551" s="1"/>
      <c r="BL551" s="1"/>
      <c r="BM551" s="1"/>
      <c r="BN551" s="1"/>
    </row>
    <row r="552" spans="1:66" ht="12.75" customHeight="1">
      <c r="A552" s="900" t="s">
        <v>1769</v>
      </c>
      <c r="B552" s="901"/>
      <c r="C552" s="901"/>
      <c r="D552" s="901"/>
      <c r="E552" s="901"/>
      <c r="F552" s="901"/>
      <c r="G552" s="901"/>
      <c r="H552" s="901"/>
      <c r="I552" s="901"/>
      <c r="J552" s="901"/>
      <c r="K552" s="901"/>
      <c r="L552" s="901"/>
      <c r="M552" s="901"/>
      <c r="N552" s="901"/>
      <c r="O552" s="901"/>
      <c r="P552" s="901"/>
      <c r="Q552" s="901"/>
      <c r="R552" s="901"/>
      <c r="S552" s="901"/>
      <c r="T552" s="901"/>
      <c r="U552" s="901"/>
      <c r="V552" s="901"/>
      <c r="W552" s="901"/>
      <c r="X552" s="901"/>
      <c r="Y552" s="901"/>
      <c r="Z552" s="901"/>
      <c r="AA552" s="901"/>
      <c r="AB552" s="901"/>
      <c r="AC552" s="901"/>
      <c r="AD552" s="901"/>
      <c r="AE552" s="901"/>
      <c r="AF552" s="901"/>
      <c r="AG552" s="901"/>
      <c r="AH552" s="901"/>
      <c r="AI552" s="901"/>
      <c r="AJ552" s="901"/>
      <c r="AK552" s="901"/>
      <c r="AL552" s="901"/>
      <c r="AM552" s="901"/>
      <c r="AN552" s="901"/>
      <c r="AO552" s="901"/>
      <c r="AP552" s="901"/>
      <c r="AQ552" s="901"/>
      <c r="AR552" s="901"/>
      <c r="AS552" s="901"/>
      <c r="AT552" s="902"/>
      <c r="AU552" s="61"/>
      <c r="AV552" s="61"/>
      <c r="AW552" s="61"/>
      <c r="AX552" s="61"/>
      <c r="AY552" s="61"/>
      <c r="BB552" s="1"/>
      <c r="BC552" s="1"/>
      <c r="BD552" s="1"/>
      <c r="BE552" s="1"/>
      <c r="BF552" s="1"/>
      <c r="BG552" s="1"/>
      <c r="BH552" s="1"/>
      <c r="BI552" s="1"/>
      <c r="BJ552" s="1"/>
      <c r="BK552" s="1"/>
      <c r="BL552" s="1"/>
      <c r="BM552" s="1"/>
      <c r="BN552" s="1"/>
    </row>
    <row r="553" spans="1:66" ht="12.75" customHeight="1">
      <c r="A553" s="989"/>
      <c r="B553" s="990"/>
      <c r="C553" s="990"/>
      <c r="D553" s="990"/>
      <c r="E553" s="990"/>
      <c r="F553" s="990"/>
      <c r="G553" s="990"/>
      <c r="H553" s="990"/>
      <c r="I553" s="990"/>
      <c r="J553" s="990"/>
      <c r="K553" s="990"/>
      <c r="L553" s="990"/>
      <c r="M553" s="990"/>
      <c r="N553" s="990"/>
      <c r="O553" s="990"/>
      <c r="P553" s="990"/>
      <c r="Q553" s="990"/>
      <c r="R553" s="990"/>
      <c r="S553" s="990"/>
      <c r="T553" s="990"/>
      <c r="U553" s="990"/>
      <c r="V553" s="990"/>
      <c r="W553" s="990"/>
      <c r="X553" s="990"/>
      <c r="Y553" s="990"/>
      <c r="Z553" s="990"/>
      <c r="AA553" s="990"/>
      <c r="AB553" s="990"/>
      <c r="AC553" s="990"/>
      <c r="AD553" s="990"/>
      <c r="AE553" s="990"/>
      <c r="AF553" s="990"/>
      <c r="AG553" s="990"/>
      <c r="AH553" s="990"/>
      <c r="AI553" s="990"/>
      <c r="AJ553" s="990"/>
      <c r="AK553" s="990"/>
      <c r="AL553" s="990"/>
      <c r="AM553" s="990"/>
      <c r="AN553" s="990"/>
      <c r="AO553" s="990"/>
      <c r="AP553" s="990"/>
      <c r="AQ553" s="990"/>
      <c r="AR553" s="990"/>
      <c r="AS553" s="990"/>
      <c r="AT553" s="991"/>
      <c r="BB553" s="1"/>
      <c r="BC553" s="1"/>
      <c r="BD553" s="1"/>
      <c r="BE553" s="1"/>
      <c r="BF553" s="1"/>
      <c r="BG553" s="1"/>
      <c r="BH553" s="1"/>
      <c r="BI553" s="1"/>
    </row>
    <row r="554" spans="1:66" ht="12.75" customHeight="1">
      <c r="BB554" s="1"/>
      <c r="BC554" s="1"/>
      <c r="BD554" s="1"/>
      <c r="BE554" s="1"/>
      <c r="BF554" s="1"/>
      <c r="BG554" s="1"/>
      <c r="BH554" s="1"/>
      <c r="BI554" s="1"/>
    </row>
    <row r="555" spans="1:66" ht="12.75" customHeight="1">
      <c r="A555" s="8" t="s">
        <v>947</v>
      </c>
      <c r="B555" s="8"/>
      <c r="C555" s="8" t="s">
        <v>219</v>
      </c>
      <c r="BB555" s="1"/>
      <c r="BC555" s="1"/>
      <c r="BD555" s="1"/>
      <c r="BE555" s="1"/>
      <c r="BF555" s="1"/>
      <c r="BG555" s="1"/>
      <c r="BH555" s="1"/>
      <c r="BI555" s="1"/>
    </row>
    <row r="556" spans="1:66" ht="12.75" customHeight="1">
      <c r="A556" s="8"/>
      <c r="B556" s="8"/>
      <c r="C556" s="8"/>
      <c r="BB556" s="1"/>
      <c r="BC556" s="1"/>
      <c r="BD556" s="1"/>
      <c r="BE556" s="1"/>
      <c r="BF556" s="1"/>
      <c r="BG556" s="1"/>
      <c r="BH556" s="1"/>
      <c r="BI556" s="1"/>
    </row>
    <row r="557" spans="1:66" ht="12.75" customHeight="1">
      <c r="A557" s="8"/>
      <c r="B557" s="8"/>
      <c r="C557" s="8"/>
      <c r="D557" s="8" t="s">
        <v>1772</v>
      </c>
      <c r="AC557" s="38"/>
      <c r="BB557" s="1"/>
      <c r="BC557" s="1"/>
      <c r="BD557" s="1"/>
      <c r="BE557" s="1"/>
      <c r="BF557" s="1"/>
      <c r="BG557" s="1"/>
      <c r="BH557" s="1"/>
      <c r="BI557" s="1"/>
    </row>
    <row r="558" spans="1:66" ht="12.75" customHeight="1">
      <c r="B558" s="24"/>
      <c r="BB558" s="1"/>
      <c r="BC558" s="1"/>
      <c r="BD558" s="1"/>
      <c r="BE558" s="1"/>
      <c r="BF558" s="1"/>
      <c r="BG558" s="1"/>
      <c r="BH558" s="1" t="s">
        <v>67</v>
      </c>
      <c r="BI558" s="1" t="str">
        <f>N665</f>
        <v>Yes</v>
      </c>
    </row>
    <row r="559" spans="1:66" ht="12.75" customHeight="1">
      <c r="B559" s="1062" t="s">
        <v>1774</v>
      </c>
      <c r="C559" s="947"/>
      <c r="D559" s="947"/>
      <c r="E559" s="947"/>
      <c r="F559" s="947"/>
      <c r="G559" s="947"/>
      <c r="H559" s="947"/>
      <c r="I559" s="947"/>
      <c r="J559" s="947"/>
      <c r="K559" s="947"/>
      <c r="L559" s="948"/>
      <c r="M559" s="1062" t="s">
        <v>1777</v>
      </c>
      <c r="N559" s="947"/>
      <c r="O559" s="947"/>
      <c r="P559" s="948"/>
      <c r="Q559" s="1062" t="s">
        <v>1779</v>
      </c>
      <c r="R559" s="947"/>
      <c r="S559" s="948"/>
      <c r="T559" s="1062" t="s">
        <v>1780</v>
      </c>
      <c r="U559" s="947"/>
      <c r="V559" s="948"/>
      <c r="W559" s="1062" t="s">
        <v>1781</v>
      </c>
      <c r="X559" s="947"/>
      <c r="Y559" s="948"/>
      <c r="Z559" s="1062" t="s">
        <v>1782</v>
      </c>
      <c r="AA559" s="947"/>
      <c r="AB559" s="947"/>
      <c r="AC559" s="947"/>
      <c r="AD559" s="948"/>
      <c r="AE559" s="1062" t="s">
        <v>1783</v>
      </c>
      <c r="AF559" s="947"/>
      <c r="AG559" s="947"/>
      <c r="AH559" s="948"/>
      <c r="AI559" s="1062" t="s">
        <v>1784</v>
      </c>
      <c r="AJ559" s="947"/>
      <c r="AK559" s="947"/>
      <c r="AL559" s="948"/>
      <c r="AM559" s="1062" t="s">
        <v>1785</v>
      </c>
      <c r="AN559" s="947"/>
      <c r="AO559" s="947"/>
      <c r="AP559" s="947"/>
      <c r="AQ559" s="947"/>
      <c r="AR559" s="947"/>
      <c r="AS559" s="948"/>
      <c r="BB559" s="1"/>
      <c r="BC559" s="1"/>
      <c r="BD559" s="1"/>
      <c r="BE559" s="1"/>
      <c r="BF559" s="1"/>
      <c r="BG559" s="1"/>
      <c r="BH559" s="1" t="s">
        <v>119</v>
      </c>
      <c r="BI559" s="1" t="str">
        <f>AG665</f>
        <v>Yes</v>
      </c>
    </row>
    <row r="560" spans="1:66" ht="12.75" customHeight="1">
      <c r="B560" s="958"/>
      <c r="C560" s="893"/>
      <c r="D560" s="893"/>
      <c r="E560" s="893"/>
      <c r="F560" s="893"/>
      <c r="G560" s="893"/>
      <c r="H560" s="893"/>
      <c r="I560" s="893"/>
      <c r="J560" s="893"/>
      <c r="K560" s="893"/>
      <c r="L560" s="959"/>
      <c r="M560" s="958"/>
      <c r="N560" s="893"/>
      <c r="O560" s="893"/>
      <c r="P560" s="959"/>
      <c r="Q560" s="958"/>
      <c r="R560" s="893"/>
      <c r="S560" s="959"/>
      <c r="T560" s="958"/>
      <c r="U560" s="893"/>
      <c r="V560" s="959"/>
      <c r="W560" s="958"/>
      <c r="X560" s="893"/>
      <c r="Y560" s="959"/>
      <c r="Z560" s="958"/>
      <c r="AA560" s="893"/>
      <c r="AB560" s="893"/>
      <c r="AC560" s="893"/>
      <c r="AD560" s="959"/>
      <c r="AE560" s="958"/>
      <c r="AF560" s="893"/>
      <c r="AG560" s="893"/>
      <c r="AH560" s="959"/>
      <c r="AI560" s="958"/>
      <c r="AJ560" s="893"/>
      <c r="AK560" s="893"/>
      <c r="AL560" s="959"/>
      <c r="AM560" s="958"/>
      <c r="AN560" s="893"/>
      <c r="AO560" s="893"/>
      <c r="AP560" s="893"/>
      <c r="AQ560" s="893"/>
      <c r="AR560" s="893"/>
      <c r="AS560" s="959"/>
      <c r="AU560" s="351"/>
      <c r="BB560" s="1"/>
      <c r="BC560" s="1"/>
      <c r="BD560" s="1"/>
      <c r="BE560" s="1"/>
      <c r="BF560" s="1"/>
      <c r="BG560" s="1"/>
      <c r="BH560" s="1"/>
      <c r="BI560" s="1"/>
    </row>
    <row r="561" spans="1:61" ht="12.75" customHeight="1">
      <c r="B561" s="960"/>
      <c r="C561" s="961"/>
      <c r="D561" s="961"/>
      <c r="E561" s="961"/>
      <c r="F561" s="961"/>
      <c r="G561" s="961"/>
      <c r="H561" s="961"/>
      <c r="I561" s="961"/>
      <c r="J561" s="961"/>
      <c r="K561" s="961"/>
      <c r="L561" s="962"/>
      <c r="M561" s="960"/>
      <c r="N561" s="961"/>
      <c r="O561" s="961"/>
      <c r="P561" s="962"/>
      <c r="Q561" s="960"/>
      <c r="R561" s="961"/>
      <c r="S561" s="962"/>
      <c r="T561" s="960"/>
      <c r="U561" s="961"/>
      <c r="V561" s="962"/>
      <c r="W561" s="960"/>
      <c r="X561" s="961"/>
      <c r="Y561" s="962"/>
      <c r="Z561" s="960"/>
      <c r="AA561" s="961"/>
      <c r="AB561" s="961"/>
      <c r="AC561" s="961"/>
      <c r="AD561" s="962"/>
      <c r="AE561" s="960"/>
      <c r="AF561" s="961"/>
      <c r="AG561" s="961"/>
      <c r="AH561" s="962"/>
      <c r="AI561" s="960"/>
      <c r="AJ561" s="961"/>
      <c r="AK561" s="961"/>
      <c r="AL561" s="962"/>
      <c r="AM561" s="960"/>
      <c r="AN561" s="961"/>
      <c r="AO561" s="961"/>
      <c r="AP561" s="961"/>
      <c r="AQ561" s="961"/>
      <c r="AR561" s="961"/>
      <c r="AS561" s="962"/>
      <c r="AU561" s="351"/>
      <c r="BB561" s="1"/>
      <c r="BC561" s="1"/>
      <c r="BD561" s="1"/>
      <c r="BE561" s="1"/>
      <c r="BF561" s="1"/>
      <c r="BG561" s="1"/>
      <c r="BH561" s="1"/>
      <c r="BI561" s="1"/>
    </row>
    <row r="562" spans="1:61" ht="12.75" customHeight="1">
      <c r="B562" s="353" t="s">
        <v>39</v>
      </c>
      <c r="C562" s="1078" t="s">
        <v>1793</v>
      </c>
      <c r="D562" s="921"/>
      <c r="E562" s="921"/>
      <c r="F562" s="921"/>
      <c r="G562" s="921"/>
      <c r="H562" s="921"/>
      <c r="I562" s="921"/>
      <c r="J562" s="921"/>
      <c r="K562" s="921"/>
      <c r="L562" s="943"/>
      <c r="M562" s="1078" t="s">
        <v>1747</v>
      </c>
      <c r="N562" s="921"/>
      <c r="O562" s="921"/>
      <c r="P562" s="943"/>
      <c r="Q562" s="1081">
        <v>24</v>
      </c>
      <c r="R562" s="921"/>
      <c r="S562" s="943"/>
      <c r="T562" s="1079">
        <v>480</v>
      </c>
      <c r="U562" s="921"/>
      <c r="V562" s="943"/>
      <c r="W562" s="1072">
        <v>5.5E-2</v>
      </c>
      <c r="X562" s="921"/>
      <c r="Y562" s="943"/>
      <c r="Z562" s="1073" t="s">
        <v>1797</v>
      </c>
      <c r="AA562" s="921"/>
      <c r="AB562" s="921"/>
      <c r="AC562" s="921"/>
      <c r="AD562" s="971"/>
      <c r="AE562" s="1074">
        <v>1</v>
      </c>
      <c r="AF562" s="921"/>
      <c r="AG562" s="921"/>
      <c r="AH562" s="943"/>
      <c r="AI562" s="1075">
        <v>0</v>
      </c>
      <c r="AJ562" s="921"/>
      <c r="AK562" s="921"/>
      <c r="AL562" s="943"/>
      <c r="AM562" s="1076">
        <v>28416244</v>
      </c>
      <c r="AN562" s="921"/>
      <c r="AO562" s="921"/>
      <c r="AP562" s="921"/>
      <c r="AQ562" s="921"/>
      <c r="AR562" s="921"/>
      <c r="AS562" s="943"/>
      <c r="AT562" s="355"/>
      <c r="AU562" s="351"/>
      <c r="BB562" s="1"/>
      <c r="BC562" s="1"/>
      <c r="BD562" s="1"/>
      <c r="BE562" s="1"/>
      <c r="BF562" s="1"/>
      <c r="BG562" s="1"/>
      <c r="BH562" s="1"/>
      <c r="BI562" s="1"/>
    </row>
    <row r="563" spans="1:61" ht="12.75" customHeight="1">
      <c r="B563" s="356" t="s">
        <v>56</v>
      </c>
      <c r="C563" s="1077" t="s">
        <v>1793</v>
      </c>
      <c r="D563" s="921"/>
      <c r="E563" s="921"/>
      <c r="F563" s="921"/>
      <c r="G563" s="921"/>
      <c r="H563" s="921"/>
      <c r="I563" s="921"/>
      <c r="J563" s="921"/>
      <c r="K563" s="921"/>
      <c r="L563" s="943"/>
      <c r="M563" s="1078" t="s">
        <v>1746</v>
      </c>
      <c r="N563" s="921"/>
      <c r="O563" s="921"/>
      <c r="P563" s="943"/>
      <c r="Q563" s="1079">
        <v>24</v>
      </c>
      <c r="R563" s="921"/>
      <c r="S563" s="943"/>
      <c r="T563" s="1079">
        <v>480</v>
      </c>
      <c r="U563" s="921"/>
      <c r="V563" s="943"/>
      <c r="W563" s="1072">
        <v>6.5000000000000002E-2</v>
      </c>
      <c r="X563" s="921"/>
      <c r="Y563" s="943"/>
      <c r="Z563" s="1073" t="s">
        <v>1797</v>
      </c>
      <c r="AA563" s="921"/>
      <c r="AB563" s="921"/>
      <c r="AC563" s="921"/>
      <c r="AD563" s="971"/>
      <c r="AE563" s="1074">
        <v>1</v>
      </c>
      <c r="AF563" s="921"/>
      <c r="AG563" s="921"/>
      <c r="AH563" s="943"/>
      <c r="AI563" s="1075">
        <v>0</v>
      </c>
      <c r="AJ563" s="921"/>
      <c r="AK563" s="921"/>
      <c r="AL563" s="943"/>
      <c r="AM563" s="1076">
        <v>35135756</v>
      </c>
      <c r="AN563" s="921"/>
      <c r="AO563" s="921"/>
      <c r="AP563" s="921"/>
      <c r="AQ563" s="921"/>
      <c r="AR563" s="921"/>
      <c r="AS563" s="943"/>
      <c r="AT563" s="355" t="str">
        <f t="shared" ref="AT563:AT573" si="4">IF(AND(NOT(C562=""),C563="",NOT(C564="")),"!","")</f>
        <v/>
      </c>
      <c r="AU563" s="351"/>
      <c r="BB563" s="1"/>
      <c r="BC563" s="1"/>
      <c r="BD563" s="1"/>
      <c r="BE563" s="1"/>
      <c r="BF563" s="1"/>
      <c r="BG563" s="1"/>
      <c r="BH563" s="1"/>
      <c r="BI563" s="1"/>
    </row>
    <row r="564" spans="1:61" ht="12.75" customHeight="1">
      <c r="B564" s="356" t="s">
        <v>67</v>
      </c>
      <c r="C564" s="1077" t="s">
        <v>1800</v>
      </c>
      <c r="D564" s="921"/>
      <c r="E564" s="921"/>
      <c r="F564" s="921"/>
      <c r="G564" s="921"/>
      <c r="H564" s="921"/>
      <c r="I564" s="921"/>
      <c r="J564" s="921"/>
      <c r="K564" s="921"/>
      <c r="L564" s="943"/>
      <c r="M564" s="1078" t="s">
        <v>1720</v>
      </c>
      <c r="N564" s="921"/>
      <c r="O564" s="921"/>
      <c r="P564" s="943"/>
      <c r="Q564" s="1079">
        <v>180</v>
      </c>
      <c r="R564" s="921"/>
      <c r="S564" s="943"/>
      <c r="T564" s="1079"/>
      <c r="U564" s="921"/>
      <c r="V564" s="943"/>
      <c r="W564" s="1072"/>
      <c r="X564" s="921"/>
      <c r="Y564" s="943"/>
      <c r="Z564" s="1073" t="s">
        <v>1137</v>
      </c>
      <c r="AA564" s="921"/>
      <c r="AB564" s="921"/>
      <c r="AC564" s="921"/>
      <c r="AD564" s="971"/>
      <c r="AE564" s="1074"/>
      <c r="AF564" s="921"/>
      <c r="AG564" s="921"/>
      <c r="AH564" s="943"/>
      <c r="AI564" s="1075">
        <v>0</v>
      </c>
      <c r="AJ564" s="921"/>
      <c r="AK564" s="921"/>
      <c r="AL564" s="943"/>
      <c r="AM564" s="1076">
        <v>6801050</v>
      </c>
      <c r="AN564" s="921"/>
      <c r="AO564" s="921"/>
      <c r="AP564" s="921"/>
      <c r="AQ564" s="921"/>
      <c r="AR564" s="921"/>
      <c r="AS564" s="943"/>
      <c r="AT564" s="355" t="str">
        <f t="shared" si="4"/>
        <v/>
      </c>
      <c r="AU564" s="351"/>
      <c r="BB564" s="1"/>
      <c r="BC564" s="1"/>
      <c r="BD564" s="1"/>
      <c r="BE564" s="1"/>
      <c r="BF564" s="1"/>
      <c r="BG564" s="1"/>
      <c r="BH564" s="1"/>
      <c r="BI564" s="1"/>
    </row>
    <row r="565" spans="1:61" ht="12.75" customHeight="1">
      <c r="B565" s="356" t="s">
        <v>119</v>
      </c>
      <c r="C565" s="1077" t="s">
        <v>1803</v>
      </c>
      <c r="D565" s="921"/>
      <c r="E565" s="921"/>
      <c r="F565" s="921"/>
      <c r="G565" s="921"/>
      <c r="H565" s="921"/>
      <c r="I565" s="921"/>
      <c r="J565" s="921"/>
      <c r="K565" s="921"/>
      <c r="L565" s="943"/>
      <c r="M565" s="1078" t="s">
        <v>1749</v>
      </c>
      <c r="N565" s="921"/>
      <c r="O565" s="921"/>
      <c r="P565" s="943"/>
      <c r="Q565" s="1079">
        <v>180</v>
      </c>
      <c r="R565" s="921"/>
      <c r="S565" s="943"/>
      <c r="T565" s="1079"/>
      <c r="U565" s="921"/>
      <c r="V565" s="943"/>
      <c r="W565" s="1072"/>
      <c r="X565" s="921"/>
      <c r="Y565" s="943"/>
      <c r="Z565" s="1073" t="s">
        <v>1137</v>
      </c>
      <c r="AA565" s="921"/>
      <c r="AB565" s="921"/>
      <c r="AC565" s="921"/>
      <c r="AD565" s="971"/>
      <c r="AE565" s="1074"/>
      <c r="AF565" s="921"/>
      <c r="AG565" s="921"/>
      <c r="AH565" s="943"/>
      <c r="AI565" s="1075">
        <v>0</v>
      </c>
      <c r="AJ565" s="921"/>
      <c r="AK565" s="921"/>
      <c r="AL565" s="943"/>
      <c r="AM565" s="1076">
        <v>6506911</v>
      </c>
      <c r="AN565" s="921"/>
      <c r="AO565" s="921"/>
      <c r="AP565" s="921"/>
      <c r="AQ565" s="921"/>
      <c r="AR565" s="921"/>
      <c r="AS565" s="943"/>
      <c r="AT565" s="355" t="str">
        <f t="shared" si="4"/>
        <v/>
      </c>
      <c r="AU565" s="351"/>
      <c r="BB565" s="1"/>
      <c r="BC565" s="1"/>
      <c r="BD565" s="1"/>
      <c r="BE565" s="1"/>
      <c r="BF565" s="1"/>
      <c r="BG565" s="1"/>
      <c r="BH565" s="1"/>
      <c r="BI565" s="1"/>
    </row>
    <row r="566" spans="1:61" ht="12.75" customHeight="1">
      <c r="B566" s="356" t="s">
        <v>124</v>
      </c>
      <c r="C566" s="1077" t="s">
        <v>1808</v>
      </c>
      <c r="D566" s="921"/>
      <c r="E566" s="921"/>
      <c r="F566" s="921"/>
      <c r="G566" s="921"/>
      <c r="H566" s="921"/>
      <c r="I566" s="921"/>
      <c r="J566" s="921"/>
      <c r="K566" s="921"/>
      <c r="L566" s="943"/>
      <c r="M566" s="1078" t="s">
        <v>1725</v>
      </c>
      <c r="N566" s="921"/>
      <c r="O566" s="921"/>
      <c r="P566" s="943"/>
      <c r="Q566" s="1079">
        <v>180</v>
      </c>
      <c r="R566" s="921"/>
      <c r="S566" s="943"/>
      <c r="T566" s="1079"/>
      <c r="U566" s="921"/>
      <c r="V566" s="943"/>
      <c r="W566" s="1072"/>
      <c r="X566" s="921"/>
      <c r="Y566" s="943"/>
      <c r="Z566" s="1073" t="s">
        <v>1137</v>
      </c>
      <c r="AA566" s="921"/>
      <c r="AB566" s="921"/>
      <c r="AC566" s="921"/>
      <c r="AD566" s="971"/>
      <c r="AE566" s="1074"/>
      <c r="AF566" s="921"/>
      <c r="AG566" s="921"/>
      <c r="AH566" s="943"/>
      <c r="AI566" s="1075">
        <v>0</v>
      </c>
      <c r="AJ566" s="921"/>
      <c r="AK566" s="921"/>
      <c r="AL566" s="943"/>
      <c r="AM566" s="1076">
        <f>99086513-AM565-AM564-AM563-AM562+90000</f>
        <v>22316552</v>
      </c>
      <c r="AN566" s="921"/>
      <c r="AO566" s="921"/>
      <c r="AP566" s="921"/>
      <c r="AQ566" s="921"/>
      <c r="AR566" s="921"/>
      <c r="AS566" s="943"/>
      <c r="AT566" s="355" t="str">
        <f t="shared" si="4"/>
        <v/>
      </c>
      <c r="AU566" s="351"/>
      <c r="BB566" s="1"/>
      <c r="BC566" s="1"/>
      <c r="BD566" s="1"/>
      <c r="BE566" s="1"/>
      <c r="BF566" s="1"/>
      <c r="BG566" s="1"/>
      <c r="BH566" s="1" t="s">
        <v>124</v>
      </c>
      <c r="BI566" s="1" t="str">
        <f>N673</f>
        <v>No</v>
      </c>
    </row>
    <row r="567" spans="1:61" ht="12.75" customHeight="1">
      <c r="B567" s="356" t="s">
        <v>1811</v>
      </c>
      <c r="C567" s="1077"/>
      <c r="D567" s="921"/>
      <c r="E567" s="921"/>
      <c r="F567" s="921"/>
      <c r="G567" s="921"/>
      <c r="H567" s="921"/>
      <c r="I567" s="921"/>
      <c r="J567" s="921"/>
      <c r="K567" s="921"/>
      <c r="L567" s="943"/>
      <c r="M567" s="1078" t="s">
        <v>1137</v>
      </c>
      <c r="N567" s="921"/>
      <c r="O567" s="921"/>
      <c r="P567" s="943"/>
      <c r="Q567" s="1079"/>
      <c r="R567" s="921"/>
      <c r="S567" s="943"/>
      <c r="T567" s="1079"/>
      <c r="U567" s="921"/>
      <c r="V567" s="943"/>
      <c r="W567" s="1072"/>
      <c r="X567" s="921"/>
      <c r="Y567" s="943"/>
      <c r="Z567" s="1073" t="s">
        <v>1137</v>
      </c>
      <c r="AA567" s="921"/>
      <c r="AB567" s="921"/>
      <c r="AC567" s="921"/>
      <c r="AD567" s="971"/>
      <c r="AE567" s="1074"/>
      <c r="AF567" s="921"/>
      <c r="AG567" s="921"/>
      <c r="AH567" s="943"/>
      <c r="AI567" s="1075"/>
      <c r="AJ567" s="921"/>
      <c r="AK567" s="921"/>
      <c r="AL567" s="943"/>
      <c r="AM567" s="1076"/>
      <c r="AN567" s="921"/>
      <c r="AO567" s="921"/>
      <c r="AP567" s="921"/>
      <c r="AQ567" s="921"/>
      <c r="AR567" s="921"/>
      <c r="AS567" s="943"/>
      <c r="AT567" s="355" t="str">
        <f t="shared" si="4"/>
        <v/>
      </c>
      <c r="AU567" s="351"/>
      <c r="BB567" s="1"/>
      <c r="BC567" s="1"/>
      <c r="BD567" s="1"/>
      <c r="BE567" s="1"/>
      <c r="BF567" s="1"/>
      <c r="BG567" s="1"/>
      <c r="BH567" s="1" t="s">
        <v>1811</v>
      </c>
      <c r="BI567" s="1" t="str">
        <f>AG673</f>
        <v>No</v>
      </c>
    </row>
    <row r="568" spans="1:61" ht="12.75" customHeight="1">
      <c r="B568" s="356" t="s">
        <v>1814</v>
      </c>
      <c r="C568" s="1077"/>
      <c r="D568" s="921"/>
      <c r="E568" s="921"/>
      <c r="F568" s="921"/>
      <c r="G568" s="921"/>
      <c r="H568" s="921"/>
      <c r="I568" s="921"/>
      <c r="J568" s="921"/>
      <c r="K568" s="921"/>
      <c r="L568" s="943"/>
      <c r="M568" s="1078" t="s">
        <v>1137</v>
      </c>
      <c r="N568" s="921"/>
      <c r="O568" s="921"/>
      <c r="P568" s="943"/>
      <c r="Q568" s="1079"/>
      <c r="R568" s="921"/>
      <c r="S568" s="943"/>
      <c r="T568" s="1079"/>
      <c r="U568" s="921"/>
      <c r="V568" s="943"/>
      <c r="W568" s="1072"/>
      <c r="X568" s="921"/>
      <c r="Y568" s="943"/>
      <c r="Z568" s="1073" t="s">
        <v>1137</v>
      </c>
      <c r="AA568" s="921"/>
      <c r="AB568" s="921"/>
      <c r="AC568" s="921"/>
      <c r="AD568" s="971"/>
      <c r="AE568" s="1074"/>
      <c r="AF568" s="921"/>
      <c r="AG568" s="921"/>
      <c r="AH568" s="943"/>
      <c r="AI568" s="1075"/>
      <c r="AJ568" s="921"/>
      <c r="AK568" s="921"/>
      <c r="AL568" s="943"/>
      <c r="AM568" s="1076"/>
      <c r="AN568" s="921"/>
      <c r="AO568" s="921"/>
      <c r="AP568" s="921"/>
      <c r="AQ568" s="921"/>
      <c r="AR568" s="921"/>
      <c r="AS568" s="943"/>
      <c r="AT568" s="355" t="str">
        <f t="shared" si="4"/>
        <v/>
      </c>
      <c r="AU568" s="351"/>
      <c r="BB568" s="1"/>
      <c r="BC568" s="1"/>
      <c r="BD568" s="1"/>
      <c r="BE568" s="1"/>
      <c r="BF568" s="1"/>
      <c r="BG568" s="1"/>
      <c r="BH568" s="1"/>
      <c r="BI568" s="1"/>
    </row>
    <row r="569" spans="1:61" ht="12.75" customHeight="1">
      <c r="B569" s="356" t="s">
        <v>1821</v>
      </c>
      <c r="C569" s="1077"/>
      <c r="D569" s="921"/>
      <c r="E569" s="921"/>
      <c r="F569" s="921"/>
      <c r="G569" s="921"/>
      <c r="H569" s="921"/>
      <c r="I569" s="921"/>
      <c r="J569" s="921"/>
      <c r="K569" s="921"/>
      <c r="L569" s="943"/>
      <c r="M569" s="1078" t="s">
        <v>1137</v>
      </c>
      <c r="N569" s="921"/>
      <c r="O569" s="921"/>
      <c r="P569" s="943"/>
      <c r="Q569" s="1079"/>
      <c r="R569" s="921"/>
      <c r="S569" s="943"/>
      <c r="T569" s="1079"/>
      <c r="U569" s="921"/>
      <c r="V569" s="943"/>
      <c r="W569" s="1072"/>
      <c r="X569" s="921"/>
      <c r="Y569" s="943"/>
      <c r="Z569" s="1073" t="s">
        <v>1137</v>
      </c>
      <c r="AA569" s="921"/>
      <c r="AB569" s="921"/>
      <c r="AC569" s="921"/>
      <c r="AD569" s="971"/>
      <c r="AE569" s="1074"/>
      <c r="AF569" s="921"/>
      <c r="AG569" s="921"/>
      <c r="AH569" s="943"/>
      <c r="AI569" s="1075"/>
      <c r="AJ569" s="921"/>
      <c r="AK569" s="921"/>
      <c r="AL569" s="943"/>
      <c r="AM569" s="1076"/>
      <c r="AN569" s="921"/>
      <c r="AO569" s="921"/>
      <c r="AP569" s="921"/>
      <c r="AQ569" s="921"/>
      <c r="AR569" s="921"/>
      <c r="AS569" s="943"/>
      <c r="AT569" s="355" t="str">
        <f t="shared" si="4"/>
        <v/>
      </c>
      <c r="AU569" s="351"/>
      <c r="BB569" s="1"/>
      <c r="BC569" s="1"/>
      <c r="BD569" s="1"/>
      <c r="BE569" s="1"/>
      <c r="BF569" s="1"/>
      <c r="BG569" s="1"/>
      <c r="BH569" s="1"/>
      <c r="BI569" s="1"/>
    </row>
    <row r="570" spans="1:61" ht="12.75" customHeight="1">
      <c r="B570" s="356" t="s">
        <v>1824</v>
      </c>
      <c r="C570" s="1077"/>
      <c r="D570" s="921"/>
      <c r="E570" s="921"/>
      <c r="F570" s="921"/>
      <c r="G570" s="921"/>
      <c r="H570" s="921"/>
      <c r="I570" s="921"/>
      <c r="J570" s="921"/>
      <c r="K570" s="921"/>
      <c r="L570" s="943"/>
      <c r="M570" s="1078" t="s">
        <v>1137</v>
      </c>
      <c r="N570" s="921"/>
      <c r="O570" s="921"/>
      <c r="P570" s="943"/>
      <c r="Q570" s="1079"/>
      <c r="R570" s="921"/>
      <c r="S570" s="943"/>
      <c r="T570" s="1079"/>
      <c r="U570" s="921"/>
      <c r="V570" s="943"/>
      <c r="W570" s="1072"/>
      <c r="X570" s="921"/>
      <c r="Y570" s="943"/>
      <c r="Z570" s="1073" t="s">
        <v>1137</v>
      </c>
      <c r="AA570" s="921"/>
      <c r="AB570" s="921"/>
      <c r="AC570" s="921"/>
      <c r="AD570" s="971"/>
      <c r="AE570" s="1074"/>
      <c r="AF570" s="921"/>
      <c r="AG570" s="921"/>
      <c r="AH570" s="943"/>
      <c r="AI570" s="1075"/>
      <c r="AJ570" s="921"/>
      <c r="AK570" s="921"/>
      <c r="AL570" s="943"/>
      <c r="AM570" s="1076"/>
      <c r="AN570" s="921"/>
      <c r="AO570" s="921"/>
      <c r="AP570" s="921"/>
      <c r="AQ570" s="921"/>
      <c r="AR570" s="921"/>
      <c r="AS570" s="943"/>
      <c r="AT570" s="355" t="str">
        <f t="shared" si="4"/>
        <v/>
      </c>
      <c r="AU570" s="351"/>
      <c r="BB570" s="1"/>
      <c r="BC570" s="1"/>
      <c r="BD570" s="1"/>
      <c r="BE570" s="1"/>
      <c r="BF570" s="1"/>
      <c r="BG570" s="1"/>
      <c r="BH570" s="1"/>
      <c r="BI570" s="1"/>
    </row>
    <row r="571" spans="1:61" ht="12.75" customHeight="1">
      <c r="B571" s="356" t="s">
        <v>1828</v>
      </c>
      <c r="C571" s="1077"/>
      <c r="D571" s="921"/>
      <c r="E571" s="921"/>
      <c r="F571" s="921"/>
      <c r="G571" s="921"/>
      <c r="H571" s="921"/>
      <c r="I571" s="921"/>
      <c r="J571" s="921"/>
      <c r="K571" s="921"/>
      <c r="L571" s="943"/>
      <c r="M571" s="1078" t="s">
        <v>1137</v>
      </c>
      <c r="N571" s="921"/>
      <c r="O571" s="921"/>
      <c r="P571" s="943"/>
      <c r="Q571" s="1079"/>
      <c r="R571" s="921"/>
      <c r="S571" s="943"/>
      <c r="T571" s="1079"/>
      <c r="U571" s="921"/>
      <c r="V571" s="943"/>
      <c r="W571" s="1072"/>
      <c r="X571" s="921"/>
      <c r="Y571" s="943"/>
      <c r="Z571" s="1073" t="s">
        <v>1137</v>
      </c>
      <c r="AA571" s="921"/>
      <c r="AB571" s="921"/>
      <c r="AC571" s="921"/>
      <c r="AD571" s="971"/>
      <c r="AE571" s="1074"/>
      <c r="AF571" s="921"/>
      <c r="AG571" s="921"/>
      <c r="AH571" s="943"/>
      <c r="AI571" s="1075"/>
      <c r="AJ571" s="921"/>
      <c r="AK571" s="921"/>
      <c r="AL571" s="943"/>
      <c r="AM571" s="1076"/>
      <c r="AN571" s="921"/>
      <c r="AO571" s="921"/>
      <c r="AP571" s="921"/>
      <c r="AQ571" s="921"/>
      <c r="AR571" s="921"/>
      <c r="AS571" s="943"/>
      <c r="AT571" s="355" t="str">
        <f t="shared" si="4"/>
        <v/>
      </c>
      <c r="BB571" s="1"/>
      <c r="BC571" s="1"/>
      <c r="BD571" s="1"/>
      <c r="BE571" s="1"/>
      <c r="BF571" s="1"/>
      <c r="BG571" s="1"/>
      <c r="BH571" s="1"/>
      <c r="BI571" s="1"/>
    </row>
    <row r="572" spans="1:61" ht="12.75" customHeight="1">
      <c r="B572" s="356" t="s">
        <v>1831</v>
      </c>
      <c r="C572" s="1077"/>
      <c r="D572" s="921"/>
      <c r="E572" s="921"/>
      <c r="F572" s="921"/>
      <c r="G572" s="921"/>
      <c r="H572" s="921"/>
      <c r="I572" s="921"/>
      <c r="J572" s="921"/>
      <c r="K572" s="921"/>
      <c r="L572" s="943"/>
      <c r="M572" s="1078" t="s">
        <v>1137</v>
      </c>
      <c r="N572" s="921"/>
      <c r="O572" s="921"/>
      <c r="P572" s="943"/>
      <c r="Q572" s="1079"/>
      <c r="R572" s="921"/>
      <c r="S572" s="943"/>
      <c r="T572" s="1079"/>
      <c r="U572" s="921"/>
      <c r="V572" s="943"/>
      <c r="W572" s="1072"/>
      <c r="X572" s="921"/>
      <c r="Y572" s="943"/>
      <c r="Z572" s="1073" t="s">
        <v>1137</v>
      </c>
      <c r="AA572" s="921"/>
      <c r="AB572" s="921"/>
      <c r="AC572" s="921"/>
      <c r="AD572" s="971"/>
      <c r="AE572" s="1074"/>
      <c r="AF572" s="921"/>
      <c r="AG572" s="921"/>
      <c r="AH572" s="943"/>
      <c r="AI572" s="1075"/>
      <c r="AJ572" s="921"/>
      <c r="AK572" s="921"/>
      <c r="AL572" s="943"/>
      <c r="AM572" s="1076"/>
      <c r="AN572" s="921"/>
      <c r="AO572" s="921"/>
      <c r="AP572" s="921"/>
      <c r="AQ572" s="921"/>
      <c r="AR572" s="921"/>
      <c r="AS572" s="943"/>
      <c r="AT572" s="355" t="str">
        <f t="shared" si="4"/>
        <v/>
      </c>
      <c r="BB572" s="1"/>
      <c r="BC572" s="1"/>
      <c r="BD572" s="1"/>
      <c r="BE572" s="1"/>
      <c r="BF572" s="1"/>
      <c r="BG572" s="1"/>
      <c r="BH572" s="1"/>
      <c r="BI572" s="1"/>
    </row>
    <row r="573" spans="1:61" ht="12.75" customHeight="1">
      <c r="B573" s="356" t="s">
        <v>1833</v>
      </c>
      <c r="C573" s="1077"/>
      <c r="D573" s="921"/>
      <c r="E573" s="921"/>
      <c r="F573" s="921"/>
      <c r="G573" s="921"/>
      <c r="H573" s="921"/>
      <c r="I573" s="921"/>
      <c r="J573" s="921"/>
      <c r="K573" s="921"/>
      <c r="L573" s="943"/>
      <c r="M573" s="1078" t="s">
        <v>1137</v>
      </c>
      <c r="N573" s="921"/>
      <c r="O573" s="921"/>
      <c r="P573" s="943"/>
      <c r="Q573" s="1079"/>
      <c r="R573" s="921"/>
      <c r="S573" s="943"/>
      <c r="T573" s="1079"/>
      <c r="U573" s="921"/>
      <c r="V573" s="943"/>
      <c r="W573" s="1072"/>
      <c r="X573" s="921"/>
      <c r="Y573" s="943"/>
      <c r="Z573" s="1073" t="s">
        <v>1137</v>
      </c>
      <c r="AA573" s="921"/>
      <c r="AB573" s="921"/>
      <c r="AC573" s="921"/>
      <c r="AD573" s="971"/>
      <c r="AE573" s="1074"/>
      <c r="AF573" s="921"/>
      <c r="AG573" s="921"/>
      <c r="AH573" s="943"/>
      <c r="AI573" s="1075"/>
      <c r="AJ573" s="921"/>
      <c r="AK573" s="921"/>
      <c r="AL573" s="943"/>
      <c r="AM573" s="1076"/>
      <c r="AN573" s="921"/>
      <c r="AO573" s="921"/>
      <c r="AP573" s="921"/>
      <c r="AQ573" s="921"/>
      <c r="AR573" s="921"/>
      <c r="AS573" s="943"/>
      <c r="AT573" s="355" t="str">
        <f t="shared" si="4"/>
        <v/>
      </c>
      <c r="BB573" s="1"/>
      <c r="BC573" s="1"/>
      <c r="BD573" s="1"/>
      <c r="BE573" s="1"/>
      <c r="BF573" s="1"/>
      <c r="BG573" s="1"/>
      <c r="BH573" s="1"/>
      <c r="BI573" s="1"/>
    </row>
    <row r="574" spans="1:61" ht="12.75" customHeight="1">
      <c r="B574" s="1004" t="s">
        <v>1841</v>
      </c>
      <c r="C574" s="921"/>
      <c r="D574" s="921"/>
      <c r="E574" s="921"/>
      <c r="F574" s="921"/>
      <c r="G574" s="921"/>
      <c r="H574" s="921"/>
      <c r="I574" s="921"/>
      <c r="J574" s="921"/>
      <c r="K574" s="921"/>
      <c r="L574" s="921"/>
      <c r="M574" s="921"/>
      <c r="N574" s="921"/>
      <c r="O574" s="921"/>
      <c r="P574" s="921"/>
      <c r="Q574" s="921"/>
      <c r="R574" s="921"/>
      <c r="S574" s="921"/>
      <c r="T574" s="921"/>
      <c r="U574" s="921"/>
      <c r="V574" s="921"/>
      <c r="W574" s="921"/>
      <c r="X574" s="921"/>
      <c r="Y574" s="921"/>
      <c r="Z574" s="921"/>
      <c r="AA574" s="921"/>
      <c r="AB574" s="921"/>
      <c r="AC574" s="921"/>
      <c r="AD574" s="921"/>
      <c r="AE574" s="921"/>
      <c r="AF574" s="921"/>
      <c r="AG574" s="921"/>
      <c r="AH574" s="921"/>
      <c r="AI574" s="921"/>
      <c r="AJ574" s="921"/>
      <c r="AK574" s="921"/>
      <c r="AL574" s="943"/>
      <c r="AM574" s="1000">
        <f>SUM(AM562:AS573)</f>
        <v>99176513</v>
      </c>
      <c r="AN574" s="921"/>
      <c r="AO574" s="921"/>
      <c r="AP574" s="921"/>
      <c r="AQ574" s="921"/>
      <c r="AR574" s="921"/>
      <c r="AS574" s="943"/>
      <c r="BB574" s="1"/>
      <c r="BC574" s="1"/>
      <c r="BD574" s="1"/>
      <c r="BE574" s="1"/>
      <c r="BF574" s="1"/>
      <c r="BG574" s="1"/>
      <c r="BH574" s="1" t="s">
        <v>1814</v>
      </c>
      <c r="BI574" s="1" t="str">
        <f>N681</f>
        <v>No</v>
      </c>
    </row>
    <row r="575" spans="1:61" ht="12.75" customHeight="1">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c r="AA575" s="237"/>
      <c r="AB575" s="237"/>
      <c r="AC575" s="237"/>
      <c r="AD575" s="237"/>
      <c r="AE575" s="263"/>
      <c r="AF575" s="263"/>
      <c r="AG575" s="263"/>
      <c r="AH575" s="263"/>
      <c r="AI575" s="263"/>
      <c r="AJ575" s="263"/>
      <c r="AK575" s="263"/>
      <c r="BB575" s="1"/>
      <c r="BC575" s="1"/>
      <c r="BD575" s="1"/>
      <c r="BE575" s="1"/>
      <c r="BF575" s="1"/>
      <c r="BG575" s="1"/>
      <c r="BH575" s="1" t="s">
        <v>1821</v>
      </c>
      <c r="BI575" s="1" t="str">
        <f>AG681</f>
        <v>No</v>
      </c>
    </row>
    <row r="576" spans="1:61" ht="12.75" customHeight="1">
      <c r="A576" s="367" t="s">
        <v>39</v>
      </c>
      <c r="B576" s="32" t="s">
        <v>1845</v>
      </c>
      <c r="G576" s="966" t="str">
        <f>C562</f>
        <v xml:space="preserve">Citibank N.A. </v>
      </c>
      <c r="H576" s="961"/>
      <c r="I576" s="961"/>
      <c r="J576" s="961"/>
      <c r="K576" s="961"/>
      <c r="L576" s="961"/>
      <c r="M576" s="961"/>
      <c r="N576" s="961"/>
      <c r="O576" s="961"/>
      <c r="P576" s="961"/>
      <c r="Q576" s="961"/>
      <c r="R576" s="961"/>
      <c r="S576" s="17"/>
      <c r="T576" s="367" t="s">
        <v>56</v>
      </c>
      <c r="U576" s="32" t="s">
        <v>1845</v>
      </c>
      <c r="Z576" s="966" t="str">
        <f>C563</f>
        <v xml:space="preserve">Citibank N.A. </v>
      </c>
      <c r="AA576" s="961"/>
      <c r="AB576" s="961"/>
      <c r="AC576" s="961"/>
      <c r="AD576" s="961"/>
      <c r="AE576" s="961"/>
      <c r="AF576" s="961"/>
      <c r="AG576" s="961"/>
      <c r="AH576" s="961"/>
      <c r="AI576" s="961"/>
      <c r="AJ576" s="961"/>
      <c r="AK576" s="961"/>
      <c r="BB576" s="1"/>
      <c r="BC576" s="1"/>
      <c r="BD576" s="1"/>
      <c r="BE576" s="1"/>
      <c r="BF576" s="1"/>
      <c r="BG576" s="1"/>
      <c r="BH576" s="1"/>
      <c r="BI576" s="1"/>
    </row>
    <row r="577" spans="1:61" ht="12.75" customHeight="1">
      <c r="A577" s="117"/>
      <c r="B577" s="32" t="s">
        <v>1254</v>
      </c>
      <c r="G577" s="967" t="s">
        <v>1847</v>
      </c>
      <c r="H577" s="968"/>
      <c r="I577" s="968"/>
      <c r="J577" s="968"/>
      <c r="K577" s="968"/>
      <c r="L577" s="968"/>
      <c r="M577" s="968"/>
      <c r="N577" s="968"/>
      <c r="O577" s="968"/>
      <c r="P577" s="968"/>
      <c r="Q577" s="968"/>
      <c r="R577" s="969"/>
      <c r="S577" s="17"/>
      <c r="T577" s="117"/>
      <c r="U577" s="32" t="s">
        <v>1254</v>
      </c>
      <c r="Z577" s="967" t="s">
        <v>1847</v>
      </c>
      <c r="AA577" s="968"/>
      <c r="AB577" s="968"/>
      <c r="AC577" s="968"/>
      <c r="AD577" s="968"/>
      <c r="AE577" s="968"/>
      <c r="AF577" s="968"/>
      <c r="AG577" s="968"/>
      <c r="AH577" s="968"/>
      <c r="AI577" s="968"/>
      <c r="AJ577" s="968"/>
      <c r="AK577" s="969"/>
      <c r="BB577" s="1"/>
      <c r="BC577" s="1"/>
      <c r="BD577" s="1"/>
      <c r="BE577" s="1"/>
      <c r="BF577" s="1"/>
      <c r="BG577" s="1"/>
      <c r="BH577" s="1"/>
      <c r="BI577" s="1"/>
    </row>
    <row r="578" spans="1:61" ht="12.75" customHeight="1">
      <c r="A578" s="117"/>
      <c r="B578" s="32" t="s">
        <v>1028</v>
      </c>
      <c r="G578" s="967" t="s">
        <v>1848</v>
      </c>
      <c r="H578" s="968"/>
      <c r="I578" s="968"/>
      <c r="J578" s="968"/>
      <c r="K578" s="968"/>
      <c r="L578" s="968"/>
      <c r="M578" s="968"/>
      <c r="N578" s="968"/>
      <c r="O578" s="968"/>
      <c r="P578" s="968"/>
      <c r="Q578" s="968"/>
      <c r="R578" s="969"/>
      <c r="T578" s="117"/>
      <c r="U578" s="32" t="s">
        <v>1028</v>
      </c>
      <c r="Z578" s="970" t="s">
        <v>1848</v>
      </c>
      <c r="AA578" s="921"/>
      <c r="AB578" s="921"/>
      <c r="AC578" s="921"/>
      <c r="AD578" s="921"/>
      <c r="AE578" s="921"/>
      <c r="AF578" s="921"/>
      <c r="AG578" s="921"/>
      <c r="AH578" s="921"/>
      <c r="AI578" s="921"/>
      <c r="AJ578" s="921"/>
      <c r="AK578" s="971"/>
      <c r="BB578" s="1"/>
      <c r="BC578" s="1"/>
      <c r="BD578" s="1"/>
      <c r="BE578" s="1"/>
      <c r="BF578" s="1"/>
      <c r="BG578" s="1"/>
      <c r="BH578" s="1"/>
      <c r="BI578" s="1"/>
    </row>
    <row r="579" spans="1:61" ht="12.75" customHeight="1">
      <c r="A579" s="117"/>
      <c r="B579" s="32" t="s">
        <v>1850</v>
      </c>
      <c r="G579" s="967" t="s">
        <v>1851</v>
      </c>
      <c r="H579" s="968"/>
      <c r="I579" s="968"/>
      <c r="J579" s="968"/>
      <c r="K579" s="968"/>
      <c r="L579" s="968"/>
      <c r="M579" s="968"/>
      <c r="N579" s="968"/>
      <c r="O579" s="968"/>
      <c r="P579" s="968"/>
      <c r="Q579" s="968"/>
      <c r="R579" s="969"/>
      <c r="S579" s="17"/>
      <c r="T579" s="117"/>
      <c r="U579" s="32" t="s">
        <v>1850</v>
      </c>
      <c r="Z579" s="970" t="s">
        <v>1851</v>
      </c>
      <c r="AA579" s="921"/>
      <c r="AB579" s="921"/>
      <c r="AC579" s="921"/>
      <c r="AD579" s="921"/>
      <c r="AE579" s="921"/>
      <c r="AF579" s="921"/>
      <c r="AG579" s="921"/>
      <c r="AH579" s="921"/>
      <c r="AI579" s="921"/>
      <c r="AJ579" s="921"/>
      <c r="AK579" s="971"/>
      <c r="BB579" s="1"/>
      <c r="BC579" s="1"/>
      <c r="BD579" s="1"/>
      <c r="BE579" s="1"/>
      <c r="BF579" s="1"/>
      <c r="BG579" s="1"/>
      <c r="BH579" s="1"/>
      <c r="BI579" s="1"/>
    </row>
    <row r="580" spans="1:61" ht="12.75" customHeight="1">
      <c r="A580" s="117"/>
      <c r="B580" s="32" t="s">
        <v>875</v>
      </c>
      <c r="G580" s="972" t="s">
        <v>1852</v>
      </c>
      <c r="H580" s="921"/>
      <c r="I580" s="921"/>
      <c r="J580" s="921"/>
      <c r="K580" s="921"/>
      <c r="L580" s="971"/>
      <c r="O580" s="33" t="s">
        <v>1263</v>
      </c>
      <c r="P580" s="970"/>
      <c r="Q580" s="921"/>
      <c r="R580" s="971"/>
      <c r="S580" s="170"/>
      <c r="T580" s="117"/>
      <c r="U580" s="32" t="s">
        <v>875</v>
      </c>
      <c r="Z580" s="972">
        <v>8055570933</v>
      </c>
      <c r="AA580" s="921"/>
      <c r="AB580" s="921"/>
      <c r="AC580" s="921"/>
      <c r="AD580" s="921"/>
      <c r="AE580" s="971"/>
      <c r="AH580" s="33" t="s">
        <v>1263</v>
      </c>
      <c r="AI580" s="970"/>
      <c r="AJ580" s="921"/>
      <c r="AK580" s="971"/>
      <c r="BB580" s="1"/>
      <c r="BC580" s="1"/>
      <c r="BD580" s="1"/>
      <c r="BE580" s="1"/>
      <c r="BF580" s="1"/>
      <c r="BG580" s="1"/>
      <c r="BH580" s="1"/>
      <c r="BI580" s="1"/>
    </row>
    <row r="581" spans="1:61" ht="12.75" customHeight="1">
      <c r="A581" s="117"/>
      <c r="B581" s="32" t="s">
        <v>1853</v>
      </c>
      <c r="H581" s="967" t="s">
        <v>1854</v>
      </c>
      <c r="I581" s="968"/>
      <c r="J581" s="968"/>
      <c r="K581" s="968"/>
      <c r="L581" s="968"/>
      <c r="M581" s="968"/>
      <c r="N581" s="968"/>
      <c r="O581" s="968"/>
      <c r="P581" s="968"/>
      <c r="Q581" s="968"/>
      <c r="R581" s="969"/>
      <c r="S581" s="17"/>
      <c r="T581" s="117"/>
      <c r="U581" s="32" t="s">
        <v>1853</v>
      </c>
      <c r="AA581" s="967" t="s">
        <v>1855</v>
      </c>
      <c r="AB581" s="968"/>
      <c r="AC581" s="968"/>
      <c r="AD581" s="968"/>
      <c r="AE581" s="968"/>
      <c r="AF581" s="968"/>
      <c r="AG581" s="968"/>
      <c r="AH581" s="968"/>
      <c r="AI581" s="968"/>
      <c r="AJ581" s="968"/>
      <c r="AK581" s="969"/>
      <c r="BB581" s="1"/>
      <c r="BC581" s="1"/>
      <c r="BD581" s="1"/>
      <c r="BE581" s="1"/>
      <c r="BF581" s="1"/>
      <c r="BG581" s="1"/>
      <c r="BH581" s="1"/>
      <c r="BI581" s="1"/>
    </row>
    <row r="582" spans="1:61" ht="12.75" customHeight="1">
      <c r="A582" s="117"/>
      <c r="B582" s="261" t="s">
        <v>1859</v>
      </c>
      <c r="H582" s="17"/>
      <c r="I582" s="17"/>
      <c r="J582" s="17"/>
      <c r="K582" s="17"/>
      <c r="L582" s="17"/>
      <c r="M582" s="1071"/>
      <c r="N582" s="921"/>
      <c r="O582" s="921"/>
      <c r="P582" s="921"/>
      <c r="Q582" s="921"/>
      <c r="R582" s="971"/>
      <c r="S582" s="17"/>
      <c r="T582" s="117"/>
      <c r="U582" s="261" t="s">
        <v>1859</v>
      </c>
      <c r="AA582" s="17"/>
      <c r="AB582" s="17"/>
      <c r="AC582" s="17"/>
      <c r="AD582" s="17"/>
      <c r="AE582" s="17"/>
      <c r="AF582" s="1071"/>
      <c r="AG582" s="921"/>
      <c r="AH582" s="921"/>
      <c r="AI582" s="921"/>
      <c r="AJ582" s="921"/>
      <c r="AK582" s="971"/>
      <c r="BB582" s="1"/>
      <c r="BC582" s="1"/>
      <c r="BD582" s="1"/>
      <c r="BE582" s="1"/>
      <c r="BF582" s="1"/>
      <c r="BG582" s="1"/>
      <c r="BH582" s="1"/>
      <c r="BI582" s="1"/>
    </row>
    <row r="583" spans="1:61" ht="12.75" customHeight="1">
      <c r="A583" s="117"/>
      <c r="B583" s="32" t="s">
        <v>1860</v>
      </c>
      <c r="N583" s="973" t="s">
        <v>901</v>
      </c>
      <c r="O583" s="969"/>
      <c r="T583" s="117"/>
      <c r="U583" s="32" t="s">
        <v>1860</v>
      </c>
      <c r="AG583" s="973" t="s">
        <v>901</v>
      </c>
      <c r="AH583" s="969"/>
      <c r="BB583" s="1"/>
      <c r="BC583" s="1"/>
      <c r="BD583" s="1"/>
      <c r="BE583" s="1"/>
      <c r="BF583" s="1"/>
      <c r="BG583" s="1"/>
      <c r="BH583" s="1"/>
      <c r="BI583" s="1"/>
    </row>
    <row r="584" spans="1:61" ht="12.75" customHeight="1">
      <c r="A584" s="117"/>
      <c r="T584" s="117"/>
      <c r="BB584" s="1"/>
      <c r="BC584" s="1"/>
      <c r="BD584" s="1"/>
      <c r="BE584" s="1"/>
      <c r="BF584" s="1"/>
      <c r="BG584" s="1"/>
      <c r="BH584" s="1"/>
      <c r="BI584" s="1"/>
    </row>
    <row r="585" spans="1:61" ht="12.75" customHeight="1">
      <c r="A585" s="367" t="s">
        <v>67</v>
      </c>
      <c r="B585" s="32" t="s">
        <v>1845</v>
      </c>
      <c r="G585" s="966" t="str">
        <f>C564</f>
        <v xml:space="preserve">Deferred Developer Fee </v>
      </c>
      <c r="H585" s="961"/>
      <c r="I585" s="961"/>
      <c r="J585" s="961"/>
      <c r="K585" s="961"/>
      <c r="L585" s="961"/>
      <c r="M585" s="961"/>
      <c r="N585" s="961"/>
      <c r="O585" s="961"/>
      <c r="P585" s="961"/>
      <c r="Q585" s="961"/>
      <c r="R585" s="961"/>
      <c r="T585" s="367" t="s">
        <v>119</v>
      </c>
      <c r="U585" s="32" t="s">
        <v>1845</v>
      </c>
      <c r="Z585" s="966" t="str">
        <f>C565</f>
        <v xml:space="preserve">NOI </v>
      </c>
      <c r="AA585" s="961"/>
      <c r="AB585" s="961"/>
      <c r="AC585" s="961"/>
      <c r="AD585" s="961"/>
      <c r="AE585" s="961"/>
      <c r="AF585" s="961"/>
      <c r="AG585" s="961"/>
      <c r="AH585" s="961"/>
      <c r="AI585" s="961"/>
      <c r="AJ585" s="961"/>
      <c r="AK585" s="961"/>
      <c r="BB585" s="1"/>
      <c r="BC585" s="1"/>
    </row>
    <row r="586" spans="1:61" ht="12.75" customHeight="1">
      <c r="A586" s="117"/>
      <c r="B586" s="32" t="s">
        <v>1254</v>
      </c>
      <c r="G586" s="967" t="s">
        <v>1319</v>
      </c>
      <c r="H586" s="968"/>
      <c r="I586" s="968"/>
      <c r="J586" s="968"/>
      <c r="K586" s="968"/>
      <c r="L586" s="968"/>
      <c r="M586" s="968"/>
      <c r="N586" s="968"/>
      <c r="O586" s="968"/>
      <c r="P586" s="968"/>
      <c r="Q586" s="968"/>
      <c r="R586" s="969"/>
      <c r="T586" s="117"/>
      <c r="U586" s="32" t="s">
        <v>1254</v>
      </c>
      <c r="Z586" s="967" t="s">
        <v>1413</v>
      </c>
      <c r="AA586" s="968"/>
      <c r="AB586" s="968"/>
      <c r="AC586" s="968"/>
      <c r="AD586" s="968"/>
      <c r="AE586" s="968"/>
      <c r="AF586" s="968"/>
      <c r="AG586" s="968"/>
      <c r="AH586" s="968"/>
      <c r="AI586" s="968"/>
      <c r="AJ586" s="968"/>
      <c r="AK586" s="969"/>
      <c r="BB586" s="1"/>
      <c r="BC586" s="1"/>
    </row>
    <row r="587" spans="1:61" ht="12.75" customHeight="1">
      <c r="A587" s="117"/>
      <c r="B587" s="32" t="s">
        <v>1028</v>
      </c>
      <c r="G587" s="970" t="s">
        <v>1353</v>
      </c>
      <c r="H587" s="921"/>
      <c r="I587" s="921"/>
      <c r="J587" s="921"/>
      <c r="K587" s="921"/>
      <c r="L587" s="921"/>
      <c r="M587" s="921"/>
      <c r="N587" s="921"/>
      <c r="O587" s="921"/>
      <c r="P587" s="921"/>
      <c r="Q587" s="921"/>
      <c r="R587" s="971"/>
      <c r="T587" s="117"/>
      <c r="U587" s="32" t="s">
        <v>1028</v>
      </c>
      <c r="Z587" s="970" t="s">
        <v>1415</v>
      </c>
      <c r="AA587" s="921"/>
      <c r="AB587" s="921"/>
      <c r="AC587" s="921"/>
      <c r="AD587" s="921"/>
      <c r="AE587" s="921"/>
      <c r="AF587" s="921"/>
      <c r="AG587" s="921"/>
      <c r="AH587" s="921"/>
      <c r="AI587" s="921"/>
      <c r="AJ587" s="921"/>
      <c r="AK587" s="971"/>
      <c r="BB587" s="1"/>
      <c r="BC587" s="1"/>
    </row>
    <row r="588" spans="1:61" ht="12.75" customHeight="1">
      <c r="A588" s="117"/>
      <c r="B588" s="32" t="s">
        <v>1850</v>
      </c>
      <c r="G588" s="970" t="s">
        <v>1325</v>
      </c>
      <c r="H588" s="921"/>
      <c r="I588" s="921"/>
      <c r="J588" s="921"/>
      <c r="K588" s="921"/>
      <c r="L588" s="921"/>
      <c r="M588" s="921"/>
      <c r="N588" s="921"/>
      <c r="O588" s="921"/>
      <c r="P588" s="921"/>
      <c r="Q588" s="921"/>
      <c r="R588" s="971"/>
      <c r="T588" s="117"/>
      <c r="U588" s="32" t="s">
        <v>1850</v>
      </c>
      <c r="Z588" s="970" t="s">
        <v>1260</v>
      </c>
      <c r="AA588" s="921"/>
      <c r="AB588" s="921"/>
      <c r="AC588" s="921"/>
      <c r="AD588" s="921"/>
      <c r="AE588" s="921"/>
      <c r="AF588" s="921"/>
      <c r="AG588" s="921"/>
      <c r="AH588" s="921"/>
      <c r="AI588" s="921"/>
      <c r="AJ588" s="921"/>
      <c r="AK588" s="971"/>
      <c r="BB588" s="1"/>
      <c r="BC588" s="1"/>
    </row>
    <row r="589" spans="1:61" ht="12.75" customHeight="1">
      <c r="A589" s="117"/>
      <c r="B589" s="32" t="s">
        <v>875</v>
      </c>
      <c r="G589" s="972" t="s">
        <v>1287</v>
      </c>
      <c r="H589" s="921"/>
      <c r="I589" s="921"/>
      <c r="J589" s="921"/>
      <c r="K589" s="921"/>
      <c r="L589" s="971"/>
      <c r="O589" s="33" t="s">
        <v>1263</v>
      </c>
      <c r="P589" s="970"/>
      <c r="Q589" s="921"/>
      <c r="R589" s="971"/>
      <c r="T589" s="117"/>
      <c r="U589" s="32" t="s">
        <v>875</v>
      </c>
      <c r="Z589" s="972" t="s">
        <v>1262</v>
      </c>
      <c r="AA589" s="921"/>
      <c r="AB589" s="921"/>
      <c r="AC589" s="921"/>
      <c r="AD589" s="921"/>
      <c r="AE589" s="971"/>
      <c r="AH589" s="33" t="s">
        <v>1263</v>
      </c>
      <c r="AI589" s="970"/>
      <c r="AJ589" s="921"/>
      <c r="AK589" s="971"/>
      <c r="BB589" s="1"/>
      <c r="BC589" s="1"/>
    </row>
    <row r="590" spans="1:61" ht="12.75" customHeight="1">
      <c r="A590" s="117"/>
      <c r="B590" s="32" t="s">
        <v>1853</v>
      </c>
      <c r="H590" s="967" t="s">
        <v>1789</v>
      </c>
      <c r="I590" s="968"/>
      <c r="J590" s="968"/>
      <c r="K590" s="968"/>
      <c r="L590" s="968"/>
      <c r="M590" s="968"/>
      <c r="N590" s="968"/>
      <c r="O590" s="968"/>
      <c r="P590" s="968"/>
      <c r="Q590" s="968"/>
      <c r="R590" s="969"/>
      <c r="T590" s="117"/>
      <c r="U590" s="32" t="s">
        <v>1853</v>
      </c>
      <c r="AA590" s="967" t="s">
        <v>1866</v>
      </c>
      <c r="AB590" s="968"/>
      <c r="AC590" s="968"/>
      <c r="AD590" s="968"/>
      <c r="AE590" s="968"/>
      <c r="AF590" s="968"/>
      <c r="AG590" s="968"/>
      <c r="AH590" s="968"/>
      <c r="AI590" s="968"/>
      <c r="AJ590" s="968"/>
      <c r="AK590" s="969"/>
      <c r="BB590" s="1"/>
      <c r="BC590" s="1"/>
    </row>
    <row r="591" spans="1:61" ht="12.75" customHeight="1">
      <c r="A591" s="117"/>
      <c r="B591" s="32" t="s">
        <v>1860</v>
      </c>
      <c r="N591" s="973" t="s">
        <v>901</v>
      </c>
      <c r="O591" s="969"/>
      <c r="T591" s="117"/>
      <c r="U591" s="32" t="s">
        <v>1860</v>
      </c>
      <c r="AG591" s="973" t="s">
        <v>901</v>
      </c>
      <c r="AH591" s="969"/>
      <c r="BB591" s="1"/>
      <c r="BC591" s="1"/>
    </row>
    <row r="592" spans="1:61" ht="12.75" customHeight="1">
      <c r="A592" s="117"/>
      <c r="T592" s="117"/>
      <c r="BB592" s="1"/>
      <c r="BC592" s="1"/>
    </row>
    <row r="593" spans="1:185" ht="12.75" customHeight="1">
      <c r="A593" s="367" t="s">
        <v>124</v>
      </c>
      <c r="B593" s="32" t="s">
        <v>1845</v>
      </c>
      <c r="G593" s="966" t="str">
        <f>C566</f>
        <v xml:space="preserve">Tax Credit Equity </v>
      </c>
      <c r="H593" s="961"/>
      <c r="I593" s="961"/>
      <c r="J593" s="961"/>
      <c r="K593" s="961"/>
      <c r="L593" s="961"/>
      <c r="M593" s="961"/>
      <c r="N593" s="961"/>
      <c r="O593" s="961"/>
      <c r="P593" s="961"/>
      <c r="Q593" s="961"/>
      <c r="R593" s="961"/>
      <c r="T593" s="367" t="s">
        <v>1811</v>
      </c>
      <c r="U593" s="32" t="s">
        <v>1845</v>
      </c>
      <c r="Z593" s="966">
        <f>C567</f>
        <v>0</v>
      </c>
      <c r="AA593" s="961"/>
      <c r="AB593" s="961"/>
      <c r="AC593" s="961"/>
      <c r="AD593" s="961"/>
      <c r="AE593" s="961"/>
      <c r="AF593" s="961"/>
      <c r="AG593" s="961"/>
      <c r="AH593" s="961"/>
      <c r="AI593" s="961"/>
      <c r="AJ593" s="961"/>
      <c r="AK593" s="961"/>
      <c r="BB593" s="1"/>
      <c r="BC593" s="1"/>
    </row>
    <row r="594" spans="1:185" ht="12.75" customHeight="1">
      <c r="A594" s="117"/>
      <c r="B594" s="32" t="s">
        <v>1254</v>
      </c>
      <c r="G594" s="967"/>
      <c r="H594" s="968"/>
      <c r="I594" s="968"/>
      <c r="J594" s="968"/>
      <c r="K594" s="968"/>
      <c r="L594" s="968"/>
      <c r="M594" s="968"/>
      <c r="N594" s="968"/>
      <c r="O594" s="968"/>
      <c r="P594" s="968"/>
      <c r="Q594" s="968"/>
      <c r="R594" s="969"/>
      <c r="T594" s="117"/>
      <c r="U594" s="32" t="s">
        <v>1254</v>
      </c>
      <c r="Z594" s="967"/>
      <c r="AA594" s="968"/>
      <c r="AB594" s="968"/>
      <c r="AC594" s="968"/>
      <c r="AD594" s="968"/>
      <c r="AE594" s="968"/>
      <c r="AF594" s="968"/>
      <c r="AG594" s="968"/>
      <c r="AH594" s="968"/>
      <c r="AI594" s="968"/>
      <c r="AJ594" s="968"/>
      <c r="AK594" s="969"/>
      <c r="BB594" s="1"/>
      <c r="BC594" s="1"/>
    </row>
    <row r="595" spans="1:185" ht="12.75" customHeight="1">
      <c r="A595" s="117"/>
      <c r="B595" s="32" t="s">
        <v>1028</v>
      </c>
      <c r="G595" s="967"/>
      <c r="H595" s="968"/>
      <c r="I595" s="968"/>
      <c r="J595" s="968"/>
      <c r="K595" s="968"/>
      <c r="L595" s="968"/>
      <c r="M595" s="968"/>
      <c r="N595" s="968"/>
      <c r="O595" s="968"/>
      <c r="P595" s="968"/>
      <c r="Q595" s="968"/>
      <c r="R595" s="969"/>
      <c r="T595" s="117"/>
      <c r="U595" s="32" t="s">
        <v>1028</v>
      </c>
      <c r="Z595" s="970"/>
      <c r="AA595" s="921"/>
      <c r="AB595" s="921"/>
      <c r="AC595" s="921"/>
      <c r="AD595" s="921"/>
      <c r="AE595" s="921"/>
      <c r="AF595" s="921"/>
      <c r="AG595" s="921"/>
      <c r="AH595" s="921"/>
      <c r="AI595" s="921"/>
      <c r="AJ595" s="921"/>
      <c r="AK595" s="971"/>
      <c r="BB595" s="1"/>
      <c r="BC595" s="1"/>
    </row>
    <row r="596" spans="1:185" ht="12.75" customHeight="1">
      <c r="A596" s="117"/>
      <c r="B596" s="32" t="s">
        <v>1850</v>
      </c>
      <c r="G596" s="967" t="s">
        <v>1882</v>
      </c>
      <c r="H596" s="968"/>
      <c r="I596" s="968"/>
      <c r="J596" s="968"/>
      <c r="K596" s="968"/>
      <c r="L596" s="968"/>
      <c r="M596" s="968"/>
      <c r="N596" s="968"/>
      <c r="O596" s="968"/>
      <c r="P596" s="968"/>
      <c r="Q596" s="968"/>
      <c r="R596" s="969"/>
      <c r="T596" s="117"/>
      <c r="U596" s="32" t="s">
        <v>1850</v>
      </c>
      <c r="Z596" s="970"/>
      <c r="AA596" s="921"/>
      <c r="AB596" s="921"/>
      <c r="AC596" s="921"/>
      <c r="AD596" s="921"/>
      <c r="AE596" s="921"/>
      <c r="AF596" s="921"/>
      <c r="AG596" s="921"/>
      <c r="AH596" s="921"/>
      <c r="AI596" s="921"/>
      <c r="AJ596" s="921"/>
      <c r="AK596" s="971"/>
    </row>
    <row r="597" spans="1:185" ht="12.75" customHeight="1">
      <c r="A597" s="117"/>
      <c r="B597" s="32" t="s">
        <v>875</v>
      </c>
      <c r="G597" s="972" t="s">
        <v>1884</v>
      </c>
      <c r="H597" s="921"/>
      <c r="I597" s="921"/>
      <c r="J597" s="921"/>
      <c r="K597" s="921"/>
      <c r="L597" s="971"/>
      <c r="O597" s="33" t="s">
        <v>1263</v>
      </c>
      <c r="P597" s="970"/>
      <c r="Q597" s="921"/>
      <c r="R597" s="971"/>
      <c r="T597" s="117"/>
      <c r="U597" s="32" t="s">
        <v>875</v>
      </c>
      <c r="Z597" s="972"/>
      <c r="AA597" s="921"/>
      <c r="AB597" s="921"/>
      <c r="AC597" s="921"/>
      <c r="AD597" s="921"/>
      <c r="AE597" s="971"/>
      <c r="AH597" s="33" t="s">
        <v>1263</v>
      </c>
      <c r="AI597" s="970"/>
      <c r="AJ597" s="921"/>
      <c r="AK597" s="971"/>
      <c r="AZ597" s="1"/>
      <c r="BA597" s="1"/>
      <c r="BB597" s="1"/>
      <c r="BC597" s="1"/>
    </row>
    <row r="598" spans="1:185" ht="12.75" customHeight="1">
      <c r="A598" s="117"/>
      <c r="B598" s="32" t="s">
        <v>1853</v>
      </c>
      <c r="H598" s="967" t="s">
        <v>1808</v>
      </c>
      <c r="I598" s="968"/>
      <c r="J598" s="968"/>
      <c r="K598" s="968"/>
      <c r="L598" s="968"/>
      <c r="M598" s="968"/>
      <c r="N598" s="968"/>
      <c r="O598" s="968"/>
      <c r="P598" s="968"/>
      <c r="Q598" s="968"/>
      <c r="R598" s="969"/>
      <c r="T598" s="117"/>
      <c r="U598" s="32" t="s">
        <v>1853</v>
      </c>
      <c r="AA598" s="967"/>
      <c r="AB598" s="968"/>
      <c r="AC598" s="968"/>
      <c r="AD598" s="968"/>
      <c r="AE598" s="968"/>
      <c r="AF598" s="968"/>
      <c r="AG598" s="968"/>
      <c r="AH598" s="968"/>
      <c r="AI598" s="968"/>
      <c r="AJ598" s="968"/>
      <c r="AK598" s="969"/>
      <c r="AZ598" s="1"/>
      <c r="BA598" s="1"/>
      <c r="BB598" s="1"/>
      <c r="BC598" s="1"/>
    </row>
    <row r="599" spans="1:185" ht="12.75" customHeight="1">
      <c r="A599" s="117"/>
      <c r="B599" s="32" t="s">
        <v>1860</v>
      </c>
      <c r="N599" s="973" t="s">
        <v>901</v>
      </c>
      <c r="O599" s="969"/>
      <c r="T599" s="117"/>
      <c r="U599" s="32" t="s">
        <v>1860</v>
      </c>
      <c r="AG599" s="973" t="s">
        <v>460</v>
      </c>
      <c r="AH599" s="969"/>
      <c r="AZ599" s="1"/>
      <c r="BA599" s="1"/>
      <c r="BB599" s="1"/>
      <c r="BC599" s="1"/>
    </row>
    <row r="600" spans="1:185" ht="12.75" customHeight="1">
      <c r="A600" s="117"/>
      <c r="T600" s="117"/>
      <c r="AZ600" s="1"/>
      <c r="BA600" s="1"/>
      <c r="BB600" s="1"/>
      <c r="BC600" s="1"/>
    </row>
    <row r="601" spans="1:185" ht="12.75" customHeight="1">
      <c r="A601" s="367" t="s">
        <v>1814</v>
      </c>
      <c r="B601" s="32" t="s">
        <v>1845</v>
      </c>
      <c r="G601" s="966">
        <f>C568</f>
        <v>0</v>
      </c>
      <c r="H601" s="961"/>
      <c r="I601" s="961"/>
      <c r="J601" s="961"/>
      <c r="K601" s="961"/>
      <c r="L601" s="961"/>
      <c r="M601" s="961"/>
      <c r="N601" s="961"/>
      <c r="O601" s="961"/>
      <c r="P601" s="961"/>
      <c r="Q601" s="961"/>
      <c r="R601" s="961"/>
      <c r="T601" s="367" t="s">
        <v>1821</v>
      </c>
      <c r="U601" s="32" t="s">
        <v>1845</v>
      </c>
      <c r="Z601" s="966">
        <f>C569</f>
        <v>0</v>
      </c>
      <c r="AA601" s="961"/>
      <c r="AB601" s="961"/>
      <c r="AC601" s="961"/>
      <c r="AD601" s="961"/>
      <c r="AE601" s="961"/>
      <c r="AF601" s="961"/>
      <c r="AG601" s="961"/>
      <c r="AH601" s="961"/>
      <c r="AI601" s="961"/>
      <c r="AJ601" s="961"/>
      <c r="AK601" s="961"/>
      <c r="AZ601" s="1"/>
      <c r="BA601" s="1"/>
      <c r="BB601" s="1"/>
      <c r="BC601" s="1"/>
    </row>
    <row r="602" spans="1:185" ht="12.75" customHeight="1">
      <c r="A602" s="117"/>
      <c r="B602" s="32" t="s">
        <v>1254</v>
      </c>
      <c r="G602" s="967"/>
      <c r="H602" s="968"/>
      <c r="I602" s="968"/>
      <c r="J602" s="968"/>
      <c r="K602" s="968"/>
      <c r="L602" s="968"/>
      <c r="M602" s="968"/>
      <c r="N602" s="968"/>
      <c r="O602" s="968"/>
      <c r="P602" s="968"/>
      <c r="Q602" s="968"/>
      <c r="R602" s="969"/>
      <c r="T602" s="117"/>
      <c r="U602" s="32" t="s">
        <v>1254</v>
      </c>
      <c r="Z602" s="967"/>
      <c r="AA602" s="968"/>
      <c r="AB602" s="968"/>
      <c r="AC602" s="968"/>
      <c r="AD602" s="968"/>
      <c r="AE602" s="968"/>
      <c r="AF602" s="968"/>
      <c r="AG602" s="968"/>
      <c r="AH602" s="968"/>
      <c r="AI602" s="968"/>
      <c r="AJ602" s="968"/>
      <c r="AK602" s="969"/>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row>
    <row r="603" spans="1:185" ht="12.75" customHeight="1">
      <c r="A603" s="117"/>
      <c r="B603" s="32" t="s">
        <v>1028</v>
      </c>
      <c r="G603" s="967"/>
      <c r="H603" s="968"/>
      <c r="I603" s="968"/>
      <c r="J603" s="968"/>
      <c r="K603" s="968"/>
      <c r="L603" s="968"/>
      <c r="M603" s="968"/>
      <c r="N603" s="968"/>
      <c r="O603" s="968"/>
      <c r="P603" s="968"/>
      <c r="Q603" s="968"/>
      <c r="R603" s="969"/>
      <c r="T603" s="117"/>
      <c r="U603" s="32" t="s">
        <v>1028</v>
      </c>
      <c r="Z603" s="970"/>
      <c r="AA603" s="921"/>
      <c r="AB603" s="921"/>
      <c r="AC603" s="921"/>
      <c r="AD603" s="921"/>
      <c r="AE603" s="921"/>
      <c r="AF603" s="921"/>
      <c r="AG603" s="921"/>
      <c r="AH603" s="921"/>
      <c r="AI603" s="921"/>
      <c r="AJ603" s="921"/>
      <c r="AK603" s="97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row>
    <row r="604" spans="1:185" ht="12.75" customHeight="1">
      <c r="A604" s="117"/>
      <c r="B604" s="32" t="s">
        <v>1850</v>
      </c>
      <c r="G604" s="967"/>
      <c r="H604" s="968"/>
      <c r="I604" s="968"/>
      <c r="J604" s="968"/>
      <c r="K604" s="968"/>
      <c r="L604" s="968"/>
      <c r="M604" s="968"/>
      <c r="N604" s="968"/>
      <c r="O604" s="968"/>
      <c r="P604" s="968"/>
      <c r="Q604" s="968"/>
      <c r="R604" s="969"/>
      <c r="T604" s="117"/>
      <c r="U604" s="32" t="s">
        <v>1850</v>
      </c>
      <c r="Z604" s="970"/>
      <c r="AA604" s="921"/>
      <c r="AB604" s="921"/>
      <c r="AC604" s="921"/>
      <c r="AD604" s="921"/>
      <c r="AE604" s="921"/>
      <c r="AF604" s="921"/>
      <c r="AG604" s="921"/>
      <c r="AH604" s="921"/>
      <c r="AI604" s="921"/>
      <c r="AJ604" s="921"/>
      <c r="AK604" s="97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row>
    <row r="605" spans="1:185" ht="12.75" customHeight="1">
      <c r="A605" s="117"/>
      <c r="B605" s="32" t="s">
        <v>875</v>
      </c>
      <c r="G605" s="972"/>
      <c r="H605" s="921"/>
      <c r="I605" s="921"/>
      <c r="J605" s="921"/>
      <c r="K605" s="921"/>
      <c r="L605" s="971"/>
      <c r="O605" s="33" t="s">
        <v>1263</v>
      </c>
      <c r="P605" s="970"/>
      <c r="Q605" s="921"/>
      <c r="R605" s="971"/>
      <c r="T605" s="117"/>
      <c r="U605" s="32" t="s">
        <v>875</v>
      </c>
      <c r="Z605" s="972"/>
      <c r="AA605" s="921"/>
      <c r="AB605" s="921"/>
      <c r="AC605" s="921"/>
      <c r="AD605" s="921"/>
      <c r="AE605" s="971"/>
      <c r="AH605" s="33" t="s">
        <v>1263</v>
      </c>
      <c r="AI605" s="970"/>
      <c r="AJ605" s="921"/>
      <c r="AK605" s="97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row>
    <row r="606" spans="1:185" ht="12.75" customHeight="1">
      <c r="A606" s="117"/>
      <c r="B606" s="32" t="s">
        <v>1853</v>
      </c>
      <c r="H606" s="967"/>
      <c r="I606" s="968"/>
      <c r="J606" s="968"/>
      <c r="K606" s="968"/>
      <c r="L606" s="968"/>
      <c r="M606" s="968"/>
      <c r="N606" s="968"/>
      <c r="O606" s="968"/>
      <c r="P606" s="968"/>
      <c r="Q606" s="968"/>
      <c r="R606" s="969"/>
      <c r="T606" s="117"/>
      <c r="U606" s="32" t="s">
        <v>1853</v>
      </c>
      <c r="AA606" s="967"/>
      <c r="AB606" s="968"/>
      <c r="AC606" s="968"/>
      <c r="AD606" s="968"/>
      <c r="AE606" s="968"/>
      <c r="AF606" s="968"/>
      <c r="AG606" s="968"/>
      <c r="AH606" s="968"/>
      <c r="AI606" s="968"/>
      <c r="AJ606" s="968"/>
      <c r="AK606" s="969"/>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row>
    <row r="607" spans="1:185" ht="12.75" customHeight="1">
      <c r="A607" s="117"/>
      <c r="B607" s="32" t="s">
        <v>1860</v>
      </c>
      <c r="N607" s="973" t="s">
        <v>460</v>
      </c>
      <c r="O607" s="969"/>
      <c r="T607" s="117"/>
      <c r="U607" s="32" t="s">
        <v>1860</v>
      </c>
      <c r="AG607" s="973" t="s">
        <v>460</v>
      </c>
      <c r="AH607" s="969"/>
      <c r="BB607" s="1"/>
      <c r="BC607" s="1"/>
    </row>
    <row r="608" spans="1:185" ht="12.75" customHeight="1">
      <c r="A608" s="117"/>
      <c r="T608" s="117"/>
      <c r="BB608" s="1"/>
      <c r="BC608" s="1"/>
    </row>
    <row r="609" spans="1:185" ht="12.75" customHeight="1">
      <c r="A609" s="367" t="s">
        <v>1824</v>
      </c>
      <c r="B609" s="32" t="s">
        <v>1845</v>
      </c>
      <c r="G609" s="966">
        <f>C570</f>
        <v>0</v>
      </c>
      <c r="H609" s="961"/>
      <c r="I609" s="961"/>
      <c r="J609" s="961"/>
      <c r="K609" s="961"/>
      <c r="L609" s="961"/>
      <c r="M609" s="961"/>
      <c r="N609" s="961"/>
      <c r="O609" s="961"/>
      <c r="P609" s="961"/>
      <c r="Q609" s="961"/>
      <c r="R609" s="961"/>
      <c r="T609" s="367" t="s">
        <v>1828</v>
      </c>
      <c r="U609" s="32" t="s">
        <v>1845</v>
      </c>
      <c r="Z609" s="966">
        <f>C571</f>
        <v>0</v>
      </c>
      <c r="AA609" s="961"/>
      <c r="AB609" s="961"/>
      <c r="AC609" s="961"/>
      <c r="AD609" s="961"/>
      <c r="AE609" s="961"/>
      <c r="AF609" s="961"/>
      <c r="AG609" s="961"/>
      <c r="AH609" s="961"/>
      <c r="AI609" s="961"/>
      <c r="AJ609" s="961"/>
      <c r="AK609" s="961"/>
      <c r="BB609" s="1"/>
      <c r="BC609" s="1"/>
    </row>
    <row r="610" spans="1:185" ht="12.75" customHeight="1">
      <c r="A610" s="117"/>
      <c r="B610" s="32" t="s">
        <v>1254</v>
      </c>
      <c r="G610" s="967"/>
      <c r="H610" s="968"/>
      <c r="I610" s="968"/>
      <c r="J610" s="968"/>
      <c r="K610" s="968"/>
      <c r="L610" s="968"/>
      <c r="M610" s="968"/>
      <c r="N610" s="968"/>
      <c r="O610" s="968"/>
      <c r="P610" s="968"/>
      <c r="Q610" s="968"/>
      <c r="R610" s="969"/>
      <c r="T610" s="117"/>
      <c r="U610" s="32" t="s">
        <v>1254</v>
      </c>
      <c r="Z610" s="967"/>
      <c r="AA610" s="968"/>
      <c r="AB610" s="968"/>
      <c r="AC610" s="968"/>
      <c r="AD610" s="968"/>
      <c r="AE610" s="968"/>
      <c r="AF610" s="968"/>
      <c r="AG610" s="968"/>
      <c r="AH610" s="968"/>
      <c r="AI610" s="968"/>
      <c r="AJ610" s="968"/>
      <c r="AK610" s="969"/>
      <c r="AZ610" s="1"/>
      <c r="BA610" s="1"/>
      <c r="BB610" s="1"/>
      <c r="BC610" s="1"/>
    </row>
    <row r="611" spans="1:185" ht="12.75" customHeight="1">
      <c r="A611" s="117"/>
      <c r="B611" s="32" t="s">
        <v>1028</v>
      </c>
      <c r="G611" s="967"/>
      <c r="H611" s="968"/>
      <c r="I611" s="968"/>
      <c r="J611" s="968"/>
      <c r="K611" s="968"/>
      <c r="L611" s="968"/>
      <c r="M611" s="968"/>
      <c r="N611" s="968"/>
      <c r="O611" s="968"/>
      <c r="P611" s="968"/>
      <c r="Q611" s="968"/>
      <c r="R611" s="969"/>
      <c r="T611" s="117"/>
      <c r="U611" s="32" t="s">
        <v>1028</v>
      </c>
      <c r="Z611" s="970"/>
      <c r="AA611" s="921"/>
      <c r="AB611" s="921"/>
      <c r="AC611" s="921"/>
      <c r="AD611" s="921"/>
      <c r="AE611" s="921"/>
      <c r="AF611" s="921"/>
      <c r="AG611" s="921"/>
      <c r="AH611" s="921"/>
      <c r="AI611" s="921"/>
      <c r="AJ611" s="921"/>
      <c r="AK611" s="971"/>
      <c r="AZ611" s="1"/>
      <c r="BA611" s="1"/>
      <c r="BB611" s="1"/>
      <c r="BC611" s="1"/>
    </row>
    <row r="612" spans="1:185" ht="12.75" customHeight="1">
      <c r="A612" s="117"/>
      <c r="B612" s="32" t="s">
        <v>1850</v>
      </c>
      <c r="G612" s="967"/>
      <c r="H612" s="968"/>
      <c r="I612" s="968"/>
      <c r="J612" s="968"/>
      <c r="K612" s="968"/>
      <c r="L612" s="968"/>
      <c r="M612" s="968"/>
      <c r="N612" s="968"/>
      <c r="O612" s="968"/>
      <c r="P612" s="968"/>
      <c r="Q612" s="968"/>
      <c r="R612" s="969"/>
      <c r="T612" s="117"/>
      <c r="U612" s="32" t="s">
        <v>1850</v>
      </c>
      <c r="Z612" s="970"/>
      <c r="AA612" s="921"/>
      <c r="AB612" s="921"/>
      <c r="AC612" s="921"/>
      <c r="AD612" s="921"/>
      <c r="AE612" s="921"/>
      <c r="AF612" s="921"/>
      <c r="AG612" s="921"/>
      <c r="AH612" s="921"/>
      <c r="AI612" s="921"/>
      <c r="AJ612" s="921"/>
      <c r="AK612" s="971"/>
      <c r="AZ612" s="1"/>
      <c r="BA612" s="1"/>
      <c r="BB612" s="1"/>
      <c r="BC612" s="1"/>
    </row>
    <row r="613" spans="1:185" ht="12.75" customHeight="1">
      <c r="A613" s="117"/>
      <c r="B613" s="32" t="s">
        <v>875</v>
      </c>
      <c r="G613" s="972"/>
      <c r="H613" s="921"/>
      <c r="I613" s="921"/>
      <c r="J613" s="921"/>
      <c r="K613" s="921"/>
      <c r="L613" s="971"/>
      <c r="O613" s="33" t="s">
        <v>1263</v>
      </c>
      <c r="P613" s="970"/>
      <c r="Q613" s="921"/>
      <c r="R613" s="971"/>
      <c r="T613" s="117"/>
      <c r="U613" s="32" t="s">
        <v>875</v>
      </c>
      <c r="Z613" s="972"/>
      <c r="AA613" s="921"/>
      <c r="AB613" s="921"/>
      <c r="AC613" s="921"/>
      <c r="AD613" s="921"/>
      <c r="AE613" s="971"/>
      <c r="AH613" s="33" t="s">
        <v>1263</v>
      </c>
      <c r="AI613" s="970"/>
      <c r="AJ613" s="921"/>
      <c r="AK613" s="97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row>
    <row r="614" spans="1:185" ht="12.75" customHeight="1">
      <c r="A614" s="117"/>
      <c r="B614" s="32" t="s">
        <v>1853</v>
      </c>
      <c r="H614" s="967"/>
      <c r="I614" s="968"/>
      <c r="J614" s="968"/>
      <c r="K614" s="968"/>
      <c r="L614" s="968"/>
      <c r="M614" s="968"/>
      <c r="N614" s="968"/>
      <c r="O614" s="968"/>
      <c r="P614" s="968"/>
      <c r="Q614" s="968"/>
      <c r="R614" s="969"/>
      <c r="T614" s="117"/>
      <c r="U614" s="32" t="s">
        <v>1853</v>
      </c>
      <c r="AA614" s="967"/>
      <c r="AB614" s="968"/>
      <c r="AC614" s="968"/>
      <c r="AD614" s="968"/>
      <c r="AE614" s="968"/>
      <c r="AF614" s="968"/>
      <c r="AG614" s="968"/>
      <c r="AH614" s="968"/>
      <c r="AI614" s="968"/>
      <c r="AJ614" s="968"/>
      <c r="AK614" s="969"/>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row>
    <row r="615" spans="1:185" ht="12.75" customHeight="1">
      <c r="A615" s="117"/>
      <c r="B615" s="32" t="s">
        <v>1860</v>
      </c>
      <c r="N615" s="973" t="s">
        <v>460</v>
      </c>
      <c r="O615" s="969"/>
      <c r="T615" s="117"/>
      <c r="U615" s="32" t="s">
        <v>1860</v>
      </c>
      <c r="AG615" s="973" t="s">
        <v>460</v>
      </c>
      <c r="AH615" s="969"/>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row>
    <row r="616" spans="1:185" ht="12.75" customHeight="1">
      <c r="A616" s="117"/>
      <c r="T616" s="117"/>
      <c r="AZ616" s="1"/>
      <c r="BA616" s="1"/>
      <c r="BB616" s="1"/>
      <c r="BC616" s="1"/>
    </row>
    <row r="617" spans="1:185" ht="12.75" customHeight="1">
      <c r="A617" s="367" t="s">
        <v>1831</v>
      </c>
      <c r="B617" s="32" t="s">
        <v>1845</v>
      </c>
      <c r="G617" s="966">
        <f>C572</f>
        <v>0</v>
      </c>
      <c r="H617" s="961"/>
      <c r="I617" s="961"/>
      <c r="J617" s="961"/>
      <c r="K617" s="961"/>
      <c r="L617" s="961"/>
      <c r="M617" s="961"/>
      <c r="N617" s="961"/>
      <c r="O617" s="961"/>
      <c r="P617" s="961"/>
      <c r="Q617" s="961"/>
      <c r="R617" s="961"/>
      <c r="T617" s="367" t="s">
        <v>1833</v>
      </c>
      <c r="U617" s="32" t="s">
        <v>1845</v>
      </c>
      <c r="Z617" s="966">
        <f>C573</f>
        <v>0</v>
      </c>
      <c r="AA617" s="961"/>
      <c r="AB617" s="961"/>
      <c r="AC617" s="961"/>
      <c r="AD617" s="961"/>
      <c r="AE617" s="961"/>
      <c r="AF617" s="961"/>
      <c r="AG617" s="961"/>
      <c r="AH617" s="961"/>
      <c r="AI617" s="961"/>
      <c r="AJ617" s="961"/>
      <c r="AK617" s="961"/>
      <c r="AZ617" s="1"/>
      <c r="BA617" s="1"/>
      <c r="BB617" s="1"/>
      <c r="BC617" s="1"/>
    </row>
    <row r="618" spans="1:185" ht="12.75" customHeight="1">
      <c r="B618" s="32" t="s">
        <v>1254</v>
      </c>
      <c r="G618" s="967"/>
      <c r="H618" s="968"/>
      <c r="I618" s="968"/>
      <c r="J618" s="968"/>
      <c r="K618" s="968"/>
      <c r="L618" s="968"/>
      <c r="M618" s="968"/>
      <c r="N618" s="968"/>
      <c r="O618" s="968"/>
      <c r="P618" s="968"/>
      <c r="Q618" s="968"/>
      <c r="R618" s="969"/>
      <c r="U618" s="32" t="s">
        <v>1254</v>
      </c>
      <c r="Z618" s="967"/>
      <c r="AA618" s="968"/>
      <c r="AB618" s="968"/>
      <c r="AC618" s="968"/>
      <c r="AD618" s="968"/>
      <c r="AE618" s="968"/>
      <c r="AF618" s="968"/>
      <c r="AG618" s="968"/>
      <c r="AH618" s="968"/>
      <c r="AI618" s="968"/>
      <c r="AJ618" s="968"/>
      <c r="AK618" s="969"/>
      <c r="AZ618" s="1"/>
      <c r="BA618" s="1"/>
      <c r="BB618" s="1"/>
      <c r="BC618" s="1"/>
    </row>
    <row r="619" spans="1:185" ht="12.75" customHeight="1">
      <c r="B619" s="32" t="s">
        <v>1028</v>
      </c>
      <c r="G619" s="967"/>
      <c r="H619" s="968"/>
      <c r="I619" s="968"/>
      <c r="J619" s="968"/>
      <c r="K619" s="968"/>
      <c r="L619" s="968"/>
      <c r="M619" s="968"/>
      <c r="N619" s="968"/>
      <c r="O619" s="968"/>
      <c r="P619" s="968"/>
      <c r="Q619" s="968"/>
      <c r="R619" s="969"/>
      <c r="U619" s="32" t="s">
        <v>1028</v>
      </c>
      <c r="Z619" s="970"/>
      <c r="AA619" s="921"/>
      <c r="AB619" s="921"/>
      <c r="AC619" s="921"/>
      <c r="AD619" s="921"/>
      <c r="AE619" s="921"/>
      <c r="AF619" s="921"/>
      <c r="AG619" s="921"/>
      <c r="AH619" s="921"/>
      <c r="AI619" s="921"/>
      <c r="AJ619" s="921"/>
      <c r="AK619" s="971"/>
      <c r="AZ619" s="1"/>
      <c r="BA619" s="1"/>
      <c r="BB619" s="1"/>
      <c r="BC619" s="1"/>
    </row>
    <row r="620" spans="1:185" ht="12.75" customHeight="1">
      <c r="B620" s="32" t="s">
        <v>1850</v>
      </c>
      <c r="G620" s="967"/>
      <c r="H620" s="968"/>
      <c r="I620" s="968"/>
      <c r="J620" s="968"/>
      <c r="K620" s="968"/>
      <c r="L620" s="968"/>
      <c r="M620" s="968"/>
      <c r="N620" s="968"/>
      <c r="O620" s="968"/>
      <c r="P620" s="968"/>
      <c r="Q620" s="968"/>
      <c r="R620" s="969"/>
      <c r="U620" s="32" t="s">
        <v>1850</v>
      </c>
      <c r="Z620" s="970"/>
      <c r="AA620" s="921"/>
      <c r="AB620" s="921"/>
      <c r="AC620" s="921"/>
      <c r="AD620" s="921"/>
      <c r="AE620" s="921"/>
      <c r="AF620" s="921"/>
      <c r="AG620" s="921"/>
      <c r="AH620" s="921"/>
      <c r="AI620" s="921"/>
      <c r="AJ620" s="921"/>
      <c r="AK620" s="971"/>
      <c r="AZ620" s="1"/>
      <c r="BA620" s="1"/>
      <c r="BB620" s="1"/>
      <c r="BC620" s="1"/>
    </row>
    <row r="621" spans="1:185" ht="12.75" customHeight="1">
      <c r="B621" s="32" t="s">
        <v>875</v>
      </c>
      <c r="G621" s="972"/>
      <c r="H621" s="921"/>
      <c r="I621" s="921"/>
      <c r="J621" s="921"/>
      <c r="K621" s="921"/>
      <c r="L621" s="971"/>
      <c r="O621" s="33" t="s">
        <v>1263</v>
      </c>
      <c r="P621" s="970"/>
      <c r="Q621" s="921"/>
      <c r="R621" s="971"/>
      <c r="U621" s="32" t="s">
        <v>875</v>
      </c>
      <c r="Z621" s="972"/>
      <c r="AA621" s="921"/>
      <c r="AB621" s="921"/>
      <c r="AC621" s="921"/>
      <c r="AD621" s="921"/>
      <c r="AE621" s="971"/>
      <c r="AH621" s="33" t="s">
        <v>1263</v>
      </c>
      <c r="AI621" s="970"/>
      <c r="AJ621" s="921"/>
      <c r="AK621" s="971"/>
      <c r="AZ621" s="1"/>
      <c r="BA621" s="1"/>
      <c r="BB621" s="1"/>
      <c r="BC621" s="1"/>
    </row>
    <row r="622" spans="1:185" ht="12.75" customHeight="1">
      <c r="B622" s="32" t="s">
        <v>1853</v>
      </c>
      <c r="H622" s="967"/>
      <c r="I622" s="968"/>
      <c r="J622" s="968"/>
      <c r="K622" s="968"/>
      <c r="L622" s="968"/>
      <c r="M622" s="968"/>
      <c r="N622" s="968"/>
      <c r="O622" s="968"/>
      <c r="P622" s="968"/>
      <c r="Q622" s="968"/>
      <c r="R622" s="969"/>
      <c r="U622" s="32" t="s">
        <v>1853</v>
      </c>
      <c r="AA622" s="967"/>
      <c r="AB622" s="968"/>
      <c r="AC622" s="968"/>
      <c r="AD622" s="968"/>
      <c r="AE622" s="968"/>
      <c r="AF622" s="968"/>
      <c r="AG622" s="968"/>
      <c r="AH622" s="968"/>
      <c r="AI622" s="968"/>
      <c r="AJ622" s="968"/>
      <c r="AK622" s="969"/>
      <c r="AU622" s="61"/>
      <c r="AV622" s="61"/>
      <c r="AW622" s="61"/>
      <c r="AX622" s="61"/>
      <c r="AY622" s="61"/>
      <c r="AZ622" s="1"/>
      <c r="BA622" s="1"/>
      <c r="BB622" s="1"/>
      <c r="BC622" s="1"/>
    </row>
    <row r="623" spans="1:185" ht="12.75" customHeight="1">
      <c r="B623" s="32" t="s">
        <v>1860</v>
      </c>
      <c r="N623" s="973" t="s">
        <v>460</v>
      </c>
      <c r="O623" s="969"/>
      <c r="U623" s="32" t="s">
        <v>1860</v>
      </c>
      <c r="AG623" s="973" t="s">
        <v>460</v>
      </c>
      <c r="AH623" s="969"/>
      <c r="AU623" s="61"/>
      <c r="AV623" s="61"/>
      <c r="AW623" s="61"/>
      <c r="AX623" s="61"/>
      <c r="AY623" s="61"/>
      <c r="AZ623" s="1"/>
      <c r="BA623" s="1"/>
      <c r="BB623" s="1"/>
      <c r="BC623" s="1"/>
    </row>
    <row r="624" spans="1:185" ht="12.75" customHeight="1">
      <c r="AZ624" s="1"/>
      <c r="BA624" s="1"/>
      <c r="BB624" s="1"/>
      <c r="BC624" s="1"/>
    </row>
    <row r="625" spans="1:56" ht="12.75" customHeight="1">
      <c r="A625" s="900" t="s">
        <v>1909</v>
      </c>
      <c r="B625" s="901"/>
      <c r="C625" s="901"/>
      <c r="D625" s="901"/>
      <c r="E625" s="901"/>
      <c r="F625" s="901"/>
      <c r="G625" s="901"/>
      <c r="H625" s="901"/>
      <c r="I625" s="901"/>
      <c r="J625" s="901"/>
      <c r="K625" s="901"/>
      <c r="L625" s="901"/>
      <c r="M625" s="901"/>
      <c r="N625" s="901"/>
      <c r="O625" s="901"/>
      <c r="P625" s="901"/>
      <c r="Q625" s="901"/>
      <c r="R625" s="901"/>
      <c r="S625" s="901"/>
      <c r="T625" s="901"/>
      <c r="U625" s="901"/>
      <c r="V625" s="901"/>
      <c r="W625" s="901"/>
      <c r="X625" s="901"/>
      <c r="Y625" s="901"/>
      <c r="Z625" s="901"/>
      <c r="AA625" s="901"/>
      <c r="AB625" s="901"/>
      <c r="AC625" s="901"/>
      <c r="AD625" s="901"/>
      <c r="AE625" s="901"/>
      <c r="AF625" s="901"/>
      <c r="AG625" s="901"/>
      <c r="AH625" s="901"/>
      <c r="AI625" s="901"/>
      <c r="AJ625" s="901"/>
      <c r="AK625" s="901"/>
      <c r="AL625" s="901"/>
      <c r="AM625" s="901"/>
      <c r="AN625" s="901"/>
      <c r="AO625" s="901"/>
      <c r="AP625" s="901"/>
      <c r="AQ625" s="901"/>
      <c r="AR625" s="901"/>
      <c r="AS625" s="901"/>
      <c r="AT625" s="902"/>
      <c r="AZ625" s="1"/>
      <c r="BA625" s="1"/>
      <c r="BB625" s="1"/>
      <c r="BC625" s="1"/>
    </row>
    <row r="626" spans="1:56" ht="12.75" customHeight="1">
      <c r="A626" s="989"/>
      <c r="B626" s="990"/>
      <c r="C626" s="990"/>
      <c r="D626" s="990"/>
      <c r="E626" s="990"/>
      <c r="F626" s="990"/>
      <c r="G626" s="990"/>
      <c r="H626" s="990"/>
      <c r="I626" s="990"/>
      <c r="J626" s="990"/>
      <c r="K626" s="990"/>
      <c r="L626" s="990"/>
      <c r="M626" s="990"/>
      <c r="N626" s="990"/>
      <c r="O626" s="990"/>
      <c r="P626" s="990"/>
      <c r="Q626" s="990"/>
      <c r="R626" s="990"/>
      <c r="S626" s="990"/>
      <c r="T626" s="990"/>
      <c r="U626" s="990"/>
      <c r="V626" s="990"/>
      <c r="W626" s="990"/>
      <c r="X626" s="990"/>
      <c r="Y626" s="990"/>
      <c r="Z626" s="990"/>
      <c r="AA626" s="990"/>
      <c r="AB626" s="990"/>
      <c r="AC626" s="990"/>
      <c r="AD626" s="990"/>
      <c r="AE626" s="990"/>
      <c r="AF626" s="990"/>
      <c r="AG626" s="990"/>
      <c r="AH626" s="990"/>
      <c r="AI626" s="990"/>
      <c r="AJ626" s="990"/>
      <c r="AK626" s="990"/>
      <c r="AL626" s="990"/>
      <c r="AM626" s="990"/>
      <c r="AN626" s="990"/>
      <c r="AO626" s="990"/>
      <c r="AP626" s="990"/>
      <c r="AQ626" s="990"/>
      <c r="AR626" s="990"/>
      <c r="AS626" s="990"/>
      <c r="AT626" s="991"/>
      <c r="AZ626" s="1"/>
      <c r="BA626" s="1"/>
      <c r="BB626" s="1"/>
      <c r="BC626" s="1"/>
    </row>
    <row r="627" spans="1:56" ht="12.75" customHeight="1">
      <c r="AZ627" s="1"/>
      <c r="BA627" s="1"/>
      <c r="BB627" s="1"/>
      <c r="BC627" s="1"/>
    </row>
    <row r="628" spans="1:56" ht="12.75" customHeight="1">
      <c r="A628" s="8" t="s">
        <v>947</v>
      </c>
      <c r="B628" s="8"/>
      <c r="C628" s="8" t="s">
        <v>222</v>
      </c>
      <c r="AZ628" s="1"/>
      <c r="BA628" s="1"/>
      <c r="BB628" s="1"/>
      <c r="BC628" s="1"/>
    </row>
    <row r="629" spans="1:56" ht="12.75" customHeight="1">
      <c r="A629" s="8"/>
      <c r="B629" s="8"/>
      <c r="C629" s="8"/>
      <c r="AZ629" s="1"/>
      <c r="BA629" s="1"/>
      <c r="BB629" s="1"/>
      <c r="BC629" s="1"/>
    </row>
    <row r="630" spans="1:56" ht="12.75" customHeight="1">
      <c r="C630" s="8" t="s">
        <v>1914</v>
      </c>
      <c r="AZ630" s="1"/>
      <c r="BA630" s="1"/>
      <c r="BB630" s="1"/>
      <c r="BC630" s="1"/>
    </row>
    <row r="631" spans="1:56" ht="12.75" customHeight="1">
      <c r="B631" s="24"/>
      <c r="C631" s="8"/>
      <c r="AU631" s="1"/>
      <c r="AZ631" s="1"/>
      <c r="BA631" s="1"/>
      <c r="BB631" s="1"/>
      <c r="BC631" s="1"/>
    </row>
    <row r="632" spans="1:56" ht="12.75" customHeight="1">
      <c r="B632" s="1068" t="s">
        <v>1774</v>
      </c>
      <c r="C632" s="947"/>
      <c r="D632" s="947"/>
      <c r="E632" s="947"/>
      <c r="F632" s="947"/>
      <c r="G632" s="947"/>
      <c r="H632" s="947"/>
      <c r="I632" s="947"/>
      <c r="J632" s="947"/>
      <c r="K632" s="947"/>
      <c r="L632" s="948"/>
      <c r="M632" s="1062" t="s">
        <v>1777</v>
      </c>
      <c r="N632" s="947"/>
      <c r="O632" s="947"/>
      <c r="P632" s="948"/>
      <c r="Q632" s="1062" t="s">
        <v>1915</v>
      </c>
      <c r="R632" s="947"/>
      <c r="S632" s="948"/>
      <c r="T632" s="1062" t="s">
        <v>1916</v>
      </c>
      <c r="U632" s="947"/>
      <c r="V632" s="948"/>
      <c r="W632" s="1063" t="s">
        <v>1781</v>
      </c>
      <c r="X632" s="947"/>
      <c r="Y632" s="948"/>
      <c r="Z632" s="1065" t="s">
        <v>1917</v>
      </c>
      <c r="AA632" s="947"/>
      <c r="AB632" s="948"/>
      <c r="AC632" s="1066" t="s">
        <v>1783</v>
      </c>
      <c r="AD632" s="947"/>
      <c r="AE632" s="948"/>
      <c r="AF632" s="1062" t="s">
        <v>1918</v>
      </c>
      <c r="AG632" s="947"/>
      <c r="AH632" s="947"/>
      <c r="AI632" s="947"/>
      <c r="AJ632" s="948"/>
      <c r="AK632" s="1067" t="s">
        <v>1919</v>
      </c>
      <c r="AL632" s="947"/>
      <c r="AM632" s="947"/>
      <c r="AN632" s="948"/>
      <c r="AO632" s="1062" t="s">
        <v>1785</v>
      </c>
      <c r="AP632" s="947"/>
      <c r="AQ632" s="947"/>
      <c r="AR632" s="947"/>
      <c r="AS632" s="948"/>
      <c r="AU632" s="1"/>
      <c r="AZ632" s="1"/>
      <c r="BA632" s="1"/>
      <c r="BB632" s="1"/>
      <c r="BC632" s="1"/>
    </row>
    <row r="633" spans="1:56" ht="12.75" customHeight="1">
      <c r="B633" s="958"/>
      <c r="C633" s="893"/>
      <c r="D633" s="893"/>
      <c r="E633" s="893"/>
      <c r="F633" s="893"/>
      <c r="G633" s="893"/>
      <c r="H633" s="893"/>
      <c r="I633" s="893"/>
      <c r="J633" s="893"/>
      <c r="K633" s="893"/>
      <c r="L633" s="959"/>
      <c r="M633" s="958"/>
      <c r="N633" s="893"/>
      <c r="O633" s="893"/>
      <c r="P633" s="959"/>
      <c r="Q633" s="958"/>
      <c r="R633" s="893"/>
      <c r="S633" s="959"/>
      <c r="T633" s="958"/>
      <c r="U633" s="893"/>
      <c r="V633" s="959"/>
      <c r="W633" s="958"/>
      <c r="X633" s="893"/>
      <c r="Y633" s="959"/>
      <c r="Z633" s="893"/>
      <c r="AA633" s="893"/>
      <c r="AB633" s="959"/>
      <c r="AC633" s="958"/>
      <c r="AD633" s="893"/>
      <c r="AE633" s="959"/>
      <c r="AF633" s="958"/>
      <c r="AG633" s="893"/>
      <c r="AH633" s="893"/>
      <c r="AI633" s="893"/>
      <c r="AJ633" s="959"/>
      <c r="AK633" s="958"/>
      <c r="AL633" s="893"/>
      <c r="AM633" s="893"/>
      <c r="AN633" s="959"/>
      <c r="AO633" s="958"/>
      <c r="AP633" s="893"/>
      <c r="AQ633" s="893"/>
      <c r="AR633" s="893"/>
      <c r="AS633" s="959"/>
      <c r="AU633" s="1"/>
      <c r="AZ633" s="1"/>
      <c r="BA633" s="1"/>
      <c r="BB633" s="1"/>
      <c r="BC633" s="1"/>
      <c r="BD633" s="1"/>
    </row>
    <row r="634" spans="1:56" ht="12.75" customHeight="1">
      <c r="B634" s="960"/>
      <c r="C634" s="961"/>
      <c r="D634" s="961"/>
      <c r="E634" s="961"/>
      <c r="F634" s="961"/>
      <c r="G634" s="961"/>
      <c r="H634" s="961"/>
      <c r="I634" s="961"/>
      <c r="J634" s="961"/>
      <c r="K634" s="961"/>
      <c r="L634" s="962"/>
      <c r="M634" s="960"/>
      <c r="N634" s="961"/>
      <c r="O634" s="961"/>
      <c r="P634" s="962"/>
      <c r="Q634" s="960"/>
      <c r="R634" s="961"/>
      <c r="S634" s="962"/>
      <c r="T634" s="960"/>
      <c r="U634" s="961"/>
      <c r="V634" s="962"/>
      <c r="W634" s="960"/>
      <c r="X634" s="961"/>
      <c r="Y634" s="962"/>
      <c r="Z634" s="961"/>
      <c r="AA634" s="961"/>
      <c r="AB634" s="962"/>
      <c r="AC634" s="960"/>
      <c r="AD634" s="961"/>
      <c r="AE634" s="962"/>
      <c r="AF634" s="960"/>
      <c r="AG634" s="961"/>
      <c r="AH634" s="961"/>
      <c r="AI634" s="961"/>
      <c r="AJ634" s="962"/>
      <c r="AK634" s="960"/>
      <c r="AL634" s="961"/>
      <c r="AM634" s="961"/>
      <c r="AN634" s="962"/>
      <c r="AO634" s="960"/>
      <c r="AP634" s="961"/>
      <c r="AQ634" s="961"/>
      <c r="AR634" s="961"/>
      <c r="AS634" s="962"/>
      <c r="AT634" s="1"/>
      <c r="AU634" s="1"/>
      <c r="AZ634" s="1"/>
      <c r="BA634" s="1"/>
      <c r="BB634" s="1"/>
      <c r="BC634" s="1"/>
      <c r="BD634" s="1"/>
    </row>
    <row r="635" spans="1:56" ht="12.75" customHeight="1">
      <c r="B635" s="353" t="s">
        <v>39</v>
      </c>
      <c r="C635" s="1060" t="s">
        <v>1793</v>
      </c>
      <c r="D635" s="921"/>
      <c r="E635" s="921"/>
      <c r="F635" s="921"/>
      <c r="G635" s="921"/>
      <c r="H635" s="921"/>
      <c r="I635" s="921"/>
      <c r="J635" s="921"/>
      <c r="K635" s="921"/>
      <c r="L635" s="971"/>
      <c r="M635" s="1061" t="s">
        <v>1747</v>
      </c>
      <c r="N635" s="921"/>
      <c r="O635" s="921"/>
      <c r="P635" s="943"/>
      <c r="Q635" s="1070">
        <v>192</v>
      </c>
      <c r="R635" s="921"/>
      <c r="S635" s="943"/>
      <c r="T635" s="950">
        <v>480</v>
      </c>
      <c r="U635" s="921"/>
      <c r="V635" s="943"/>
      <c r="W635" s="1064">
        <v>5.7500000000000002E-2</v>
      </c>
      <c r="X635" s="921"/>
      <c r="Y635" s="943"/>
      <c r="Z635" s="1029" t="s">
        <v>1920</v>
      </c>
      <c r="AA635" s="921"/>
      <c r="AB635" s="943"/>
      <c r="AC635" s="950">
        <v>1</v>
      </c>
      <c r="AD635" s="921"/>
      <c r="AE635" s="943"/>
      <c r="AF635" s="952">
        <f t="shared" ref="AF635:AF636" si="5">PMT(W635/12, 480, -AO635)*12</f>
        <v>1817119.8206765649</v>
      </c>
      <c r="AG635" s="921"/>
      <c r="AH635" s="921"/>
      <c r="AI635" s="921"/>
      <c r="AJ635" s="943"/>
      <c r="AK635" s="952"/>
      <c r="AL635" s="921"/>
      <c r="AM635" s="921"/>
      <c r="AN635" s="943"/>
      <c r="AO635" s="978">
        <v>28416244</v>
      </c>
      <c r="AP635" s="921"/>
      <c r="AQ635" s="921"/>
      <c r="AR635" s="921"/>
      <c r="AS635" s="943"/>
      <c r="AT635" s="1"/>
      <c r="AU635" s="1"/>
      <c r="AZ635" s="1"/>
      <c r="BA635" s="1"/>
      <c r="BB635" s="1"/>
      <c r="BC635" s="1"/>
      <c r="BD635" s="1"/>
    </row>
    <row r="636" spans="1:56" ht="12.75" customHeight="1">
      <c r="B636" s="356" t="s">
        <v>56</v>
      </c>
      <c r="C636" s="1060" t="s">
        <v>1793</v>
      </c>
      <c r="D636" s="921"/>
      <c r="E636" s="921"/>
      <c r="F636" s="921"/>
      <c r="G636" s="921"/>
      <c r="H636" s="921"/>
      <c r="I636" s="921"/>
      <c r="J636" s="921"/>
      <c r="K636" s="921"/>
      <c r="L636" s="971"/>
      <c r="M636" s="1061" t="s">
        <v>1746</v>
      </c>
      <c r="N636" s="921"/>
      <c r="O636" s="921"/>
      <c r="P636" s="943"/>
      <c r="Q636" s="950">
        <v>192</v>
      </c>
      <c r="R636" s="921"/>
      <c r="S636" s="943"/>
      <c r="T636" s="950">
        <v>480</v>
      </c>
      <c r="U636" s="921"/>
      <c r="V636" s="943"/>
      <c r="W636" s="1064">
        <v>5.7500000000000002E-2</v>
      </c>
      <c r="X636" s="921"/>
      <c r="Y636" s="943"/>
      <c r="Z636" s="1029" t="s">
        <v>1920</v>
      </c>
      <c r="AA636" s="921"/>
      <c r="AB636" s="943"/>
      <c r="AC636" s="950">
        <v>1</v>
      </c>
      <c r="AD636" s="921"/>
      <c r="AE636" s="943"/>
      <c r="AF636" s="952">
        <f t="shared" si="5"/>
        <v>1863130.1067796345</v>
      </c>
      <c r="AG636" s="921"/>
      <c r="AH636" s="921"/>
      <c r="AI636" s="921"/>
      <c r="AJ636" s="943"/>
      <c r="AK636" s="952"/>
      <c r="AL636" s="921"/>
      <c r="AM636" s="921"/>
      <c r="AN636" s="943"/>
      <c r="AO636" s="978">
        <f>57552000-AO635</f>
        <v>29135756</v>
      </c>
      <c r="AP636" s="921"/>
      <c r="AQ636" s="921"/>
      <c r="AR636" s="921"/>
      <c r="AS636" s="943"/>
      <c r="AT636" s="355" t="str">
        <f t="shared" ref="AT636:AT646" si="6">IF(AND(NOT(C635=""),C636="",NOT(C637="")),"!","")</f>
        <v/>
      </c>
      <c r="AU636" s="1"/>
      <c r="AZ636" s="1"/>
      <c r="BA636" s="1"/>
      <c r="BB636" s="1"/>
      <c r="BC636" s="1"/>
      <c r="BD636" s="1"/>
    </row>
    <row r="637" spans="1:56" ht="12.75" customHeight="1">
      <c r="B637" s="356" t="s">
        <v>67</v>
      </c>
      <c r="C637" s="1060" t="s">
        <v>1800</v>
      </c>
      <c r="D637" s="921"/>
      <c r="E637" s="921"/>
      <c r="F637" s="921"/>
      <c r="G637" s="921"/>
      <c r="H637" s="921"/>
      <c r="I637" s="921"/>
      <c r="J637" s="921"/>
      <c r="K637" s="921"/>
      <c r="L637" s="971"/>
      <c r="M637" s="1061" t="s">
        <v>1720</v>
      </c>
      <c r="N637" s="921"/>
      <c r="O637" s="921"/>
      <c r="P637" s="943"/>
      <c r="Q637" s="950">
        <v>180</v>
      </c>
      <c r="R637" s="921"/>
      <c r="S637" s="943"/>
      <c r="T637" s="950"/>
      <c r="U637" s="921"/>
      <c r="V637" s="943"/>
      <c r="W637" s="1064"/>
      <c r="X637" s="921"/>
      <c r="Y637" s="943"/>
      <c r="Z637" s="1029" t="s">
        <v>1922</v>
      </c>
      <c r="AA637" s="921"/>
      <c r="AB637" s="943"/>
      <c r="AC637" s="950"/>
      <c r="AD637" s="921"/>
      <c r="AE637" s="943"/>
      <c r="AF637" s="952"/>
      <c r="AG637" s="921"/>
      <c r="AH637" s="921"/>
      <c r="AI637" s="921"/>
      <c r="AJ637" s="943"/>
      <c r="AK637" s="952"/>
      <c r="AL637" s="921"/>
      <c r="AM637" s="921"/>
      <c r="AN637" s="943"/>
      <c r="AO637" s="978">
        <f>4458920+2676+4500-12000+822+90000</f>
        <v>4544918</v>
      </c>
      <c r="AP637" s="921"/>
      <c r="AQ637" s="921"/>
      <c r="AR637" s="921"/>
      <c r="AS637" s="943"/>
      <c r="AT637" s="355" t="str">
        <f t="shared" si="6"/>
        <v/>
      </c>
      <c r="AU637" s="1"/>
      <c r="AZ637" s="1"/>
      <c r="BA637" s="1"/>
      <c r="BB637" s="1"/>
      <c r="BC637" s="1"/>
      <c r="BD637" s="1"/>
    </row>
    <row r="638" spans="1:56" ht="12.75" customHeight="1">
      <c r="B638" s="356" t="s">
        <v>119</v>
      </c>
      <c r="C638" s="1060" t="s">
        <v>1803</v>
      </c>
      <c r="D638" s="921"/>
      <c r="E638" s="921"/>
      <c r="F638" s="921"/>
      <c r="G638" s="921"/>
      <c r="H638" s="921"/>
      <c r="I638" s="921"/>
      <c r="J638" s="921"/>
      <c r="K638" s="921"/>
      <c r="L638" s="971"/>
      <c r="M638" s="1061" t="s">
        <v>1749</v>
      </c>
      <c r="N638" s="921"/>
      <c r="O638" s="921"/>
      <c r="P638" s="943"/>
      <c r="Q638" s="950">
        <v>180</v>
      </c>
      <c r="R638" s="921"/>
      <c r="S638" s="943"/>
      <c r="T638" s="950"/>
      <c r="U638" s="921"/>
      <c r="V638" s="943"/>
      <c r="W638" s="1064"/>
      <c r="X638" s="921"/>
      <c r="Y638" s="943"/>
      <c r="Z638" s="1029" t="s">
        <v>808</v>
      </c>
      <c r="AA638" s="921"/>
      <c r="AB638" s="943"/>
      <c r="AC638" s="950"/>
      <c r="AD638" s="921"/>
      <c r="AE638" s="943"/>
      <c r="AF638" s="952"/>
      <c r="AG638" s="921"/>
      <c r="AH638" s="921"/>
      <c r="AI638" s="921"/>
      <c r="AJ638" s="943"/>
      <c r="AK638" s="952"/>
      <c r="AL638" s="921"/>
      <c r="AM638" s="921"/>
      <c r="AN638" s="943"/>
      <c r="AO638" s="978">
        <f>8392062-2</f>
        <v>8392060</v>
      </c>
      <c r="AP638" s="921"/>
      <c r="AQ638" s="921"/>
      <c r="AR638" s="921"/>
      <c r="AS638" s="943"/>
      <c r="AT638" s="355" t="str">
        <f t="shared" si="6"/>
        <v/>
      </c>
      <c r="AU638" s="1"/>
      <c r="AZ638" s="1"/>
      <c r="BA638" s="1"/>
      <c r="BB638" s="1"/>
      <c r="BC638" s="1"/>
      <c r="BD638" s="1"/>
    </row>
    <row r="639" spans="1:56" ht="12.75" customHeight="1">
      <c r="B639" s="356" t="s">
        <v>124</v>
      </c>
      <c r="C639" s="1060"/>
      <c r="D639" s="921"/>
      <c r="E639" s="921"/>
      <c r="F639" s="921"/>
      <c r="G639" s="921"/>
      <c r="H639" s="921"/>
      <c r="I639" s="921"/>
      <c r="J639" s="921"/>
      <c r="K639" s="921"/>
      <c r="L639" s="971"/>
      <c r="M639" s="1061" t="s">
        <v>1137</v>
      </c>
      <c r="N639" s="921"/>
      <c r="O639" s="921"/>
      <c r="P639" s="943"/>
      <c r="Q639" s="950"/>
      <c r="R639" s="921"/>
      <c r="S639" s="943"/>
      <c r="T639" s="950"/>
      <c r="U639" s="921"/>
      <c r="V639" s="943"/>
      <c r="W639" s="1064"/>
      <c r="X639" s="921"/>
      <c r="Y639" s="943"/>
      <c r="Z639" s="1029" t="s">
        <v>1137</v>
      </c>
      <c r="AA639" s="921"/>
      <c r="AB639" s="943"/>
      <c r="AC639" s="950"/>
      <c r="AD639" s="921"/>
      <c r="AE639" s="943"/>
      <c r="AF639" s="952"/>
      <c r="AG639" s="921"/>
      <c r="AH639" s="921"/>
      <c r="AI639" s="921"/>
      <c r="AJ639" s="943"/>
      <c r="AK639" s="952"/>
      <c r="AL639" s="921"/>
      <c r="AM639" s="921"/>
      <c r="AN639" s="943"/>
      <c r="AO639" s="978"/>
      <c r="AP639" s="921"/>
      <c r="AQ639" s="921"/>
      <c r="AR639" s="921"/>
      <c r="AS639" s="943"/>
      <c r="AT639" s="355" t="str">
        <f t="shared" si="6"/>
        <v/>
      </c>
      <c r="AU639" s="1"/>
      <c r="AZ639" s="1"/>
      <c r="BA639" s="1"/>
      <c r="BB639" s="1"/>
      <c r="BC639" s="1"/>
      <c r="BD639" s="1"/>
    </row>
    <row r="640" spans="1:56" ht="12.75" customHeight="1">
      <c r="B640" s="356" t="s">
        <v>1811</v>
      </c>
      <c r="C640" s="1060"/>
      <c r="D640" s="921"/>
      <c r="E640" s="921"/>
      <c r="F640" s="921"/>
      <c r="G640" s="921"/>
      <c r="H640" s="921"/>
      <c r="I640" s="921"/>
      <c r="J640" s="921"/>
      <c r="K640" s="921"/>
      <c r="L640" s="971"/>
      <c r="M640" s="1061" t="s">
        <v>1137</v>
      </c>
      <c r="N640" s="921"/>
      <c r="O640" s="921"/>
      <c r="P640" s="943"/>
      <c r="Q640" s="950"/>
      <c r="R640" s="921"/>
      <c r="S640" s="943"/>
      <c r="T640" s="950"/>
      <c r="U640" s="921"/>
      <c r="V640" s="943"/>
      <c r="W640" s="1064"/>
      <c r="X640" s="921"/>
      <c r="Y640" s="943"/>
      <c r="Z640" s="1029" t="s">
        <v>1137</v>
      </c>
      <c r="AA640" s="921"/>
      <c r="AB640" s="943"/>
      <c r="AC640" s="950"/>
      <c r="AD640" s="921"/>
      <c r="AE640" s="943"/>
      <c r="AF640" s="952"/>
      <c r="AG640" s="921"/>
      <c r="AH640" s="921"/>
      <c r="AI640" s="921"/>
      <c r="AJ640" s="943"/>
      <c r="AK640" s="952"/>
      <c r="AL640" s="921"/>
      <c r="AM640" s="921"/>
      <c r="AN640" s="943"/>
      <c r="AO640" s="978"/>
      <c r="AP640" s="921"/>
      <c r="AQ640" s="921"/>
      <c r="AR640" s="921"/>
      <c r="AS640" s="943"/>
      <c r="AT640" s="355" t="str">
        <f t="shared" si="6"/>
        <v/>
      </c>
      <c r="AU640" s="1"/>
      <c r="AZ640" s="1"/>
      <c r="BA640" s="1"/>
      <c r="BB640" s="1"/>
      <c r="BC640" s="1"/>
      <c r="BD640" s="1"/>
    </row>
    <row r="641" spans="1:157" ht="12.75" customHeight="1">
      <c r="B641" s="356" t="s">
        <v>1814</v>
      </c>
      <c r="C641" s="1060"/>
      <c r="D641" s="921"/>
      <c r="E641" s="921"/>
      <c r="F641" s="921"/>
      <c r="G641" s="921"/>
      <c r="H641" s="921"/>
      <c r="I641" s="921"/>
      <c r="J641" s="921"/>
      <c r="K641" s="921"/>
      <c r="L641" s="971"/>
      <c r="M641" s="1061" t="s">
        <v>1137</v>
      </c>
      <c r="N641" s="921"/>
      <c r="O641" s="921"/>
      <c r="P641" s="943"/>
      <c r="Q641" s="950"/>
      <c r="R641" s="921"/>
      <c r="S641" s="943"/>
      <c r="T641" s="950"/>
      <c r="U641" s="921"/>
      <c r="V641" s="943"/>
      <c r="W641" s="1064"/>
      <c r="X641" s="921"/>
      <c r="Y641" s="943"/>
      <c r="Z641" s="1029" t="s">
        <v>1137</v>
      </c>
      <c r="AA641" s="921"/>
      <c r="AB641" s="943"/>
      <c r="AC641" s="950"/>
      <c r="AD641" s="921"/>
      <c r="AE641" s="943"/>
      <c r="AF641" s="952"/>
      <c r="AG641" s="921"/>
      <c r="AH641" s="921"/>
      <c r="AI641" s="921"/>
      <c r="AJ641" s="943"/>
      <c r="AK641" s="952"/>
      <c r="AL641" s="921"/>
      <c r="AM641" s="921"/>
      <c r="AN641" s="943"/>
      <c r="AO641" s="978"/>
      <c r="AP641" s="921"/>
      <c r="AQ641" s="921"/>
      <c r="AR641" s="921"/>
      <c r="AS641" s="943"/>
      <c r="AT641" s="355" t="str">
        <f t="shared" si="6"/>
        <v/>
      </c>
      <c r="AU641" s="1"/>
      <c r="AV641" s="1"/>
      <c r="AW641" s="1"/>
      <c r="AX641" s="1"/>
      <c r="AY641" s="1"/>
      <c r="AZ641" s="1"/>
      <c r="BA641" s="1"/>
      <c r="BB641" s="1"/>
      <c r="BC641" s="1"/>
      <c r="BD641" s="1"/>
    </row>
    <row r="642" spans="1:157" ht="12.75" customHeight="1">
      <c r="B642" s="356" t="s">
        <v>1821</v>
      </c>
      <c r="C642" s="1060"/>
      <c r="D642" s="921"/>
      <c r="E642" s="921"/>
      <c r="F642" s="921"/>
      <c r="G642" s="921"/>
      <c r="H642" s="921"/>
      <c r="I642" s="921"/>
      <c r="J642" s="921"/>
      <c r="K642" s="921"/>
      <c r="L642" s="971"/>
      <c r="M642" s="1061" t="s">
        <v>1137</v>
      </c>
      <c r="N642" s="921"/>
      <c r="O642" s="921"/>
      <c r="P642" s="943"/>
      <c r="Q642" s="950"/>
      <c r="R642" s="921"/>
      <c r="S642" s="943"/>
      <c r="T642" s="950"/>
      <c r="U642" s="921"/>
      <c r="V642" s="943"/>
      <c r="W642" s="1064"/>
      <c r="X642" s="921"/>
      <c r="Y642" s="943"/>
      <c r="Z642" s="1029" t="s">
        <v>1137</v>
      </c>
      <c r="AA642" s="921"/>
      <c r="AB642" s="943"/>
      <c r="AC642" s="950"/>
      <c r="AD642" s="921"/>
      <c r="AE642" s="943"/>
      <c r="AF642" s="952"/>
      <c r="AG642" s="921"/>
      <c r="AH642" s="921"/>
      <c r="AI642" s="921"/>
      <c r="AJ642" s="943"/>
      <c r="AK642" s="952"/>
      <c r="AL642" s="921"/>
      <c r="AM642" s="921"/>
      <c r="AN642" s="943"/>
      <c r="AO642" s="978"/>
      <c r="AP642" s="921"/>
      <c r="AQ642" s="921"/>
      <c r="AR642" s="921"/>
      <c r="AS642" s="943"/>
      <c r="AT642" s="355" t="str">
        <f t="shared" si="6"/>
        <v/>
      </c>
      <c r="AU642" s="1"/>
      <c r="AV642" s="1"/>
      <c r="AW642" s="1"/>
      <c r="AX642" s="1"/>
      <c r="AY642" s="1"/>
      <c r="AZ642" s="1"/>
      <c r="BA642" s="1" t="s">
        <v>1137</v>
      </c>
      <c r="BB642" s="1"/>
      <c r="BC642" s="1"/>
      <c r="BD642" s="1"/>
    </row>
    <row r="643" spans="1:157" ht="12.75" customHeight="1">
      <c r="B643" s="356" t="s">
        <v>1824</v>
      </c>
      <c r="C643" s="1060"/>
      <c r="D643" s="921"/>
      <c r="E643" s="921"/>
      <c r="F643" s="921"/>
      <c r="G643" s="921"/>
      <c r="H643" s="921"/>
      <c r="I643" s="921"/>
      <c r="J643" s="921"/>
      <c r="K643" s="921"/>
      <c r="L643" s="971"/>
      <c r="M643" s="1061" t="s">
        <v>1137</v>
      </c>
      <c r="N643" s="921"/>
      <c r="O643" s="921"/>
      <c r="P643" s="943"/>
      <c r="Q643" s="950"/>
      <c r="R643" s="921"/>
      <c r="S643" s="943"/>
      <c r="T643" s="950"/>
      <c r="U643" s="921"/>
      <c r="V643" s="943"/>
      <c r="W643" s="1064"/>
      <c r="X643" s="921"/>
      <c r="Y643" s="943"/>
      <c r="Z643" s="1029" t="s">
        <v>1137</v>
      </c>
      <c r="AA643" s="921"/>
      <c r="AB643" s="943"/>
      <c r="AC643" s="950"/>
      <c r="AD643" s="921"/>
      <c r="AE643" s="943"/>
      <c r="AF643" s="952"/>
      <c r="AG643" s="921"/>
      <c r="AH643" s="921"/>
      <c r="AI643" s="921"/>
      <c r="AJ643" s="943"/>
      <c r="AK643" s="952"/>
      <c r="AL643" s="921"/>
      <c r="AM643" s="921"/>
      <c r="AN643" s="943"/>
      <c r="AO643" s="978"/>
      <c r="AP643" s="921"/>
      <c r="AQ643" s="921"/>
      <c r="AR643" s="921"/>
      <c r="AS643" s="943"/>
      <c r="AT643" s="355" t="str">
        <f t="shared" si="6"/>
        <v/>
      </c>
      <c r="AU643" s="1"/>
      <c r="AV643" s="1"/>
      <c r="AW643" s="1"/>
      <c r="AX643" s="1"/>
      <c r="AY643" s="1"/>
      <c r="AZ643" s="1"/>
      <c r="BA643" s="1" t="s">
        <v>1922</v>
      </c>
      <c r="BB643" s="1"/>
      <c r="BC643" s="1"/>
      <c r="BD643" s="1"/>
      <c r="BE643" s="1"/>
      <c r="BF643" s="1"/>
      <c r="BG643" s="1"/>
      <c r="BH643" s="1"/>
      <c r="BI643" s="1"/>
      <c r="BJ643" s="1"/>
      <c r="BK643" s="1"/>
      <c r="BL643" s="1"/>
      <c r="BM643" s="1"/>
      <c r="CR643" s="7"/>
      <c r="CS643" s="1"/>
      <c r="CT643" s="1"/>
      <c r="CU643" s="1"/>
      <c r="CV643" s="1"/>
      <c r="CW643" s="1"/>
      <c r="CX643" s="1"/>
      <c r="CY643" s="1"/>
      <c r="CZ643" s="1"/>
      <c r="DA643" s="1"/>
      <c r="DB643" s="1"/>
      <c r="DC643" s="1"/>
      <c r="DD643" s="1"/>
      <c r="DE643" s="1"/>
      <c r="DF643" s="1"/>
      <c r="DX643" s="945" t="e">
        <f>EZ726*(CP726/$CP$759)</f>
        <v>#VALUE!</v>
      </c>
      <c r="DY643" s="921"/>
      <c r="DZ643" s="921"/>
      <c r="EA643" s="921"/>
      <c r="EB643" s="943"/>
      <c r="EC643" s="945">
        <f>FE726*(CU726/$CU$759)</f>
        <v>59.159663865546214</v>
      </c>
      <c r="ED643" s="921"/>
      <c r="EE643" s="921"/>
      <c r="EF643" s="921"/>
      <c r="EG643" s="943"/>
      <c r="EH643" s="945" t="e">
        <f>FJ726*(CZ726/$CZ$759)</f>
        <v>#VALUE!</v>
      </c>
      <c r="EI643" s="921"/>
      <c r="EJ643" s="921"/>
      <c r="EK643" s="921"/>
      <c r="EL643" s="943"/>
      <c r="EM643" s="945" t="e">
        <f>FO726*(DE726/$DE$759)</f>
        <v>#VALUE!</v>
      </c>
      <c r="EN643" s="921"/>
      <c r="EO643" s="921"/>
      <c r="EP643" s="921"/>
      <c r="EQ643" s="943"/>
      <c r="ER643" s="945" t="e">
        <f>FT726*(DJ726/$DJ$759)</f>
        <v>#VALUE!</v>
      </c>
      <c r="ES643" s="921"/>
      <c r="ET643" s="921"/>
      <c r="EU643" s="921"/>
      <c r="EV643" s="943"/>
      <c r="EW643" s="945" t="e">
        <f>FY726*(DO726/$DO$759)</f>
        <v>#VALUE!</v>
      </c>
      <c r="EX643" s="921"/>
      <c r="EY643" s="921"/>
      <c r="EZ643" s="921"/>
      <c r="FA643" s="943"/>
    </row>
    <row r="644" spans="1:157" ht="12.75" customHeight="1">
      <c r="B644" s="356" t="s">
        <v>1828</v>
      </c>
      <c r="C644" s="1060"/>
      <c r="D644" s="921"/>
      <c r="E644" s="921"/>
      <c r="F644" s="921"/>
      <c r="G644" s="921"/>
      <c r="H644" s="921"/>
      <c r="I644" s="921"/>
      <c r="J644" s="921"/>
      <c r="K644" s="921"/>
      <c r="L644" s="971"/>
      <c r="M644" s="1061" t="s">
        <v>1137</v>
      </c>
      <c r="N644" s="921"/>
      <c r="O644" s="921"/>
      <c r="P644" s="943"/>
      <c r="Q644" s="950"/>
      <c r="R644" s="921"/>
      <c r="S644" s="943"/>
      <c r="T644" s="950"/>
      <c r="U644" s="921"/>
      <c r="V644" s="943"/>
      <c r="W644" s="1064"/>
      <c r="X644" s="921"/>
      <c r="Y644" s="943"/>
      <c r="Z644" s="1029" t="s">
        <v>1137</v>
      </c>
      <c r="AA644" s="921"/>
      <c r="AB644" s="943"/>
      <c r="AC644" s="950"/>
      <c r="AD644" s="921"/>
      <c r="AE644" s="943"/>
      <c r="AF644" s="952"/>
      <c r="AG644" s="921"/>
      <c r="AH644" s="921"/>
      <c r="AI644" s="921"/>
      <c r="AJ644" s="943"/>
      <c r="AK644" s="952"/>
      <c r="AL644" s="921"/>
      <c r="AM644" s="921"/>
      <c r="AN644" s="943"/>
      <c r="AO644" s="978"/>
      <c r="AP644" s="921"/>
      <c r="AQ644" s="921"/>
      <c r="AR644" s="921"/>
      <c r="AS644" s="943"/>
      <c r="AT644" s="355" t="str">
        <f t="shared" si="6"/>
        <v/>
      </c>
      <c r="AV644" s="1"/>
      <c r="AW644" s="1"/>
      <c r="AX644" s="1"/>
      <c r="AY644" s="1"/>
      <c r="AZ644" s="1"/>
      <c r="BA644" s="1" t="s">
        <v>1931</v>
      </c>
      <c r="BB644" s="1"/>
      <c r="BC644" s="1"/>
      <c r="BD644" s="1"/>
      <c r="BE644" s="1"/>
      <c r="BF644" s="1"/>
      <c r="BG644" s="1"/>
      <c r="BH644" s="1"/>
      <c r="BI644" s="1"/>
      <c r="BJ644" s="1"/>
      <c r="BK644" s="1"/>
      <c r="BL644" s="1"/>
      <c r="BM644" s="1"/>
      <c r="DA644" s="1"/>
      <c r="DB644" s="1"/>
      <c r="DC644" s="1"/>
      <c r="DD644" s="1"/>
      <c r="DE644" s="1"/>
      <c r="DF644" s="1"/>
      <c r="DX644" s="945" t="e">
        <f>EZ727*(CP727/$CP$759)</f>
        <v>#VALUE!</v>
      </c>
      <c r="DY644" s="921"/>
      <c r="DZ644" s="921"/>
      <c r="EA644" s="921"/>
      <c r="EB644" s="943"/>
      <c r="EC644" s="945">
        <f>FE727*(CU727/$CU$759)</f>
        <v>103.26050420168067</v>
      </c>
      <c r="ED644" s="921"/>
      <c r="EE644" s="921"/>
      <c r="EF644" s="921"/>
      <c r="EG644" s="943"/>
      <c r="EH644" s="945" t="e">
        <f>FJ727*(CZ727/$CZ$759)</f>
        <v>#VALUE!</v>
      </c>
      <c r="EI644" s="921"/>
      <c r="EJ644" s="921"/>
      <c r="EK644" s="921"/>
      <c r="EL644" s="943"/>
      <c r="EM644" s="945" t="e">
        <f>FO727*(DE727/$DE$759)</f>
        <v>#VALUE!</v>
      </c>
      <c r="EN644" s="921"/>
      <c r="EO644" s="921"/>
      <c r="EP644" s="921"/>
      <c r="EQ644" s="943"/>
      <c r="ER644" s="945" t="e">
        <f>FT727*(DJ727/$DJ$759)</f>
        <v>#VALUE!</v>
      </c>
      <c r="ES644" s="921"/>
      <c r="ET644" s="921"/>
      <c r="EU644" s="921"/>
      <c r="EV644" s="943"/>
      <c r="EW644" s="945" t="e">
        <f>FY727*(DO727/$DO$759)</f>
        <v>#VALUE!</v>
      </c>
      <c r="EX644" s="921"/>
      <c r="EY644" s="921"/>
      <c r="EZ644" s="921"/>
      <c r="FA644" s="943"/>
    </row>
    <row r="645" spans="1:157" ht="12.75" customHeight="1">
      <c r="B645" s="356" t="s">
        <v>1831</v>
      </c>
      <c r="C645" s="1060"/>
      <c r="D645" s="921"/>
      <c r="E645" s="921"/>
      <c r="F645" s="921"/>
      <c r="G645" s="921"/>
      <c r="H645" s="921"/>
      <c r="I645" s="921"/>
      <c r="J645" s="921"/>
      <c r="K645" s="921"/>
      <c r="L645" s="971"/>
      <c r="M645" s="1061" t="s">
        <v>1137</v>
      </c>
      <c r="N645" s="921"/>
      <c r="O645" s="921"/>
      <c r="P645" s="943"/>
      <c r="Q645" s="950"/>
      <c r="R645" s="921"/>
      <c r="S645" s="943"/>
      <c r="T645" s="950"/>
      <c r="U645" s="921"/>
      <c r="V645" s="943"/>
      <c r="W645" s="1064"/>
      <c r="X645" s="921"/>
      <c r="Y645" s="943"/>
      <c r="Z645" s="1029" t="s">
        <v>1137</v>
      </c>
      <c r="AA645" s="921"/>
      <c r="AB645" s="943"/>
      <c r="AC645" s="950"/>
      <c r="AD645" s="921"/>
      <c r="AE645" s="943"/>
      <c r="AF645" s="952"/>
      <c r="AG645" s="921"/>
      <c r="AH645" s="921"/>
      <c r="AI645" s="921"/>
      <c r="AJ645" s="943"/>
      <c r="AK645" s="952"/>
      <c r="AL645" s="921"/>
      <c r="AM645" s="921"/>
      <c r="AN645" s="943"/>
      <c r="AO645" s="978"/>
      <c r="AP645" s="921"/>
      <c r="AQ645" s="921"/>
      <c r="AR645" s="921"/>
      <c r="AS645" s="943"/>
      <c r="AT645" s="355" t="str">
        <f t="shared" si="6"/>
        <v/>
      </c>
      <c r="AV645" s="1"/>
      <c r="AW645" s="1"/>
      <c r="AX645" s="1"/>
      <c r="AY645" s="1"/>
      <c r="AZ645" s="1"/>
      <c r="BA645" s="1" t="s">
        <v>1920</v>
      </c>
      <c r="BB645" s="1"/>
      <c r="BC645" s="1"/>
      <c r="BD645" s="1"/>
      <c r="BE645" s="1"/>
      <c r="BF645" s="1"/>
      <c r="BG645" s="1"/>
      <c r="BH645" s="1"/>
      <c r="BI645" s="1"/>
      <c r="BJ645" s="1"/>
      <c r="BK645" s="1"/>
      <c r="BL645" s="1"/>
      <c r="BM645" s="1"/>
      <c r="DA645" s="1"/>
      <c r="DB645" s="1"/>
      <c r="DC645" s="1"/>
      <c r="DD645" s="1"/>
      <c r="DE645" s="1"/>
      <c r="DF645" s="1"/>
      <c r="DX645" s="945" t="e">
        <f>EZ728*(CP728/$CP$759)</f>
        <v>#VALUE!</v>
      </c>
      <c r="DY645" s="921"/>
      <c r="DZ645" s="921"/>
      <c r="EA645" s="921"/>
      <c r="EB645" s="943"/>
      <c r="EC645" s="945">
        <f>FE728*(CU728/$CU$759)</f>
        <v>1002.4873949579832</v>
      </c>
      <c r="ED645" s="921"/>
      <c r="EE645" s="921"/>
      <c r="EF645" s="921"/>
      <c r="EG645" s="943"/>
      <c r="EH645" s="945" t="e">
        <f>FJ728*(CZ728/$CZ$759)</f>
        <v>#VALUE!</v>
      </c>
      <c r="EI645" s="921"/>
      <c r="EJ645" s="921"/>
      <c r="EK645" s="921"/>
      <c r="EL645" s="943"/>
      <c r="EM645" s="945" t="e">
        <f>FO728*(DE728/$DE$759)</f>
        <v>#VALUE!</v>
      </c>
      <c r="EN645" s="921"/>
      <c r="EO645" s="921"/>
      <c r="EP645" s="921"/>
      <c r="EQ645" s="943"/>
      <c r="ER645" s="945" t="e">
        <f>FT728*(DJ728/$DJ$759)</f>
        <v>#VALUE!</v>
      </c>
      <c r="ES645" s="921"/>
      <c r="ET645" s="921"/>
      <c r="EU645" s="921"/>
      <c r="EV645" s="943"/>
      <c r="EW645" s="945" t="e">
        <f>FY728*(DO728/$DO$759)</f>
        <v>#VALUE!</v>
      </c>
      <c r="EX645" s="921"/>
      <c r="EY645" s="921"/>
      <c r="EZ645" s="921"/>
      <c r="FA645" s="943"/>
    </row>
    <row r="646" spans="1:157" ht="12.75" customHeight="1">
      <c r="B646" s="356" t="s">
        <v>1833</v>
      </c>
      <c r="C646" s="1060"/>
      <c r="D646" s="921"/>
      <c r="E646" s="921"/>
      <c r="F646" s="921"/>
      <c r="G646" s="921"/>
      <c r="H646" s="921"/>
      <c r="I646" s="921"/>
      <c r="J646" s="921"/>
      <c r="K646" s="921"/>
      <c r="L646" s="971"/>
      <c r="M646" s="1061" t="s">
        <v>1137</v>
      </c>
      <c r="N646" s="921"/>
      <c r="O646" s="921"/>
      <c r="P646" s="943"/>
      <c r="Q646" s="950"/>
      <c r="R646" s="921"/>
      <c r="S646" s="943"/>
      <c r="T646" s="950"/>
      <c r="U646" s="921"/>
      <c r="V646" s="943"/>
      <c r="W646" s="1064"/>
      <c r="X646" s="921"/>
      <c r="Y646" s="943"/>
      <c r="Z646" s="1029" t="s">
        <v>1137</v>
      </c>
      <c r="AA646" s="921"/>
      <c r="AB646" s="943"/>
      <c r="AC646" s="950"/>
      <c r="AD646" s="921"/>
      <c r="AE646" s="943"/>
      <c r="AF646" s="952"/>
      <c r="AG646" s="921"/>
      <c r="AH646" s="921"/>
      <c r="AI646" s="921"/>
      <c r="AJ646" s="943"/>
      <c r="AK646" s="952"/>
      <c r="AL646" s="921"/>
      <c r="AM646" s="921"/>
      <c r="AN646" s="943"/>
      <c r="AO646" s="978"/>
      <c r="AP646" s="921"/>
      <c r="AQ646" s="921"/>
      <c r="AR646" s="921"/>
      <c r="AS646" s="943"/>
      <c r="AT646" s="355" t="str">
        <f t="shared" si="6"/>
        <v/>
      </c>
      <c r="AV646" s="1"/>
      <c r="AW646" s="1"/>
      <c r="AX646" s="1"/>
      <c r="AY646" s="1"/>
      <c r="AZ646" s="1"/>
      <c r="BA646" s="1" t="s">
        <v>808</v>
      </c>
      <c r="BB646" s="1"/>
      <c r="BC646" s="1"/>
      <c r="BD646" s="1"/>
      <c r="BE646" s="1"/>
      <c r="BF646" s="1"/>
      <c r="BG646" s="1"/>
      <c r="BH646" s="1"/>
      <c r="BI646" s="1"/>
      <c r="BJ646" s="1"/>
      <c r="BK646" s="1"/>
      <c r="BL646" s="1"/>
      <c r="BM646" s="1"/>
      <c r="DA646" s="1"/>
      <c r="DB646" s="1"/>
      <c r="DC646" s="1"/>
      <c r="DD646" s="1"/>
      <c r="DE646" s="1"/>
      <c r="DF646" s="1"/>
      <c r="DX646" s="945" t="e">
        <f>#REF!*(#REF!/$CP$759)</f>
        <v>#REF!</v>
      </c>
      <c r="DY646" s="921"/>
      <c r="DZ646" s="921"/>
      <c r="EA646" s="921"/>
      <c r="EB646" s="943"/>
      <c r="EC646" s="945" t="e">
        <f>#REF!*(#REF!/$CU$759)</f>
        <v>#REF!</v>
      </c>
      <c r="ED646" s="921"/>
      <c r="EE646" s="921"/>
      <c r="EF646" s="921"/>
      <c r="EG646" s="943"/>
      <c r="EH646" s="945" t="e">
        <f>#REF!*(#REF!/$CZ$759)</f>
        <v>#REF!</v>
      </c>
      <c r="EI646" s="921"/>
      <c r="EJ646" s="921"/>
      <c r="EK646" s="921"/>
      <c r="EL646" s="943"/>
      <c r="EM646" s="945" t="e">
        <f>#REF!*(#REF!/$DE$759)</f>
        <v>#REF!</v>
      </c>
      <c r="EN646" s="921"/>
      <c r="EO646" s="921"/>
      <c r="EP646" s="921"/>
      <c r="EQ646" s="943"/>
      <c r="ER646" s="945" t="e">
        <f>#REF!*(#REF!/$DJ$759)</f>
        <v>#REF!</v>
      </c>
      <c r="ES646" s="921"/>
      <c r="ET646" s="921"/>
      <c r="EU646" s="921"/>
      <c r="EV646" s="943"/>
      <c r="EW646" s="945" t="e">
        <f>#REF!*(#REF!/$DO$759)</f>
        <v>#REF!</v>
      </c>
      <c r="EX646" s="921"/>
      <c r="EY646" s="921"/>
      <c r="EZ646" s="921"/>
      <c r="FA646" s="943"/>
    </row>
    <row r="647" spans="1:157" ht="12.75" customHeight="1">
      <c r="B647" s="1004" t="s">
        <v>1934</v>
      </c>
      <c r="C647" s="921"/>
      <c r="D647" s="921"/>
      <c r="E647" s="921"/>
      <c r="F647" s="921"/>
      <c r="G647" s="921"/>
      <c r="H647" s="921"/>
      <c r="I647" s="921"/>
      <c r="J647" s="921"/>
      <c r="K647" s="921"/>
      <c r="L647" s="921"/>
      <c r="M647" s="921"/>
      <c r="N647" s="921"/>
      <c r="O647" s="921"/>
      <c r="P647" s="921"/>
      <c r="Q647" s="921"/>
      <c r="R647" s="921"/>
      <c r="S647" s="921"/>
      <c r="T647" s="921"/>
      <c r="U647" s="921"/>
      <c r="V647" s="921"/>
      <c r="W647" s="921"/>
      <c r="X647" s="921"/>
      <c r="Y647" s="921"/>
      <c r="Z647" s="921"/>
      <c r="AA647" s="921"/>
      <c r="AB647" s="921"/>
      <c r="AC647" s="921"/>
      <c r="AD647" s="921"/>
      <c r="AE647" s="921"/>
      <c r="AF647" s="921"/>
      <c r="AG647" s="921"/>
      <c r="AH647" s="921"/>
      <c r="AI647" s="921"/>
      <c r="AJ647" s="921"/>
      <c r="AK647" s="921"/>
      <c r="AL647" s="921"/>
      <c r="AM647" s="921"/>
      <c r="AN647" s="943"/>
      <c r="AO647" s="1000">
        <f>SUM(AO635:AR646)</f>
        <v>70488978</v>
      </c>
      <c r="AP647" s="921"/>
      <c r="AQ647" s="921"/>
      <c r="AR647" s="921"/>
      <c r="AS647" s="943"/>
      <c r="AV647" s="1"/>
      <c r="AW647" s="1"/>
      <c r="AX647" s="1"/>
      <c r="AY647" s="1"/>
      <c r="AZ647" s="1"/>
      <c r="BA647" s="1"/>
      <c r="BB647" s="1"/>
      <c r="BC647" s="1"/>
      <c r="BD647" s="1"/>
      <c r="BE647" s="1"/>
      <c r="BF647" s="1"/>
      <c r="BG647" s="1"/>
      <c r="BH647" s="1"/>
      <c r="BI647" s="1"/>
      <c r="BJ647" s="1"/>
      <c r="BK647" s="1"/>
      <c r="BL647" s="1"/>
      <c r="BM647" s="1"/>
      <c r="DA647" s="1"/>
      <c r="DB647" s="1"/>
      <c r="DC647" s="1"/>
      <c r="DD647" s="1"/>
      <c r="DE647" s="1"/>
      <c r="DF647" s="1"/>
      <c r="DX647" s="945" t="e">
        <f t="shared" ref="DX647:DX652" si="7">EZ729*(CP729/$CP$759)</f>
        <v>#VALUE!</v>
      </c>
      <c r="DY647" s="921"/>
      <c r="DZ647" s="921"/>
      <c r="EA647" s="921"/>
      <c r="EB647" s="943"/>
      <c r="EC647" s="945" t="e">
        <f t="shared" ref="EC647:EC652" si="8">FE729*(CU729/$CU$759)</f>
        <v>#VALUE!</v>
      </c>
      <c r="ED647" s="921"/>
      <c r="EE647" s="921"/>
      <c r="EF647" s="921"/>
      <c r="EG647" s="943"/>
      <c r="EH647" s="945">
        <f t="shared" ref="EH647:EH652" si="9">FJ729*(CZ729/$CZ$759)</f>
        <v>92.029411764705884</v>
      </c>
      <c r="EI647" s="921"/>
      <c r="EJ647" s="921"/>
      <c r="EK647" s="921"/>
      <c r="EL647" s="943"/>
      <c r="EM647" s="945" t="e">
        <f t="shared" ref="EM647:EM652" si="10">FO729*(DE729/$DE$759)</f>
        <v>#VALUE!</v>
      </c>
      <c r="EN647" s="921"/>
      <c r="EO647" s="921"/>
      <c r="EP647" s="921"/>
      <c r="EQ647" s="943"/>
      <c r="ER647" s="945" t="e">
        <f t="shared" ref="ER647:ER652" si="11">FT729*(DJ729/$DJ$759)</f>
        <v>#VALUE!</v>
      </c>
      <c r="ES647" s="921"/>
      <c r="ET647" s="921"/>
      <c r="EU647" s="921"/>
      <c r="EV647" s="943"/>
      <c r="EW647" s="945" t="e">
        <f t="shared" ref="EW647:EW652" si="12">FY729*(DO729/$DO$759)</f>
        <v>#VALUE!</v>
      </c>
      <c r="EX647" s="921"/>
      <c r="EY647" s="921"/>
      <c r="EZ647" s="921"/>
      <c r="FA647" s="943"/>
    </row>
    <row r="648" spans="1:157" ht="12.75" customHeight="1">
      <c r="B648" s="1004" t="s">
        <v>1936</v>
      </c>
      <c r="C648" s="921"/>
      <c r="D648" s="921"/>
      <c r="E648" s="921"/>
      <c r="F648" s="921"/>
      <c r="G648" s="921"/>
      <c r="H648" s="921"/>
      <c r="I648" s="921"/>
      <c r="J648" s="921"/>
      <c r="K648" s="921"/>
      <c r="L648" s="921"/>
      <c r="M648" s="921"/>
      <c r="N648" s="921"/>
      <c r="O648" s="921"/>
      <c r="P648" s="921"/>
      <c r="Q648" s="921"/>
      <c r="R648" s="921"/>
      <c r="S648" s="921"/>
      <c r="T648" s="921"/>
      <c r="U648" s="921"/>
      <c r="V648" s="921"/>
      <c r="W648" s="921"/>
      <c r="X648" s="921"/>
      <c r="Y648" s="921"/>
      <c r="Z648" s="921"/>
      <c r="AA648" s="921"/>
      <c r="AB648" s="921"/>
      <c r="AC648" s="921"/>
      <c r="AD648" s="921"/>
      <c r="AE648" s="921"/>
      <c r="AF648" s="921"/>
      <c r="AG648" s="921"/>
      <c r="AH648" s="921"/>
      <c r="AI648" s="921"/>
      <c r="AJ648" s="921"/>
      <c r="AK648" s="921"/>
      <c r="AL648" s="921"/>
      <c r="AM648" s="921"/>
      <c r="AN648" s="943"/>
      <c r="AO648" s="978">
        <v>28687535</v>
      </c>
      <c r="AP648" s="921"/>
      <c r="AQ648" s="921"/>
      <c r="AR648" s="921"/>
      <c r="AS648" s="943"/>
      <c r="AV648" s="1"/>
      <c r="AW648" s="1"/>
      <c r="AX648" s="1"/>
      <c r="AY648" s="1"/>
      <c r="AZ648" s="1"/>
      <c r="BA648" s="1"/>
      <c r="BB648" s="1"/>
      <c r="BC648" s="1"/>
      <c r="BD648" s="1"/>
      <c r="BE648" s="1"/>
      <c r="BF648" s="1"/>
      <c r="BG648" s="1"/>
      <c r="BH648" s="1"/>
      <c r="BI648" s="1"/>
      <c r="BJ648" s="1"/>
      <c r="BK648" s="1"/>
      <c r="BL648" s="1"/>
      <c r="BM648" s="1"/>
      <c r="DA648" s="1"/>
      <c r="DB648" s="1"/>
      <c r="DC648" s="1"/>
      <c r="DD648" s="1"/>
      <c r="DE648" s="1"/>
      <c r="DF648" s="1"/>
      <c r="DX648" s="945" t="e">
        <f t="shared" si="7"/>
        <v>#VALUE!</v>
      </c>
      <c r="DY648" s="921"/>
      <c r="DZ648" s="921"/>
      <c r="EA648" s="921"/>
      <c r="EB648" s="943"/>
      <c r="EC648" s="945" t="e">
        <f t="shared" si="8"/>
        <v>#VALUE!</v>
      </c>
      <c r="ED648" s="921"/>
      <c r="EE648" s="921"/>
      <c r="EF648" s="921"/>
      <c r="EG648" s="943"/>
      <c r="EH648" s="945">
        <f t="shared" si="9"/>
        <v>161.47058823529412</v>
      </c>
      <c r="EI648" s="921"/>
      <c r="EJ648" s="921"/>
      <c r="EK648" s="921"/>
      <c r="EL648" s="943"/>
      <c r="EM648" s="945" t="e">
        <f t="shared" si="10"/>
        <v>#VALUE!</v>
      </c>
      <c r="EN648" s="921"/>
      <c r="EO648" s="921"/>
      <c r="EP648" s="921"/>
      <c r="EQ648" s="943"/>
      <c r="ER648" s="945" t="e">
        <f t="shared" si="11"/>
        <v>#VALUE!</v>
      </c>
      <c r="ES648" s="921"/>
      <c r="ET648" s="921"/>
      <c r="EU648" s="921"/>
      <c r="EV648" s="943"/>
      <c r="EW648" s="945" t="e">
        <f t="shared" si="12"/>
        <v>#VALUE!</v>
      </c>
      <c r="EX648" s="921"/>
      <c r="EY648" s="921"/>
      <c r="EZ648" s="921"/>
      <c r="FA648" s="943"/>
    </row>
    <row r="649" spans="1:157" ht="12.75" customHeight="1">
      <c r="B649" s="1069" t="s">
        <v>1938</v>
      </c>
      <c r="C649" s="961"/>
      <c r="D649" s="961"/>
      <c r="E649" s="961"/>
      <c r="F649" s="961"/>
      <c r="G649" s="961"/>
      <c r="H649" s="961"/>
      <c r="I649" s="961"/>
      <c r="J649" s="961"/>
      <c r="K649" s="961"/>
      <c r="L649" s="961"/>
      <c r="M649" s="961"/>
      <c r="N649" s="961"/>
      <c r="O649" s="961"/>
      <c r="P649" s="961"/>
      <c r="Q649" s="961"/>
      <c r="R649" s="961"/>
      <c r="S649" s="961"/>
      <c r="T649" s="961"/>
      <c r="U649" s="961"/>
      <c r="V649" s="961"/>
      <c r="W649" s="961"/>
      <c r="X649" s="961"/>
      <c r="Y649" s="961"/>
      <c r="Z649" s="961"/>
      <c r="AA649" s="961"/>
      <c r="AB649" s="961"/>
      <c r="AC649" s="961"/>
      <c r="AD649" s="961"/>
      <c r="AE649" s="961"/>
      <c r="AF649" s="961"/>
      <c r="AG649" s="961"/>
      <c r="AH649" s="961"/>
      <c r="AI649" s="961"/>
      <c r="AJ649" s="961"/>
      <c r="AK649" s="961"/>
      <c r="AL649" s="961"/>
      <c r="AM649" s="961"/>
      <c r="AN649" s="962"/>
      <c r="AO649" s="1000">
        <f>AO647+AO648</f>
        <v>99176513</v>
      </c>
      <c r="AP649" s="921"/>
      <c r="AQ649" s="921"/>
      <c r="AR649" s="921"/>
      <c r="AS649" s="943"/>
      <c r="AV649" s="1"/>
      <c r="AW649" s="1"/>
      <c r="AX649" s="1"/>
      <c r="AY649" s="1"/>
      <c r="AZ649" s="1"/>
      <c r="BA649" s="1"/>
      <c r="BB649" s="1"/>
      <c r="BC649" s="1"/>
      <c r="BD649" s="1"/>
      <c r="BE649" s="1"/>
      <c r="BF649" s="1"/>
      <c r="BG649" s="1"/>
      <c r="BH649" s="1"/>
      <c r="BI649" s="1"/>
      <c r="BJ649" s="1"/>
      <c r="BK649" s="1"/>
      <c r="BL649" s="1"/>
      <c r="BM649" s="1"/>
      <c r="DA649" s="1"/>
      <c r="DB649" s="1"/>
      <c r="DC649" s="1"/>
      <c r="DD649" s="1"/>
      <c r="DE649" s="1"/>
      <c r="DF649" s="1"/>
      <c r="DX649" s="945" t="e">
        <f t="shared" si="7"/>
        <v>#VALUE!</v>
      </c>
      <c r="DY649" s="921"/>
      <c r="DZ649" s="921"/>
      <c r="EA649" s="921"/>
      <c r="EB649" s="943"/>
      <c r="EC649" s="945" t="e">
        <f t="shared" si="8"/>
        <v>#VALUE!</v>
      </c>
      <c r="ED649" s="921"/>
      <c r="EE649" s="921"/>
      <c r="EF649" s="921"/>
      <c r="EG649" s="943"/>
      <c r="EH649" s="945">
        <f t="shared" si="9"/>
        <v>1275.5294117647059</v>
      </c>
      <c r="EI649" s="921"/>
      <c r="EJ649" s="921"/>
      <c r="EK649" s="921"/>
      <c r="EL649" s="943"/>
      <c r="EM649" s="945" t="e">
        <f t="shared" si="10"/>
        <v>#VALUE!</v>
      </c>
      <c r="EN649" s="921"/>
      <c r="EO649" s="921"/>
      <c r="EP649" s="921"/>
      <c r="EQ649" s="943"/>
      <c r="ER649" s="945" t="e">
        <f t="shared" si="11"/>
        <v>#VALUE!</v>
      </c>
      <c r="ES649" s="921"/>
      <c r="ET649" s="921"/>
      <c r="EU649" s="921"/>
      <c r="EV649" s="943"/>
      <c r="EW649" s="945" t="e">
        <f t="shared" si="12"/>
        <v>#VALUE!</v>
      </c>
      <c r="EX649" s="921"/>
      <c r="EY649" s="921"/>
      <c r="EZ649" s="921"/>
      <c r="FA649" s="943"/>
    </row>
    <row r="650" spans="1:157" ht="12.75" customHeight="1">
      <c r="B650" s="24"/>
      <c r="K650" s="237"/>
      <c r="L650" s="33"/>
      <c r="M650" s="33"/>
      <c r="N650" s="33"/>
      <c r="O650" s="33"/>
      <c r="P650" s="33"/>
      <c r="Q650" s="33"/>
      <c r="R650" s="33"/>
      <c r="AC650" s="237"/>
      <c r="AD650" s="33"/>
      <c r="AE650" s="33"/>
      <c r="AF650" s="33"/>
      <c r="AG650" s="33"/>
      <c r="AH650" s="33"/>
      <c r="AI650" s="33"/>
      <c r="AJ650" s="33"/>
      <c r="AV650" s="1"/>
      <c r="AW650" s="1"/>
      <c r="AX650" s="1"/>
      <c r="AY650" s="1"/>
      <c r="AZ650" s="1"/>
      <c r="BA650" s="1"/>
      <c r="BB650" s="1"/>
      <c r="BC650" s="1"/>
      <c r="BD650" s="1"/>
      <c r="BE650" s="1"/>
      <c r="BF650" s="1"/>
      <c r="BG650" s="1"/>
      <c r="BH650" s="1"/>
      <c r="BI650" s="1"/>
      <c r="BJ650" s="1"/>
      <c r="BK650" s="1"/>
      <c r="BL650" s="1"/>
      <c r="BM650" s="1"/>
      <c r="DA650" s="1"/>
      <c r="DB650" s="1"/>
      <c r="DC650" s="1"/>
      <c r="DD650" s="1"/>
      <c r="DE650" s="1"/>
      <c r="DF650" s="1"/>
      <c r="DX650" s="945" t="e">
        <f t="shared" si="7"/>
        <v>#VALUE!</v>
      </c>
      <c r="DY650" s="921"/>
      <c r="DZ650" s="921"/>
      <c r="EA650" s="921"/>
      <c r="EB650" s="943"/>
      <c r="EC650" s="945">
        <f t="shared" si="8"/>
        <v>29.579831932773107</v>
      </c>
      <c r="ED650" s="921"/>
      <c r="EE650" s="921"/>
      <c r="EF650" s="921"/>
      <c r="EG650" s="943"/>
      <c r="EH650" s="945" t="e">
        <f t="shared" si="9"/>
        <v>#VALUE!</v>
      </c>
      <c r="EI650" s="921"/>
      <c r="EJ650" s="921"/>
      <c r="EK650" s="921"/>
      <c r="EL650" s="943"/>
      <c r="EM650" s="945" t="e">
        <f t="shared" si="10"/>
        <v>#VALUE!</v>
      </c>
      <c r="EN650" s="921"/>
      <c r="EO650" s="921"/>
      <c r="EP650" s="921"/>
      <c r="EQ650" s="943"/>
      <c r="ER650" s="945" t="e">
        <f t="shared" si="11"/>
        <v>#VALUE!</v>
      </c>
      <c r="ES650" s="921"/>
      <c r="ET650" s="921"/>
      <c r="EU650" s="921"/>
      <c r="EV650" s="943"/>
      <c r="EW650" s="945" t="e">
        <f t="shared" si="12"/>
        <v>#VALUE!</v>
      </c>
      <c r="EX650" s="921"/>
      <c r="EY650" s="921"/>
      <c r="EZ650" s="921"/>
      <c r="FA650" s="943"/>
    </row>
    <row r="651" spans="1:157" ht="12.75" customHeight="1">
      <c r="A651" s="367" t="s">
        <v>39</v>
      </c>
      <c r="B651" s="32" t="s">
        <v>1845</v>
      </c>
      <c r="G651" s="966" t="str">
        <f>C635</f>
        <v xml:space="preserve">Citibank N.A. </v>
      </c>
      <c r="H651" s="961"/>
      <c r="I651" s="961"/>
      <c r="J651" s="961"/>
      <c r="K651" s="961"/>
      <c r="L651" s="961"/>
      <c r="M651" s="961"/>
      <c r="N651" s="961"/>
      <c r="O651" s="961"/>
      <c r="P651" s="961"/>
      <c r="Q651" s="961"/>
      <c r="R651" s="961"/>
      <c r="S651" s="17"/>
      <c r="T651" s="367" t="s">
        <v>56</v>
      </c>
      <c r="U651" s="32" t="s">
        <v>1845</v>
      </c>
      <c r="Z651" s="966" t="str">
        <f>C636</f>
        <v xml:space="preserve">Citibank N.A. </v>
      </c>
      <c r="AA651" s="961"/>
      <c r="AB651" s="961"/>
      <c r="AC651" s="961"/>
      <c r="AD651" s="961"/>
      <c r="AE651" s="961"/>
      <c r="AF651" s="961"/>
      <c r="AG651" s="961"/>
      <c r="AH651" s="961"/>
      <c r="AI651" s="961"/>
      <c r="AJ651" s="961"/>
      <c r="AK651" s="961"/>
      <c r="AV651" s="1"/>
      <c r="AW651" s="1"/>
      <c r="AX651" s="1"/>
      <c r="AY651" s="1"/>
      <c r="AZ651" s="1"/>
      <c r="BA651" s="1"/>
      <c r="BB651" s="1"/>
      <c r="BC651" s="1"/>
      <c r="BD651" s="1"/>
      <c r="BE651" s="1"/>
      <c r="BF651" s="1"/>
      <c r="BG651" s="1"/>
      <c r="BH651" s="1"/>
      <c r="BI651" s="1"/>
      <c r="BJ651" s="1"/>
      <c r="BK651" s="1"/>
      <c r="BL651" s="1"/>
      <c r="BM651" s="1"/>
      <c r="CV651" s="1"/>
      <c r="CW651" s="1"/>
      <c r="CX651" s="1"/>
      <c r="CY651" s="1"/>
      <c r="CZ651" s="1"/>
      <c r="DA651" s="1"/>
      <c r="DB651" s="1"/>
      <c r="DC651" s="1"/>
      <c r="DD651" s="1"/>
      <c r="DE651" s="1"/>
      <c r="DF651" s="1"/>
      <c r="DX651" s="945" t="e">
        <f t="shared" si="7"/>
        <v>#VALUE!</v>
      </c>
      <c r="DY651" s="921"/>
      <c r="DZ651" s="921"/>
      <c r="EA651" s="921"/>
      <c r="EB651" s="943"/>
      <c r="EC651" s="945">
        <f t="shared" si="8"/>
        <v>51.630252100840337</v>
      </c>
      <c r="ED651" s="921"/>
      <c r="EE651" s="921"/>
      <c r="EF651" s="921"/>
      <c r="EG651" s="943"/>
      <c r="EH651" s="945" t="e">
        <f t="shared" si="9"/>
        <v>#VALUE!</v>
      </c>
      <c r="EI651" s="921"/>
      <c r="EJ651" s="921"/>
      <c r="EK651" s="921"/>
      <c r="EL651" s="943"/>
      <c r="EM651" s="945" t="e">
        <f t="shared" si="10"/>
        <v>#VALUE!</v>
      </c>
      <c r="EN651" s="921"/>
      <c r="EO651" s="921"/>
      <c r="EP651" s="921"/>
      <c r="EQ651" s="943"/>
      <c r="ER651" s="945" t="e">
        <f t="shared" si="11"/>
        <v>#VALUE!</v>
      </c>
      <c r="ES651" s="921"/>
      <c r="ET651" s="921"/>
      <c r="EU651" s="921"/>
      <c r="EV651" s="943"/>
      <c r="EW651" s="945" t="e">
        <f t="shared" si="12"/>
        <v>#VALUE!</v>
      </c>
      <c r="EX651" s="921"/>
      <c r="EY651" s="921"/>
      <c r="EZ651" s="921"/>
      <c r="FA651" s="943"/>
    </row>
    <row r="652" spans="1:157" ht="12.75" customHeight="1">
      <c r="A652" s="117"/>
      <c r="B652" s="32" t="s">
        <v>1254</v>
      </c>
      <c r="G652" s="967" t="s">
        <v>1847</v>
      </c>
      <c r="H652" s="968"/>
      <c r="I652" s="968"/>
      <c r="J652" s="968"/>
      <c r="K652" s="968"/>
      <c r="L652" s="968"/>
      <c r="M652" s="968"/>
      <c r="N652" s="968"/>
      <c r="O652" s="968"/>
      <c r="P652" s="968"/>
      <c r="Q652" s="968"/>
      <c r="R652" s="969"/>
      <c r="S652" s="17"/>
      <c r="T652" s="117"/>
      <c r="U652" s="32" t="s">
        <v>1254</v>
      </c>
      <c r="Z652" s="967" t="s">
        <v>1847</v>
      </c>
      <c r="AA652" s="968"/>
      <c r="AB652" s="968"/>
      <c r="AC652" s="968"/>
      <c r="AD652" s="968"/>
      <c r="AE652" s="968"/>
      <c r="AF652" s="968"/>
      <c r="AG652" s="968"/>
      <c r="AH652" s="968"/>
      <c r="AI652" s="968"/>
      <c r="AJ652" s="968"/>
      <c r="AK652" s="969"/>
      <c r="AV652" s="1"/>
      <c r="AW652" s="1"/>
      <c r="AX652" s="1"/>
      <c r="AY652" s="1"/>
      <c r="AZ652" s="1"/>
      <c r="BA652" s="1"/>
      <c r="BB652" s="1"/>
      <c r="BC652" s="1"/>
      <c r="BD652" s="1"/>
      <c r="BE652" s="1"/>
      <c r="BF652" s="1"/>
      <c r="BG652" s="1"/>
      <c r="BH652" s="1"/>
      <c r="BI652" s="1"/>
      <c r="BJ652" s="1"/>
      <c r="BK652" s="1"/>
      <c r="BL652" s="1"/>
      <c r="BM652" s="1"/>
      <c r="DX652" s="945" t="e">
        <f t="shared" si="7"/>
        <v>#VALUE!</v>
      </c>
      <c r="DY652" s="921"/>
      <c r="DZ652" s="921"/>
      <c r="EA652" s="921"/>
      <c r="EB652" s="943"/>
      <c r="EC652" s="945">
        <f t="shared" si="8"/>
        <v>485.57983193277312</v>
      </c>
      <c r="ED652" s="921"/>
      <c r="EE652" s="921"/>
      <c r="EF652" s="921"/>
      <c r="EG652" s="943"/>
      <c r="EH652" s="945" t="e">
        <f t="shared" si="9"/>
        <v>#VALUE!</v>
      </c>
      <c r="EI652" s="921"/>
      <c r="EJ652" s="921"/>
      <c r="EK652" s="921"/>
      <c r="EL652" s="943"/>
      <c r="EM652" s="945" t="e">
        <f t="shared" si="10"/>
        <v>#VALUE!</v>
      </c>
      <c r="EN652" s="921"/>
      <c r="EO652" s="921"/>
      <c r="EP652" s="921"/>
      <c r="EQ652" s="943"/>
      <c r="ER652" s="945" t="e">
        <f t="shared" si="11"/>
        <v>#VALUE!</v>
      </c>
      <c r="ES652" s="921"/>
      <c r="ET652" s="921"/>
      <c r="EU652" s="921"/>
      <c r="EV652" s="943"/>
      <c r="EW652" s="945" t="e">
        <f t="shared" si="12"/>
        <v>#VALUE!</v>
      </c>
      <c r="EX652" s="921"/>
      <c r="EY652" s="921"/>
      <c r="EZ652" s="921"/>
      <c r="FA652" s="943"/>
    </row>
    <row r="653" spans="1:157" ht="12.75" customHeight="1">
      <c r="A653" s="117"/>
      <c r="B653" s="32" t="s">
        <v>1028</v>
      </c>
      <c r="G653" s="967" t="s">
        <v>1848</v>
      </c>
      <c r="H653" s="968"/>
      <c r="I653" s="968"/>
      <c r="J653" s="968"/>
      <c r="K653" s="968"/>
      <c r="L653" s="968"/>
      <c r="M653" s="968"/>
      <c r="N653" s="968"/>
      <c r="O653" s="968"/>
      <c r="P653" s="968"/>
      <c r="Q653" s="968"/>
      <c r="R653" s="969"/>
      <c r="T653" s="117"/>
      <c r="U653" s="32" t="s">
        <v>1028</v>
      </c>
      <c r="Z653" s="970" t="s">
        <v>1848</v>
      </c>
      <c r="AA653" s="921"/>
      <c r="AB653" s="921"/>
      <c r="AC653" s="921"/>
      <c r="AD653" s="921"/>
      <c r="AE653" s="921"/>
      <c r="AF653" s="921"/>
      <c r="AG653" s="921"/>
      <c r="AH653" s="921"/>
      <c r="AI653" s="921"/>
      <c r="AJ653" s="921"/>
      <c r="AK653" s="971"/>
      <c r="AV653" s="1"/>
      <c r="AW653" s="1"/>
      <c r="AX653" s="1"/>
      <c r="AY653" s="1"/>
      <c r="AZ653" s="1"/>
      <c r="BA653" s="1"/>
      <c r="BB653" s="1"/>
      <c r="BC653" s="1"/>
      <c r="BD653" s="1"/>
      <c r="BE653" s="1"/>
      <c r="BF653" s="1"/>
      <c r="BG653" s="1"/>
      <c r="BH653" s="1"/>
      <c r="BI653" s="1"/>
      <c r="BJ653" s="1"/>
      <c r="BK653" s="1"/>
      <c r="BL653" s="1"/>
      <c r="BM653" s="1"/>
      <c r="DX653" s="945" t="e">
        <f>#REF!*(#REF!/$CP$759)</f>
        <v>#REF!</v>
      </c>
      <c r="DY653" s="921"/>
      <c r="DZ653" s="921"/>
      <c r="EA653" s="921"/>
      <c r="EB653" s="943"/>
      <c r="EC653" s="945" t="e">
        <f>#REF!*(#REF!/$CU$759)</f>
        <v>#REF!</v>
      </c>
      <c r="ED653" s="921"/>
      <c r="EE653" s="921"/>
      <c r="EF653" s="921"/>
      <c r="EG653" s="943"/>
      <c r="EH653" s="945" t="e">
        <f>#REF!*(#REF!/$CZ$759)</f>
        <v>#REF!</v>
      </c>
      <c r="EI653" s="921"/>
      <c r="EJ653" s="921"/>
      <c r="EK653" s="921"/>
      <c r="EL653" s="943"/>
      <c r="EM653" s="945" t="e">
        <f>#REF!*(#REF!/$DE$759)</f>
        <v>#REF!</v>
      </c>
      <c r="EN653" s="921"/>
      <c r="EO653" s="921"/>
      <c r="EP653" s="921"/>
      <c r="EQ653" s="943"/>
      <c r="ER653" s="945" t="e">
        <f>#REF!*(#REF!/$DJ$759)</f>
        <v>#REF!</v>
      </c>
      <c r="ES653" s="921"/>
      <c r="ET653" s="921"/>
      <c r="EU653" s="921"/>
      <c r="EV653" s="943"/>
      <c r="EW653" s="945" t="e">
        <f>#REF!*(#REF!/$DO$759)</f>
        <v>#REF!</v>
      </c>
      <c r="EX653" s="921"/>
      <c r="EY653" s="921"/>
      <c r="EZ653" s="921"/>
      <c r="FA653" s="943"/>
    </row>
    <row r="654" spans="1:157" ht="12.75" customHeight="1">
      <c r="A654" s="117"/>
      <c r="B654" s="32" t="s">
        <v>1850</v>
      </c>
      <c r="G654" s="967" t="s">
        <v>1851</v>
      </c>
      <c r="H654" s="968"/>
      <c r="I654" s="968"/>
      <c r="J654" s="968"/>
      <c r="K654" s="968"/>
      <c r="L654" s="968"/>
      <c r="M654" s="968"/>
      <c r="N654" s="968"/>
      <c r="O654" s="968"/>
      <c r="P654" s="968"/>
      <c r="Q654" s="968"/>
      <c r="R654" s="969"/>
      <c r="S654" s="17"/>
      <c r="T654" s="117"/>
      <c r="U654" s="32" t="s">
        <v>1850</v>
      </c>
      <c r="Z654" s="970" t="s">
        <v>1851</v>
      </c>
      <c r="AA654" s="921"/>
      <c r="AB654" s="921"/>
      <c r="AC654" s="921"/>
      <c r="AD654" s="921"/>
      <c r="AE654" s="921"/>
      <c r="AF654" s="921"/>
      <c r="AG654" s="921"/>
      <c r="AH654" s="921"/>
      <c r="AI654" s="921"/>
      <c r="AJ654" s="921"/>
      <c r="AK654" s="971"/>
      <c r="AZ654" s="1"/>
      <c r="BA654" s="1"/>
      <c r="BB654" s="1"/>
      <c r="BC654" s="1"/>
      <c r="BD654" s="1"/>
      <c r="BE654" s="1"/>
      <c r="BF654" s="1"/>
      <c r="BG654" s="1"/>
      <c r="BH654" s="1"/>
      <c r="BI654" s="1"/>
      <c r="BJ654" s="1"/>
      <c r="BK654" s="1"/>
      <c r="BL654" s="1"/>
      <c r="BM654" s="1"/>
      <c r="DX654" s="945" t="e">
        <f t="shared" ref="DX654:DX677" si="13">EZ735*(CP735/$CP$759)</f>
        <v>#VALUE!</v>
      </c>
      <c r="DY654" s="921"/>
      <c r="DZ654" s="921"/>
      <c r="EA654" s="921"/>
      <c r="EB654" s="943"/>
      <c r="EC654" s="945" t="e">
        <f t="shared" ref="EC654:EC677" si="14">FE735*(CU735/$CU$759)</f>
        <v>#VALUE!</v>
      </c>
      <c r="ED654" s="921"/>
      <c r="EE654" s="921"/>
      <c r="EF654" s="921"/>
      <c r="EG654" s="943"/>
      <c r="EH654" s="945">
        <f t="shared" ref="EH654:EH677" si="15">FJ735*(CZ735/$CZ$759)</f>
        <v>30.676470588235293</v>
      </c>
      <c r="EI654" s="921"/>
      <c r="EJ654" s="921"/>
      <c r="EK654" s="921"/>
      <c r="EL654" s="943"/>
      <c r="EM654" s="945" t="e">
        <f t="shared" ref="EM654:EM677" si="16">FO735*(DE735/$DE$759)</f>
        <v>#VALUE!</v>
      </c>
      <c r="EN654" s="921"/>
      <c r="EO654" s="921"/>
      <c r="EP654" s="921"/>
      <c r="EQ654" s="943"/>
      <c r="ER654" s="945" t="e">
        <f t="shared" ref="ER654:ER677" si="17">FT735*(DJ735/$DJ$759)</f>
        <v>#VALUE!</v>
      </c>
      <c r="ES654" s="921"/>
      <c r="ET654" s="921"/>
      <c r="EU654" s="921"/>
      <c r="EV654" s="943"/>
      <c r="EW654" s="945" t="e">
        <f t="shared" ref="EW654:EW677" si="18">FY735*(DO735/$DO$759)</f>
        <v>#VALUE!</v>
      </c>
      <c r="EX654" s="921"/>
      <c r="EY654" s="921"/>
      <c r="EZ654" s="921"/>
      <c r="FA654" s="943"/>
    </row>
    <row r="655" spans="1:157" ht="12.75" customHeight="1">
      <c r="A655" s="117"/>
      <c r="B655" s="32" t="s">
        <v>875</v>
      </c>
      <c r="G655" s="972" t="s">
        <v>1852</v>
      </c>
      <c r="H655" s="921"/>
      <c r="I655" s="921"/>
      <c r="J655" s="921"/>
      <c r="K655" s="921"/>
      <c r="L655" s="971"/>
      <c r="O655" s="33" t="s">
        <v>1263</v>
      </c>
      <c r="P655" s="970"/>
      <c r="Q655" s="921"/>
      <c r="R655" s="971"/>
      <c r="S655" s="170"/>
      <c r="T655" s="117"/>
      <c r="U655" s="32" t="s">
        <v>875</v>
      </c>
      <c r="Z655" s="972" t="s">
        <v>1852</v>
      </c>
      <c r="AA655" s="921"/>
      <c r="AB655" s="921"/>
      <c r="AC655" s="921"/>
      <c r="AD655" s="921"/>
      <c r="AE655" s="971"/>
      <c r="AH655" s="33" t="s">
        <v>1263</v>
      </c>
      <c r="AI655" s="970"/>
      <c r="AJ655" s="921"/>
      <c r="AK655" s="971"/>
      <c r="AZ655" s="1"/>
      <c r="BA655" s="1"/>
      <c r="BB655" s="1"/>
      <c r="BC655" s="1"/>
      <c r="BD655" s="1"/>
      <c r="BE655" s="1"/>
      <c r="BF655" s="1"/>
      <c r="BG655" s="1"/>
      <c r="BH655" s="1"/>
      <c r="BI655" s="1"/>
      <c r="BJ655" s="1"/>
      <c r="BK655" s="1"/>
      <c r="BL655" s="1"/>
      <c r="BM655" s="1"/>
      <c r="DX655" s="945" t="e">
        <f t="shared" si="13"/>
        <v>#VALUE!</v>
      </c>
      <c r="DY655" s="921"/>
      <c r="DZ655" s="921"/>
      <c r="EA655" s="921"/>
      <c r="EB655" s="943"/>
      <c r="EC655" s="945" t="e">
        <f t="shared" si="14"/>
        <v>#VALUE!</v>
      </c>
      <c r="ED655" s="921"/>
      <c r="EE655" s="921"/>
      <c r="EF655" s="921"/>
      <c r="EG655" s="943"/>
      <c r="EH655" s="945">
        <f t="shared" si="15"/>
        <v>53.823529411764703</v>
      </c>
      <c r="EI655" s="921"/>
      <c r="EJ655" s="921"/>
      <c r="EK655" s="921"/>
      <c r="EL655" s="943"/>
      <c r="EM655" s="945" t="e">
        <f t="shared" si="16"/>
        <v>#VALUE!</v>
      </c>
      <c r="EN655" s="921"/>
      <c r="EO655" s="921"/>
      <c r="EP655" s="921"/>
      <c r="EQ655" s="943"/>
      <c r="ER655" s="945" t="e">
        <f t="shared" si="17"/>
        <v>#VALUE!</v>
      </c>
      <c r="ES655" s="921"/>
      <c r="ET655" s="921"/>
      <c r="EU655" s="921"/>
      <c r="EV655" s="943"/>
      <c r="EW655" s="945" t="e">
        <f t="shared" si="18"/>
        <v>#VALUE!</v>
      </c>
      <c r="EX655" s="921"/>
      <c r="EY655" s="921"/>
      <c r="EZ655" s="921"/>
      <c r="FA655" s="943"/>
    </row>
    <row r="656" spans="1:157" ht="12.75" customHeight="1">
      <c r="A656" s="117"/>
      <c r="B656" s="32" t="s">
        <v>1853</v>
      </c>
      <c r="H656" s="967" t="s">
        <v>1955</v>
      </c>
      <c r="I656" s="968"/>
      <c r="J656" s="968"/>
      <c r="K656" s="968"/>
      <c r="L656" s="968"/>
      <c r="M656" s="968"/>
      <c r="N656" s="968"/>
      <c r="O656" s="968"/>
      <c r="P656" s="968"/>
      <c r="Q656" s="968"/>
      <c r="R656" s="969"/>
      <c r="S656" s="17"/>
      <c r="T656" s="117"/>
      <c r="U656" s="32" t="s">
        <v>1853</v>
      </c>
      <c r="AA656" s="967" t="s">
        <v>1956</v>
      </c>
      <c r="AB656" s="968"/>
      <c r="AC656" s="968"/>
      <c r="AD656" s="968"/>
      <c r="AE656" s="968"/>
      <c r="AF656" s="968"/>
      <c r="AG656" s="968"/>
      <c r="AH656" s="968"/>
      <c r="AI656" s="968"/>
      <c r="AJ656" s="968"/>
      <c r="AK656" s="969"/>
      <c r="AZ656" s="1"/>
      <c r="BA656" s="1"/>
      <c r="BB656" s="1"/>
      <c r="BC656" s="1"/>
      <c r="BD656" s="1"/>
      <c r="BE656" s="1"/>
      <c r="BF656" s="1"/>
      <c r="BG656" s="1"/>
      <c r="BH656" s="1"/>
      <c r="BI656" s="1"/>
      <c r="BJ656" s="1"/>
      <c r="BK656" s="1"/>
      <c r="BL656" s="1"/>
      <c r="BM656" s="1"/>
      <c r="DX656" s="945" t="e">
        <f t="shared" si="13"/>
        <v>#VALUE!</v>
      </c>
      <c r="DY656" s="921"/>
      <c r="DZ656" s="921"/>
      <c r="EA656" s="921"/>
      <c r="EB656" s="943"/>
      <c r="EC656" s="945" t="e">
        <f t="shared" si="14"/>
        <v>#VALUE!</v>
      </c>
      <c r="ED656" s="921"/>
      <c r="EE656" s="921"/>
      <c r="EF656" s="921"/>
      <c r="EG656" s="943"/>
      <c r="EH656" s="945">
        <f t="shared" si="15"/>
        <v>425.17647058823525</v>
      </c>
      <c r="EI656" s="921"/>
      <c r="EJ656" s="921"/>
      <c r="EK656" s="921"/>
      <c r="EL656" s="943"/>
      <c r="EM656" s="945" t="e">
        <f t="shared" si="16"/>
        <v>#VALUE!</v>
      </c>
      <c r="EN656" s="921"/>
      <c r="EO656" s="921"/>
      <c r="EP656" s="921"/>
      <c r="EQ656" s="943"/>
      <c r="ER656" s="945" t="e">
        <f t="shared" si="17"/>
        <v>#VALUE!</v>
      </c>
      <c r="ES656" s="921"/>
      <c r="ET656" s="921"/>
      <c r="EU656" s="921"/>
      <c r="EV656" s="943"/>
      <c r="EW656" s="945" t="e">
        <f t="shared" si="18"/>
        <v>#VALUE!</v>
      </c>
      <c r="EX656" s="921"/>
      <c r="EY656" s="921"/>
      <c r="EZ656" s="921"/>
      <c r="FA656" s="943"/>
    </row>
    <row r="657" spans="1:157" ht="12.75" customHeight="1">
      <c r="A657" s="117"/>
      <c r="B657" s="32" t="s">
        <v>1860</v>
      </c>
      <c r="N657" s="973" t="s">
        <v>901</v>
      </c>
      <c r="O657" s="969"/>
      <c r="T657" s="117"/>
      <c r="U657" s="32" t="s">
        <v>1860</v>
      </c>
      <c r="AG657" s="973" t="s">
        <v>901</v>
      </c>
      <c r="AH657" s="969"/>
      <c r="AZ657" s="1"/>
      <c r="BA657" s="1"/>
      <c r="BB657" s="1"/>
      <c r="BC657" s="1"/>
      <c r="BD657" s="1"/>
      <c r="BE657" s="1"/>
      <c r="BF657" s="1"/>
      <c r="BG657" s="1"/>
      <c r="BH657" s="1"/>
      <c r="BI657" s="1"/>
      <c r="BJ657" s="1"/>
      <c r="BK657" s="1"/>
      <c r="BL657" s="1"/>
      <c r="BM657" s="1"/>
      <c r="DX657" s="945" t="e">
        <f t="shared" si="13"/>
        <v>#VALUE!</v>
      </c>
      <c r="DY657" s="921"/>
      <c r="DZ657" s="921"/>
      <c r="EA657" s="921"/>
      <c r="EB657" s="943"/>
      <c r="EC657" s="945" t="e">
        <f t="shared" si="14"/>
        <v>#VALUE!</v>
      </c>
      <c r="ED657" s="921"/>
      <c r="EE657" s="921"/>
      <c r="EF657" s="921"/>
      <c r="EG657" s="943"/>
      <c r="EH657" s="945" t="e">
        <f t="shared" si="15"/>
        <v>#VALUE!</v>
      </c>
      <c r="EI657" s="921"/>
      <c r="EJ657" s="921"/>
      <c r="EK657" s="921"/>
      <c r="EL657" s="943"/>
      <c r="EM657" s="945">
        <f t="shared" si="16"/>
        <v>52.711111111111116</v>
      </c>
      <c r="EN657" s="921"/>
      <c r="EO657" s="921"/>
      <c r="EP657" s="921"/>
      <c r="EQ657" s="943"/>
      <c r="ER657" s="945" t="e">
        <f t="shared" si="17"/>
        <v>#VALUE!</v>
      </c>
      <c r="ES657" s="921"/>
      <c r="ET657" s="921"/>
      <c r="EU657" s="921"/>
      <c r="EV657" s="943"/>
      <c r="EW657" s="945" t="e">
        <f t="shared" si="18"/>
        <v>#VALUE!</v>
      </c>
      <c r="EX657" s="921"/>
      <c r="EY657" s="921"/>
      <c r="EZ657" s="921"/>
      <c r="FA657" s="943"/>
    </row>
    <row r="658" spans="1:157" ht="12.75" customHeight="1">
      <c r="A658" s="117"/>
      <c r="T658" s="117"/>
      <c r="AZ658" s="1"/>
      <c r="BA658" s="1"/>
      <c r="BB658" s="1"/>
      <c r="BC658" s="1"/>
      <c r="BD658" s="1"/>
      <c r="BE658" s="1"/>
      <c r="BF658" s="1"/>
      <c r="BG658" s="1"/>
      <c r="BH658" s="1"/>
      <c r="BI658" s="1"/>
      <c r="BJ658" s="1"/>
      <c r="BK658" s="1"/>
      <c r="BL658" s="1"/>
      <c r="BM658" s="1"/>
      <c r="DX658" s="945" t="e">
        <f t="shared" si="13"/>
        <v>#VALUE!</v>
      </c>
      <c r="DY658" s="921"/>
      <c r="DZ658" s="921"/>
      <c r="EA658" s="921"/>
      <c r="EB658" s="943"/>
      <c r="EC658" s="945" t="e">
        <f t="shared" si="14"/>
        <v>#VALUE!</v>
      </c>
      <c r="ED658" s="921"/>
      <c r="EE658" s="921"/>
      <c r="EF658" s="921"/>
      <c r="EG658" s="943"/>
      <c r="EH658" s="945" t="e">
        <f t="shared" si="15"/>
        <v>#VALUE!</v>
      </c>
      <c r="EI658" s="921"/>
      <c r="EJ658" s="921"/>
      <c r="EK658" s="921"/>
      <c r="EL658" s="943"/>
      <c r="EM658" s="945">
        <f t="shared" si="16"/>
        <v>93.111111111111114</v>
      </c>
      <c r="EN658" s="921"/>
      <c r="EO658" s="921"/>
      <c r="EP658" s="921"/>
      <c r="EQ658" s="943"/>
      <c r="ER658" s="945" t="e">
        <f t="shared" si="17"/>
        <v>#VALUE!</v>
      </c>
      <c r="ES658" s="921"/>
      <c r="ET658" s="921"/>
      <c r="EU658" s="921"/>
      <c r="EV658" s="943"/>
      <c r="EW658" s="945" t="e">
        <f t="shared" si="18"/>
        <v>#VALUE!</v>
      </c>
      <c r="EX658" s="921"/>
      <c r="EY658" s="921"/>
      <c r="EZ658" s="921"/>
      <c r="FA658" s="943"/>
    </row>
    <row r="659" spans="1:157" ht="12.75" customHeight="1">
      <c r="A659" s="367" t="s">
        <v>67</v>
      </c>
      <c r="B659" s="32" t="s">
        <v>1845</v>
      </c>
      <c r="G659" s="966" t="str">
        <f>C637</f>
        <v xml:space="preserve">Deferred Developer Fee </v>
      </c>
      <c r="H659" s="961"/>
      <c r="I659" s="961"/>
      <c r="J659" s="961"/>
      <c r="K659" s="961"/>
      <c r="L659" s="961"/>
      <c r="M659" s="961"/>
      <c r="N659" s="961"/>
      <c r="O659" s="961"/>
      <c r="P659" s="961"/>
      <c r="Q659" s="961"/>
      <c r="R659" s="961"/>
      <c r="T659" s="367" t="s">
        <v>119</v>
      </c>
      <c r="U659" s="32" t="s">
        <v>1845</v>
      </c>
      <c r="Z659" s="966" t="str">
        <f>C638</f>
        <v xml:space="preserve">NOI </v>
      </c>
      <c r="AA659" s="961"/>
      <c r="AB659" s="961"/>
      <c r="AC659" s="961"/>
      <c r="AD659" s="961"/>
      <c r="AE659" s="961"/>
      <c r="AF659" s="961"/>
      <c r="AG659" s="961"/>
      <c r="AH659" s="961"/>
      <c r="AI659" s="961"/>
      <c r="AJ659" s="961"/>
      <c r="AK659" s="961"/>
      <c r="AZ659" s="1"/>
      <c r="BA659" s="1"/>
      <c r="BB659" s="1"/>
      <c r="BC659" s="1"/>
      <c r="BD659" s="1"/>
      <c r="BE659" s="1"/>
      <c r="BF659" s="1"/>
      <c r="BG659" s="1"/>
      <c r="BH659" s="1"/>
      <c r="BI659" s="1"/>
      <c r="BJ659" s="1"/>
      <c r="BK659" s="1"/>
      <c r="BL659" s="1"/>
      <c r="BM659" s="1"/>
      <c r="DX659" s="945" t="e">
        <f t="shared" si="13"/>
        <v>#VALUE!</v>
      </c>
      <c r="DY659" s="921"/>
      <c r="DZ659" s="921"/>
      <c r="EA659" s="921"/>
      <c r="EB659" s="943"/>
      <c r="EC659" s="945" t="e">
        <f t="shared" si="14"/>
        <v>#VALUE!</v>
      </c>
      <c r="ED659" s="921"/>
      <c r="EE659" s="921"/>
      <c r="EF659" s="921"/>
      <c r="EG659" s="943"/>
      <c r="EH659" s="945" t="e">
        <f t="shared" si="15"/>
        <v>#VALUE!</v>
      </c>
      <c r="EI659" s="921"/>
      <c r="EJ659" s="921"/>
      <c r="EK659" s="921"/>
      <c r="EL659" s="943"/>
      <c r="EM659" s="945">
        <f t="shared" si="16"/>
        <v>566.66666666666663</v>
      </c>
      <c r="EN659" s="921"/>
      <c r="EO659" s="921"/>
      <c r="EP659" s="921"/>
      <c r="EQ659" s="943"/>
      <c r="ER659" s="945" t="e">
        <f t="shared" si="17"/>
        <v>#VALUE!</v>
      </c>
      <c r="ES659" s="921"/>
      <c r="ET659" s="921"/>
      <c r="EU659" s="921"/>
      <c r="EV659" s="943"/>
      <c r="EW659" s="945" t="e">
        <f t="shared" si="18"/>
        <v>#VALUE!</v>
      </c>
      <c r="EX659" s="921"/>
      <c r="EY659" s="921"/>
      <c r="EZ659" s="921"/>
      <c r="FA659" s="943"/>
    </row>
    <row r="660" spans="1:157" ht="12.75" customHeight="1">
      <c r="A660" s="117"/>
      <c r="B660" s="32" t="s">
        <v>1254</v>
      </c>
      <c r="G660" s="967" t="s">
        <v>1319</v>
      </c>
      <c r="H660" s="968"/>
      <c r="I660" s="968"/>
      <c r="J660" s="968"/>
      <c r="K660" s="968"/>
      <c r="L660" s="968"/>
      <c r="M660" s="968"/>
      <c r="N660" s="968"/>
      <c r="O660" s="968"/>
      <c r="P660" s="968"/>
      <c r="Q660" s="968"/>
      <c r="R660" s="969"/>
      <c r="T660" s="117"/>
      <c r="U660" s="32" t="s">
        <v>1254</v>
      </c>
      <c r="Z660" s="967" t="s">
        <v>1413</v>
      </c>
      <c r="AA660" s="968"/>
      <c r="AB660" s="968"/>
      <c r="AC660" s="968"/>
      <c r="AD660" s="968"/>
      <c r="AE660" s="968"/>
      <c r="AF660" s="968"/>
      <c r="AG660" s="968"/>
      <c r="AH660" s="968"/>
      <c r="AI660" s="968"/>
      <c r="AJ660" s="968"/>
      <c r="AK660" s="969"/>
      <c r="AZ660" s="1"/>
      <c r="BA660" s="1"/>
      <c r="BB660" s="1"/>
      <c r="BC660" s="1"/>
      <c r="BD660" s="1"/>
      <c r="BE660" s="1"/>
      <c r="BF660" s="1"/>
      <c r="BG660" s="1"/>
      <c r="BH660" s="1"/>
      <c r="BI660" s="1"/>
      <c r="BJ660" s="1"/>
      <c r="BK660" s="1"/>
      <c r="BL660" s="1"/>
      <c r="BM660" s="1"/>
      <c r="DX660" s="945" t="e">
        <f t="shared" si="13"/>
        <v>#VALUE!</v>
      </c>
      <c r="DY660" s="921"/>
      <c r="DZ660" s="921"/>
      <c r="EA660" s="921"/>
      <c r="EB660" s="943"/>
      <c r="EC660" s="945" t="e">
        <f t="shared" si="14"/>
        <v>#VALUE!</v>
      </c>
      <c r="ED660" s="921"/>
      <c r="EE660" s="921"/>
      <c r="EF660" s="921"/>
      <c r="EG660" s="943"/>
      <c r="EH660" s="945" t="e">
        <f t="shared" si="15"/>
        <v>#VALUE!</v>
      </c>
      <c r="EI660" s="921"/>
      <c r="EJ660" s="921"/>
      <c r="EK660" s="921"/>
      <c r="EL660" s="943"/>
      <c r="EM660" s="945">
        <f t="shared" si="16"/>
        <v>105.42222222222223</v>
      </c>
      <c r="EN660" s="921"/>
      <c r="EO660" s="921"/>
      <c r="EP660" s="921"/>
      <c r="EQ660" s="943"/>
      <c r="ER660" s="945" t="e">
        <f t="shared" si="17"/>
        <v>#VALUE!</v>
      </c>
      <c r="ES660" s="921"/>
      <c r="ET660" s="921"/>
      <c r="EU660" s="921"/>
      <c r="EV660" s="943"/>
      <c r="EW660" s="945" t="e">
        <f t="shared" si="18"/>
        <v>#VALUE!</v>
      </c>
      <c r="EX660" s="921"/>
      <c r="EY660" s="921"/>
      <c r="EZ660" s="921"/>
      <c r="FA660" s="943"/>
    </row>
    <row r="661" spans="1:157" ht="12.75" customHeight="1">
      <c r="A661" s="117"/>
      <c r="B661" s="32" t="s">
        <v>1028</v>
      </c>
      <c r="G661" s="970" t="s">
        <v>1353</v>
      </c>
      <c r="H661" s="921"/>
      <c r="I661" s="921"/>
      <c r="J661" s="921"/>
      <c r="K661" s="921"/>
      <c r="L661" s="921"/>
      <c r="M661" s="921"/>
      <c r="N661" s="921"/>
      <c r="O661" s="921"/>
      <c r="P661" s="921"/>
      <c r="Q661" s="921"/>
      <c r="R661" s="971"/>
      <c r="T661" s="117"/>
      <c r="U661" s="32" t="s">
        <v>1028</v>
      </c>
      <c r="Z661" s="970" t="s">
        <v>1415</v>
      </c>
      <c r="AA661" s="921"/>
      <c r="AB661" s="921"/>
      <c r="AC661" s="921"/>
      <c r="AD661" s="921"/>
      <c r="AE661" s="921"/>
      <c r="AF661" s="921"/>
      <c r="AG661" s="921"/>
      <c r="AH661" s="921"/>
      <c r="AI661" s="921"/>
      <c r="AJ661" s="921"/>
      <c r="AK661" s="971"/>
      <c r="AZ661" s="1"/>
      <c r="BA661" s="1"/>
      <c r="BB661" s="1"/>
      <c r="BC661" s="1"/>
      <c r="BD661" s="1"/>
      <c r="BE661" s="1"/>
      <c r="BF661" s="1"/>
      <c r="BG661" s="1"/>
      <c r="BH661" s="1"/>
      <c r="BI661" s="1"/>
      <c r="BJ661" s="1"/>
      <c r="BK661" s="1"/>
      <c r="BL661" s="1"/>
      <c r="BM661" s="1"/>
      <c r="DX661" s="945" t="e">
        <f t="shared" si="13"/>
        <v>#VALUE!</v>
      </c>
      <c r="DY661" s="921"/>
      <c r="DZ661" s="921"/>
      <c r="EA661" s="921"/>
      <c r="EB661" s="943"/>
      <c r="EC661" s="945" t="e">
        <f t="shared" si="14"/>
        <v>#VALUE!</v>
      </c>
      <c r="ED661" s="921"/>
      <c r="EE661" s="921"/>
      <c r="EF661" s="921"/>
      <c r="EG661" s="943"/>
      <c r="EH661" s="945" t="e">
        <f t="shared" si="15"/>
        <v>#VALUE!</v>
      </c>
      <c r="EI661" s="921"/>
      <c r="EJ661" s="921"/>
      <c r="EK661" s="921"/>
      <c r="EL661" s="943"/>
      <c r="EM661" s="945">
        <f t="shared" si="16"/>
        <v>186.22222222222223</v>
      </c>
      <c r="EN661" s="921"/>
      <c r="EO661" s="921"/>
      <c r="EP661" s="921"/>
      <c r="EQ661" s="943"/>
      <c r="ER661" s="945" t="e">
        <f t="shared" si="17"/>
        <v>#VALUE!</v>
      </c>
      <c r="ES661" s="921"/>
      <c r="ET661" s="921"/>
      <c r="EU661" s="921"/>
      <c r="EV661" s="943"/>
      <c r="EW661" s="945" t="e">
        <f t="shared" si="18"/>
        <v>#VALUE!</v>
      </c>
      <c r="EX661" s="921"/>
      <c r="EY661" s="921"/>
      <c r="EZ661" s="921"/>
      <c r="FA661" s="943"/>
    </row>
    <row r="662" spans="1:157" ht="12.75" customHeight="1">
      <c r="A662" s="117"/>
      <c r="B662" s="32" t="s">
        <v>1850</v>
      </c>
      <c r="G662" s="970" t="s">
        <v>1325</v>
      </c>
      <c r="H662" s="921"/>
      <c r="I662" s="921"/>
      <c r="J662" s="921"/>
      <c r="K662" s="921"/>
      <c r="L662" s="921"/>
      <c r="M662" s="921"/>
      <c r="N662" s="921"/>
      <c r="O662" s="921"/>
      <c r="P662" s="921"/>
      <c r="Q662" s="921"/>
      <c r="R662" s="971"/>
      <c r="T662" s="117"/>
      <c r="U662" s="32" t="s">
        <v>1850</v>
      </c>
      <c r="Z662" s="970" t="s">
        <v>1260</v>
      </c>
      <c r="AA662" s="921"/>
      <c r="AB662" s="921"/>
      <c r="AC662" s="921"/>
      <c r="AD662" s="921"/>
      <c r="AE662" s="921"/>
      <c r="AF662" s="921"/>
      <c r="AG662" s="921"/>
      <c r="AH662" s="921"/>
      <c r="AI662" s="921"/>
      <c r="AJ662" s="921"/>
      <c r="AK662" s="971"/>
      <c r="AZ662" s="1"/>
      <c r="BA662" s="1"/>
      <c r="BB662" s="1"/>
      <c r="BC662" s="1"/>
      <c r="BD662" s="1"/>
      <c r="BE662" s="1"/>
      <c r="BF662" s="1"/>
      <c r="BG662" s="1"/>
      <c r="BH662" s="1"/>
      <c r="BI662" s="1"/>
      <c r="BJ662" s="1"/>
      <c r="BK662" s="1"/>
      <c r="BL662" s="1"/>
      <c r="BM662" s="1"/>
      <c r="DX662" s="945" t="e">
        <f t="shared" si="13"/>
        <v>#VALUE!</v>
      </c>
      <c r="DY662" s="921"/>
      <c r="DZ662" s="921"/>
      <c r="EA662" s="921"/>
      <c r="EB662" s="943"/>
      <c r="EC662" s="945" t="e">
        <f t="shared" si="14"/>
        <v>#VALUE!</v>
      </c>
      <c r="ED662" s="921"/>
      <c r="EE662" s="921"/>
      <c r="EF662" s="921"/>
      <c r="EG662" s="943"/>
      <c r="EH662" s="945" t="e">
        <f t="shared" si="15"/>
        <v>#VALUE!</v>
      </c>
      <c r="EI662" s="921"/>
      <c r="EJ662" s="921"/>
      <c r="EK662" s="921"/>
      <c r="EL662" s="943"/>
      <c r="EM662" s="945">
        <f t="shared" si="16"/>
        <v>1303.3333333333333</v>
      </c>
      <c r="EN662" s="921"/>
      <c r="EO662" s="921"/>
      <c r="EP662" s="921"/>
      <c r="EQ662" s="943"/>
      <c r="ER662" s="945" t="e">
        <f t="shared" si="17"/>
        <v>#VALUE!</v>
      </c>
      <c r="ES662" s="921"/>
      <c r="ET662" s="921"/>
      <c r="EU662" s="921"/>
      <c r="EV662" s="943"/>
      <c r="EW662" s="945" t="e">
        <f t="shared" si="18"/>
        <v>#VALUE!</v>
      </c>
      <c r="EX662" s="921"/>
      <c r="EY662" s="921"/>
      <c r="EZ662" s="921"/>
      <c r="FA662" s="943"/>
    </row>
    <row r="663" spans="1:157" ht="12.75" customHeight="1">
      <c r="A663" s="117"/>
      <c r="B663" s="32" t="s">
        <v>875</v>
      </c>
      <c r="G663" s="972" t="s">
        <v>1287</v>
      </c>
      <c r="H663" s="921"/>
      <c r="I663" s="921"/>
      <c r="J663" s="921"/>
      <c r="K663" s="921"/>
      <c r="L663" s="971"/>
      <c r="O663" s="33" t="s">
        <v>1263</v>
      </c>
      <c r="P663" s="970"/>
      <c r="Q663" s="921"/>
      <c r="R663" s="971"/>
      <c r="T663" s="117"/>
      <c r="U663" s="32" t="s">
        <v>875</v>
      </c>
      <c r="Z663" s="972" t="s">
        <v>1262</v>
      </c>
      <c r="AA663" s="921"/>
      <c r="AB663" s="921"/>
      <c r="AC663" s="921"/>
      <c r="AD663" s="921"/>
      <c r="AE663" s="971"/>
      <c r="AH663" s="33" t="s">
        <v>1263</v>
      </c>
      <c r="AI663" s="970"/>
      <c r="AJ663" s="921"/>
      <c r="AK663" s="971"/>
      <c r="AZ663" s="1"/>
      <c r="BA663" s="1"/>
      <c r="BB663" s="1"/>
      <c r="BC663" s="1"/>
      <c r="BD663" s="1"/>
      <c r="BE663" s="1"/>
      <c r="BF663" s="1"/>
      <c r="BG663" s="1"/>
      <c r="BH663" s="1"/>
      <c r="BI663" s="1"/>
      <c r="BJ663" s="1"/>
      <c r="BK663" s="1"/>
      <c r="BL663" s="1"/>
      <c r="BM663" s="1"/>
      <c r="DX663" s="945" t="e">
        <f t="shared" si="13"/>
        <v>#VALUE!</v>
      </c>
      <c r="DY663" s="921"/>
      <c r="DZ663" s="921"/>
      <c r="EA663" s="921"/>
      <c r="EB663" s="943"/>
      <c r="EC663" s="945" t="e">
        <f t="shared" si="14"/>
        <v>#VALUE!</v>
      </c>
      <c r="ED663" s="921"/>
      <c r="EE663" s="921"/>
      <c r="EF663" s="921"/>
      <c r="EG663" s="943"/>
      <c r="EH663" s="945" t="e">
        <f t="shared" si="15"/>
        <v>#VALUE!</v>
      </c>
      <c r="EI663" s="921"/>
      <c r="EJ663" s="921"/>
      <c r="EK663" s="921"/>
      <c r="EL663" s="943"/>
      <c r="EM663" s="945" t="e">
        <f t="shared" si="16"/>
        <v>#VALUE!</v>
      </c>
      <c r="EN663" s="921"/>
      <c r="EO663" s="921"/>
      <c r="EP663" s="921"/>
      <c r="EQ663" s="943"/>
      <c r="ER663" s="945" t="e">
        <f t="shared" si="17"/>
        <v>#VALUE!</v>
      </c>
      <c r="ES663" s="921"/>
      <c r="ET663" s="921"/>
      <c r="EU663" s="921"/>
      <c r="EV663" s="943"/>
      <c r="EW663" s="945" t="e">
        <f t="shared" si="18"/>
        <v>#VALUE!</v>
      </c>
      <c r="EX663" s="921"/>
      <c r="EY663" s="921"/>
      <c r="EZ663" s="921"/>
      <c r="FA663" s="943"/>
    </row>
    <row r="664" spans="1:157" ht="12.75" customHeight="1">
      <c r="A664" s="117"/>
      <c r="B664" s="32" t="s">
        <v>1853</v>
      </c>
      <c r="H664" s="967" t="s">
        <v>1789</v>
      </c>
      <c r="I664" s="968"/>
      <c r="J664" s="968"/>
      <c r="K664" s="968"/>
      <c r="L664" s="968"/>
      <c r="M664" s="968"/>
      <c r="N664" s="968"/>
      <c r="O664" s="968"/>
      <c r="P664" s="968"/>
      <c r="Q664" s="968"/>
      <c r="R664" s="969"/>
      <c r="T664" s="117"/>
      <c r="U664" s="32" t="s">
        <v>1853</v>
      </c>
      <c r="AA664" s="967" t="s">
        <v>1749</v>
      </c>
      <c r="AB664" s="968"/>
      <c r="AC664" s="968"/>
      <c r="AD664" s="968"/>
      <c r="AE664" s="968"/>
      <c r="AF664" s="968"/>
      <c r="AG664" s="968"/>
      <c r="AH664" s="968"/>
      <c r="AI664" s="968"/>
      <c r="AJ664" s="968"/>
      <c r="AK664" s="969"/>
      <c r="AZ664" s="1"/>
      <c r="BA664" s="1"/>
      <c r="BB664" s="1"/>
      <c r="BC664" s="1"/>
      <c r="BD664" s="1"/>
      <c r="BE664" s="1"/>
      <c r="BF664" s="1"/>
      <c r="BG664" s="1"/>
      <c r="BH664" s="1"/>
      <c r="BI664" s="1"/>
      <c r="BJ664" s="1"/>
      <c r="BK664" s="1"/>
      <c r="BL664" s="1"/>
      <c r="BM664" s="1"/>
      <c r="DX664" s="945" t="e">
        <f t="shared" si="13"/>
        <v>#VALUE!</v>
      </c>
      <c r="DY664" s="921"/>
      <c r="DZ664" s="921"/>
      <c r="EA664" s="921"/>
      <c r="EB664" s="943"/>
      <c r="EC664" s="945" t="e">
        <f t="shared" si="14"/>
        <v>#VALUE!</v>
      </c>
      <c r="ED664" s="921"/>
      <c r="EE664" s="921"/>
      <c r="EF664" s="921"/>
      <c r="EG664" s="943"/>
      <c r="EH664" s="945" t="e">
        <f t="shared" si="15"/>
        <v>#VALUE!</v>
      </c>
      <c r="EI664" s="921"/>
      <c r="EJ664" s="921"/>
      <c r="EK664" s="921"/>
      <c r="EL664" s="943"/>
      <c r="EM664" s="945" t="e">
        <f t="shared" si="16"/>
        <v>#VALUE!</v>
      </c>
      <c r="EN664" s="921"/>
      <c r="EO664" s="921"/>
      <c r="EP664" s="921"/>
      <c r="EQ664" s="943"/>
      <c r="ER664" s="945" t="e">
        <f t="shared" si="17"/>
        <v>#VALUE!</v>
      </c>
      <c r="ES664" s="921"/>
      <c r="ET664" s="921"/>
      <c r="EU664" s="921"/>
      <c r="EV664" s="943"/>
      <c r="EW664" s="945" t="e">
        <f t="shared" si="18"/>
        <v>#VALUE!</v>
      </c>
      <c r="EX664" s="921"/>
      <c r="EY664" s="921"/>
      <c r="EZ664" s="921"/>
      <c r="FA664" s="943"/>
    </row>
    <row r="665" spans="1:157" ht="12.75" customHeight="1">
      <c r="A665" s="117"/>
      <c r="B665" s="32" t="s">
        <v>1860</v>
      </c>
      <c r="N665" s="973" t="s">
        <v>901</v>
      </c>
      <c r="O665" s="969"/>
      <c r="T665" s="117"/>
      <c r="U665" s="32" t="s">
        <v>1860</v>
      </c>
      <c r="AG665" s="973" t="s">
        <v>901</v>
      </c>
      <c r="AH665" s="969"/>
      <c r="AZ665" s="1"/>
      <c r="BA665" s="1"/>
      <c r="BB665" s="1"/>
      <c r="BC665" s="1"/>
      <c r="BD665" s="1"/>
      <c r="BE665" s="1"/>
      <c r="BF665" s="1"/>
      <c r="BG665" s="1"/>
      <c r="BH665" s="1"/>
      <c r="BI665" s="1"/>
      <c r="BJ665" s="1"/>
      <c r="BK665" s="1"/>
      <c r="BL665" s="1"/>
      <c r="BM665" s="1"/>
      <c r="DX665" s="945" t="e">
        <f t="shared" si="13"/>
        <v>#VALUE!</v>
      </c>
      <c r="DY665" s="921"/>
      <c r="DZ665" s="921"/>
      <c r="EA665" s="921"/>
      <c r="EB665" s="943"/>
      <c r="EC665" s="945" t="e">
        <f t="shared" si="14"/>
        <v>#VALUE!</v>
      </c>
      <c r="ED665" s="921"/>
      <c r="EE665" s="921"/>
      <c r="EF665" s="921"/>
      <c r="EG665" s="943"/>
      <c r="EH665" s="945" t="e">
        <f t="shared" si="15"/>
        <v>#VALUE!</v>
      </c>
      <c r="EI665" s="921"/>
      <c r="EJ665" s="921"/>
      <c r="EK665" s="921"/>
      <c r="EL665" s="943"/>
      <c r="EM665" s="945" t="e">
        <f t="shared" si="16"/>
        <v>#VALUE!</v>
      </c>
      <c r="EN665" s="921"/>
      <c r="EO665" s="921"/>
      <c r="EP665" s="921"/>
      <c r="EQ665" s="943"/>
      <c r="ER665" s="945" t="e">
        <f t="shared" si="17"/>
        <v>#VALUE!</v>
      </c>
      <c r="ES665" s="921"/>
      <c r="ET665" s="921"/>
      <c r="EU665" s="921"/>
      <c r="EV665" s="943"/>
      <c r="EW665" s="945" t="e">
        <f t="shared" si="18"/>
        <v>#VALUE!</v>
      </c>
      <c r="EX665" s="921"/>
      <c r="EY665" s="921"/>
      <c r="EZ665" s="921"/>
      <c r="FA665" s="943"/>
    </row>
    <row r="666" spans="1:157" ht="12.75" customHeight="1">
      <c r="A666" s="117"/>
      <c r="T666" s="117"/>
      <c r="AZ666" s="1"/>
      <c r="BA666" s="1"/>
      <c r="BB666" s="1"/>
      <c r="BC666" s="1"/>
      <c r="BD666" s="1"/>
      <c r="BE666" s="1"/>
      <c r="BF666" s="1"/>
      <c r="BG666" s="1"/>
      <c r="BH666" s="1"/>
      <c r="BI666" s="1"/>
      <c r="BJ666" s="1"/>
      <c r="BK666" s="1"/>
      <c r="BL666" s="1"/>
      <c r="BM666" s="1"/>
      <c r="DX666" s="945" t="e">
        <f t="shared" si="13"/>
        <v>#VALUE!</v>
      </c>
      <c r="DY666" s="921"/>
      <c r="DZ666" s="921"/>
      <c r="EA666" s="921"/>
      <c r="EB666" s="943"/>
      <c r="EC666" s="945" t="e">
        <f t="shared" si="14"/>
        <v>#VALUE!</v>
      </c>
      <c r="ED666" s="921"/>
      <c r="EE666" s="921"/>
      <c r="EF666" s="921"/>
      <c r="EG666" s="943"/>
      <c r="EH666" s="945" t="e">
        <f t="shared" si="15"/>
        <v>#VALUE!</v>
      </c>
      <c r="EI666" s="921"/>
      <c r="EJ666" s="921"/>
      <c r="EK666" s="921"/>
      <c r="EL666" s="943"/>
      <c r="EM666" s="945" t="e">
        <f t="shared" si="16"/>
        <v>#VALUE!</v>
      </c>
      <c r="EN666" s="921"/>
      <c r="EO666" s="921"/>
      <c r="EP666" s="921"/>
      <c r="EQ666" s="943"/>
      <c r="ER666" s="945" t="e">
        <f t="shared" si="17"/>
        <v>#VALUE!</v>
      </c>
      <c r="ES666" s="921"/>
      <c r="ET666" s="921"/>
      <c r="EU666" s="921"/>
      <c r="EV666" s="943"/>
      <c r="EW666" s="945" t="e">
        <f t="shared" si="18"/>
        <v>#VALUE!</v>
      </c>
      <c r="EX666" s="921"/>
      <c r="EY666" s="921"/>
      <c r="EZ666" s="921"/>
      <c r="FA666" s="943"/>
    </row>
    <row r="667" spans="1:157" ht="12.75" customHeight="1">
      <c r="A667" s="367" t="s">
        <v>124</v>
      </c>
      <c r="B667" s="32" t="s">
        <v>1845</v>
      </c>
      <c r="G667" s="966">
        <f>C639</f>
        <v>0</v>
      </c>
      <c r="H667" s="961"/>
      <c r="I667" s="961"/>
      <c r="J667" s="961"/>
      <c r="K667" s="961"/>
      <c r="L667" s="961"/>
      <c r="M667" s="961"/>
      <c r="N667" s="961"/>
      <c r="O667" s="961"/>
      <c r="P667" s="961"/>
      <c r="Q667" s="961"/>
      <c r="R667" s="961"/>
      <c r="T667" s="367" t="s">
        <v>1811</v>
      </c>
      <c r="U667" s="32" t="s">
        <v>1845</v>
      </c>
      <c r="Z667" s="966">
        <f>C640</f>
        <v>0</v>
      </c>
      <c r="AA667" s="961"/>
      <c r="AB667" s="961"/>
      <c r="AC667" s="961"/>
      <c r="AD667" s="961"/>
      <c r="AE667" s="961"/>
      <c r="AF667" s="961"/>
      <c r="AG667" s="961"/>
      <c r="AH667" s="961"/>
      <c r="AI667" s="961"/>
      <c r="AJ667" s="961"/>
      <c r="AK667" s="961"/>
      <c r="AZ667" s="1"/>
      <c r="BA667" s="1"/>
      <c r="BB667" s="1"/>
      <c r="BC667" s="1"/>
      <c r="BD667" s="1"/>
      <c r="BE667" s="1"/>
      <c r="BF667" s="1"/>
      <c r="BG667" s="1"/>
      <c r="BH667" s="1"/>
      <c r="BI667" s="1"/>
      <c r="BJ667" s="1"/>
      <c r="BK667" s="1"/>
      <c r="BL667" s="1"/>
      <c r="BM667" s="1"/>
      <c r="DX667" s="945" t="e">
        <f t="shared" si="13"/>
        <v>#VALUE!</v>
      </c>
      <c r="DY667" s="921"/>
      <c r="DZ667" s="921"/>
      <c r="EA667" s="921"/>
      <c r="EB667" s="943"/>
      <c r="EC667" s="945" t="e">
        <f t="shared" si="14"/>
        <v>#VALUE!</v>
      </c>
      <c r="ED667" s="921"/>
      <c r="EE667" s="921"/>
      <c r="EF667" s="921"/>
      <c r="EG667" s="943"/>
      <c r="EH667" s="945" t="e">
        <f t="shared" si="15"/>
        <v>#VALUE!</v>
      </c>
      <c r="EI667" s="921"/>
      <c r="EJ667" s="921"/>
      <c r="EK667" s="921"/>
      <c r="EL667" s="943"/>
      <c r="EM667" s="945" t="e">
        <f t="shared" si="16"/>
        <v>#VALUE!</v>
      </c>
      <c r="EN667" s="921"/>
      <c r="EO667" s="921"/>
      <c r="EP667" s="921"/>
      <c r="EQ667" s="943"/>
      <c r="ER667" s="945" t="e">
        <f t="shared" si="17"/>
        <v>#VALUE!</v>
      </c>
      <c r="ES667" s="921"/>
      <c r="ET667" s="921"/>
      <c r="EU667" s="921"/>
      <c r="EV667" s="943"/>
      <c r="EW667" s="945" t="e">
        <f t="shared" si="18"/>
        <v>#VALUE!</v>
      </c>
      <c r="EX667" s="921"/>
      <c r="EY667" s="921"/>
      <c r="EZ667" s="921"/>
      <c r="FA667" s="943"/>
    </row>
    <row r="668" spans="1:157" ht="12.75" customHeight="1">
      <c r="A668" s="117"/>
      <c r="B668" s="32" t="s">
        <v>1254</v>
      </c>
      <c r="G668" s="967"/>
      <c r="H668" s="968"/>
      <c r="I668" s="968"/>
      <c r="J668" s="968"/>
      <c r="K668" s="968"/>
      <c r="L668" s="968"/>
      <c r="M668" s="968"/>
      <c r="N668" s="968"/>
      <c r="O668" s="968"/>
      <c r="P668" s="968"/>
      <c r="Q668" s="968"/>
      <c r="R668" s="969"/>
      <c r="T668" s="117"/>
      <c r="U668" s="32" t="s">
        <v>1254</v>
      </c>
      <c r="Z668" s="967"/>
      <c r="AA668" s="968"/>
      <c r="AB668" s="968"/>
      <c r="AC668" s="968"/>
      <c r="AD668" s="968"/>
      <c r="AE668" s="968"/>
      <c r="AF668" s="968"/>
      <c r="AG668" s="968"/>
      <c r="AH668" s="968"/>
      <c r="AI668" s="968"/>
      <c r="AJ668" s="968"/>
      <c r="AK668" s="969"/>
      <c r="AZ668" s="1"/>
      <c r="BA668" s="1"/>
      <c r="BB668" s="1"/>
      <c r="BC668" s="1"/>
      <c r="BD668" s="1"/>
      <c r="BE668" s="1"/>
      <c r="BF668" s="1"/>
      <c r="BG668" s="1"/>
      <c r="BH668" s="1"/>
      <c r="BI668" s="1"/>
      <c r="BJ668" s="1"/>
      <c r="BK668" s="1"/>
      <c r="BL668" s="1"/>
      <c r="BM668" s="1"/>
      <c r="DX668" s="945" t="e">
        <f t="shared" si="13"/>
        <v>#VALUE!</v>
      </c>
      <c r="DY668" s="921"/>
      <c r="DZ668" s="921"/>
      <c r="EA668" s="921"/>
      <c r="EB668" s="943"/>
      <c r="EC668" s="945" t="e">
        <f t="shared" si="14"/>
        <v>#VALUE!</v>
      </c>
      <c r="ED668" s="921"/>
      <c r="EE668" s="921"/>
      <c r="EF668" s="921"/>
      <c r="EG668" s="943"/>
      <c r="EH668" s="945" t="e">
        <f t="shared" si="15"/>
        <v>#VALUE!</v>
      </c>
      <c r="EI668" s="921"/>
      <c r="EJ668" s="921"/>
      <c r="EK668" s="921"/>
      <c r="EL668" s="943"/>
      <c r="EM668" s="945" t="e">
        <f t="shared" si="16"/>
        <v>#VALUE!</v>
      </c>
      <c r="EN668" s="921"/>
      <c r="EO668" s="921"/>
      <c r="EP668" s="921"/>
      <c r="EQ668" s="943"/>
      <c r="ER668" s="945" t="e">
        <f t="shared" si="17"/>
        <v>#VALUE!</v>
      </c>
      <c r="ES668" s="921"/>
      <c r="ET668" s="921"/>
      <c r="EU668" s="921"/>
      <c r="EV668" s="943"/>
      <c r="EW668" s="945" t="e">
        <f t="shared" si="18"/>
        <v>#VALUE!</v>
      </c>
      <c r="EX668" s="921"/>
      <c r="EY668" s="921"/>
      <c r="EZ668" s="921"/>
      <c r="FA668" s="943"/>
    </row>
    <row r="669" spans="1:157" ht="12.75" customHeight="1">
      <c r="A669" s="117"/>
      <c r="B669" s="32" t="s">
        <v>1028</v>
      </c>
      <c r="G669" s="967"/>
      <c r="H669" s="968"/>
      <c r="I669" s="968"/>
      <c r="J669" s="968"/>
      <c r="K669" s="968"/>
      <c r="L669" s="968"/>
      <c r="M669" s="968"/>
      <c r="N669" s="968"/>
      <c r="O669" s="968"/>
      <c r="P669" s="968"/>
      <c r="Q669" s="968"/>
      <c r="R669" s="969"/>
      <c r="T669" s="117"/>
      <c r="U669" s="32" t="s">
        <v>1028</v>
      </c>
      <c r="Z669" s="970"/>
      <c r="AA669" s="921"/>
      <c r="AB669" s="921"/>
      <c r="AC669" s="921"/>
      <c r="AD669" s="921"/>
      <c r="AE669" s="921"/>
      <c r="AF669" s="921"/>
      <c r="AG669" s="921"/>
      <c r="AH669" s="921"/>
      <c r="AI669" s="921"/>
      <c r="AJ669" s="921"/>
      <c r="AK669" s="971"/>
      <c r="AZ669" s="1"/>
      <c r="BA669" s="1"/>
      <c r="BB669" s="1"/>
      <c r="BC669" s="1"/>
      <c r="BD669" s="1"/>
      <c r="BE669" s="1"/>
      <c r="BF669" s="1"/>
      <c r="BG669" s="1"/>
      <c r="BH669" s="1"/>
      <c r="BI669" s="1"/>
      <c r="BJ669" s="1"/>
      <c r="BK669" s="1"/>
      <c r="BL669" s="1"/>
      <c r="BM669" s="1"/>
      <c r="DX669" s="945" t="e">
        <f t="shared" si="13"/>
        <v>#VALUE!</v>
      </c>
      <c r="DY669" s="921"/>
      <c r="DZ669" s="921"/>
      <c r="EA669" s="921"/>
      <c r="EB669" s="943"/>
      <c r="EC669" s="945" t="e">
        <f t="shared" si="14"/>
        <v>#VALUE!</v>
      </c>
      <c r="ED669" s="921"/>
      <c r="EE669" s="921"/>
      <c r="EF669" s="921"/>
      <c r="EG669" s="943"/>
      <c r="EH669" s="945" t="e">
        <f t="shared" si="15"/>
        <v>#VALUE!</v>
      </c>
      <c r="EI669" s="921"/>
      <c r="EJ669" s="921"/>
      <c r="EK669" s="921"/>
      <c r="EL669" s="943"/>
      <c r="EM669" s="945" t="e">
        <f t="shared" si="16"/>
        <v>#VALUE!</v>
      </c>
      <c r="EN669" s="921"/>
      <c r="EO669" s="921"/>
      <c r="EP669" s="921"/>
      <c r="EQ669" s="943"/>
      <c r="ER669" s="945" t="e">
        <f t="shared" si="17"/>
        <v>#VALUE!</v>
      </c>
      <c r="ES669" s="921"/>
      <c r="ET669" s="921"/>
      <c r="EU669" s="921"/>
      <c r="EV669" s="943"/>
      <c r="EW669" s="945" t="e">
        <f t="shared" si="18"/>
        <v>#VALUE!</v>
      </c>
      <c r="EX669" s="921"/>
      <c r="EY669" s="921"/>
      <c r="EZ669" s="921"/>
      <c r="FA669" s="943"/>
    </row>
    <row r="670" spans="1:157" ht="12.75" customHeight="1">
      <c r="A670" s="117"/>
      <c r="B670" s="32" t="s">
        <v>1850</v>
      </c>
      <c r="G670" s="967"/>
      <c r="H670" s="968"/>
      <c r="I670" s="968"/>
      <c r="J670" s="968"/>
      <c r="K670" s="968"/>
      <c r="L670" s="968"/>
      <c r="M670" s="968"/>
      <c r="N670" s="968"/>
      <c r="O670" s="968"/>
      <c r="P670" s="968"/>
      <c r="Q670" s="968"/>
      <c r="R670" s="969"/>
      <c r="T670" s="117"/>
      <c r="U670" s="32" t="s">
        <v>1850</v>
      </c>
      <c r="Z670" s="970"/>
      <c r="AA670" s="921"/>
      <c r="AB670" s="921"/>
      <c r="AC670" s="921"/>
      <c r="AD670" s="921"/>
      <c r="AE670" s="921"/>
      <c r="AF670" s="921"/>
      <c r="AG670" s="921"/>
      <c r="AH670" s="921"/>
      <c r="AI670" s="921"/>
      <c r="AJ670" s="921"/>
      <c r="AK670" s="97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X670" s="945" t="e">
        <f t="shared" si="13"/>
        <v>#VALUE!</v>
      </c>
      <c r="DY670" s="921"/>
      <c r="DZ670" s="921"/>
      <c r="EA670" s="921"/>
      <c r="EB670" s="943"/>
      <c r="EC670" s="945" t="e">
        <f t="shared" si="14"/>
        <v>#VALUE!</v>
      </c>
      <c r="ED670" s="921"/>
      <c r="EE670" s="921"/>
      <c r="EF670" s="921"/>
      <c r="EG670" s="943"/>
      <c r="EH670" s="945" t="e">
        <f t="shared" si="15"/>
        <v>#VALUE!</v>
      </c>
      <c r="EI670" s="921"/>
      <c r="EJ670" s="921"/>
      <c r="EK670" s="921"/>
      <c r="EL670" s="943"/>
      <c r="EM670" s="945" t="e">
        <f t="shared" si="16"/>
        <v>#VALUE!</v>
      </c>
      <c r="EN670" s="921"/>
      <c r="EO670" s="921"/>
      <c r="EP670" s="921"/>
      <c r="EQ670" s="943"/>
      <c r="ER670" s="945" t="e">
        <f t="shared" si="17"/>
        <v>#VALUE!</v>
      </c>
      <c r="ES670" s="921"/>
      <c r="ET670" s="921"/>
      <c r="EU670" s="921"/>
      <c r="EV670" s="943"/>
      <c r="EW670" s="945" t="e">
        <f t="shared" si="18"/>
        <v>#VALUE!</v>
      </c>
      <c r="EX670" s="921"/>
      <c r="EY670" s="921"/>
      <c r="EZ670" s="921"/>
      <c r="FA670" s="943"/>
    </row>
    <row r="671" spans="1:157" ht="12.75" customHeight="1">
      <c r="A671" s="117"/>
      <c r="B671" s="32" t="s">
        <v>875</v>
      </c>
      <c r="G671" s="972"/>
      <c r="H671" s="921"/>
      <c r="I671" s="921"/>
      <c r="J671" s="921"/>
      <c r="K671" s="921"/>
      <c r="L671" s="971"/>
      <c r="O671" s="33" t="s">
        <v>1263</v>
      </c>
      <c r="P671" s="970"/>
      <c r="Q671" s="921"/>
      <c r="R671" s="971"/>
      <c r="T671" s="117"/>
      <c r="U671" s="32" t="s">
        <v>875</v>
      </c>
      <c r="Z671" s="972"/>
      <c r="AA671" s="921"/>
      <c r="AB671" s="921"/>
      <c r="AC671" s="921"/>
      <c r="AD671" s="921"/>
      <c r="AE671" s="971"/>
      <c r="AH671" s="33" t="s">
        <v>1263</v>
      </c>
      <c r="AI671" s="970"/>
      <c r="AJ671" s="921"/>
      <c r="AK671" s="971"/>
      <c r="AZ671" s="1"/>
      <c r="BA671" s="1"/>
      <c r="BB671" s="1"/>
      <c r="BC671" s="1"/>
      <c r="BD671" s="1"/>
      <c r="BE671" s="1"/>
      <c r="BF671" s="1"/>
      <c r="BG671" s="1"/>
      <c r="BH671" s="1"/>
      <c r="BI671" s="1"/>
      <c r="BJ671" s="1"/>
      <c r="BK671" s="1"/>
      <c r="BL671" s="1"/>
      <c r="BM671" s="1"/>
      <c r="BN671" s="1"/>
      <c r="BO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X671" s="945" t="e">
        <f t="shared" si="13"/>
        <v>#VALUE!</v>
      </c>
      <c r="DY671" s="921"/>
      <c r="DZ671" s="921"/>
      <c r="EA671" s="921"/>
      <c r="EB671" s="943"/>
      <c r="EC671" s="945" t="e">
        <f t="shared" si="14"/>
        <v>#VALUE!</v>
      </c>
      <c r="ED671" s="921"/>
      <c r="EE671" s="921"/>
      <c r="EF671" s="921"/>
      <c r="EG671" s="943"/>
      <c r="EH671" s="945" t="e">
        <f t="shared" si="15"/>
        <v>#VALUE!</v>
      </c>
      <c r="EI671" s="921"/>
      <c r="EJ671" s="921"/>
      <c r="EK671" s="921"/>
      <c r="EL671" s="943"/>
      <c r="EM671" s="945" t="e">
        <f t="shared" si="16"/>
        <v>#VALUE!</v>
      </c>
      <c r="EN671" s="921"/>
      <c r="EO671" s="921"/>
      <c r="EP671" s="921"/>
      <c r="EQ671" s="943"/>
      <c r="ER671" s="945" t="e">
        <f t="shared" si="17"/>
        <v>#VALUE!</v>
      </c>
      <c r="ES671" s="921"/>
      <c r="ET671" s="921"/>
      <c r="EU671" s="921"/>
      <c r="EV671" s="943"/>
      <c r="EW671" s="945" t="e">
        <f t="shared" si="18"/>
        <v>#VALUE!</v>
      </c>
      <c r="EX671" s="921"/>
      <c r="EY671" s="921"/>
      <c r="EZ671" s="921"/>
      <c r="FA671" s="943"/>
    </row>
    <row r="672" spans="1:157" ht="12.75" customHeight="1">
      <c r="A672" s="117"/>
      <c r="B672" s="32" t="s">
        <v>1853</v>
      </c>
      <c r="H672" s="967"/>
      <c r="I672" s="968"/>
      <c r="J672" s="968"/>
      <c r="K672" s="968"/>
      <c r="L672" s="968"/>
      <c r="M672" s="968"/>
      <c r="N672" s="968"/>
      <c r="O672" s="968"/>
      <c r="P672" s="968"/>
      <c r="Q672" s="968"/>
      <c r="R672" s="969"/>
      <c r="T672" s="117"/>
      <c r="U672" s="32" t="s">
        <v>1853</v>
      </c>
      <c r="AA672" s="967"/>
      <c r="AB672" s="968"/>
      <c r="AC672" s="968"/>
      <c r="AD672" s="968"/>
      <c r="AE672" s="968"/>
      <c r="AF672" s="968"/>
      <c r="AG672" s="968"/>
      <c r="AH672" s="968"/>
      <c r="AI672" s="968"/>
      <c r="AJ672" s="968"/>
      <c r="AK672" s="969"/>
      <c r="AZ672" s="1"/>
      <c r="BA672" s="1"/>
      <c r="BB672" s="1"/>
      <c r="BC672" s="1"/>
      <c r="BD672" s="1"/>
      <c r="BE672" s="1"/>
      <c r="BF672" s="1"/>
      <c r="BG672" s="1"/>
      <c r="BH672" s="1"/>
      <c r="BI672" s="1"/>
      <c r="BJ672" s="1"/>
      <c r="BK672" s="1"/>
      <c r="BL672" s="1"/>
      <c r="BM672" s="1"/>
      <c r="BN672" s="1"/>
      <c r="BO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X672" s="945" t="e">
        <f t="shared" si="13"/>
        <v>#VALUE!</v>
      </c>
      <c r="DY672" s="921"/>
      <c r="DZ672" s="921"/>
      <c r="EA672" s="921"/>
      <c r="EB672" s="943"/>
      <c r="EC672" s="945" t="e">
        <f t="shared" si="14"/>
        <v>#VALUE!</v>
      </c>
      <c r="ED672" s="921"/>
      <c r="EE672" s="921"/>
      <c r="EF672" s="921"/>
      <c r="EG672" s="943"/>
      <c r="EH672" s="945" t="e">
        <f t="shared" si="15"/>
        <v>#VALUE!</v>
      </c>
      <c r="EI672" s="921"/>
      <c r="EJ672" s="921"/>
      <c r="EK672" s="921"/>
      <c r="EL672" s="943"/>
      <c r="EM672" s="945" t="e">
        <f t="shared" si="16"/>
        <v>#VALUE!</v>
      </c>
      <c r="EN672" s="921"/>
      <c r="EO672" s="921"/>
      <c r="EP672" s="921"/>
      <c r="EQ672" s="943"/>
      <c r="ER672" s="945" t="e">
        <f t="shared" si="17"/>
        <v>#VALUE!</v>
      </c>
      <c r="ES672" s="921"/>
      <c r="ET672" s="921"/>
      <c r="EU672" s="921"/>
      <c r="EV672" s="943"/>
      <c r="EW672" s="945" t="e">
        <f t="shared" si="18"/>
        <v>#VALUE!</v>
      </c>
      <c r="EX672" s="921"/>
      <c r="EY672" s="921"/>
      <c r="EZ672" s="921"/>
      <c r="FA672" s="943"/>
    </row>
    <row r="673" spans="1:157" ht="12.75" customHeight="1">
      <c r="A673" s="117"/>
      <c r="B673" s="32" t="s">
        <v>1860</v>
      </c>
      <c r="N673" s="973" t="s">
        <v>460</v>
      </c>
      <c r="O673" s="969"/>
      <c r="T673" s="117"/>
      <c r="U673" s="32" t="s">
        <v>1860</v>
      </c>
      <c r="AG673" s="973" t="s">
        <v>460</v>
      </c>
      <c r="AH673" s="969"/>
      <c r="AZ673" s="1"/>
      <c r="BA673" s="1"/>
      <c r="BB673" s="1"/>
      <c r="BC673" s="1"/>
      <c r="BD673" s="1"/>
      <c r="BE673" s="1"/>
      <c r="BF673" s="1"/>
      <c r="BG673" s="1"/>
      <c r="BH673" s="1"/>
      <c r="BI673" s="1"/>
      <c r="BJ673" s="1"/>
      <c r="BK673" s="1"/>
      <c r="BL673" s="1"/>
      <c r="BM673" s="1"/>
      <c r="BN673" s="1"/>
      <c r="BO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X673" s="945" t="e">
        <f t="shared" si="13"/>
        <v>#VALUE!</v>
      </c>
      <c r="DY673" s="921"/>
      <c r="DZ673" s="921"/>
      <c r="EA673" s="921"/>
      <c r="EB673" s="943"/>
      <c r="EC673" s="945" t="e">
        <f t="shared" si="14"/>
        <v>#VALUE!</v>
      </c>
      <c r="ED673" s="921"/>
      <c r="EE673" s="921"/>
      <c r="EF673" s="921"/>
      <c r="EG673" s="943"/>
      <c r="EH673" s="945" t="e">
        <f t="shared" si="15"/>
        <v>#VALUE!</v>
      </c>
      <c r="EI673" s="921"/>
      <c r="EJ673" s="921"/>
      <c r="EK673" s="921"/>
      <c r="EL673" s="943"/>
      <c r="EM673" s="945" t="e">
        <f t="shared" si="16"/>
        <v>#VALUE!</v>
      </c>
      <c r="EN673" s="921"/>
      <c r="EO673" s="921"/>
      <c r="EP673" s="921"/>
      <c r="EQ673" s="943"/>
      <c r="ER673" s="945" t="e">
        <f t="shared" si="17"/>
        <v>#VALUE!</v>
      </c>
      <c r="ES673" s="921"/>
      <c r="ET673" s="921"/>
      <c r="EU673" s="921"/>
      <c r="EV673" s="943"/>
      <c r="EW673" s="945" t="e">
        <f t="shared" si="18"/>
        <v>#VALUE!</v>
      </c>
      <c r="EX673" s="921"/>
      <c r="EY673" s="921"/>
      <c r="EZ673" s="921"/>
      <c r="FA673" s="943"/>
    </row>
    <row r="674" spans="1:157" ht="12.75" customHeight="1">
      <c r="A674" s="117"/>
      <c r="T674" s="117"/>
      <c r="AZ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X674" s="945" t="e">
        <f t="shared" si="13"/>
        <v>#VALUE!</v>
      </c>
      <c r="DY674" s="921"/>
      <c r="DZ674" s="921"/>
      <c r="EA674" s="921"/>
      <c r="EB674" s="943"/>
      <c r="EC674" s="945" t="e">
        <f t="shared" si="14"/>
        <v>#VALUE!</v>
      </c>
      <c r="ED674" s="921"/>
      <c r="EE674" s="921"/>
      <c r="EF674" s="921"/>
      <c r="EG674" s="943"/>
      <c r="EH674" s="945" t="e">
        <f t="shared" si="15"/>
        <v>#VALUE!</v>
      </c>
      <c r="EI674" s="921"/>
      <c r="EJ674" s="921"/>
      <c r="EK674" s="921"/>
      <c r="EL674" s="943"/>
      <c r="EM674" s="945" t="e">
        <f t="shared" si="16"/>
        <v>#VALUE!</v>
      </c>
      <c r="EN674" s="921"/>
      <c r="EO674" s="921"/>
      <c r="EP674" s="921"/>
      <c r="EQ674" s="943"/>
      <c r="ER674" s="945" t="e">
        <f t="shared" si="17"/>
        <v>#VALUE!</v>
      </c>
      <c r="ES674" s="921"/>
      <c r="ET674" s="921"/>
      <c r="EU674" s="921"/>
      <c r="EV674" s="943"/>
      <c r="EW674" s="945" t="e">
        <f t="shared" si="18"/>
        <v>#VALUE!</v>
      </c>
      <c r="EX674" s="921"/>
      <c r="EY674" s="921"/>
      <c r="EZ674" s="921"/>
      <c r="FA674" s="943"/>
    </row>
    <row r="675" spans="1:157" ht="12.75" customHeight="1">
      <c r="A675" s="367" t="s">
        <v>1814</v>
      </c>
      <c r="B675" s="32" t="s">
        <v>1845</v>
      </c>
      <c r="G675" s="966">
        <f>C641</f>
        <v>0</v>
      </c>
      <c r="H675" s="961"/>
      <c r="I675" s="961"/>
      <c r="J675" s="961"/>
      <c r="K675" s="961"/>
      <c r="L675" s="961"/>
      <c r="M675" s="961"/>
      <c r="N675" s="961"/>
      <c r="O675" s="961"/>
      <c r="P675" s="961"/>
      <c r="Q675" s="961"/>
      <c r="R675" s="961"/>
      <c r="T675" s="367" t="s">
        <v>1821</v>
      </c>
      <c r="U675" s="32" t="s">
        <v>1845</v>
      </c>
      <c r="Z675" s="966">
        <f>C642</f>
        <v>0</v>
      </c>
      <c r="AA675" s="961"/>
      <c r="AB675" s="961"/>
      <c r="AC675" s="961"/>
      <c r="AD675" s="961"/>
      <c r="AE675" s="961"/>
      <c r="AF675" s="961"/>
      <c r="AG675" s="961"/>
      <c r="AH675" s="961"/>
      <c r="AI675" s="961"/>
      <c r="AJ675" s="961"/>
      <c r="AK675" s="961"/>
      <c r="AZ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X675" s="945" t="e">
        <f t="shared" si="13"/>
        <v>#VALUE!</v>
      </c>
      <c r="DY675" s="921"/>
      <c r="DZ675" s="921"/>
      <c r="EA675" s="921"/>
      <c r="EB675" s="943"/>
      <c r="EC675" s="945" t="e">
        <f t="shared" si="14"/>
        <v>#VALUE!</v>
      </c>
      <c r="ED675" s="921"/>
      <c r="EE675" s="921"/>
      <c r="EF675" s="921"/>
      <c r="EG675" s="943"/>
      <c r="EH675" s="945" t="e">
        <f t="shared" si="15"/>
        <v>#VALUE!</v>
      </c>
      <c r="EI675" s="921"/>
      <c r="EJ675" s="921"/>
      <c r="EK675" s="921"/>
      <c r="EL675" s="943"/>
      <c r="EM675" s="945" t="e">
        <f t="shared" si="16"/>
        <v>#VALUE!</v>
      </c>
      <c r="EN675" s="921"/>
      <c r="EO675" s="921"/>
      <c r="EP675" s="921"/>
      <c r="EQ675" s="943"/>
      <c r="ER675" s="945" t="e">
        <f t="shared" si="17"/>
        <v>#VALUE!</v>
      </c>
      <c r="ES675" s="921"/>
      <c r="ET675" s="921"/>
      <c r="EU675" s="921"/>
      <c r="EV675" s="943"/>
      <c r="EW675" s="945" t="e">
        <f t="shared" si="18"/>
        <v>#VALUE!</v>
      </c>
      <c r="EX675" s="921"/>
      <c r="EY675" s="921"/>
      <c r="EZ675" s="921"/>
      <c r="FA675" s="943"/>
    </row>
    <row r="676" spans="1:157" ht="12.75" customHeight="1">
      <c r="A676" s="117"/>
      <c r="B676" s="32" t="s">
        <v>1254</v>
      </c>
      <c r="G676" s="967"/>
      <c r="H676" s="968"/>
      <c r="I676" s="968"/>
      <c r="J676" s="968"/>
      <c r="K676" s="968"/>
      <c r="L676" s="968"/>
      <c r="M676" s="968"/>
      <c r="N676" s="968"/>
      <c r="O676" s="968"/>
      <c r="P676" s="968"/>
      <c r="Q676" s="968"/>
      <c r="R676" s="969"/>
      <c r="T676" s="117"/>
      <c r="U676" s="32" t="s">
        <v>1254</v>
      </c>
      <c r="Z676" s="967"/>
      <c r="AA676" s="968"/>
      <c r="AB676" s="968"/>
      <c r="AC676" s="968"/>
      <c r="AD676" s="968"/>
      <c r="AE676" s="968"/>
      <c r="AF676" s="968"/>
      <c r="AG676" s="968"/>
      <c r="AH676" s="968"/>
      <c r="AI676" s="968"/>
      <c r="AJ676" s="968"/>
      <c r="AK676" s="969"/>
      <c r="AZ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X676" s="945" t="e">
        <f t="shared" si="13"/>
        <v>#VALUE!</v>
      </c>
      <c r="DY676" s="921"/>
      <c r="DZ676" s="921"/>
      <c r="EA676" s="921"/>
      <c r="EB676" s="943"/>
      <c r="EC676" s="945" t="e">
        <f t="shared" si="14"/>
        <v>#VALUE!</v>
      </c>
      <c r="ED676" s="921"/>
      <c r="EE676" s="921"/>
      <c r="EF676" s="921"/>
      <c r="EG676" s="943"/>
      <c r="EH676" s="945" t="e">
        <f t="shared" si="15"/>
        <v>#VALUE!</v>
      </c>
      <c r="EI676" s="921"/>
      <c r="EJ676" s="921"/>
      <c r="EK676" s="921"/>
      <c r="EL676" s="943"/>
      <c r="EM676" s="945" t="e">
        <f t="shared" si="16"/>
        <v>#VALUE!</v>
      </c>
      <c r="EN676" s="921"/>
      <c r="EO676" s="921"/>
      <c r="EP676" s="921"/>
      <c r="EQ676" s="943"/>
      <c r="ER676" s="945" t="e">
        <f t="shared" si="17"/>
        <v>#VALUE!</v>
      </c>
      <c r="ES676" s="921"/>
      <c r="ET676" s="921"/>
      <c r="EU676" s="921"/>
      <c r="EV676" s="943"/>
      <c r="EW676" s="945" t="e">
        <f t="shared" si="18"/>
        <v>#VALUE!</v>
      </c>
      <c r="EX676" s="921"/>
      <c r="EY676" s="921"/>
      <c r="EZ676" s="921"/>
      <c r="FA676" s="943"/>
    </row>
    <row r="677" spans="1:157" ht="12.75" customHeight="1">
      <c r="A677" s="117"/>
      <c r="B677" s="32" t="s">
        <v>1028</v>
      </c>
      <c r="G677" s="967"/>
      <c r="H677" s="968"/>
      <c r="I677" s="968"/>
      <c r="J677" s="968"/>
      <c r="K677" s="968"/>
      <c r="L677" s="968"/>
      <c r="M677" s="968"/>
      <c r="N677" s="968"/>
      <c r="O677" s="968"/>
      <c r="P677" s="968"/>
      <c r="Q677" s="968"/>
      <c r="R677" s="969"/>
      <c r="T677" s="117"/>
      <c r="U677" s="32" t="s">
        <v>1028</v>
      </c>
      <c r="Z677" s="970"/>
      <c r="AA677" s="921"/>
      <c r="AB677" s="921"/>
      <c r="AC677" s="921"/>
      <c r="AD677" s="921"/>
      <c r="AE677" s="921"/>
      <c r="AF677" s="921"/>
      <c r="AG677" s="921"/>
      <c r="AH677" s="921"/>
      <c r="AI677" s="921"/>
      <c r="AJ677" s="921"/>
      <c r="AK677" s="971"/>
      <c r="AZ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X677" s="945" t="e">
        <f t="shared" si="13"/>
        <v>#VALUE!</v>
      </c>
      <c r="DY677" s="921"/>
      <c r="DZ677" s="921"/>
      <c r="EA677" s="921"/>
      <c r="EB677" s="943"/>
      <c r="EC677" s="945" t="e">
        <f t="shared" si="14"/>
        <v>#VALUE!</v>
      </c>
      <c r="ED677" s="921"/>
      <c r="EE677" s="921"/>
      <c r="EF677" s="921"/>
      <c r="EG677" s="943"/>
      <c r="EH677" s="945" t="e">
        <f t="shared" si="15"/>
        <v>#VALUE!</v>
      </c>
      <c r="EI677" s="921"/>
      <c r="EJ677" s="921"/>
      <c r="EK677" s="921"/>
      <c r="EL677" s="943"/>
      <c r="EM677" s="945" t="e">
        <f t="shared" si="16"/>
        <v>#VALUE!</v>
      </c>
      <c r="EN677" s="921"/>
      <c r="EO677" s="921"/>
      <c r="EP677" s="921"/>
      <c r="EQ677" s="943"/>
      <c r="ER677" s="945" t="e">
        <f t="shared" si="17"/>
        <v>#VALUE!</v>
      </c>
      <c r="ES677" s="921"/>
      <c r="ET677" s="921"/>
      <c r="EU677" s="921"/>
      <c r="EV677" s="943"/>
      <c r="EW677" s="945" t="e">
        <f t="shared" si="18"/>
        <v>#VALUE!</v>
      </c>
      <c r="EX677" s="921"/>
      <c r="EY677" s="921"/>
      <c r="EZ677" s="921"/>
      <c r="FA677" s="943"/>
    </row>
    <row r="678" spans="1:157" ht="12.75" customHeight="1">
      <c r="A678" s="117"/>
      <c r="B678" s="32" t="s">
        <v>1850</v>
      </c>
      <c r="G678" s="967"/>
      <c r="H678" s="968"/>
      <c r="I678" s="968"/>
      <c r="J678" s="968"/>
      <c r="K678" s="968"/>
      <c r="L678" s="968"/>
      <c r="M678" s="968"/>
      <c r="N678" s="968"/>
      <c r="O678" s="968"/>
      <c r="P678" s="968"/>
      <c r="Q678" s="968"/>
      <c r="R678" s="969"/>
      <c r="T678" s="117"/>
      <c r="U678" s="32" t="s">
        <v>1850</v>
      </c>
      <c r="Z678" s="970"/>
      <c r="AA678" s="921"/>
      <c r="AB678" s="921"/>
      <c r="AC678" s="921"/>
      <c r="AD678" s="921"/>
      <c r="AE678" s="921"/>
      <c r="AF678" s="921"/>
      <c r="AG678" s="921"/>
      <c r="AH678" s="921"/>
      <c r="AI678" s="921"/>
      <c r="AJ678" s="921"/>
      <c r="AK678" s="971"/>
      <c r="AZ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X678" s="945">
        <f>SUMIF(DX643:EB677,"&gt;0")</f>
        <v>0</v>
      </c>
      <c r="DY678" s="921"/>
      <c r="DZ678" s="921"/>
      <c r="EA678" s="921"/>
      <c r="EB678" s="943"/>
      <c r="EC678" s="945">
        <f>SUMIF(EC643:EG677,"&gt;0")</f>
        <v>1731.6974789915967</v>
      </c>
      <c r="ED678" s="921"/>
      <c r="EE678" s="921"/>
      <c r="EF678" s="921"/>
      <c r="EG678" s="943"/>
      <c r="EH678" s="945">
        <f>SUMIF(EH643:EL677,"&gt;0")</f>
        <v>2038.705882352941</v>
      </c>
      <c r="EI678" s="921"/>
      <c r="EJ678" s="921"/>
      <c r="EK678" s="921"/>
      <c r="EL678" s="943"/>
      <c r="EM678" s="945">
        <f>SUMIF(EM643:EQ677,"&gt;0")</f>
        <v>2307.4666666666662</v>
      </c>
      <c r="EN678" s="921"/>
      <c r="EO678" s="921"/>
      <c r="EP678" s="921"/>
      <c r="EQ678" s="943"/>
      <c r="ER678" s="945">
        <f>SUMIF(ER643:EV677,"&gt;0")</f>
        <v>0</v>
      </c>
      <c r="ES678" s="921"/>
      <c r="ET678" s="921"/>
      <c r="EU678" s="921"/>
      <c r="EV678" s="943"/>
      <c r="EW678" s="945">
        <f>SUMIF(EW643:FA677,"&gt;0")</f>
        <v>0</v>
      </c>
      <c r="EX678" s="921"/>
      <c r="EY678" s="921"/>
      <c r="EZ678" s="921"/>
      <c r="FA678" s="943"/>
    </row>
    <row r="679" spans="1:157" ht="12.75" customHeight="1">
      <c r="A679" s="117"/>
      <c r="B679" s="32" t="s">
        <v>875</v>
      </c>
      <c r="G679" s="972"/>
      <c r="H679" s="921"/>
      <c r="I679" s="921"/>
      <c r="J679" s="921"/>
      <c r="K679" s="921"/>
      <c r="L679" s="971"/>
      <c r="O679" s="33" t="s">
        <v>1263</v>
      </c>
      <c r="P679" s="970"/>
      <c r="Q679" s="921"/>
      <c r="R679" s="971"/>
      <c r="T679" s="117"/>
      <c r="U679" s="32" t="s">
        <v>875</v>
      </c>
      <c r="Z679" s="972"/>
      <c r="AA679" s="921"/>
      <c r="AB679" s="921"/>
      <c r="AC679" s="921"/>
      <c r="AD679" s="921"/>
      <c r="AE679" s="971"/>
      <c r="AH679" s="33" t="s">
        <v>1263</v>
      </c>
      <c r="AI679" s="970"/>
      <c r="AJ679" s="921"/>
      <c r="AK679" s="971"/>
      <c r="AZ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row>
    <row r="680" spans="1:157" ht="12.75" customHeight="1">
      <c r="A680" s="117"/>
      <c r="B680" s="32" t="s">
        <v>1853</v>
      </c>
      <c r="H680" s="967"/>
      <c r="I680" s="968"/>
      <c r="J680" s="968"/>
      <c r="K680" s="968"/>
      <c r="L680" s="968"/>
      <c r="M680" s="968"/>
      <c r="N680" s="968"/>
      <c r="O680" s="968"/>
      <c r="P680" s="968"/>
      <c r="Q680" s="968"/>
      <c r="R680" s="969"/>
      <c r="T680" s="117"/>
      <c r="U680" s="32" t="s">
        <v>1853</v>
      </c>
      <c r="AA680" s="967"/>
      <c r="AB680" s="968"/>
      <c r="AC680" s="968"/>
      <c r="AD680" s="968"/>
      <c r="AE680" s="968"/>
      <c r="AF680" s="968"/>
      <c r="AG680" s="968"/>
      <c r="AH680" s="968"/>
      <c r="AI680" s="968"/>
      <c r="AJ680" s="968"/>
      <c r="AK680" s="969"/>
      <c r="AZ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row>
    <row r="681" spans="1:157" ht="12.75" customHeight="1">
      <c r="A681" s="117"/>
      <c r="B681" s="32" t="s">
        <v>1860</v>
      </c>
      <c r="N681" s="973" t="s">
        <v>460</v>
      </c>
      <c r="O681" s="969"/>
      <c r="T681" s="117"/>
      <c r="U681" s="32" t="s">
        <v>1860</v>
      </c>
      <c r="AG681" s="973" t="s">
        <v>460</v>
      </c>
      <c r="AH681" s="969"/>
      <c r="AZ681" s="1"/>
    </row>
    <row r="682" spans="1:157" ht="12.75" customHeight="1">
      <c r="A682" s="117"/>
      <c r="T682" s="117"/>
      <c r="AZ682" s="1"/>
    </row>
    <row r="683" spans="1:157" ht="12.75" customHeight="1">
      <c r="A683" s="367" t="s">
        <v>1824</v>
      </c>
      <c r="B683" s="32" t="s">
        <v>1845</v>
      </c>
      <c r="G683" s="966">
        <f>C643</f>
        <v>0</v>
      </c>
      <c r="H683" s="961"/>
      <c r="I683" s="961"/>
      <c r="J683" s="961"/>
      <c r="K683" s="961"/>
      <c r="L683" s="961"/>
      <c r="M683" s="961"/>
      <c r="N683" s="961"/>
      <c r="O683" s="961"/>
      <c r="P683" s="961"/>
      <c r="Q683" s="961"/>
      <c r="R683" s="961"/>
      <c r="T683" s="367" t="s">
        <v>1828</v>
      </c>
      <c r="U683" s="32" t="s">
        <v>1845</v>
      </c>
      <c r="Z683" s="966">
        <f>C644</f>
        <v>0</v>
      </c>
      <c r="AA683" s="961"/>
      <c r="AB683" s="961"/>
      <c r="AC683" s="961"/>
      <c r="AD683" s="961"/>
      <c r="AE683" s="961"/>
      <c r="AF683" s="961"/>
      <c r="AG683" s="961"/>
      <c r="AH683" s="961"/>
      <c r="AI683" s="961"/>
      <c r="AJ683" s="961"/>
      <c r="AK683" s="961"/>
      <c r="AZ683" s="1"/>
    </row>
    <row r="684" spans="1:157" ht="12.75" customHeight="1">
      <c r="A684" s="117"/>
      <c r="B684" s="32" t="s">
        <v>1254</v>
      </c>
      <c r="G684" s="967"/>
      <c r="H684" s="968"/>
      <c r="I684" s="968"/>
      <c r="J684" s="968"/>
      <c r="K684" s="968"/>
      <c r="L684" s="968"/>
      <c r="M684" s="968"/>
      <c r="N684" s="968"/>
      <c r="O684" s="968"/>
      <c r="P684" s="968"/>
      <c r="Q684" s="968"/>
      <c r="R684" s="969"/>
      <c r="T684" s="117"/>
      <c r="U684" s="32" t="s">
        <v>1254</v>
      </c>
      <c r="Z684" s="967"/>
      <c r="AA684" s="968"/>
      <c r="AB684" s="968"/>
      <c r="AC684" s="968"/>
      <c r="AD684" s="968"/>
      <c r="AE684" s="968"/>
      <c r="AF684" s="968"/>
      <c r="AG684" s="968"/>
      <c r="AH684" s="968"/>
      <c r="AI684" s="968"/>
      <c r="AJ684" s="968"/>
      <c r="AK684" s="969"/>
      <c r="AZ684" s="1"/>
    </row>
    <row r="685" spans="1:157" ht="12.75" customHeight="1">
      <c r="A685" s="117"/>
      <c r="B685" s="32" t="s">
        <v>1028</v>
      </c>
      <c r="G685" s="967"/>
      <c r="H685" s="968"/>
      <c r="I685" s="968"/>
      <c r="J685" s="968"/>
      <c r="K685" s="968"/>
      <c r="L685" s="968"/>
      <c r="M685" s="968"/>
      <c r="N685" s="968"/>
      <c r="O685" s="968"/>
      <c r="P685" s="968"/>
      <c r="Q685" s="968"/>
      <c r="R685" s="969"/>
      <c r="T685" s="117"/>
      <c r="U685" s="32" t="s">
        <v>1028</v>
      </c>
      <c r="Z685" s="970"/>
      <c r="AA685" s="921"/>
      <c r="AB685" s="921"/>
      <c r="AC685" s="921"/>
      <c r="AD685" s="921"/>
      <c r="AE685" s="921"/>
      <c r="AF685" s="921"/>
      <c r="AG685" s="921"/>
      <c r="AH685" s="921"/>
      <c r="AI685" s="921"/>
      <c r="AJ685" s="921"/>
      <c r="AK685" s="971"/>
      <c r="AZ685" s="1"/>
    </row>
    <row r="686" spans="1:157" ht="12.75" customHeight="1">
      <c r="A686" s="117"/>
      <c r="B686" s="32" t="s">
        <v>1850</v>
      </c>
      <c r="G686" s="967"/>
      <c r="H686" s="968"/>
      <c r="I686" s="968"/>
      <c r="J686" s="968"/>
      <c r="K686" s="968"/>
      <c r="L686" s="968"/>
      <c r="M686" s="968"/>
      <c r="N686" s="968"/>
      <c r="O686" s="968"/>
      <c r="P686" s="968"/>
      <c r="Q686" s="968"/>
      <c r="R686" s="969"/>
      <c r="T686" s="117"/>
      <c r="U686" s="32" t="s">
        <v>1850</v>
      </c>
      <c r="Z686" s="970"/>
      <c r="AA686" s="921"/>
      <c r="AB686" s="921"/>
      <c r="AC686" s="921"/>
      <c r="AD686" s="921"/>
      <c r="AE686" s="921"/>
      <c r="AF686" s="921"/>
      <c r="AG686" s="921"/>
      <c r="AH686" s="921"/>
      <c r="AI686" s="921"/>
      <c r="AJ686" s="921"/>
      <c r="AK686" s="971"/>
      <c r="AZ686" s="1"/>
    </row>
    <row r="687" spans="1:157" ht="12.75" customHeight="1">
      <c r="A687" s="117"/>
      <c r="B687" s="32" t="s">
        <v>875</v>
      </c>
      <c r="G687" s="972"/>
      <c r="H687" s="921"/>
      <c r="I687" s="921"/>
      <c r="J687" s="921"/>
      <c r="K687" s="921"/>
      <c r="L687" s="971"/>
      <c r="O687" s="33" t="s">
        <v>1263</v>
      </c>
      <c r="P687" s="970"/>
      <c r="Q687" s="921"/>
      <c r="R687" s="971"/>
      <c r="T687" s="117"/>
      <c r="U687" s="32" t="s">
        <v>875</v>
      </c>
      <c r="Z687" s="972"/>
      <c r="AA687" s="921"/>
      <c r="AB687" s="921"/>
      <c r="AC687" s="921"/>
      <c r="AD687" s="921"/>
      <c r="AE687" s="971"/>
      <c r="AH687" s="33" t="s">
        <v>1263</v>
      </c>
      <c r="AI687" s="970"/>
      <c r="AJ687" s="921"/>
      <c r="AK687" s="971"/>
      <c r="AZ687" s="1"/>
    </row>
    <row r="688" spans="1:157" ht="12.75" customHeight="1">
      <c r="A688" s="117"/>
      <c r="B688" s="32" t="s">
        <v>1853</v>
      </c>
      <c r="H688" s="967"/>
      <c r="I688" s="968"/>
      <c r="J688" s="968"/>
      <c r="K688" s="968"/>
      <c r="L688" s="968"/>
      <c r="M688" s="968"/>
      <c r="N688" s="968"/>
      <c r="O688" s="968"/>
      <c r="P688" s="968"/>
      <c r="Q688" s="968"/>
      <c r="R688" s="969"/>
      <c r="T688" s="117"/>
      <c r="U688" s="32" t="s">
        <v>1853</v>
      </c>
      <c r="AA688" s="967"/>
      <c r="AB688" s="968"/>
      <c r="AC688" s="968"/>
      <c r="AD688" s="968"/>
      <c r="AE688" s="968"/>
      <c r="AF688" s="968"/>
      <c r="AG688" s="968"/>
      <c r="AH688" s="968"/>
      <c r="AI688" s="968"/>
      <c r="AJ688" s="968"/>
      <c r="AK688" s="969"/>
      <c r="AZ688" s="1"/>
    </row>
    <row r="689" spans="1:52" ht="12.75" customHeight="1">
      <c r="A689" s="117"/>
      <c r="B689" s="32" t="s">
        <v>1860</v>
      </c>
      <c r="N689" s="973" t="s">
        <v>460</v>
      </c>
      <c r="O689" s="969"/>
      <c r="T689" s="117"/>
      <c r="U689" s="32" t="s">
        <v>1860</v>
      </c>
      <c r="AG689" s="973" t="s">
        <v>460</v>
      </c>
      <c r="AH689" s="969"/>
      <c r="AZ689" s="1"/>
    </row>
    <row r="690" spans="1:52" ht="12.75" customHeight="1">
      <c r="A690" s="117"/>
      <c r="T690" s="117"/>
      <c r="AZ690" s="1"/>
    </row>
    <row r="691" spans="1:52" ht="12.75" customHeight="1">
      <c r="A691" s="367" t="s">
        <v>1831</v>
      </c>
      <c r="B691" s="32" t="s">
        <v>1845</v>
      </c>
      <c r="G691" s="966">
        <f>C645</f>
        <v>0</v>
      </c>
      <c r="H691" s="961"/>
      <c r="I691" s="961"/>
      <c r="J691" s="961"/>
      <c r="K691" s="961"/>
      <c r="L691" s="961"/>
      <c r="M691" s="961"/>
      <c r="N691" s="961"/>
      <c r="O691" s="961"/>
      <c r="P691" s="961"/>
      <c r="Q691" s="961"/>
      <c r="R691" s="961"/>
      <c r="T691" s="367" t="s">
        <v>1833</v>
      </c>
      <c r="U691" s="32" t="s">
        <v>1845</v>
      </c>
      <c r="Z691" s="966">
        <f>C646</f>
        <v>0</v>
      </c>
      <c r="AA691" s="961"/>
      <c r="AB691" s="961"/>
      <c r="AC691" s="961"/>
      <c r="AD691" s="961"/>
      <c r="AE691" s="961"/>
      <c r="AF691" s="961"/>
      <c r="AG691" s="961"/>
      <c r="AH691" s="961"/>
      <c r="AI691" s="961"/>
      <c r="AJ691" s="961"/>
      <c r="AK691" s="961"/>
      <c r="AZ691" s="1"/>
    </row>
    <row r="692" spans="1:52" ht="12.75" customHeight="1">
      <c r="B692" s="32" t="s">
        <v>1254</v>
      </c>
      <c r="G692" s="967"/>
      <c r="H692" s="968"/>
      <c r="I692" s="968"/>
      <c r="J692" s="968"/>
      <c r="K692" s="968"/>
      <c r="L692" s="968"/>
      <c r="M692" s="968"/>
      <c r="N692" s="968"/>
      <c r="O692" s="968"/>
      <c r="P692" s="968"/>
      <c r="Q692" s="968"/>
      <c r="R692" s="969"/>
      <c r="T692" s="117"/>
      <c r="U692" s="32" t="s">
        <v>1254</v>
      </c>
      <c r="Z692" s="967"/>
      <c r="AA692" s="968"/>
      <c r="AB692" s="968"/>
      <c r="AC692" s="968"/>
      <c r="AD692" s="968"/>
      <c r="AE692" s="968"/>
      <c r="AF692" s="968"/>
      <c r="AG692" s="968"/>
      <c r="AH692" s="968"/>
      <c r="AI692" s="968"/>
      <c r="AJ692" s="968"/>
      <c r="AK692" s="969"/>
      <c r="AZ692" s="1"/>
    </row>
    <row r="693" spans="1:52" ht="12.75" customHeight="1">
      <c r="B693" s="32" t="s">
        <v>1028</v>
      </c>
      <c r="G693" s="967"/>
      <c r="H693" s="968"/>
      <c r="I693" s="968"/>
      <c r="J693" s="968"/>
      <c r="K693" s="968"/>
      <c r="L693" s="968"/>
      <c r="M693" s="968"/>
      <c r="N693" s="968"/>
      <c r="O693" s="968"/>
      <c r="P693" s="968"/>
      <c r="Q693" s="968"/>
      <c r="R693" s="969"/>
      <c r="U693" s="32" t="s">
        <v>1028</v>
      </c>
      <c r="Z693" s="970"/>
      <c r="AA693" s="921"/>
      <c r="AB693" s="921"/>
      <c r="AC693" s="921"/>
      <c r="AD693" s="921"/>
      <c r="AE693" s="921"/>
      <c r="AF693" s="921"/>
      <c r="AG693" s="921"/>
      <c r="AH693" s="921"/>
      <c r="AI693" s="921"/>
      <c r="AJ693" s="921"/>
      <c r="AK693" s="971"/>
      <c r="AZ693" s="1"/>
    </row>
    <row r="694" spans="1:52" ht="12.75" customHeight="1">
      <c r="B694" s="32" t="s">
        <v>1850</v>
      </c>
      <c r="G694" s="967"/>
      <c r="H694" s="968"/>
      <c r="I694" s="968"/>
      <c r="J694" s="968"/>
      <c r="K694" s="968"/>
      <c r="L694" s="968"/>
      <c r="M694" s="968"/>
      <c r="N694" s="968"/>
      <c r="O694" s="968"/>
      <c r="P694" s="968"/>
      <c r="Q694" s="968"/>
      <c r="R694" s="969"/>
      <c r="U694" s="32" t="s">
        <v>1850</v>
      </c>
      <c r="Z694" s="970"/>
      <c r="AA694" s="921"/>
      <c r="AB694" s="921"/>
      <c r="AC694" s="921"/>
      <c r="AD694" s="921"/>
      <c r="AE694" s="921"/>
      <c r="AF694" s="921"/>
      <c r="AG694" s="921"/>
      <c r="AH694" s="921"/>
      <c r="AI694" s="921"/>
      <c r="AJ694" s="921"/>
      <c r="AK694" s="971"/>
      <c r="AZ694" s="1"/>
    </row>
    <row r="695" spans="1:52" ht="12.75" customHeight="1">
      <c r="B695" s="32" t="s">
        <v>875</v>
      </c>
      <c r="G695" s="972"/>
      <c r="H695" s="921"/>
      <c r="I695" s="921"/>
      <c r="J695" s="921"/>
      <c r="K695" s="921"/>
      <c r="L695" s="971"/>
      <c r="O695" s="33" t="s">
        <v>1263</v>
      </c>
      <c r="P695" s="970"/>
      <c r="Q695" s="921"/>
      <c r="R695" s="971"/>
      <c r="U695" s="32" t="s">
        <v>875</v>
      </c>
      <c r="Z695" s="972"/>
      <c r="AA695" s="921"/>
      <c r="AB695" s="921"/>
      <c r="AC695" s="921"/>
      <c r="AD695" s="921"/>
      <c r="AE695" s="971"/>
      <c r="AH695" s="33" t="s">
        <v>1263</v>
      </c>
      <c r="AI695" s="970"/>
      <c r="AJ695" s="921"/>
      <c r="AK695" s="971"/>
      <c r="AZ695" s="1"/>
    </row>
    <row r="696" spans="1:52" ht="12.75" customHeight="1">
      <c r="B696" s="32" t="s">
        <v>1853</v>
      </c>
      <c r="H696" s="967"/>
      <c r="I696" s="968"/>
      <c r="J696" s="968"/>
      <c r="K696" s="968"/>
      <c r="L696" s="968"/>
      <c r="M696" s="968"/>
      <c r="N696" s="968"/>
      <c r="O696" s="968"/>
      <c r="P696" s="968"/>
      <c r="Q696" s="968"/>
      <c r="R696" s="969"/>
      <c r="U696" s="32" t="s">
        <v>1853</v>
      </c>
      <c r="AA696" s="967"/>
      <c r="AB696" s="968"/>
      <c r="AC696" s="968"/>
      <c r="AD696" s="968"/>
      <c r="AE696" s="968"/>
      <c r="AF696" s="968"/>
      <c r="AG696" s="968"/>
      <c r="AH696" s="968"/>
      <c r="AI696" s="968"/>
      <c r="AJ696" s="968"/>
      <c r="AK696" s="969"/>
      <c r="AZ696" s="1"/>
    </row>
    <row r="697" spans="1:52" ht="12.75" customHeight="1">
      <c r="B697" s="32" t="s">
        <v>1860</v>
      </c>
      <c r="N697" s="973" t="s">
        <v>460</v>
      </c>
      <c r="O697" s="969"/>
      <c r="U697" s="32" t="s">
        <v>1860</v>
      </c>
      <c r="AG697" s="973" t="s">
        <v>460</v>
      </c>
      <c r="AH697" s="969"/>
      <c r="AZ697" s="1"/>
    </row>
    <row r="698" spans="1:52" ht="12.75" customHeight="1">
      <c r="AZ698" s="1"/>
    </row>
    <row r="699" spans="1:52" ht="12.75" customHeight="1">
      <c r="A699" s="8" t="s">
        <v>1003</v>
      </c>
      <c r="C699" s="8" t="s">
        <v>226</v>
      </c>
      <c r="E699" s="334"/>
      <c r="F699" s="334"/>
      <c r="G699" s="334"/>
      <c r="H699" s="334"/>
      <c r="AZ699" s="1"/>
    </row>
    <row r="700" spans="1:52" ht="12.75" customHeight="1">
      <c r="B700" s="53"/>
      <c r="C700" s="53"/>
      <c r="D700" s="46" t="s">
        <v>2005</v>
      </c>
      <c r="E700" s="53"/>
      <c r="F700" s="53"/>
      <c r="G700" s="53"/>
      <c r="H700" s="53"/>
      <c r="AZ700" s="1"/>
    </row>
    <row r="701" spans="1:52" ht="12.75" customHeight="1">
      <c r="B701" s="53"/>
      <c r="C701" s="53"/>
      <c r="E701" s="46" t="s">
        <v>2006</v>
      </c>
      <c r="F701" s="53"/>
      <c r="G701" s="53"/>
      <c r="H701" s="53"/>
      <c r="AE701" s="973" t="s">
        <v>901</v>
      </c>
      <c r="AF701" s="969"/>
      <c r="AZ701" s="1"/>
    </row>
    <row r="702" spans="1:52" ht="12.75" customHeight="1">
      <c r="B702" s="53"/>
      <c r="C702" s="53"/>
      <c r="D702" s="46" t="s">
        <v>2007</v>
      </c>
      <c r="E702" s="53"/>
      <c r="F702" s="53"/>
      <c r="G702" s="53"/>
      <c r="H702" s="53"/>
      <c r="AE702" s="973" t="s">
        <v>901</v>
      </c>
      <c r="AF702" s="969"/>
      <c r="AZ702" s="1"/>
    </row>
    <row r="703" spans="1:52" ht="12.75" customHeight="1">
      <c r="B703" s="53"/>
      <c r="C703" s="53"/>
      <c r="D703" s="46" t="s">
        <v>2008</v>
      </c>
      <c r="E703" s="53"/>
      <c r="F703" s="53"/>
      <c r="G703" s="53"/>
      <c r="H703" s="53"/>
      <c r="AE703" s="974">
        <v>46273</v>
      </c>
      <c r="AF703" s="968"/>
      <c r="AG703" s="968"/>
      <c r="AH703" s="968"/>
      <c r="AI703" s="969"/>
    </row>
    <row r="704" spans="1:52" ht="12.75" customHeight="1">
      <c r="B704" s="53"/>
      <c r="C704" s="53"/>
      <c r="D704" s="462" t="s">
        <v>2009</v>
      </c>
      <c r="E704" s="53"/>
      <c r="F704" s="53"/>
      <c r="G704" s="53"/>
      <c r="H704" s="53"/>
      <c r="AE704" s="975">
        <v>46366</v>
      </c>
      <c r="AF704" s="921"/>
      <c r="AG704" s="921"/>
      <c r="AH704" s="921"/>
      <c r="AI704" s="971"/>
    </row>
    <row r="705" spans="1:110" ht="12.75" customHeight="1">
      <c r="B705" s="53"/>
      <c r="C705" s="53"/>
    </row>
    <row r="706" spans="1:110" ht="12.75" customHeight="1">
      <c r="B706" s="53"/>
      <c r="C706" s="53"/>
      <c r="D706" s="46" t="s">
        <v>2010</v>
      </c>
      <c r="E706" s="53"/>
      <c r="F706" s="53"/>
      <c r="G706" s="53"/>
      <c r="H706" s="53"/>
      <c r="AE706" s="974">
        <v>46478</v>
      </c>
      <c r="AF706" s="968"/>
      <c r="AG706" s="968"/>
      <c r="AH706" s="968"/>
      <c r="AI706" s="969"/>
    </row>
    <row r="707" spans="1:110" ht="12.75" customHeight="1">
      <c r="B707" s="53"/>
      <c r="C707" s="53"/>
      <c r="D707" s="46" t="s">
        <v>2011</v>
      </c>
      <c r="E707" s="53"/>
      <c r="F707" s="53"/>
      <c r="G707" s="53"/>
      <c r="H707" s="53"/>
      <c r="AE707" s="976">
        <v>0.3</v>
      </c>
      <c r="AF707" s="921"/>
      <c r="AG707" s="921"/>
      <c r="AH707" s="921"/>
      <c r="AI707" s="971"/>
    </row>
    <row r="708" spans="1:110" ht="12.75" customHeight="1">
      <c r="B708" s="53"/>
      <c r="C708" s="53"/>
      <c r="D708" s="46" t="s">
        <v>2012</v>
      </c>
      <c r="E708" s="53"/>
      <c r="F708" s="53"/>
      <c r="G708" s="53"/>
      <c r="H708" s="53"/>
      <c r="W708" s="966" t="str">
        <f>H344</f>
        <v>California Municipal Finance Authority</v>
      </c>
      <c r="X708" s="961"/>
      <c r="Y708" s="961"/>
      <c r="Z708" s="961"/>
      <c r="AA708" s="961"/>
      <c r="AB708" s="961"/>
      <c r="AC708" s="961"/>
      <c r="AD708" s="961"/>
      <c r="AE708" s="961"/>
      <c r="AF708" s="961"/>
      <c r="AG708" s="961"/>
      <c r="AH708" s="961"/>
      <c r="AI708" s="961"/>
      <c r="AJ708" s="961"/>
      <c r="AK708" s="961"/>
    </row>
    <row r="709" spans="1:110" ht="12.75" customHeight="1">
      <c r="B709" s="53"/>
      <c r="C709" s="53"/>
      <c r="D709" s="46"/>
      <c r="E709" s="53"/>
      <c r="F709" s="53"/>
      <c r="G709" s="53"/>
      <c r="H709" s="53"/>
    </row>
    <row r="710" spans="1:110" ht="12.75" customHeight="1">
      <c r="B710" s="53"/>
      <c r="C710" s="53"/>
      <c r="D710" s="46" t="s">
        <v>2013</v>
      </c>
      <c r="E710" s="53"/>
      <c r="F710" s="53"/>
      <c r="G710" s="53"/>
      <c r="H710" s="53"/>
      <c r="AE710" s="973" t="s">
        <v>460</v>
      </c>
      <c r="AF710" s="969"/>
    </row>
    <row r="711" spans="1:110" ht="12.75" customHeight="1">
      <c r="B711" s="53"/>
      <c r="C711" s="53"/>
      <c r="D711" s="46" t="s">
        <v>2014</v>
      </c>
      <c r="E711" s="53"/>
      <c r="F711" s="53"/>
      <c r="G711" s="53"/>
      <c r="H711" s="53"/>
      <c r="W711" s="967" t="s">
        <v>855</v>
      </c>
      <c r="X711" s="968"/>
      <c r="Y711" s="968"/>
      <c r="Z711" s="968"/>
      <c r="AA711" s="968"/>
      <c r="AB711" s="968"/>
      <c r="AC711" s="968"/>
      <c r="AD711" s="968"/>
      <c r="AE711" s="968"/>
      <c r="AF711" s="968"/>
      <c r="AG711" s="968"/>
      <c r="AH711" s="968"/>
      <c r="AI711" s="968"/>
      <c r="AJ711" s="968"/>
      <c r="AK711" s="969"/>
    </row>
    <row r="712" spans="1:110" ht="12.75" customHeight="1">
      <c r="B712" s="53"/>
      <c r="C712" s="53"/>
      <c r="D712" s="46" t="s">
        <v>1259</v>
      </c>
      <c r="E712" s="53"/>
      <c r="F712" s="53"/>
      <c r="G712" s="53"/>
      <c r="H712" s="53"/>
      <c r="J712" s="967"/>
      <c r="K712" s="968"/>
      <c r="L712" s="968"/>
      <c r="M712" s="968"/>
      <c r="N712" s="968"/>
      <c r="O712" s="968"/>
      <c r="P712" s="968"/>
      <c r="Q712" s="968"/>
      <c r="R712" s="968"/>
      <c r="S712" s="968"/>
      <c r="T712" s="968"/>
      <c r="U712" s="968"/>
      <c r="V712" s="968"/>
      <c r="W712" s="968"/>
      <c r="X712" s="969"/>
      <c r="BB712" s="1"/>
      <c r="BC712" s="1"/>
      <c r="BD712" s="1"/>
      <c r="BE712" s="1"/>
      <c r="BF712" s="1"/>
      <c r="BJ712" s="1"/>
      <c r="BK712" s="1"/>
      <c r="BL712" s="1"/>
      <c r="BM712" s="1"/>
      <c r="BN712" s="1"/>
      <c r="BO712" s="1"/>
    </row>
    <row r="713" spans="1:110" ht="12.75" customHeight="1">
      <c r="B713" s="53"/>
      <c r="C713" s="53"/>
      <c r="D713" s="46" t="s">
        <v>1261</v>
      </c>
      <c r="J713" s="972"/>
      <c r="K713" s="921"/>
      <c r="L713" s="921"/>
      <c r="M713" s="921"/>
      <c r="N713" s="921"/>
      <c r="O713" s="971"/>
      <c r="P713" s="1" t="s">
        <v>1263</v>
      </c>
      <c r="Q713" s="1"/>
      <c r="R713" s="970"/>
      <c r="S713" s="921"/>
      <c r="T713" s="971"/>
      <c r="BB713" s="1"/>
      <c r="BC713" s="1"/>
      <c r="BD713" s="1"/>
      <c r="BE713" s="1"/>
      <c r="BF713" s="1"/>
      <c r="BJ713" s="1"/>
      <c r="BK713" s="1"/>
      <c r="BL713" s="1"/>
      <c r="BM713" s="1"/>
      <c r="BN713" s="1"/>
      <c r="BO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row>
    <row r="714" spans="1:110" ht="12.75" customHeight="1">
      <c r="B714" s="53"/>
      <c r="C714" s="53"/>
      <c r="D714" s="46" t="s">
        <v>2018</v>
      </c>
      <c r="W714" s="967" t="s">
        <v>27</v>
      </c>
      <c r="X714" s="968"/>
      <c r="Y714" s="968"/>
      <c r="Z714" s="968"/>
      <c r="AA714" s="968"/>
      <c r="AB714" s="968"/>
      <c r="AC714" s="968"/>
      <c r="AD714" s="968"/>
      <c r="AE714" s="968"/>
      <c r="AF714" s="968"/>
      <c r="AG714" s="968"/>
      <c r="AH714" s="968"/>
      <c r="AI714" s="968"/>
      <c r="AJ714" s="968"/>
      <c r="AK714" s="969"/>
      <c r="BB714" s="1"/>
      <c r="BC714" s="1"/>
      <c r="BD714" s="1"/>
      <c r="BE714" s="1"/>
      <c r="BF714" s="1"/>
      <c r="BJ714" s="1"/>
      <c r="BK714" s="1"/>
      <c r="BL714" s="1"/>
      <c r="BM714" s="1"/>
      <c r="BN714" s="1"/>
      <c r="BO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row>
    <row r="715" spans="1:110" ht="12.75" customHeight="1">
      <c r="B715" s="53"/>
      <c r="C715" s="53"/>
      <c r="D715" s="46"/>
      <c r="E715" s="967" t="s">
        <v>1705</v>
      </c>
      <c r="F715" s="968"/>
      <c r="G715" s="968"/>
      <c r="H715" s="968"/>
      <c r="I715" s="968"/>
      <c r="J715" s="968"/>
      <c r="K715" s="968"/>
      <c r="L715" s="968"/>
      <c r="M715" s="968"/>
      <c r="N715" s="968"/>
      <c r="O715" s="968"/>
      <c r="P715" s="968"/>
      <c r="Q715" s="968"/>
      <c r="R715" s="968"/>
      <c r="S715" s="968"/>
      <c r="T715" s="968"/>
      <c r="U715" s="968"/>
      <c r="V715" s="968"/>
      <c r="W715" s="968"/>
      <c r="X715" s="968"/>
      <c r="Y715" s="968"/>
      <c r="Z715" s="968"/>
      <c r="AA715" s="968"/>
      <c r="AB715" s="968"/>
      <c r="AC715" s="968"/>
      <c r="AD715" s="968"/>
      <c r="AE715" s="968"/>
      <c r="AF715" s="968"/>
      <c r="AG715" s="968"/>
      <c r="AH715" s="968"/>
      <c r="AI715" s="968"/>
      <c r="AJ715" s="968"/>
      <c r="AK715" s="969"/>
      <c r="BB715" s="1"/>
      <c r="BC715" s="1"/>
      <c r="BD715" s="1"/>
      <c r="BE715" s="1"/>
      <c r="BF715" s="1"/>
      <c r="BJ715" s="1"/>
      <c r="BK715" s="1"/>
      <c r="BL715" s="1"/>
      <c r="BM715" s="1"/>
      <c r="BN715" s="1"/>
      <c r="BO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row>
    <row r="716" spans="1:110" ht="12.75" customHeight="1">
      <c r="AZ716" s="1"/>
      <c r="BA716" s="1"/>
      <c r="BB716" s="1"/>
      <c r="BC716" s="1"/>
      <c r="BD716" s="1"/>
      <c r="BE716" s="1"/>
      <c r="BF716" s="1"/>
      <c r="BJ716" s="1"/>
      <c r="BK716" s="1"/>
      <c r="BL716" s="1"/>
      <c r="BM716" s="1"/>
      <c r="BN716" s="1"/>
      <c r="BO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row>
    <row r="717" spans="1:110" ht="12.75" customHeight="1">
      <c r="A717" s="900" t="s">
        <v>2022</v>
      </c>
      <c r="B717" s="901"/>
      <c r="C717" s="901"/>
      <c r="D717" s="901"/>
      <c r="E717" s="901"/>
      <c r="F717" s="901"/>
      <c r="G717" s="901"/>
      <c r="H717" s="901"/>
      <c r="I717" s="901"/>
      <c r="J717" s="901"/>
      <c r="K717" s="901"/>
      <c r="L717" s="901"/>
      <c r="M717" s="901"/>
      <c r="N717" s="901"/>
      <c r="O717" s="901"/>
      <c r="P717" s="901"/>
      <c r="Q717" s="901"/>
      <c r="R717" s="901"/>
      <c r="S717" s="901"/>
      <c r="T717" s="901"/>
      <c r="U717" s="901"/>
      <c r="V717" s="901"/>
      <c r="W717" s="901"/>
      <c r="X717" s="901"/>
      <c r="Y717" s="901"/>
      <c r="Z717" s="901"/>
      <c r="AA717" s="901"/>
      <c r="AB717" s="901"/>
      <c r="AC717" s="901"/>
      <c r="AD717" s="901"/>
      <c r="AE717" s="901"/>
      <c r="AF717" s="901"/>
      <c r="AG717" s="901"/>
      <c r="AH717" s="901"/>
      <c r="AI717" s="901"/>
      <c r="AJ717" s="901"/>
      <c r="AK717" s="901"/>
      <c r="AL717" s="901"/>
      <c r="AM717" s="901"/>
      <c r="AN717" s="901"/>
      <c r="AO717" s="901"/>
      <c r="AP717" s="901"/>
      <c r="AQ717" s="901"/>
      <c r="AR717" s="901"/>
      <c r="AS717" s="901"/>
      <c r="AT717" s="902"/>
      <c r="AZ717" s="1" t="s">
        <v>882</v>
      </c>
      <c r="BA717" s="1"/>
      <c r="BB717" s="1"/>
      <c r="BC717" s="1"/>
      <c r="BD717" s="1"/>
      <c r="BE717" s="1"/>
      <c r="BF717" s="1"/>
      <c r="BJ717" s="1"/>
      <c r="BK717" s="1"/>
      <c r="BL717" s="1"/>
      <c r="BM717" s="1"/>
      <c r="BN717" s="1"/>
      <c r="BO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row>
    <row r="718" spans="1:110" ht="12.75" customHeight="1">
      <c r="A718" s="1048"/>
      <c r="B718" s="893"/>
      <c r="C718" s="893"/>
      <c r="D718" s="893"/>
      <c r="E718" s="893"/>
      <c r="F718" s="893"/>
      <c r="G718" s="893"/>
      <c r="H718" s="893"/>
      <c r="I718" s="893"/>
      <c r="J718" s="893"/>
      <c r="K718" s="893"/>
      <c r="L718" s="893"/>
      <c r="M718" s="893"/>
      <c r="N718" s="893"/>
      <c r="O718" s="893"/>
      <c r="P718" s="893"/>
      <c r="Q718" s="893"/>
      <c r="R718" s="893"/>
      <c r="S718" s="893"/>
      <c r="T718" s="893"/>
      <c r="U718" s="893"/>
      <c r="V718" s="893"/>
      <c r="W718" s="893"/>
      <c r="X718" s="893"/>
      <c r="Y718" s="893"/>
      <c r="Z718" s="893"/>
      <c r="AA718" s="893"/>
      <c r="AB718" s="893"/>
      <c r="AC718" s="893"/>
      <c r="AD718" s="893"/>
      <c r="AE718" s="893"/>
      <c r="AF718" s="893"/>
      <c r="AG718" s="893"/>
      <c r="AH718" s="893"/>
      <c r="AI718" s="893"/>
      <c r="AJ718" s="893"/>
      <c r="AK718" s="893"/>
      <c r="AL718" s="893"/>
      <c r="AM718" s="893"/>
      <c r="AN718" s="893"/>
      <c r="AO718" s="893"/>
      <c r="AP718" s="893"/>
      <c r="AQ718" s="893"/>
      <c r="AR718" s="893"/>
      <c r="AS718" s="893"/>
      <c r="AT718" s="1049"/>
      <c r="AZ718" s="1" t="s">
        <v>883</v>
      </c>
      <c r="BA718" s="1"/>
      <c r="BB718" s="1"/>
      <c r="BC718" s="1"/>
      <c r="BD718" s="1"/>
      <c r="BE718" s="1"/>
      <c r="BF718" s="1"/>
      <c r="BJ718" s="1"/>
      <c r="BK718" s="1"/>
      <c r="BL718" s="1"/>
      <c r="BM718" s="1"/>
      <c r="BN718" s="1"/>
      <c r="BO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row>
    <row r="719" spans="1:110" ht="12.75" customHeight="1">
      <c r="A719" s="989"/>
      <c r="B719" s="990"/>
      <c r="C719" s="990"/>
      <c r="D719" s="990"/>
      <c r="E719" s="990"/>
      <c r="F719" s="990"/>
      <c r="G719" s="990"/>
      <c r="H719" s="990"/>
      <c r="I719" s="990"/>
      <c r="J719" s="990"/>
      <c r="K719" s="990"/>
      <c r="L719" s="990"/>
      <c r="M719" s="990"/>
      <c r="N719" s="990"/>
      <c r="O719" s="990"/>
      <c r="P719" s="990"/>
      <c r="Q719" s="990"/>
      <c r="R719" s="990"/>
      <c r="S719" s="990"/>
      <c r="T719" s="990"/>
      <c r="U719" s="990"/>
      <c r="V719" s="990"/>
      <c r="W719" s="990"/>
      <c r="X719" s="990"/>
      <c r="Y719" s="990"/>
      <c r="Z719" s="990"/>
      <c r="AA719" s="990"/>
      <c r="AB719" s="990"/>
      <c r="AC719" s="990"/>
      <c r="AD719" s="990"/>
      <c r="AE719" s="990"/>
      <c r="AF719" s="990"/>
      <c r="AG719" s="990"/>
      <c r="AH719" s="990"/>
      <c r="AI719" s="990"/>
      <c r="AJ719" s="990"/>
      <c r="AK719" s="990"/>
      <c r="AL719" s="990"/>
      <c r="AM719" s="990"/>
      <c r="AN719" s="990"/>
      <c r="AO719" s="990"/>
      <c r="AP719" s="990"/>
      <c r="AQ719" s="990"/>
      <c r="AR719" s="990"/>
      <c r="AS719" s="990"/>
      <c r="AT719" s="991"/>
      <c r="AZ719" s="1" t="s">
        <v>884</v>
      </c>
      <c r="BA719" s="1"/>
      <c r="BB719" s="1"/>
      <c r="BC719" s="1"/>
      <c r="BD719" s="1"/>
      <c r="BE719" s="1"/>
      <c r="BF719" s="1"/>
      <c r="BJ719" s="1"/>
      <c r="BK719" s="1"/>
      <c r="BL719" s="1"/>
      <c r="BM719" s="1"/>
      <c r="BN719" s="1"/>
      <c r="BO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row>
    <row r="720" spans="1:110" ht="12.75" customHeight="1">
      <c r="A720" s="8" t="s">
        <v>947</v>
      </c>
      <c r="B720" s="8"/>
      <c r="C720" s="8" t="s">
        <v>2027</v>
      </c>
      <c r="AZ720" s="1" t="s">
        <v>885</v>
      </c>
      <c r="BA720" s="1"/>
      <c r="BB720" s="1"/>
      <c r="BC720" s="1"/>
      <c r="BD720" s="1"/>
      <c r="BE720" s="1"/>
      <c r="BF720" s="1"/>
      <c r="BJ720" s="1"/>
      <c r="BK720" s="1"/>
      <c r="BL720" s="1"/>
      <c r="BM720" s="1"/>
      <c r="BN720" s="1"/>
      <c r="BO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row>
    <row r="721" spans="1:185" ht="12.75" customHeight="1">
      <c r="A721" s="8"/>
      <c r="B721" s="24"/>
      <c r="C721" s="8"/>
      <c r="AZ721" s="1" t="s">
        <v>886</v>
      </c>
      <c r="BA721" s="1"/>
      <c r="BB721" s="1"/>
      <c r="BC721" s="1"/>
      <c r="BD721" s="1"/>
      <c r="BE721" s="1"/>
      <c r="BF721" s="1"/>
      <c r="BJ721" s="1"/>
      <c r="BK721" s="1"/>
      <c r="BL721" s="1"/>
      <c r="BM721" s="1"/>
      <c r="BN721" s="1"/>
      <c r="BO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row>
    <row r="722" spans="1:185" ht="12.75" customHeight="1">
      <c r="B722" s="957" t="s">
        <v>2029</v>
      </c>
      <c r="C722" s="947"/>
      <c r="D722" s="947"/>
      <c r="E722" s="947"/>
      <c r="F722" s="948"/>
      <c r="G722" s="957" t="s">
        <v>2030</v>
      </c>
      <c r="H722" s="947"/>
      <c r="I722" s="947"/>
      <c r="J722" s="948"/>
      <c r="K722" s="1055" t="s">
        <v>2031</v>
      </c>
      <c r="L722" s="947"/>
      <c r="M722" s="947"/>
      <c r="N722" s="948"/>
      <c r="O722" s="957" t="s">
        <v>2032</v>
      </c>
      <c r="P722" s="947"/>
      <c r="Q722" s="947"/>
      <c r="R722" s="947"/>
      <c r="S722" s="948"/>
      <c r="T722" s="957" t="s">
        <v>2033</v>
      </c>
      <c r="U722" s="947"/>
      <c r="V722" s="947"/>
      <c r="W722" s="948"/>
      <c r="X722" s="957" t="s">
        <v>2034</v>
      </c>
      <c r="Y722" s="947"/>
      <c r="Z722" s="947"/>
      <c r="AA722" s="947"/>
      <c r="AB722" s="948"/>
      <c r="AC722" s="957" t="s">
        <v>2035</v>
      </c>
      <c r="AD722" s="947"/>
      <c r="AE722" s="947"/>
      <c r="AF722" s="947"/>
      <c r="AG722" s="948"/>
      <c r="AH722" s="957" t="s">
        <v>2037</v>
      </c>
      <c r="AI722" s="947"/>
      <c r="AJ722" s="948"/>
      <c r="AK722" s="957" t="s">
        <v>2038</v>
      </c>
      <c r="AL722" s="947"/>
      <c r="AM722" s="947"/>
      <c r="AN722" s="947"/>
      <c r="AO722" s="948"/>
      <c r="AP722" s="1"/>
      <c r="AQ722" s="1"/>
      <c r="AR722" s="1"/>
      <c r="AS722" s="1"/>
      <c r="AZ722" s="1" t="s">
        <v>887</v>
      </c>
      <c r="BA722" s="1"/>
      <c r="BB722" s="1"/>
      <c r="BC722" s="1"/>
      <c r="BD722" s="1"/>
      <c r="BE722" s="1"/>
      <c r="BF722" s="1"/>
      <c r="BJ722" s="1"/>
      <c r="BK722" s="1"/>
      <c r="BL722" s="1"/>
      <c r="BM722" s="1"/>
      <c r="BN722" s="1"/>
      <c r="BO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row>
    <row r="723" spans="1:185" ht="12.75" customHeight="1">
      <c r="B723" s="958"/>
      <c r="C723" s="893"/>
      <c r="D723" s="893"/>
      <c r="E723" s="893"/>
      <c r="F723" s="959"/>
      <c r="G723" s="958"/>
      <c r="H723" s="893"/>
      <c r="I723" s="893"/>
      <c r="J723" s="959"/>
      <c r="K723" s="958"/>
      <c r="L723" s="893"/>
      <c r="M723" s="893"/>
      <c r="N723" s="959"/>
      <c r="O723" s="958"/>
      <c r="P723" s="893"/>
      <c r="Q723" s="893"/>
      <c r="R723" s="893"/>
      <c r="S723" s="959"/>
      <c r="T723" s="958"/>
      <c r="U723" s="893"/>
      <c r="V723" s="893"/>
      <c r="W723" s="959"/>
      <c r="X723" s="958"/>
      <c r="Y723" s="893"/>
      <c r="Z723" s="893"/>
      <c r="AA723" s="893"/>
      <c r="AB723" s="959"/>
      <c r="AC723" s="958"/>
      <c r="AD723" s="893"/>
      <c r="AE723" s="893"/>
      <c r="AF723" s="893"/>
      <c r="AG723" s="959"/>
      <c r="AH723" s="958"/>
      <c r="AI723" s="893"/>
      <c r="AJ723" s="959"/>
      <c r="AK723" s="958"/>
      <c r="AL723" s="893"/>
      <c r="AM723" s="893"/>
      <c r="AN723" s="893"/>
      <c r="AO723" s="959"/>
      <c r="AP723" s="1"/>
      <c r="AQ723" s="1"/>
      <c r="AR723" s="1"/>
      <c r="AS723" s="1"/>
      <c r="AZ723" s="1"/>
      <c r="BA723" s="1"/>
      <c r="BB723" s="1"/>
      <c r="BC723" s="1"/>
      <c r="BD723" s="1"/>
      <c r="BE723" s="1"/>
      <c r="BF723" s="1"/>
      <c r="BJ723" s="1"/>
      <c r="BK723" s="1"/>
      <c r="BL723" s="1"/>
      <c r="BM723" s="1"/>
      <c r="BN723" s="1"/>
      <c r="BO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row>
    <row r="724" spans="1:185" ht="12.75" customHeight="1">
      <c r="A724" s="1"/>
      <c r="B724" s="958"/>
      <c r="C724" s="893"/>
      <c r="D724" s="893"/>
      <c r="E724" s="893"/>
      <c r="F724" s="959"/>
      <c r="G724" s="958"/>
      <c r="H724" s="893"/>
      <c r="I724" s="893"/>
      <c r="J724" s="959"/>
      <c r="K724" s="958"/>
      <c r="L724" s="893"/>
      <c r="M724" s="893"/>
      <c r="N724" s="959"/>
      <c r="O724" s="958"/>
      <c r="P724" s="893"/>
      <c r="Q724" s="893"/>
      <c r="R724" s="893"/>
      <c r="S724" s="959"/>
      <c r="T724" s="958"/>
      <c r="U724" s="893"/>
      <c r="V724" s="893"/>
      <c r="W724" s="959"/>
      <c r="X724" s="958"/>
      <c r="Y724" s="893"/>
      <c r="Z724" s="893"/>
      <c r="AA724" s="893"/>
      <c r="AB724" s="959"/>
      <c r="AC724" s="958"/>
      <c r="AD724" s="893"/>
      <c r="AE724" s="893"/>
      <c r="AF724" s="893"/>
      <c r="AG724" s="959"/>
      <c r="AH724" s="958"/>
      <c r="AI724" s="893"/>
      <c r="AJ724" s="959"/>
      <c r="AK724" s="958"/>
      <c r="AL724" s="893"/>
      <c r="AM724" s="893"/>
      <c r="AN724" s="893"/>
      <c r="AO724" s="959"/>
      <c r="AP724" s="1"/>
      <c r="AQ724" s="1"/>
      <c r="AR724" s="1"/>
      <c r="AS724" s="1"/>
      <c r="BA724" s="1"/>
      <c r="BB724" s="1"/>
      <c r="BC724" s="1"/>
      <c r="BD724" s="1"/>
      <c r="BE724" s="1"/>
      <c r="BF724" s="8" t="s">
        <v>2042</v>
      </c>
      <c r="BG724" s="1"/>
      <c r="BH724" s="1"/>
      <c r="BI724" s="1"/>
      <c r="BJ724" s="1"/>
      <c r="BK724" s="1"/>
      <c r="BL724" s="1"/>
      <c r="BM724" s="1"/>
      <c r="BN724" s="1"/>
      <c r="BS724" s="8" t="s">
        <v>2043</v>
      </c>
      <c r="BT724" s="1"/>
      <c r="BU724" s="1"/>
      <c r="CC724" s="1"/>
      <c r="CD724" s="1"/>
      <c r="CE724" s="1"/>
      <c r="CF724" s="1"/>
      <c r="CG724" s="1"/>
      <c r="CH724" s="1"/>
      <c r="CI724" s="1"/>
      <c r="CJ724" s="1"/>
      <c r="CK724" s="1"/>
      <c r="CL724" s="1"/>
      <c r="CM724" s="1"/>
      <c r="CN724" s="1"/>
      <c r="CO724" s="1"/>
      <c r="CP724" s="1" t="s">
        <v>2045</v>
      </c>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t="s">
        <v>2046</v>
      </c>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t="s">
        <v>2048</v>
      </c>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row>
    <row r="725" spans="1:185" ht="12.75" customHeight="1">
      <c r="A725" s="1"/>
      <c r="B725" s="960"/>
      <c r="C725" s="961"/>
      <c r="D725" s="961"/>
      <c r="E725" s="961"/>
      <c r="F725" s="962"/>
      <c r="G725" s="960"/>
      <c r="H725" s="961"/>
      <c r="I725" s="961"/>
      <c r="J725" s="962"/>
      <c r="K725" s="958"/>
      <c r="L725" s="893"/>
      <c r="M725" s="893"/>
      <c r="N725" s="959"/>
      <c r="O725" s="960"/>
      <c r="P725" s="961"/>
      <c r="Q725" s="961"/>
      <c r="R725" s="961"/>
      <c r="S725" s="962"/>
      <c r="T725" s="960"/>
      <c r="U725" s="961"/>
      <c r="V725" s="961"/>
      <c r="W725" s="962"/>
      <c r="X725" s="960"/>
      <c r="Y725" s="961"/>
      <c r="Z725" s="961"/>
      <c r="AA725" s="961"/>
      <c r="AB725" s="962"/>
      <c r="AC725" s="960"/>
      <c r="AD725" s="961"/>
      <c r="AE725" s="961"/>
      <c r="AF725" s="961"/>
      <c r="AG725" s="962"/>
      <c r="AH725" s="960"/>
      <c r="AI725" s="961"/>
      <c r="AJ725" s="962"/>
      <c r="AK725" s="960"/>
      <c r="AL725" s="961"/>
      <c r="AM725" s="961"/>
      <c r="AN725" s="961"/>
      <c r="AO725" s="962"/>
      <c r="AP725" s="1"/>
      <c r="AQ725" s="1"/>
      <c r="AR725" s="1"/>
      <c r="AS725" s="1"/>
      <c r="AZ725" s="38" t="s">
        <v>2051</v>
      </c>
      <c r="BA725" s="1"/>
      <c r="BB725" s="1"/>
      <c r="BC725" s="1"/>
      <c r="BD725" s="1"/>
      <c r="BE725" s="1"/>
      <c r="BF725" s="63" t="s">
        <v>2052</v>
      </c>
      <c r="BG725" s="466" t="s">
        <v>2053</v>
      </c>
      <c r="BH725" s="467" t="s">
        <v>2054</v>
      </c>
      <c r="BI725" s="1"/>
      <c r="BJ725" s="1"/>
      <c r="BK725" s="1"/>
      <c r="BL725" s="1"/>
      <c r="BM725" s="1"/>
      <c r="BN725" s="1"/>
      <c r="BS725" s="63" t="s">
        <v>2052</v>
      </c>
      <c r="BT725" s="466" t="s">
        <v>2053</v>
      </c>
      <c r="BU725" s="467" t="s">
        <v>2054</v>
      </c>
      <c r="CC725" s="1"/>
      <c r="CD725" s="1"/>
      <c r="CE725" s="1"/>
      <c r="CF725" s="1"/>
      <c r="CG725" s="272" t="s">
        <v>2056</v>
      </c>
      <c r="CH725" s="321"/>
      <c r="CI725" s="945"/>
      <c r="CJ725" s="943"/>
      <c r="CK725" s="272" t="s">
        <v>2057</v>
      </c>
      <c r="CL725" s="321"/>
      <c r="CM725" s="945"/>
      <c r="CN725" s="943"/>
      <c r="CO725" s="1"/>
      <c r="CP725" s="945" t="s">
        <v>888</v>
      </c>
      <c r="CQ725" s="921"/>
      <c r="CR725" s="921"/>
      <c r="CS725" s="921"/>
      <c r="CT725" s="943"/>
      <c r="CU725" s="945" t="s">
        <v>883</v>
      </c>
      <c r="CV725" s="921"/>
      <c r="CW725" s="921"/>
      <c r="CX725" s="921"/>
      <c r="CY725" s="943"/>
      <c r="CZ725" s="945" t="s">
        <v>884</v>
      </c>
      <c r="DA725" s="921"/>
      <c r="DB725" s="921"/>
      <c r="DC725" s="921"/>
      <c r="DD725" s="943"/>
      <c r="DE725" s="945" t="s">
        <v>885</v>
      </c>
      <c r="DF725" s="921"/>
      <c r="DG725" s="921"/>
      <c r="DH725" s="921"/>
      <c r="DI725" s="943"/>
      <c r="DJ725" s="945" t="s">
        <v>890</v>
      </c>
      <c r="DK725" s="921"/>
      <c r="DL725" s="921"/>
      <c r="DM725" s="921"/>
      <c r="DN725" s="943"/>
      <c r="DO725" s="945" t="s">
        <v>887</v>
      </c>
      <c r="DP725" s="921"/>
      <c r="DQ725" s="921"/>
      <c r="DR725" s="921"/>
      <c r="DS725" s="943"/>
      <c r="DT725" s="7"/>
      <c r="DU725" s="945" t="s">
        <v>888</v>
      </c>
      <c r="DV725" s="921"/>
      <c r="DW725" s="921"/>
      <c r="DX725" s="921"/>
      <c r="DY725" s="943"/>
      <c r="DZ725" s="945" t="s">
        <v>883</v>
      </c>
      <c r="EA725" s="921"/>
      <c r="EB725" s="921"/>
      <c r="EC725" s="921"/>
      <c r="ED725" s="943"/>
      <c r="EE725" s="945" t="s">
        <v>884</v>
      </c>
      <c r="EF725" s="921"/>
      <c r="EG725" s="921"/>
      <c r="EH725" s="921"/>
      <c r="EI725" s="943"/>
      <c r="EJ725" s="945" t="s">
        <v>885</v>
      </c>
      <c r="EK725" s="921"/>
      <c r="EL725" s="921"/>
      <c r="EM725" s="921"/>
      <c r="EN725" s="943"/>
      <c r="EO725" s="945" t="s">
        <v>890</v>
      </c>
      <c r="EP725" s="921"/>
      <c r="EQ725" s="921"/>
      <c r="ER725" s="921"/>
      <c r="ES725" s="943"/>
      <c r="ET725" s="945" t="s">
        <v>887</v>
      </c>
      <c r="EU725" s="921"/>
      <c r="EV725" s="921"/>
      <c r="EW725" s="921"/>
      <c r="EX725" s="943"/>
      <c r="EY725" s="1"/>
      <c r="EZ725" s="945" t="s">
        <v>888</v>
      </c>
      <c r="FA725" s="921"/>
      <c r="FB725" s="921"/>
      <c r="FC725" s="921"/>
      <c r="FD725" s="943"/>
      <c r="FE725" s="945" t="s">
        <v>883</v>
      </c>
      <c r="FF725" s="921"/>
      <c r="FG725" s="921"/>
      <c r="FH725" s="921"/>
      <c r="FI725" s="943"/>
      <c r="FJ725" s="945" t="s">
        <v>884</v>
      </c>
      <c r="FK725" s="921"/>
      <c r="FL725" s="921"/>
      <c r="FM725" s="921"/>
      <c r="FN725" s="943"/>
      <c r="FO725" s="945" t="s">
        <v>885</v>
      </c>
      <c r="FP725" s="921"/>
      <c r="FQ725" s="921"/>
      <c r="FR725" s="921"/>
      <c r="FS725" s="943"/>
      <c r="FT725" s="945" t="s">
        <v>890</v>
      </c>
      <c r="FU725" s="921"/>
      <c r="FV725" s="921"/>
      <c r="FW725" s="921"/>
      <c r="FX725" s="943"/>
      <c r="FY725" s="945" t="s">
        <v>887</v>
      </c>
      <c r="FZ725" s="921"/>
      <c r="GA725" s="921"/>
      <c r="GB725" s="921"/>
      <c r="GC725" s="943"/>
    </row>
    <row r="726" spans="1:185" ht="12.75" customHeight="1">
      <c r="A726" s="1"/>
      <c r="B726" s="949" t="s">
        <v>883</v>
      </c>
      <c r="C726" s="921"/>
      <c r="D726" s="921"/>
      <c r="E726" s="921"/>
      <c r="F726" s="943"/>
      <c r="G726" s="950">
        <v>8</v>
      </c>
      <c r="H726" s="921"/>
      <c r="I726" s="921"/>
      <c r="J726" s="943"/>
      <c r="K726" s="951">
        <v>500</v>
      </c>
      <c r="L726" s="921"/>
      <c r="M726" s="921"/>
      <c r="N726" s="943"/>
      <c r="O726" s="952">
        <v>880</v>
      </c>
      <c r="P726" s="921"/>
      <c r="Q726" s="921"/>
      <c r="R726" s="921"/>
      <c r="S726" s="943"/>
      <c r="T726" s="952">
        <v>103</v>
      </c>
      <c r="U726" s="921"/>
      <c r="V726" s="921"/>
      <c r="W726" s="943"/>
      <c r="X726" s="953">
        <f t="shared" ref="X726:X758" si="19">O726+T726</f>
        <v>983</v>
      </c>
      <c r="Y726" s="921"/>
      <c r="Z726" s="921"/>
      <c r="AA726" s="921"/>
      <c r="AB726" s="943"/>
      <c r="AC726" s="963">
        <v>0.3</v>
      </c>
      <c r="AD726" s="964"/>
      <c r="AE726" s="964"/>
      <c r="AF726" s="964"/>
      <c r="AG726" s="965"/>
      <c r="AH726" s="946">
        <f t="shared" ref="AH726:AH758" si="20">IF($AC726&gt;0,($X726/$AZ726), "")</f>
        <v>0.2996951219512195</v>
      </c>
      <c r="AI726" s="947"/>
      <c r="AJ726" s="948"/>
      <c r="AK726" s="949" t="s">
        <v>855</v>
      </c>
      <c r="AL726" s="921"/>
      <c r="AM726" s="921"/>
      <c r="AN726" s="921"/>
      <c r="AO726" s="943"/>
      <c r="AP726" s="1"/>
      <c r="AQ726" s="1"/>
      <c r="AR726" s="1"/>
      <c r="AS726" s="1"/>
      <c r="AZ726" s="470">
        <f t="shared" ref="AZ726:AZ758" si="21">IF($G726=0,"N/A",VLOOKUP($T$189,TC_Rent,(MATCH($B726,bedrooms,FALSE)),FALSE))</f>
        <v>3280</v>
      </c>
      <c r="BA726" s="1"/>
      <c r="BB726" s="1"/>
      <c r="BC726" s="1"/>
      <c r="BD726" s="1"/>
      <c r="BE726" s="1"/>
      <c r="BF726" s="473">
        <f t="shared" ref="BF726:BF758" si="22">G726</f>
        <v>8</v>
      </c>
      <c r="BG726" s="407">
        <f t="shared" ref="BG726:BG758" si="23">IF($BF$759=0,0,BF726/$BF$759)</f>
        <v>3.4482758620689655E-2</v>
      </c>
      <c r="BH726" s="475">
        <f t="shared" ref="BH726:BH758" si="24">IF(BG726=0,"",BG726*AC726)</f>
        <v>1.0344827586206896E-2</v>
      </c>
      <c r="BI726" s="1"/>
      <c r="BJ726" s="1"/>
      <c r="BK726" s="1"/>
      <c r="BL726" s="1"/>
      <c r="BM726" s="1"/>
      <c r="BN726" s="1"/>
      <c r="BS726" s="473">
        <f t="shared" ref="BS726:BS758" si="25">G726</f>
        <v>8</v>
      </c>
      <c r="BT726" s="407">
        <f t="shared" ref="BT726:BT758" si="26">IF($BS$759=0,0,BS726/$BS$759)</f>
        <v>3.4482758620689655E-2</v>
      </c>
      <c r="BU726" s="475">
        <f t="shared" ref="BU726:BU758" si="27">IF(BT726=0,"",BT726*AH726)</f>
        <v>1.0334314550042051E-2</v>
      </c>
      <c r="CC726" s="1"/>
      <c r="CD726" s="1"/>
      <c r="CE726" s="1"/>
      <c r="CF726" s="1"/>
      <c r="CG726" s="945">
        <f t="shared" ref="CG726:CG758" si="28">IF(AND(AC726&lt;=0.5,AC726&gt;=0.36),1,0)</f>
        <v>0</v>
      </c>
      <c r="CH726" s="943"/>
      <c r="CI726" s="956">
        <f t="shared" ref="CI726:CI758" si="29">IF(CG726=1,G726,0)</f>
        <v>0</v>
      </c>
      <c r="CJ726" s="943"/>
      <c r="CK726" s="945">
        <f t="shared" ref="CK726:CK758" si="30">IF(AND(AC726&lt;=0.35,AC726&gt;0),1,0)</f>
        <v>1</v>
      </c>
      <c r="CL726" s="943"/>
      <c r="CM726" s="945">
        <f t="shared" ref="CM726:CM758" si="31">IF(CK726=1,G726,0)</f>
        <v>8</v>
      </c>
      <c r="CN726" s="943"/>
      <c r="CO726" s="1"/>
      <c r="CP726" s="942">
        <f t="shared" ref="CP726:CP758" si="32">IF(B726="SRO/Studio",G726,0)</f>
        <v>0</v>
      </c>
      <c r="CQ726" s="921"/>
      <c r="CR726" s="921"/>
      <c r="CS726" s="921"/>
      <c r="CT726" s="943"/>
      <c r="CU726" s="955">
        <f t="shared" ref="CU726:CU758" si="33">IF(B726="1 Bedroom",G726,0)</f>
        <v>8</v>
      </c>
      <c r="CV726" s="921"/>
      <c r="CW726" s="921"/>
      <c r="CX726" s="921"/>
      <c r="CY726" s="943"/>
      <c r="CZ726" s="942">
        <f t="shared" ref="CZ726:CZ758" si="34">IF(B726="2 Bedrooms",G726,0)</f>
        <v>0</v>
      </c>
      <c r="DA726" s="921"/>
      <c r="DB726" s="921"/>
      <c r="DC726" s="921"/>
      <c r="DD726" s="943"/>
      <c r="DE726" s="942">
        <f t="shared" ref="DE726:DE758" si="35">IF(B726="3 Bedrooms",G726,0)</f>
        <v>0</v>
      </c>
      <c r="DF726" s="921"/>
      <c r="DG726" s="921"/>
      <c r="DH726" s="921"/>
      <c r="DI726" s="943"/>
      <c r="DJ726" s="942">
        <f t="shared" ref="DJ726:DJ758" si="36">IF(B726="4 Bedrooms",G726,0)</f>
        <v>0</v>
      </c>
      <c r="DK726" s="921"/>
      <c r="DL726" s="921"/>
      <c r="DM726" s="921"/>
      <c r="DN726" s="943"/>
      <c r="DO726" s="942">
        <f t="shared" ref="DO726:DO758" si="37">IF(B726="5 Bedrooms",G726,0)</f>
        <v>0</v>
      </c>
      <c r="DP726" s="921"/>
      <c r="DQ726" s="921"/>
      <c r="DR726" s="921"/>
      <c r="DS726" s="943"/>
      <c r="DT726" s="7"/>
      <c r="DU726" s="944">
        <f t="shared" ref="DU726:DU758" si="38">IF(AND(B726="SRO/Studio",AC726&lt;=0.3),G726,0)</f>
        <v>0</v>
      </c>
      <c r="DV726" s="921"/>
      <c r="DW726" s="921"/>
      <c r="DX726" s="921"/>
      <c r="DY726" s="943"/>
      <c r="DZ726" s="944">
        <f t="shared" ref="DZ726:DZ758" si="39">IF(AND(B726="1 Bedroom",AC726&lt;=0.3),G726,0)</f>
        <v>8</v>
      </c>
      <c r="EA726" s="921"/>
      <c r="EB726" s="921"/>
      <c r="EC726" s="921"/>
      <c r="ED726" s="943"/>
      <c r="EE726" s="944">
        <f t="shared" ref="EE726:EE758" si="40">IF(AND(B726="2 Bedrooms",AC726&lt;=0.3),G726,0)</f>
        <v>0</v>
      </c>
      <c r="EF726" s="921"/>
      <c r="EG726" s="921"/>
      <c r="EH726" s="921"/>
      <c r="EI726" s="943"/>
      <c r="EJ726" s="944">
        <f t="shared" ref="EJ726:EJ758" si="41">IF(AND(B726="3 Bedrooms",AC726&lt;=0.3),G726,0)</f>
        <v>0</v>
      </c>
      <c r="EK726" s="921"/>
      <c r="EL726" s="921"/>
      <c r="EM726" s="921"/>
      <c r="EN726" s="943"/>
      <c r="EO726" s="944">
        <f t="shared" ref="EO726:EO758" si="42">IF(AND(B726="4 Bedrooms",AC726&lt;=0.3),G726,0)</f>
        <v>0</v>
      </c>
      <c r="EP726" s="921"/>
      <c r="EQ726" s="921"/>
      <c r="ER726" s="921"/>
      <c r="ES726" s="943"/>
      <c r="ET726" s="944">
        <f t="shared" ref="ET726:ET758" si="43">IF(AND(B726="5 Bedrooms",AC726&lt;=0.3),G726,0)</f>
        <v>0</v>
      </c>
      <c r="EU726" s="921"/>
      <c r="EV726" s="921"/>
      <c r="EW726" s="921"/>
      <c r="EX726" s="943"/>
      <c r="EY726" s="1"/>
      <c r="EZ726" s="945" t="str">
        <f t="shared" ref="EZ726:EZ758" si="44">IF(CP726&gt;0,O726,"")</f>
        <v/>
      </c>
      <c r="FA726" s="921"/>
      <c r="FB726" s="921"/>
      <c r="FC726" s="921"/>
      <c r="FD726" s="943"/>
      <c r="FE726" s="953">
        <f t="shared" ref="FE726:FE758" si="45">IF(CU726&gt;0,O726,"")</f>
        <v>880</v>
      </c>
      <c r="FF726" s="921"/>
      <c r="FG726" s="921"/>
      <c r="FH726" s="921"/>
      <c r="FI726" s="943"/>
      <c r="FJ726" s="945" t="str">
        <f t="shared" ref="FJ726:FJ758" si="46">IF(CZ726&gt;0,O726,"")</f>
        <v/>
      </c>
      <c r="FK726" s="921"/>
      <c r="FL726" s="921"/>
      <c r="FM726" s="921"/>
      <c r="FN726" s="943"/>
      <c r="FO726" s="945" t="str">
        <f t="shared" ref="FO726:FO758" si="47">IF(DE726&gt;0,O726,"")</f>
        <v/>
      </c>
      <c r="FP726" s="921"/>
      <c r="FQ726" s="921"/>
      <c r="FR726" s="921"/>
      <c r="FS726" s="943"/>
      <c r="FT726" s="945" t="str">
        <f t="shared" ref="FT726:FT758" si="48">IF(DJ726&gt;0,O726,"")</f>
        <v/>
      </c>
      <c r="FU726" s="921"/>
      <c r="FV726" s="921"/>
      <c r="FW726" s="921"/>
      <c r="FX726" s="943"/>
      <c r="FY726" s="945" t="str">
        <f t="shared" ref="FY726:FY758" si="49">IF(DO726&gt;0,O726,"")</f>
        <v/>
      </c>
      <c r="FZ726" s="921"/>
      <c r="GA726" s="921"/>
      <c r="GB726" s="921"/>
      <c r="GC726" s="943"/>
    </row>
    <row r="727" spans="1:185" ht="12.75" customHeight="1">
      <c r="A727" s="1"/>
      <c r="B727" s="949" t="s">
        <v>883</v>
      </c>
      <c r="C727" s="921"/>
      <c r="D727" s="921"/>
      <c r="E727" s="921"/>
      <c r="F727" s="943"/>
      <c r="G727" s="950">
        <v>8</v>
      </c>
      <c r="H727" s="921"/>
      <c r="I727" s="921"/>
      <c r="J727" s="943"/>
      <c r="K727" s="951">
        <v>500</v>
      </c>
      <c r="L727" s="921"/>
      <c r="M727" s="921"/>
      <c r="N727" s="943"/>
      <c r="O727" s="952">
        <v>1536</v>
      </c>
      <c r="P727" s="921"/>
      <c r="Q727" s="921"/>
      <c r="R727" s="921"/>
      <c r="S727" s="943"/>
      <c r="T727" s="952">
        <v>103</v>
      </c>
      <c r="U727" s="921"/>
      <c r="V727" s="921"/>
      <c r="W727" s="943"/>
      <c r="X727" s="953">
        <f t="shared" si="19"/>
        <v>1639</v>
      </c>
      <c r="Y727" s="921"/>
      <c r="Z727" s="921"/>
      <c r="AA727" s="921"/>
      <c r="AB727" s="943"/>
      <c r="AC727" s="963">
        <v>0.5</v>
      </c>
      <c r="AD727" s="964"/>
      <c r="AE727" s="964"/>
      <c r="AF727" s="964"/>
      <c r="AG727" s="965"/>
      <c r="AH727" s="946">
        <f t="shared" si="20"/>
        <v>0.49969512195121951</v>
      </c>
      <c r="AI727" s="947"/>
      <c r="AJ727" s="948"/>
      <c r="AK727" s="949" t="s">
        <v>855</v>
      </c>
      <c r="AL727" s="921"/>
      <c r="AM727" s="921"/>
      <c r="AN727" s="921"/>
      <c r="AO727" s="943"/>
      <c r="AP727" s="1"/>
      <c r="AQ727" s="1"/>
      <c r="AR727" s="1"/>
      <c r="AS727" s="1"/>
      <c r="AZ727" s="470">
        <f t="shared" si="21"/>
        <v>3280</v>
      </c>
      <c r="BA727" s="1"/>
      <c r="BB727" s="1"/>
      <c r="BC727" s="1"/>
      <c r="BD727" s="1"/>
      <c r="BE727" s="1"/>
      <c r="BF727" s="527">
        <f t="shared" si="22"/>
        <v>8</v>
      </c>
      <c r="BG727" s="407">
        <f t="shared" si="23"/>
        <v>3.4482758620689655E-2</v>
      </c>
      <c r="BH727" s="475">
        <f t="shared" si="24"/>
        <v>1.7241379310344827E-2</v>
      </c>
      <c r="BI727" s="1"/>
      <c r="BJ727" s="1"/>
      <c r="BK727" s="1"/>
      <c r="BL727" s="1"/>
      <c r="BM727" s="1"/>
      <c r="BN727" s="1"/>
      <c r="BS727" s="527">
        <f t="shared" si="25"/>
        <v>8</v>
      </c>
      <c r="BT727" s="407">
        <f t="shared" si="26"/>
        <v>3.4482758620689655E-2</v>
      </c>
      <c r="BU727" s="475">
        <f t="shared" si="27"/>
        <v>1.7230866274179982E-2</v>
      </c>
      <c r="CC727" s="1"/>
      <c r="CD727" s="1"/>
      <c r="CE727" s="1"/>
      <c r="CF727" s="1"/>
      <c r="CG727" s="945">
        <f t="shared" si="28"/>
        <v>1</v>
      </c>
      <c r="CH727" s="943"/>
      <c r="CI727" s="956">
        <f t="shared" si="29"/>
        <v>8</v>
      </c>
      <c r="CJ727" s="943"/>
      <c r="CK727" s="945">
        <f t="shared" si="30"/>
        <v>0</v>
      </c>
      <c r="CL727" s="943"/>
      <c r="CM727" s="945">
        <f t="shared" si="31"/>
        <v>0</v>
      </c>
      <c r="CN727" s="943"/>
      <c r="CO727" s="1"/>
      <c r="CP727" s="942">
        <f t="shared" si="32"/>
        <v>0</v>
      </c>
      <c r="CQ727" s="921"/>
      <c r="CR727" s="921"/>
      <c r="CS727" s="921"/>
      <c r="CT727" s="943"/>
      <c r="CU727" s="942">
        <f t="shared" si="33"/>
        <v>8</v>
      </c>
      <c r="CV727" s="921"/>
      <c r="CW727" s="921"/>
      <c r="CX727" s="921"/>
      <c r="CY727" s="943"/>
      <c r="CZ727" s="955">
        <f t="shared" si="34"/>
        <v>0</v>
      </c>
      <c r="DA727" s="921"/>
      <c r="DB727" s="921"/>
      <c r="DC727" s="921"/>
      <c r="DD727" s="943"/>
      <c r="DE727" s="942">
        <f t="shared" si="35"/>
        <v>0</v>
      </c>
      <c r="DF727" s="921"/>
      <c r="DG727" s="921"/>
      <c r="DH727" s="921"/>
      <c r="DI727" s="943"/>
      <c r="DJ727" s="942">
        <f t="shared" si="36"/>
        <v>0</v>
      </c>
      <c r="DK727" s="921"/>
      <c r="DL727" s="921"/>
      <c r="DM727" s="921"/>
      <c r="DN727" s="943"/>
      <c r="DO727" s="942">
        <f t="shared" si="37"/>
        <v>0</v>
      </c>
      <c r="DP727" s="921"/>
      <c r="DQ727" s="921"/>
      <c r="DR727" s="921"/>
      <c r="DS727" s="943"/>
      <c r="DT727" s="7"/>
      <c r="DU727" s="944">
        <f t="shared" si="38"/>
        <v>0</v>
      </c>
      <c r="DV727" s="921"/>
      <c r="DW727" s="921"/>
      <c r="DX727" s="921"/>
      <c r="DY727" s="943"/>
      <c r="DZ727" s="944">
        <f t="shared" si="39"/>
        <v>0</v>
      </c>
      <c r="EA727" s="921"/>
      <c r="EB727" s="921"/>
      <c r="EC727" s="921"/>
      <c r="ED727" s="943"/>
      <c r="EE727" s="944">
        <f t="shared" si="40"/>
        <v>0</v>
      </c>
      <c r="EF727" s="921"/>
      <c r="EG727" s="921"/>
      <c r="EH727" s="921"/>
      <c r="EI727" s="943"/>
      <c r="EJ727" s="944">
        <f t="shared" si="41"/>
        <v>0</v>
      </c>
      <c r="EK727" s="921"/>
      <c r="EL727" s="921"/>
      <c r="EM727" s="921"/>
      <c r="EN727" s="943"/>
      <c r="EO727" s="944">
        <f t="shared" si="42"/>
        <v>0</v>
      </c>
      <c r="EP727" s="921"/>
      <c r="EQ727" s="921"/>
      <c r="ER727" s="921"/>
      <c r="ES727" s="943"/>
      <c r="ET727" s="944">
        <f t="shared" si="43"/>
        <v>0</v>
      </c>
      <c r="EU727" s="921"/>
      <c r="EV727" s="921"/>
      <c r="EW727" s="921"/>
      <c r="EX727" s="943"/>
      <c r="EY727" s="1"/>
      <c r="EZ727" s="945" t="str">
        <f t="shared" si="44"/>
        <v/>
      </c>
      <c r="FA727" s="921"/>
      <c r="FB727" s="921"/>
      <c r="FC727" s="921"/>
      <c r="FD727" s="943"/>
      <c r="FE727" s="945">
        <f t="shared" si="45"/>
        <v>1536</v>
      </c>
      <c r="FF727" s="921"/>
      <c r="FG727" s="921"/>
      <c r="FH727" s="921"/>
      <c r="FI727" s="943"/>
      <c r="FJ727" s="953" t="str">
        <f t="shared" si="46"/>
        <v/>
      </c>
      <c r="FK727" s="921"/>
      <c r="FL727" s="921"/>
      <c r="FM727" s="921"/>
      <c r="FN727" s="943"/>
      <c r="FO727" s="945" t="str">
        <f t="shared" si="47"/>
        <v/>
      </c>
      <c r="FP727" s="921"/>
      <c r="FQ727" s="921"/>
      <c r="FR727" s="921"/>
      <c r="FS727" s="943"/>
      <c r="FT727" s="945" t="str">
        <f t="shared" si="48"/>
        <v/>
      </c>
      <c r="FU727" s="921"/>
      <c r="FV727" s="921"/>
      <c r="FW727" s="921"/>
      <c r="FX727" s="943"/>
      <c r="FY727" s="945" t="str">
        <f t="shared" si="49"/>
        <v/>
      </c>
      <c r="FZ727" s="921"/>
      <c r="GA727" s="921"/>
      <c r="GB727" s="921"/>
      <c r="GC727" s="943"/>
    </row>
    <row r="728" spans="1:185" ht="12.75" customHeight="1">
      <c r="A728" s="1"/>
      <c r="B728" s="949" t="s">
        <v>883</v>
      </c>
      <c r="C728" s="921"/>
      <c r="D728" s="921"/>
      <c r="E728" s="921"/>
      <c r="F728" s="943"/>
      <c r="G728" s="950">
        <v>64</v>
      </c>
      <c r="H728" s="921"/>
      <c r="I728" s="921"/>
      <c r="J728" s="943"/>
      <c r="K728" s="951">
        <v>500</v>
      </c>
      <c r="L728" s="921"/>
      <c r="M728" s="921"/>
      <c r="N728" s="943"/>
      <c r="O728" s="952">
        <v>1864</v>
      </c>
      <c r="P728" s="921"/>
      <c r="Q728" s="921"/>
      <c r="R728" s="921"/>
      <c r="S728" s="943"/>
      <c r="T728" s="952">
        <v>103</v>
      </c>
      <c r="U728" s="921"/>
      <c r="V728" s="921"/>
      <c r="W728" s="943"/>
      <c r="X728" s="953">
        <f t="shared" si="19"/>
        <v>1967</v>
      </c>
      <c r="Y728" s="921"/>
      <c r="Z728" s="921"/>
      <c r="AA728" s="921"/>
      <c r="AB728" s="943"/>
      <c r="AC728" s="963">
        <v>0.6</v>
      </c>
      <c r="AD728" s="964"/>
      <c r="AE728" s="964"/>
      <c r="AF728" s="964"/>
      <c r="AG728" s="965"/>
      <c r="AH728" s="946">
        <f t="shared" si="20"/>
        <v>0.59969512195121955</v>
      </c>
      <c r="AI728" s="947"/>
      <c r="AJ728" s="948"/>
      <c r="AK728" s="949" t="s">
        <v>855</v>
      </c>
      <c r="AL728" s="921"/>
      <c r="AM728" s="921"/>
      <c r="AN728" s="921"/>
      <c r="AO728" s="943"/>
      <c r="AP728" s="1"/>
      <c r="AQ728" s="1"/>
      <c r="AR728" s="1"/>
      <c r="AS728" s="1"/>
      <c r="AZ728" s="470">
        <f t="shared" si="21"/>
        <v>3280</v>
      </c>
      <c r="BA728" s="1"/>
      <c r="BB728" s="1"/>
      <c r="BC728" s="1"/>
      <c r="BD728" s="1"/>
      <c r="BE728" s="1"/>
      <c r="BF728" s="527">
        <f t="shared" si="22"/>
        <v>64</v>
      </c>
      <c r="BG728" s="407">
        <f t="shared" si="23"/>
        <v>0.27586206896551724</v>
      </c>
      <c r="BH728" s="475">
        <f t="shared" si="24"/>
        <v>0.16551724137931034</v>
      </c>
      <c r="BI728" s="1"/>
      <c r="BJ728" s="1"/>
      <c r="BK728" s="1"/>
      <c r="BL728" s="1"/>
      <c r="BM728" s="1"/>
      <c r="BN728" s="1"/>
      <c r="BS728" s="527">
        <f t="shared" si="25"/>
        <v>64</v>
      </c>
      <c r="BT728" s="407">
        <f t="shared" si="26"/>
        <v>0.27586206896551724</v>
      </c>
      <c r="BU728" s="475">
        <f t="shared" si="27"/>
        <v>0.16543313708999161</v>
      </c>
      <c r="CC728" s="1"/>
      <c r="CD728" s="1"/>
      <c r="CE728" s="1"/>
      <c r="CF728" s="1"/>
      <c r="CG728" s="945">
        <f t="shared" si="28"/>
        <v>0</v>
      </c>
      <c r="CH728" s="943"/>
      <c r="CI728" s="956">
        <f t="shared" si="29"/>
        <v>0</v>
      </c>
      <c r="CJ728" s="943"/>
      <c r="CK728" s="945">
        <f t="shared" si="30"/>
        <v>0</v>
      </c>
      <c r="CL728" s="943"/>
      <c r="CM728" s="945">
        <f t="shared" si="31"/>
        <v>0</v>
      </c>
      <c r="CN728" s="943"/>
      <c r="CO728" s="1"/>
      <c r="CP728" s="942">
        <f t="shared" si="32"/>
        <v>0</v>
      </c>
      <c r="CQ728" s="921"/>
      <c r="CR728" s="921"/>
      <c r="CS728" s="921"/>
      <c r="CT728" s="943"/>
      <c r="CU728" s="942">
        <f t="shared" si="33"/>
        <v>64</v>
      </c>
      <c r="CV728" s="921"/>
      <c r="CW728" s="921"/>
      <c r="CX728" s="921"/>
      <c r="CY728" s="943"/>
      <c r="CZ728" s="955">
        <f t="shared" si="34"/>
        <v>0</v>
      </c>
      <c r="DA728" s="921"/>
      <c r="DB728" s="921"/>
      <c r="DC728" s="921"/>
      <c r="DD728" s="943"/>
      <c r="DE728" s="942">
        <f t="shared" si="35"/>
        <v>0</v>
      </c>
      <c r="DF728" s="921"/>
      <c r="DG728" s="921"/>
      <c r="DH728" s="921"/>
      <c r="DI728" s="943"/>
      <c r="DJ728" s="942">
        <f t="shared" si="36"/>
        <v>0</v>
      </c>
      <c r="DK728" s="921"/>
      <c r="DL728" s="921"/>
      <c r="DM728" s="921"/>
      <c r="DN728" s="943"/>
      <c r="DO728" s="942">
        <f t="shared" si="37"/>
        <v>0</v>
      </c>
      <c r="DP728" s="921"/>
      <c r="DQ728" s="921"/>
      <c r="DR728" s="921"/>
      <c r="DS728" s="943"/>
      <c r="DT728" s="7"/>
      <c r="DU728" s="944">
        <f t="shared" si="38"/>
        <v>0</v>
      </c>
      <c r="DV728" s="921"/>
      <c r="DW728" s="921"/>
      <c r="DX728" s="921"/>
      <c r="DY728" s="943"/>
      <c r="DZ728" s="944">
        <f t="shared" si="39"/>
        <v>0</v>
      </c>
      <c r="EA728" s="921"/>
      <c r="EB728" s="921"/>
      <c r="EC728" s="921"/>
      <c r="ED728" s="943"/>
      <c r="EE728" s="944">
        <f t="shared" si="40"/>
        <v>0</v>
      </c>
      <c r="EF728" s="921"/>
      <c r="EG728" s="921"/>
      <c r="EH728" s="921"/>
      <c r="EI728" s="943"/>
      <c r="EJ728" s="944">
        <f t="shared" si="41"/>
        <v>0</v>
      </c>
      <c r="EK728" s="921"/>
      <c r="EL728" s="921"/>
      <c r="EM728" s="921"/>
      <c r="EN728" s="943"/>
      <c r="EO728" s="944">
        <f t="shared" si="42"/>
        <v>0</v>
      </c>
      <c r="EP728" s="921"/>
      <c r="EQ728" s="921"/>
      <c r="ER728" s="921"/>
      <c r="ES728" s="943"/>
      <c r="ET728" s="944">
        <f t="shared" si="43"/>
        <v>0</v>
      </c>
      <c r="EU728" s="921"/>
      <c r="EV728" s="921"/>
      <c r="EW728" s="921"/>
      <c r="EX728" s="943"/>
      <c r="EZ728" s="945" t="str">
        <f t="shared" si="44"/>
        <v/>
      </c>
      <c r="FA728" s="921"/>
      <c r="FB728" s="921"/>
      <c r="FC728" s="921"/>
      <c r="FD728" s="943"/>
      <c r="FE728" s="945">
        <f t="shared" si="45"/>
        <v>1864</v>
      </c>
      <c r="FF728" s="921"/>
      <c r="FG728" s="921"/>
      <c r="FH728" s="921"/>
      <c r="FI728" s="943"/>
      <c r="FJ728" s="953" t="str">
        <f t="shared" si="46"/>
        <v/>
      </c>
      <c r="FK728" s="921"/>
      <c r="FL728" s="921"/>
      <c r="FM728" s="921"/>
      <c r="FN728" s="943"/>
      <c r="FO728" s="945" t="str">
        <f t="shared" si="47"/>
        <v/>
      </c>
      <c r="FP728" s="921"/>
      <c r="FQ728" s="921"/>
      <c r="FR728" s="921"/>
      <c r="FS728" s="943"/>
      <c r="FT728" s="945" t="str">
        <f t="shared" si="48"/>
        <v/>
      </c>
      <c r="FU728" s="921"/>
      <c r="FV728" s="921"/>
      <c r="FW728" s="921"/>
      <c r="FX728" s="943"/>
      <c r="FY728" s="945" t="str">
        <f t="shared" si="49"/>
        <v/>
      </c>
      <c r="FZ728" s="921"/>
      <c r="GA728" s="921"/>
      <c r="GB728" s="921"/>
      <c r="GC728" s="943"/>
    </row>
    <row r="729" spans="1:185" ht="12.75" customHeight="1">
      <c r="B729" s="949" t="s">
        <v>884</v>
      </c>
      <c r="C729" s="921"/>
      <c r="D729" s="921"/>
      <c r="E729" s="921"/>
      <c r="F729" s="943"/>
      <c r="G729" s="950">
        <v>6</v>
      </c>
      <c r="H729" s="921"/>
      <c r="I729" s="921"/>
      <c r="J729" s="943"/>
      <c r="K729" s="951">
        <v>800</v>
      </c>
      <c r="L729" s="921"/>
      <c r="M729" s="921"/>
      <c r="N729" s="943"/>
      <c r="O729" s="952">
        <v>1043</v>
      </c>
      <c r="P729" s="921"/>
      <c r="Q729" s="921"/>
      <c r="R729" s="921"/>
      <c r="S729" s="943"/>
      <c r="T729" s="952">
        <v>137</v>
      </c>
      <c r="U729" s="921"/>
      <c r="V729" s="921"/>
      <c r="W729" s="943"/>
      <c r="X729" s="953">
        <f t="shared" si="19"/>
        <v>1180</v>
      </c>
      <c r="Y729" s="921"/>
      <c r="Z729" s="921"/>
      <c r="AA729" s="921"/>
      <c r="AB729" s="943"/>
      <c r="AC729" s="954">
        <v>0.3</v>
      </c>
      <c r="AD729" s="921"/>
      <c r="AE729" s="921"/>
      <c r="AF729" s="921"/>
      <c r="AG729" s="943"/>
      <c r="AH729" s="946">
        <f t="shared" si="20"/>
        <v>0.29979674796747968</v>
      </c>
      <c r="AI729" s="947"/>
      <c r="AJ729" s="948"/>
      <c r="AK729" s="949" t="s">
        <v>855</v>
      </c>
      <c r="AL729" s="921"/>
      <c r="AM729" s="921"/>
      <c r="AN729" s="921"/>
      <c r="AO729" s="943"/>
      <c r="AP729" s="1"/>
      <c r="AQ729" s="1"/>
      <c r="AR729" s="1"/>
      <c r="AS729" s="1"/>
      <c r="AY729" s="41"/>
      <c r="AZ729" s="470">
        <f t="shared" si="21"/>
        <v>3936</v>
      </c>
      <c r="BA729" s="1"/>
      <c r="BB729" s="1"/>
      <c r="BC729" s="1"/>
      <c r="BD729" s="1"/>
      <c r="BE729" s="1"/>
      <c r="BF729" s="527">
        <f t="shared" si="22"/>
        <v>6</v>
      </c>
      <c r="BG729" s="407">
        <f t="shared" si="23"/>
        <v>2.5862068965517241E-2</v>
      </c>
      <c r="BH729" s="475">
        <f t="shared" si="24"/>
        <v>7.7586206896551723E-3</v>
      </c>
      <c r="BI729" s="1"/>
      <c r="BJ729" s="1"/>
      <c r="BK729" s="1"/>
      <c r="BL729" s="1"/>
      <c r="BM729" s="1"/>
      <c r="BN729" s="1"/>
      <c r="BS729" s="527">
        <f t="shared" si="25"/>
        <v>6</v>
      </c>
      <c r="BT729" s="407">
        <f t="shared" si="26"/>
        <v>2.5862068965517241E-2</v>
      </c>
      <c r="BU729" s="475">
        <f t="shared" si="27"/>
        <v>7.7533641715727504E-3</v>
      </c>
      <c r="CC729" s="1"/>
      <c r="CD729" s="1"/>
      <c r="CE729" s="1"/>
      <c r="CF729" s="1"/>
      <c r="CG729" s="945">
        <f t="shared" si="28"/>
        <v>0</v>
      </c>
      <c r="CH729" s="943"/>
      <c r="CI729" s="945">
        <f t="shared" si="29"/>
        <v>0</v>
      </c>
      <c r="CJ729" s="943"/>
      <c r="CK729" s="945">
        <f t="shared" si="30"/>
        <v>1</v>
      </c>
      <c r="CL729" s="943"/>
      <c r="CM729" s="945">
        <f t="shared" si="31"/>
        <v>6</v>
      </c>
      <c r="CN729" s="943"/>
      <c r="CO729" s="1"/>
      <c r="CP729" s="942">
        <f t="shared" si="32"/>
        <v>0</v>
      </c>
      <c r="CQ729" s="921"/>
      <c r="CR729" s="921"/>
      <c r="CS729" s="921"/>
      <c r="CT729" s="943"/>
      <c r="CU729" s="942">
        <f t="shared" si="33"/>
        <v>0</v>
      </c>
      <c r="CV729" s="921"/>
      <c r="CW729" s="921"/>
      <c r="CX729" s="921"/>
      <c r="CY729" s="943"/>
      <c r="CZ729" s="955">
        <f t="shared" si="34"/>
        <v>6</v>
      </c>
      <c r="DA729" s="921"/>
      <c r="DB729" s="921"/>
      <c r="DC729" s="921"/>
      <c r="DD729" s="943"/>
      <c r="DE729" s="942">
        <f t="shared" si="35"/>
        <v>0</v>
      </c>
      <c r="DF729" s="921"/>
      <c r="DG729" s="921"/>
      <c r="DH729" s="921"/>
      <c r="DI729" s="943"/>
      <c r="DJ729" s="942">
        <f t="shared" si="36"/>
        <v>0</v>
      </c>
      <c r="DK729" s="921"/>
      <c r="DL729" s="921"/>
      <c r="DM729" s="921"/>
      <c r="DN729" s="943"/>
      <c r="DO729" s="942">
        <f t="shared" si="37"/>
        <v>0</v>
      </c>
      <c r="DP729" s="921"/>
      <c r="DQ729" s="921"/>
      <c r="DR729" s="921"/>
      <c r="DS729" s="943"/>
      <c r="DT729" s="7"/>
      <c r="DU729" s="944">
        <f t="shared" si="38"/>
        <v>0</v>
      </c>
      <c r="DV729" s="921"/>
      <c r="DW729" s="921"/>
      <c r="DX729" s="921"/>
      <c r="DY729" s="943"/>
      <c r="DZ729" s="944">
        <f t="shared" si="39"/>
        <v>0</v>
      </c>
      <c r="EA729" s="921"/>
      <c r="EB729" s="921"/>
      <c r="EC729" s="921"/>
      <c r="ED729" s="943"/>
      <c r="EE729" s="944">
        <f t="shared" si="40"/>
        <v>6</v>
      </c>
      <c r="EF729" s="921"/>
      <c r="EG729" s="921"/>
      <c r="EH729" s="921"/>
      <c r="EI729" s="943"/>
      <c r="EJ729" s="944">
        <f t="shared" si="41"/>
        <v>0</v>
      </c>
      <c r="EK729" s="921"/>
      <c r="EL729" s="921"/>
      <c r="EM729" s="921"/>
      <c r="EN729" s="943"/>
      <c r="EO729" s="944">
        <f t="shared" si="42"/>
        <v>0</v>
      </c>
      <c r="EP729" s="921"/>
      <c r="EQ729" s="921"/>
      <c r="ER729" s="921"/>
      <c r="ES729" s="943"/>
      <c r="ET729" s="944">
        <f t="shared" si="43"/>
        <v>0</v>
      </c>
      <c r="EU729" s="921"/>
      <c r="EV729" s="921"/>
      <c r="EW729" s="921"/>
      <c r="EX729" s="943"/>
      <c r="EZ729" s="945" t="str">
        <f t="shared" si="44"/>
        <v/>
      </c>
      <c r="FA729" s="921"/>
      <c r="FB729" s="921"/>
      <c r="FC729" s="921"/>
      <c r="FD729" s="943"/>
      <c r="FE729" s="945" t="str">
        <f t="shared" si="45"/>
        <v/>
      </c>
      <c r="FF729" s="921"/>
      <c r="FG729" s="921"/>
      <c r="FH729" s="921"/>
      <c r="FI729" s="943"/>
      <c r="FJ729" s="953">
        <f t="shared" si="46"/>
        <v>1043</v>
      </c>
      <c r="FK729" s="921"/>
      <c r="FL729" s="921"/>
      <c r="FM729" s="921"/>
      <c r="FN729" s="943"/>
      <c r="FO729" s="945" t="str">
        <f t="shared" si="47"/>
        <v/>
      </c>
      <c r="FP729" s="921"/>
      <c r="FQ729" s="921"/>
      <c r="FR729" s="921"/>
      <c r="FS729" s="943"/>
      <c r="FT729" s="945" t="str">
        <f t="shared" si="48"/>
        <v/>
      </c>
      <c r="FU729" s="921"/>
      <c r="FV729" s="921"/>
      <c r="FW729" s="921"/>
      <c r="FX729" s="943"/>
      <c r="FY729" s="945" t="str">
        <f t="shared" si="49"/>
        <v/>
      </c>
      <c r="FZ729" s="921"/>
      <c r="GA729" s="921"/>
      <c r="GB729" s="921"/>
      <c r="GC729" s="943"/>
    </row>
    <row r="730" spans="1:185" ht="12.75" customHeight="1">
      <c r="B730" s="949" t="s">
        <v>884</v>
      </c>
      <c r="C730" s="921"/>
      <c r="D730" s="921"/>
      <c r="E730" s="921"/>
      <c r="F730" s="943"/>
      <c r="G730" s="950">
        <v>6</v>
      </c>
      <c r="H730" s="921"/>
      <c r="I730" s="921"/>
      <c r="J730" s="943"/>
      <c r="K730" s="951">
        <v>800</v>
      </c>
      <c r="L730" s="921"/>
      <c r="M730" s="921"/>
      <c r="N730" s="943"/>
      <c r="O730" s="952">
        <v>1830</v>
      </c>
      <c r="P730" s="921"/>
      <c r="Q730" s="921"/>
      <c r="R730" s="921"/>
      <c r="S730" s="943"/>
      <c r="T730" s="952">
        <v>137</v>
      </c>
      <c r="U730" s="921"/>
      <c r="V730" s="921"/>
      <c r="W730" s="943"/>
      <c r="X730" s="953">
        <f t="shared" si="19"/>
        <v>1967</v>
      </c>
      <c r="Y730" s="921"/>
      <c r="Z730" s="921"/>
      <c r="AA730" s="921"/>
      <c r="AB730" s="943"/>
      <c r="AC730" s="954">
        <v>0.5</v>
      </c>
      <c r="AD730" s="921"/>
      <c r="AE730" s="921"/>
      <c r="AF730" s="921"/>
      <c r="AG730" s="943"/>
      <c r="AH730" s="946">
        <f t="shared" si="20"/>
        <v>0.4997459349593496</v>
      </c>
      <c r="AI730" s="947"/>
      <c r="AJ730" s="948"/>
      <c r="AK730" s="949" t="s">
        <v>855</v>
      </c>
      <c r="AL730" s="921"/>
      <c r="AM730" s="921"/>
      <c r="AN730" s="921"/>
      <c r="AO730" s="943"/>
      <c r="AP730" s="1"/>
      <c r="AQ730" s="1"/>
      <c r="AR730" s="1"/>
      <c r="AS730" s="1"/>
      <c r="AY730" s="41"/>
      <c r="AZ730" s="470">
        <f t="shared" si="21"/>
        <v>3936</v>
      </c>
      <c r="BA730" s="1"/>
      <c r="BB730" s="1"/>
      <c r="BC730" s="1"/>
      <c r="BD730" s="1"/>
      <c r="BE730" s="1"/>
      <c r="BF730" s="527">
        <f t="shared" si="22"/>
        <v>6</v>
      </c>
      <c r="BG730" s="407">
        <f t="shared" si="23"/>
        <v>2.5862068965517241E-2</v>
      </c>
      <c r="BH730" s="475">
        <f t="shared" si="24"/>
        <v>1.2931034482758621E-2</v>
      </c>
      <c r="BI730" s="1"/>
      <c r="BJ730" s="1"/>
      <c r="BK730" s="1"/>
      <c r="BL730" s="1"/>
      <c r="BM730" s="1"/>
      <c r="BN730" s="1"/>
      <c r="BS730" s="527">
        <f t="shared" si="25"/>
        <v>6</v>
      </c>
      <c r="BT730" s="407">
        <f t="shared" si="26"/>
        <v>2.5862068965517241E-2</v>
      </c>
      <c r="BU730" s="475">
        <f t="shared" si="27"/>
        <v>1.2924463835155593E-2</v>
      </c>
      <c r="CC730" s="1"/>
      <c r="CD730" s="1"/>
      <c r="CE730" s="1"/>
      <c r="CF730" s="1"/>
      <c r="CG730" s="945">
        <f t="shared" si="28"/>
        <v>1</v>
      </c>
      <c r="CH730" s="943"/>
      <c r="CI730" s="945">
        <f t="shared" si="29"/>
        <v>6</v>
      </c>
      <c r="CJ730" s="943"/>
      <c r="CK730" s="945">
        <f t="shared" si="30"/>
        <v>0</v>
      </c>
      <c r="CL730" s="943"/>
      <c r="CM730" s="945">
        <f t="shared" si="31"/>
        <v>0</v>
      </c>
      <c r="CN730" s="943"/>
      <c r="CO730" s="1"/>
      <c r="CP730" s="942">
        <f t="shared" si="32"/>
        <v>0</v>
      </c>
      <c r="CQ730" s="921"/>
      <c r="CR730" s="921"/>
      <c r="CS730" s="921"/>
      <c r="CT730" s="943"/>
      <c r="CU730" s="942">
        <f t="shared" si="33"/>
        <v>0</v>
      </c>
      <c r="CV730" s="921"/>
      <c r="CW730" s="921"/>
      <c r="CX730" s="921"/>
      <c r="CY730" s="943"/>
      <c r="CZ730" s="955">
        <f t="shared" si="34"/>
        <v>6</v>
      </c>
      <c r="DA730" s="921"/>
      <c r="DB730" s="921"/>
      <c r="DC730" s="921"/>
      <c r="DD730" s="943"/>
      <c r="DE730" s="942">
        <f t="shared" si="35"/>
        <v>0</v>
      </c>
      <c r="DF730" s="921"/>
      <c r="DG730" s="921"/>
      <c r="DH730" s="921"/>
      <c r="DI730" s="943"/>
      <c r="DJ730" s="942">
        <f t="shared" si="36"/>
        <v>0</v>
      </c>
      <c r="DK730" s="921"/>
      <c r="DL730" s="921"/>
      <c r="DM730" s="921"/>
      <c r="DN730" s="943"/>
      <c r="DO730" s="942">
        <f t="shared" si="37"/>
        <v>0</v>
      </c>
      <c r="DP730" s="921"/>
      <c r="DQ730" s="921"/>
      <c r="DR730" s="921"/>
      <c r="DS730" s="943"/>
      <c r="DT730" s="7"/>
      <c r="DU730" s="944">
        <f t="shared" si="38"/>
        <v>0</v>
      </c>
      <c r="DV730" s="921"/>
      <c r="DW730" s="921"/>
      <c r="DX730" s="921"/>
      <c r="DY730" s="943"/>
      <c r="DZ730" s="944">
        <f t="shared" si="39"/>
        <v>0</v>
      </c>
      <c r="EA730" s="921"/>
      <c r="EB730" s="921"/>
      <c r="EC730" s="921"/>
      <c r="ED730" s="943"/>
      <c r="EE730" s="944">
        <f t="shared" si="40"/>
        <v>0</v>
      </c>
      <c r="EF730" s="921"/>
      <c r="EG730" s="921"/>
      <c r="EH730" s="921"/>
      <c r="EI730" s="943"/>
      <c r="EJ730" s="944">
        <f t="shared" si="41"/>
        <v>0</v>
      </c>
      <c r="EK730" s="921"/>
      <c r="EL730" s="921"/>
      <c r="EM730" s="921"/>
      <c r="EN730" s="943"/>
      <c r="EO730" s="944">
        <f t="shared" si="42"/>
        <v>0</v>
      </c>
      <c r="EP730" s="921"/>
      <c r="EQ730" s="921"/>
      <c r="ER730" s="921"/>
      <c r="ES730" s="943"/>
      <c r="ET730" s="944">
        <f t="shared" si="43"/>
        <v>0</v>
      </c>
      <c r="EU730" s="921"/>
      <c r="EV730" s="921"/>
      <c r="EW730" s="921"/>
      <c r="EX730" s="943"/>
      <c r="EZ730" s="945" t="str">
        <f t="shared" si="44"/>
        <v/>
      </c>
      <c r="FA730" s="921"/>
      <c r="FB730" s="921"/>
      <c r="FC730" s="921"/>
      <c r="FD730" s="943"/>
      <c r="FE730" s="945" t="str">
        <f t="shared" si="45"/>
        <v/>
      </c>
      <c r="FF730" s="921"/>
      <c r="FG730" s="921"/>
      <c r="FH730" s="921"/>
      <c r="FI730" s="943"/>
      <c r="FJ730" s="953">
        <f t="shared" si="46"/>
        <v>1830</v>
      </c>
      <c r="FK730" s="921"/>
      <c r="FL730" s="921"/>
      <c r="FM730" s="921"/>
      <c r="FN730" s="943"/>
      <c r="FO730" s="945" t="str">
        <f t="shared" si="47"/>
        <v/>
      </c>
      <c r="FP730" s="921"/>
      <c r="FQ730" s="921"/>
      <c r="FR730" s="921"/>
      <c r="FS730" s="943"/>
      <c r="FT730" s="945" t="str">
        <f t="shared" si="48"/>
        <v/>
      </c>
      <c r="FU730" s="921"/>
      <c r="FV730" s="921"/>
      <c r="FW730" s="921"/>
      <c r="FX730" s="943"/>
      <c r="FY730" s="945" t="str">
        <f t="shared" si="49"/>
        <v/>
      </c>
      <c r="FZ730" s="921"/>
      <c r="GA730" s="921"/>
      <c r="GB730" s="921"/>
      <c r="GC730" s="943"/>
    </row>
    <row r="731" spans="1:185" ht="12.75" customHeight="1">
      <c r="B731" s="949" t="s">
        <v>884</v>
      </c>
      <c r="C731" s="921"/>
      <c r="D731" s="921"/>
      <c r="E731" s="921"/>
      <c r="F731" s="943"/>
      <c r="G731" s="950">
        <v>39</v>
      </c>
      <c r="H731" s="921"/>
      <c r="I731" s="921"/>
      <c r="J731" s="943"/>
      <c r="K731" s="951">
        <v>800</v>
      </c>
      <c r="L731" s="921"/>
      <c r="M731" s="921"/>
      <c r="N731" s="943"/>
      <c r="O731" s="952">
        <v>2224</v>
      </c>
      <c r="P731" s="921"/>
      <c r="Q731" s="921"/>
      <c r="R731" s="921"/>
      <c r="S731" s="943"/>
      <c r="T731" s="952">
        <v>137</v>
      </c>
      <c r="U731" s="921"/>
      <c r="V731" s="921"/>
      <c r="W731" s="943"/>
      <c r="X731" s="953">
        <f t="shared" si="19"/>
        <v>2361</v>
      </c>
      <c r="Y731" s="921"/>
      <c r="Z731" s="921"/>
      <c r="AA731" s="921"/>
      <c r="AB731" s="943"/>
      <c r="AC731" s="954">
        <v>0.6</v>
      </c>
      <c r="AD731" s="921"/>
      <c r="AE731" s="921"/>
      <c r="AF731" s="921"/>
      <c r="AG731" s="943"/>
      <c r="AH731" s="946">
        <f t="shared" si="20"/>
        <v>0.59984756097560976</v>
      </c>
      <c r="AI731" s="947"/>
      <c r="AJ731" s="948"/>
      <c r="AK731" s="949" t="s">
        <v>855</v>
      </c>
      <c r="AL731" s="921"/>
      <c r="AM731" s="921"/>
      <c r="AN731" s="921"/>
      <c r="AO731" s="943"/>
      <c r="AP731" s="1"/>
      <c r="AQ731" s="1"/>
      <c r="AR731" s="1"/>
      <c r="AS731" s="1"/>
      <c r="AY731" s="41"/>
      <c r="AZ731" s="470">
        <f t="shared" si="21"/>
        <v>3936</v>
      </c>
      <c r="BA731" s="1"/>
      <c r="BB731" s="1"/>
      <c r="BC731" s="1"/>
      <c r="BD731" s="1"/>
      <c r="BE731" s="1"/>
      <c r="BF731" s="527">
        <f t="shared" si="22"/>
        <v>39</v>
      </c>
      <c r="BG731" s="407">
        <f t="shared" si="23"/>
        <v>0.16810344827586207</v>
      </c>
      <c r="BH731" s="475">
        <f t="shared" si="24"/>
        <v>0.10086206896551723</v>
      </c>
      <c r="BI731" s="1"/>
      <c r="BJ731" s="1"/>
      <c r="BK731" s="1"/>
      <c r="BL731" s="1"/>
      <c r="BM731" s="1"/>
      <c r="BN731" s="1"/>
      <c r="BS731" s="527">
        <f t="shared" si="25"/>
        <v>39</v>
      </c>
      <c r="BT731" s="407">
        <f t="shared" si="26"/>
        <v>0.16810344827586207</v>
      </c>
      <c r="BU731" s="475">
        <f t="shared" si="27"/>
        <v>0.10083644343986543</v>
      </c>
      <c r="CC731" s="1"/>
      <c r="CE731" s="1"/>
      <c r="CF731" s="1"/>
      <c r="CG731" s="945">
        <f t="shared" si="28"/>
        <v>0</v>
      </c>
      <c r="CH731" s="943"/>
      <c r="CI731" s="945">
        <f t="shared" si="29"/>
        <v>0</v>
      </c>
      <c r="CJ731" s="943"/>
      <c r="CK731" s="945">
        <f t="shared" si="30"/>
        <v>0</v>
      </c>
      <c r="CL731" s="943"/>
      <c r="CM731" s="945">
        <f t="shared" si="31"/>
        <v>0</v>
      </c>
      <c r="CN731" s="943"/>
      <c r="CO731" s="1"/>
      <c r="CP731" s="942">
        <f t="shared" si="32"/>
        <v>0</v>
      </c>
      <c r="CQ731" s="921"/>
      <c r="CR731" s="921"/>
      <c r="CS731" s="921"/>
      <c r="CT731" s="943"/>
      <c r="CU731" s="955">
        <f t="shared" si="33"/>
        <v>0</v>
      </c>
      <c r="CV731" s="921"/>
      <c r="CW731" s="921"/>
      <c r="CX731" s="921"/>
      <c r="CY731" s="943"/>
      <c r="CZ731" s="942">
        <f t="shared" si="34"/>
        <v>39</v>
      </c>
      <c r="DA731" s="921"/>
      <c r="DB731" s="921"/>
      <c r="DC731" s="921"/>
      <c r="DD731" s="943"/>
      <c r="DE731" s="942">
        <f t="shared" si="35"/>
        <v>0</v>
      </c>
      <c r="DF731" s="921"/>
      <c r="DG731" s="921"/>
      <c r="DH731" s="921"/>
      <c r="DI731" s="943"/>
      <c r="DJ731" s="942">
        <f t="shared" si="36"/>
        <v>0</v>
      </c>
      <c r="DK731" s="921"/>
      <c r="DL731" s="921"/>
      <c r="DM731" s="921"/>
      <c r="DN731" s="943"/>
      <c r="DO731" s="942">
        <f t="shared" si="37"/>
        <v>0</v>
      </c>
      <c r="DP731" s="921"/>
      <c r="DQ731" s="921"/>
      <c r="DR731" s="921"/>
      <c r="DS731" s="943"/>
      <c r="DT731" s="7"/>
      <c r="DU731" s="944">
        <f t="shared" si="38"/>
        <v>0</v>
      </c>
      <c r="DV731" s="921"/>
      <c r="DW731" s="921"/>
      <c r="DX731" s="921"/>
      <c r="DY731" s="943"/>
      <c r="DZ731" s="944">
        <f t="shared" si="39"/>
        <v>0</v>
      </c>
      <c r="EA731" s="921"/>
      <c r="EB731" s="921"/>
      <c r="EC731" s="921"/>
      <c r="ED731" s="943"/>
      <c r="EE731" s="944">
        <f t="shared" si="40"/>
        <v>0</v>
      </c>
      <c r="EF731" s="921"/>
      <c r="EG731" s="921"/>
      <c r="EH731" s="921"/>
      <c r="EI731" s="943"/>
      <c r="EJ731" s="944">
        <f t="shared" si="41"/>
        <v>0</v>
      </c>
      <c r="EK731" s="921"/>
      <c r="EL731" s="921"/>
      <c r="EM731" s="921"/>
      <c r="EN731" s="943"/>
      <c r="EO731" s="944">
        <f t="shared" si="42"/>
        <v>0</v>
      </c>
      <c r="EP731" s="921"/>
      <c r="EQ731" s="921"/>
      <c r="ER731" s="921"/>
      <c r="ES731" s="943"/>
      <c r="ET731" s="944">
        <f t="shared" si="43"/>
        <v>0</v>
      </c>
      <c r="EU731" s="921"/>
      <c r="EV731" s="921"/>
      <c r="EW731" s="921"/>
      <c r="EX731" s="943"/>
      <c r="EZ731" s="945" t="str">
        <f t="shared" si="44"/>
        <v/>
      </c>
      <c r="FA731" s="921"/>
      <c r="FB731" s="921"/>
      <c r="FC731" s="921"/>
      <c r="FD731" s="943"/>
      <c r="FE731" s="953" t="str">
        <f t="shared" si="45"/>
        <v/>
      </c>
      <c r="FF731" s="921"/>
      <c r="FG731" s="921"/>
      <c r="FH731" s="921"/>
      <c r="FI731" s="943"/>
      <c r="FJ731" s="945">
        <f t="shared" si="46"/>
        <v>2224</v>
      </c>
      <c r="FK731" s="921"/>
      <c r="FL731" s="921"/>
      <c r="FM731" s="921"/>
      <c r="FN731" s="943"/>
      <c r="FO731" s="945" t="str">
        <f t="shared" si="47"/>
        <v/>
      </c>
      <c r="FP731" s="921"/>
      <c r="FQ731" s="921"/>
      <c r="FR731" s="921"/>
      <c r="FS731" s="943"/>
      <c r="FT731" s="945" t="str">
        <f t="shared" si="48"/>
        <v/>
      </c>
      <c r="FU731" s="921"/>
      <c r="FV731" s="921"/>
      <c r="FW731" s="921"/>
      <c r="FX731" s="943"/>
      <c r="FY731" s="945" t="str">
        <f t="shared" si="49"/>
        <v/>
      </c>
      <c r="FZ731" s="921"/>
      <c r="GA731" s="921"/>
      <c r="GB731" s="921"/>
      <c r="GC731" s="943"/>
    </row>
    <row r="732" spans="1:185" ht="12.75" customHeight="1">
      <c r="B732" s="949" t="s">
        <v>883</v>
      </c>
      <c r="C732" s="921"/>
      <c r="D732" s="921"/>
      <c r="E732" s="921"/>
      <c r="F732" s="943"/>
      <c r="G732" s="950">
        <v>4</v>
      </c>
      <c r="H732" s="921"/>
      <c r="I732" s="921"/>
      <c r="J732" s="943"/>
      <c r="K732" s="951">
        <v>500</v>
      </c>
      <c r="L732" s="921"/>
      <c r="M732" s="921"/>
      <c r="N732" s="943"/>
      <c r="O732" s="952">
        <v>880</v>
      </c>
      <c r="P732" s="921"/>
      <c r="Q732" s="921"/>
      <c r="R732" s="921"/>
      <c r="S732" s="943"/>
      <c r="T732" s="952">
        <v>103</v>
      </c>
      <c r="U732" s="921"/>
      <c r="V732" s="921"/>
      <c r="W732" s="943"/>
      <c r="X732" s="953">
        <f t="shared" si="19"/>
        <v>983</v>
      </c>
      <c r="Y732" s="921"/>
      <c r="Z732" s="921"/>
      <c r="AA732" s="921"/>
      <c r="AB732" s="943"/>
      <c r="AC732" s="954">
        <v>0.3</v>
      </c>
      <c r="AD732" s="921"/>
      <c r="AE732" s="921"/>
      <c r="AF732" s="921"/>
      <c r="AG732" s="943"/>
      <c r="AH732" s="946">
        <f t="shared" si="20"/>
        <v>0.2996951219512195</v>
      </c>
      <c r="AI732" s="947"/>
      <c r="AJ732" s="948"/>
      <c r="AK732" s="949" t="s">
        <v>855</v>
      </c>
      <c r="AL732" s="921"/>
      <c r="AM732" s="921"/>
      <c r="AN732" s="921"/>
      <c r="AO732" s="943"/>
      <c r="AP732" s="1"/>
      <c r="AQ732" s="1"/>
      <c r="AR732" s="1"/>
      <c r="AS732" s="1"/>
      <c r="AY732" s="126"/>
      <c r="AZ732" s="470">
        <f t="shared" si="21"/>
        <v>3280</v>
      </c>
      <c r="BA732" s="1"/>
      <c r="BB732" s="1"/>
      <c r="BC732" s="1"/>
      <c r="BD732" s="1"/>
      <c r="BE732" s="1"/>
      <c r="BF732" s="527">
        <f t="shared" si="22"/>
        <v>4</v>
      </c>
      <c r="BG732" s="407">
        <f t="shared" si="23"/>
        <v>1.7241379310344827E-2</v>
      </c>
      <c r="BH732" s="475">
        <f t="shared" si="24"/>
        <v>5.1724137931034482E-3</v>
      </c>
      <c r="BI732" s="1"/>
      <c r="BJ732" s="1"/>
      <c r="BK732" s="1"/>
      <c r="BL732" s="1"/>
      <c r="BM732" s="1"/>
      <c r="BN732" s="1"/>
      <c r="BS732" s="527">
        <f t="shared" si="25"/>
        <v>4</v>
      </c>
      <c r="BT732" s="407">
        <f t="shared" si="26"/>
        <v>1.7241379310344827E-2</v>
      </c>
      <c r="BU732" s="475">
        <f t="shared" si="27"/>
        <v>5.1671572750210254E-3</v>
      </c>
      <c r="BV732" s="562"/>
      <c r="BW732" s="1"/>
      <c r="BX732" s="1"/>
      <c r="BY732" s="1"/>
      <c r="BZ732" s="1"/>
      <c r="CA732" s="1"/>
      <c r="CB732" s="1"/>
      <c r="CC732" s="1"/>
      <c r="CE732" s="1"/>
      <c r="CF732" s="1"/>
      <c r="CG732" s="945">
        <f t="shared" si="28"/>
        <v>0</v>
      </c>
      <c r="CH732" s="943"/>
      <c r="CI732" s="945">
        <f t="shared" si="29"/>
        <v>0</v>
      </c>
      <c r="CJ732" s="943"/>
      <c r="CK732" s="945">
        <f t="shared" si="30"/>
        <v>1</v>
      </c>
      <c r="CL732" s="943"/>
      <c r="CM732" s="945">
        <f t="shared" si="31"/>
        <v>4</v>
      </c>
      <c r="CN732" s="943"/>
      <c r="CO732" s="1"/>
      <c r="CP732" s="942">
        <f t="shared" si="32"/>
        <v>0</v>
      </c>
      <c r="CQ732" s="921"/>
      <c r="CR732" s="921"/>
      <c r="CS732" s="921"/>
      <c r="CT732" s="943"/>
      <c r="CU732" s="942">
        <f t="shared" si="33"/>
        <v>4</v>
      </c>
      <c r="CV732" s="921"/>
      <c r="CW732" s="921"/>
      <c r="CX732" s="921"/>
      <c r="CY732" s="943"/>
      <c r="CZ732" s="955">
        <f t="shared" si="34"/>
        <v>0</v>
      </c>
      <c r="DA732" s="921"/>
      <c r="DB732" s="921"/>
      <c r="DC732" s="921"/>
      <c r="DD732" s="943"/>
      <c r="DE732" s="942">
        <f t="shared" si="35"/>
        <v>0</v>
      </c>
      <c r="DF732" s="921"/>
      <c r="DG732" s="921"/>
      <c r="DH732" s="921"/>
      <c r="DI732" s="943"/>
      <c r="DJ732" s="942">
        <f t="shared" si="36"/>
        <v>0</v>
      </c>
      <c r="DK732" s="921"/>
      <c r="DL732" s="921"/>
      <c r="DM732" s="921"/>
      <c r="DN732" s="943"/>
      <c r="DO732" s="942">
        <f t="shared" si="37"/>
        <v>0</v>
      </c>
      <c r="DP732" s="921"/>
      <c r="DQ732" s="921"/>
      <c r="DR732" s="921"/>
      <c r="DS732" s="943"/>
      <c r="DT732" s="7"/>
      <c r="DU732" s="944">
        <f t="shared" si="38"/>
        <v>0</v>
      </c>
      <c r="DV732" s="921"/>
      <c r="DW732" s="921"/>
      <c r="DX732" s="921"/>
      <c r="DY732" s="943"/>
      <c r="DZ732" s="944">
        <f t="shared" si="39"/>
        <v>4</v>
      </c>
      <c r="EA732" s="921"/>
      <c r="EB732" s="921"/>
      <c r="EC732" s="921"/>
      <c r="ED732" s="943"/>
      <c r="EE732" s="944">
        <f t="shared" si="40"/>
        <v>0</v>
      </c>
      <c r="EF732" s="921"/>
      <c r="EG732" s="921"/>
      <c r="EH732" s="921"/>
      <c r="EI732" s="943"/>
      <c r="EJ732" s="944">
        <f t="shared" si="41"/>
        <v>0</v>
      </c>
      <c r="EK732" s="921"/>
      <c r="EL732" s="921"/>
      <c r="EM732" s="921"/>
      <c r="EN732" s="943"/>
      <c r="EO732" s="944">
        <f t="shared" si="42"/>
        <v>0</v>
      </c>
      <c r="EP732" s="921"/>
      <c r="EQ732" s="921"/>
      <c r="ER732" s="921"/>
      <c r="ES732" s="943"/>
      <c r="ET732" s="944">
        <f t="shared" si="43"/>
        <v>0</v>
      </c>
      <c r="EU732" s="921"/>
      <c r="EV732" s="921"/>
      <c r="EW732" s="921"/>
      <c r="EX732" s="943"/>
      <c r="EZ732" s="945" t="str">
        <f t="shared" si="44"/>
        <v/>
      </c>
      <c r="FA732" s="921"/>
      <c r="FB732" s="921"/>
      <c r="FC732" s="921"/>
      <c r="FD732" s="943"/>
      <c r="FE732" s="945">
        <f t="shared" si="45"/>
        <v>880</v>
      </c>
      <c r="FF732" s="921"/>
      <c r="FG732" s="921"/>
      <c r="FH732" s="921"/>
      <c r="FI732" s="943"/>
      <c r="FJ732" s="953" t="str">
        <f t="shared" si="46"/>
        <v/>
      </c>
      <c r="FK732" s="921"/>
      <c r="FL732" s="921"/>
      <c r="FM732" s="921"/>
      <c r="FN732" s="943"/>
      <c r="FO732" s="945" t="str">
        <f t="shared" si="47"/>
        <v/>
      </c>
      <c r="FP732" s="921"/>
      <c r="FQ732" s="921"/>
      <c r="FR732" s="921"/>
      <c r="FS732" s="943"/>
      <c r="FT732" s="945" t="str">
        <f t="shared" si="48"/>
        <v/>
      </c>
      <c r="FU732" s="921"/>
      <c r="FV732" s="921"/>
      <c r="FW732" s="921"/>
      <c r="FX732" s="943"/>
      <c r="FY732" s="945" t="str">
        <f t="shared" si="49"/>
        <v/>
      </c>
      <c r="FZ732" s="921"/>
      <c r="GA732" s="921"/>
      <c r="GB732" s="921"/>
      <c r="GC732" s="943"/>
    </row>
    <row r="733" spans="1:185" ht="12.75" customHeight="1">
      <c r="B733" s="949" t="s">
        <v>883</v>
      </c>
      <c r="C733" s="921"/>
      <c r="D733" s="921"/>
      <c r="E733" s="921"/>
      <c r="F733" s="943"/>
      <c r="G733" s="950">
        <v>4</v>
      </c>
      <c r="H733" s="921"/>
      <c r="I733" s="921"/>
      <c r="J733" s="943"/>
      <c r="K733" s="951">
        <v>500</v>
      </c>
      <c r="L733" s="921"/>
      <c r="M733" s="921"/>
      <c r="N733" s="943"/>
      <c r="O733" s="952">
        <v>1536</v>
      </c>
      <c r="P733" s="921"/>
      <c r="Q733" s="921"/>
      <c r="R733" s="921"/>
      <c r="S733" s="943"/>
      <c r="T733" s="952">
        <v>103</v>
      </c>
      <c r="U733" s="921"/>
      <c r="V733" s="921"/>
      <c r="W733" s="943"/>
      <c r="X733" s="953">
        <f t="shared" si="19"/>
        <v>1639</v>
      </c>
      <c r="Y733" s="921"/>
      <c r="Z733" s="921"/>
      <c r="AA733" s="921"/>
      <c r="AB733" s="943"/>
      <c r="AC733" s="954">
        <v>0.5</v>
      </c>
      <c r="AD733" s="921"/>
      <c r="AE733" s="921"/>
      <c r="AF733" s="921"/>
      <c r="AG733" s="943"/>
      <c r="AH733" s="946">
        <f t="shared" si="20"/>
        <v>0.49969512195121951</v>
      </c>
      <c r="AI733" s="947"/>
      <c r="AJ733" s="948"/>
      <c r="AK733" s="949" t="s">
        <v>855</v>
      </c>
      <c r="AL733" s="921"/>
      <c r="AM733" s="921"/>
      <c r="AN733" s="921"/>
      <c r="AO733" s="943"/>
      <c r="AP733" s="1"/>
      <c r="AQ733" s="1"/>
      <c r="AR733" s="1"/>
      <c r="AS733" s="1"/>
      <c r="AY733" s="126"/>
      <c r="AZ733" s="470">
        <f t="shared" si="21"/>
        <v>3280</v>
      </c>
      <c r="BA733" s="1"/>
      <c r="BB733" s="1"/>
      <c r="BC733" s="1"/>
      <c r="BD733" s="1"/>
      <c r="BE733" s="1"/>
      <c r="BF733" s="527">
        <f t="shared" si="22"/>
        <v>4</v>
      </c>
      <c r="BG733" s="407">
        <f t="shared" si="23"/>
        <v>1.7241379310344827E-2</v>
      </c>
      <c r="BH733" s="475">
        <f t="shared" si="24"/>
        <v>8.6206896551724137E-3</v>
      </c>
      <c r="BI733" s="1"/>
      <c r="BJ733" s="1"/>
      <c r="BK733" s="1"/>
      <c r="BL733" s="1"/>
      <c r="BM733" s="1"/>
      <c r="BN733" s="1"/>
      <c r="BS733" s="527">
        <f t="shared" si="25"/>
        <v>4</v>
      </c>
      <c r="BT733" s="407">
        <f t="shared" si="26"/>
        <v>1.7241379310344827E-2</v>
      </c>
      <c r="BU733" s="475">
        <f t="shared" si="27"/>
        <v>8.6154331370899909E-3</v>
      </c>
      <c r="BV733" s="1"/>
      <c r="BW733" s="1"/>
      <c r="BX733" s="1"/>
      <c r="BY733" s="1"/>
      <c r="BZ733" s="1"/>
      <c r="CA733" s="1"/>
      <c r="CB733" s="1"/>
      <c r="CC733" s="1"/>
      <c r="CE733" s="1"/>
      <c r="CF733" s="1"/>
      <c r="CG733" s="945">
        <f t="shared" si="28"/>
        <v>1</v>
      </c>
      <c r="CH733" s="943"/>
      <c r="CI733" s="945">
        <f t="shared" si="29"/>
        <v>4</v>
      </c>
      <c r="CJ733" s="943"/>
      <c r="CK733" s="945">
        <f t="shared" si="30"/>
        <v>0</v>
      </c>
      <c r="CL733" s="943"/>
      <c r="CM733" s="956">
        <f t="shared" si="31"/>
        <v>0</v>
      </c>
      <c r="CN733" s="943"/>
      <c r="CO733" s="1"/>
      <c r="CP733" s="942">
        <f t="shared" si="32"/>
        <v>0</v>
      </c>
      <c r="CQ733" s="921"/>
      <c r="CR733" s="921"/>
      <c r="CS733" s="921"/>
      <c r="CT733" s="943"/>
      <c r="CU733" s="955">
        <f t="shared" si="33"/>
        <v>4</v>
      </c>
      <c r="CV733" s="921"/>
      <c r="CW733" s="921"/>
      <c r="CX733" s="921"/>
      <c r="CY733" s="943"/>
      <c r="CZ733" s="942">
        <f t="shared" si="34"/>
        <v>0</v>
      </c>
      <c r="DA733" s="921"/>
      <c r="DB733" s="921"/>
      <c r="DC733" s="921"/>
      <c r="DD733" s="943"/>
      <c r="DE733" s="942">
        <f t="shared" si="35"/>
        <v>0</v>
      </c>
      <c r="DF733" s="921"/>
      <c r="DG733" s="921"/>
      <c r="DH733" s="921"/>
      <c r="DI733" s="943"/>
      <c r="DJ733" s="942">
        <f t="shared" si="36"/>
        <v>0</v>
      </c>
      <c r="DK733" s="921"/>
      <c r="DL733" s="921"/>
      <c r="DM733" s="921"/>
      <c r="DN733" s="943"/>
      <c r="DO733" s="942">
        <f t="shared" si="37"/>
        <v>0</v>
      </c>
      <c r="DP733" s="921"/>
      <c r="DQ733" s="921"/>
      <c r="DR733" s="921"/>
      <c r="DS733" s="943"/>
      <c r="DT733" s="7"/>
      <c r="DU733" s="944">
        <f t="shared" si="38"/>
        <v>0</v>
      </c>
      <c r="DV733" s="921"/>
      <c r="DW733" s="921"/>
      <c r="DX733" s="921"/>
      <c r="DY733" s="943"/>
      <c r="DZ733" s="977">
        <f t="shared" si="39"/>
        <v>0</v>
      </c>
      <c r="EA733" s="921"/>
      <c r="EB733" s="921"/>
      <c r="EC733" s="921"/>
      <c r="ED733" s="943"/>
      <c r="EE733" s="944">
        <f t="shared" si="40"/>
        <v>0</v>
      </c>
      <c r="EF733" s="921"/>
      <c r="EG733" s="921"/>
      <c r="EH733" s="921"/>
      <c r="EI733" s="943"/>
      <c r="EJ733" s="944">
        <f t="shared" si="41"/>
        <v>0</v>
      </c>
      <c r="EK733" s="921"/>
      <c r="EL733" s="921"/>
      <c r="EM733" s="921"/>
      <c r="EN733" s="943"/>
      <c r="EO733" s="944">
        <f t="shared" si="42"/>
        <v>0</v>
      </c>
      <c r="EP733" s="921"/>
      <c r="EQ733" s="921"/>
      <c r="ER733" s="921"/>
      <c r="ES733" s="943"/>
      <c r="ET733" s="944">
        <f t="shared" si="43"/>
        <v>0</v>
      </c>
      <c r="EU733" s="921"/>
      <c r="EV733" s="921"/>
      <c r="EW733" s="921"/>
      <c r="EX733" s="943"/>
      <c r="EY733" s="1"/>
      <c r="EZ733" s="945" t="str">
        <f t="shared" si="44"/>
        <v/>
      </c>
      <c r="FA733" s="921"/>
      <c r="FB733" s="921"/>
      <c r="FC733" s="921"/>
      <c r="FD733" s="943"/>
      <c r="FE733" s="953">
        <f t="shared" si="45"/>
        <v>1536</v>
      </c>
      <c r="FF733" s="921"/>
      <c r="FG733" s="921"/>
      <c r="FH733" s="921"/>
      <c r="FI733" s="943"/>
      <c r="FJ733" s="945" t="str">
        <f t="shared" si="46"/>
        <v/>
      </c>
      <c r="FK733" s="921"/>
      <c r="FL733" s="921"/>
      <c r="FM733" s="921"/>
      <c r="FN733" s="943"/>
      <c r="FO733" s="945" t="str">
        <f t="shared" si="47"/>
        <v/>
      </c>
      <c r="FP733" s="921"/>
      <c r="FQ733" s="921"/>
      <c r="FR733" s="921"/>
      <c r="FS733" s="943"/>
      <c r="FT733" s="945" t="str">
        <f t="shared" si="48"/>
        <v/>
      </c>
      <c r="FU733" s="921"/>
      <c r="FV733" s="921"/>
      <c r="FW733" s="921"/>
      <c r="FX733" s="943"/>
      <c r="FY733" s="945" t="str">
        <f t="shared" si="49"/>
        <v/>
      </c>
      <c r="FZ733" s="921"/>
      <c r="GA733" s="921"/>
      <c r="GB733" s="921"/>
      <c r="GC733" s="943"/>
    </row>
    <row r="734" spans="1:185" ht="12.75" customHeight="1">
      <c r="A734" s="1"/>
      <c r="B734" s="949" t="s">
        <v>883</v>
      </c>
      <c r="C734" s="921"/>
      <c r="D734" s="921"/>
      <c r="E734" s="921"/>
      <c r="F734" s="943"/>
      <c r="G734" s="950">
        <v>31</v>
      </c>
      <c r="H734" s="921"/>
      <c r="I734" s="921"/>
      <c r="J734" s="943"/>
      <c r="K734" s="951">
        <v>500</v>
      </c>
      <c r="L734" s="921"/>
      <c r="M734" s="921"/>
      <c r="N734" s="943"/>
      <c r="O734" s="952">
        <v>1864</v>
      </c>
      <c r="P734" s="921"/>
      <c r="Q734" s="921"/>
      <c r="R734" s="921"/>
      <c r="S734" s="943"/>
      <c r="T734" s="952">
        <v>103</v>
      </c>
      <c r="U734" s="921"/>
      <c r="V734" s="921"/>
      <c r="W734" s="943"/>
      <c r="X734" s="953">
        <f t="shared" si="19"/>
        <v>1967</v>
      </c>
      <c r="Y734" s="921"/>
      <c r="Z734" s="921"/>
      <c r="AA734" s="921"/>
      <c r="AB734" s="943"/>
      <c r="AC734" s="954">
        <v>0.6</v>
      </c>
      <c r="AD734" s="921"/>
      <c r="AE734" s="921"/>
      <c r="AF734" s="921"/>
      <c r="AG734" s="943"/>
      <c r="AH734" s="946">
        <f t="shared" si="20"/>
        <v>0.59969512195121955</v>
      </c>
      <c r="AI734" s="947"/>
      <c r="AJ734" s="948"/>
      <c r="AK734" s="949" t="s">
        <v>855</v>
      </c>
      <c r="AL734" s="921"/>
      <c r="AM734" s="921"/>
      <c r="AN734" s="921"/>
      <c r="AO734" s="943"/>
      <c r="AP734" s="1"/>
      <c r="AQ734" s="1"/>
      <c r="AR734" s="1"/>
      <c r="AS734" s="1"/>
      <c r="AY734" s="126"/>
      <c r="AZ734" s="470">
        <f t="shared" si="21"/>
        <v>3280</v>
      </c>
      <c r="BA734" s="1"/>
      <c r="BB734" s="1"/>
      <c r="BC734" s="1"/>
      <c r="BD734" s="1"/>
      <c r="BE734" s="1"/>
      <c r="BF734" s="527">
        <f t="shared" si="22"/>
        <v>31</v>
      </c>
      <c r="BG734" s="407">
        <f t="shared" si="23"/>
        <v>0.1336206896551724</v>
      </c>
      <c r="BH734" s="475">
        <f t="shared" si="24"/>
        <v>8.0172413793103442E-2</v>
      </c>
      <c r="BI734" s="1"/>
      <c r="BJ734" s="1"/>
      <c r="BK734" s="1"/>
      <c r="BL734" s="1"/>
      <c r="BM734" s="1"/>
      <c r="BN734" s="1"/>
      <c r="BS734" s="527">
        <f t="shared" si="25"/>
        <v>31</v>
      </c>
      <c r="BT734" s="407">
        <f t="shared" si="26"/>
        <v>0.1336206896551724</v>
      </c>
      <c r="BU734" s="475">
        <f t="shared" si="27"/>
        <v>8.0131675777964678E-2</v>
      </c>
      <c r="BV734" s="1"/>
      <c r="BW734" s="1"/>
      <c r="BX734" s="1"/>
      <c r="BY734" s="1"/>
      <c r="BZ734" s="1"/>
      <c r="CA734" s="1"/>
      <c r="CB734" s="1"/>
      <c r="CC734" s="1"/>
      <c r="CE734" s="1"/>
      <c r="CF734" s="1"/>
      <c r="CG734" s="945">
        <f t="shared" si="28"/>
        <v>0</v>
      </c>
      <c r="CH734" s="943"/>
      <c r="CI734" s="945">
        <f t="shared" si="29"/>
        <v>0</v>
      </c>
      <c r="CJ734" s="943"/>
      <c r="CK734" s="945">
        <f t="shared" si="30"/>
        <v>0</v>
      </c>
      <c r="CL734" s="943"/>
      <c r="CM734" s="956">
        <f t="shared" si="31"/>
        <v>0</v>
      </c>
      <c r="CN734" s="943"/>
      <c r="CO734" s="1"/>
      <c r="CP734" s="942">
        <f t="shared" si="32"/>
        <v>0</v>
      </c>
      <c r="CQ734" s="921"/>
      <c r="CR734" s="921"/>
      <c r="CS734" s="921"/>
      <c r="CT734" s="943"/>
      <c r="CU734" s="942">
        <f t="shared" si="33"/>
        <v>31</v>
      </c>
      <c r="CV734" s="921"/>
      <c r="CW734" s="921"/>
      <c r="CX734" s="921"/>
      <c r="CY734" s="943"/>
      <c r="CZ734" s="955">
        <f t="shared" si="34"/>
        <v>0</v>
      </c>
      <c r="DA734" s="921"/>
      <c r="DB734" s="921"/>
      <c r="DC734" s="921"/>
      <c r="DD734" s="943"/>
      <c r="DE734" s="942">
        <f t="shared" si="35"/>
        <v>0</v>
      </c>
      <c r="DF734" s="921"/>
      <c r="DG734" s="921"/>
      <c r="DH734" s="921"/>
      <c r="DI734" s="943"/>
      <c r="DJ734" s="942">
        <f t="shared" si="36"/>
        <v>0</v>
      </c>
      <c r="DK734" s="921"/>
      <c r="DL734" s="921"/>
      <c r="DM734" s="921"/>
      <c r="DN734" s="943"/>
      <c r="DO734" s="942">
        <f t="shared" si="37"/>
        <v>0</v>
      </c>
      <c r="DP734" s="921"/>
      <c r="DQ734" s="921"/>
      <c r="DR734" s="921"/>
      <c r="DS734" s="943"/>
      <c r="DT734" s="7"/>
      <c r="DU734" s="944">
        <f t="shared" si="38"/>
        <v>0</v>
      </c>
      <c r="DV734" s="921"/>
      <c r="DW734" s="921"/>
      <c r="DX734" s="921"/>
      <c r="DY734" s="943"/>
      <c r="DZ734" s="944">
        <f t="shared" si="39"/>
        <v>0</v>
      </c>
      <c r="EA734" s="921"/>
      <c r="EB734" s="921"/>
      <c r="EC734" s="921"/>
      <c r="ED734" s="943"/>
      <c r="EE734" s="977">
        <f t="shared" si="40"/>
        <v>0</v>
      </c>
      <c r="EF734" s="921"/>
      <c r="EG734" s="921"/>
      <c r="EH734" s="921"/>
      <c r="EI734" s="943"/>
      <c r="EJ734" s="944">
        <f t="shared" si="41"/>
        <v>0</v>
      </c>
      <c r="EK734" s="921"/>
      <c r="EL734" s="921"/>
      <c r="EM734" s="921"/>
      <c r="EN734" s="943"/>
      <c r="EO734" s="944">
        <f t="shared" si="42"/>
        <v>0</v>
      </c>
      <c r="EP734" s="921"/>
      <c r="EQ734" s="921"/>
      <c r="ER734" s="921"/>
      <c r="ES734" s="943"/>
      <c r="ET734" s="944">
        <f t="shared" si="43"/>
        <v>0</v>
      </c>
      <c r="EU734" s="921"/>
      <c r="EV734" s="921"/>
      <c r="EW734" s="921"/>
      <c r="EX734" s="943"/>
      <c r="EY734" s="1"/>
      <c r="EZ734" s="945" t="str">
        <f t="shared" si="44"/>
        <v/>
      </c>
      <c r="FA734" s="921"/>
      <c r="FB734" s="921"/>
      <c r="FC734" s="921"/>
      <c r="FD734" s="943"/>
      <c r="FE734" s="945">
        <f t="shared" si="45"/>
        <v>1864</v>
      </c>
      <c r="FF734" s="921"/>
      <c r="FG734" s="921"/>
      <c r="FH734" s="921"/>
      <c r="FI734" s="943"/>
      <c r="FJ734" s="953" t="str">
        <f t="shared" si="46"/>
        <v/>
      </c>
      <c r="FK734" s="921"/>
      <c r="FL734" s="921"/>
      <c r="FM734" s="921"/>
      <c r="FN734" s="943"/>
      <c r="FO734" s="945" t="str">
        <f t="shared" si="47"/>
        <v/>
      </c>
      <c r="FP734" s="921"/>
      <c r="FQ734" s="921"/>
      <c r="FR734" s="921"/>
      <c r="FS734" s="943"/>
      <c r="FT734" s="945" t="str">
        <f t="shared" si="48"/>
        <v/>
      </c>
      <c r="FU734" s="921"/>
      <c r="FV734" s="921"/>
      <c r="FW734" s="921"/>
      <c r="FX734" s="943"/>
      <c r="FY734" s="945" t="str">
        <f t="shared" si="49"/>
        <v/>
      </c>
      <c r="FZ734" s="921"/>
      <c r="GA734" s="921"/>
      <c r="GB734" s="921"/>
      <c r="GC734" s="943"/>
    </row>
    <row r="735" spans="1:185" ht="12.75" customHeight="1">
      <c r="A735" s="1"/>
      <c r="B735" s="949" t="s">
        <v>884</v>
      </c>
      <c r="C735" s="921"/>
      <c r="D735" s="921"/>
      <c r="E735" s="921"/>
      <c r="F735" s="943"/>
      <c r="G735" s="950">
        <v>2</v>
      </c>
      <c r="H735" s="921"/>
      <c r="I735" s="921"/>
      <c r="J735" s="943"/>
      <c r="K735" s="951">
        <v>800</v>
      </c>
      <c r="L735" s="921"/>
      <c r="M735" s="921"/>
      <c r="N735" s="943"/>
      <c r="O735" s="952">
        <v>1043</v>
      </c>
      <c r="P735" s="921"/>
      <c r="Q735" s="921"/>
      <c r="R735" s="921"/>
      <c r="S735" s="943"/>
      <c r="T735" s="952">
        <v>137</v>
      </c>
      <c r="U735" s="921"/>
      <c r="V735" s="921"/>
      <c r="W735" s="943"/>
      <c r="X735" s="953">
        <f t="shared" si="19"/>
        <v>1180</v>
      </c>
      <c r="Y735" s="921"/>
      <c r="Z735" s="921"/>
      <c r="AA735" s="921"/>
      <c r="AB735" s="943"/>
      <c r="AC735" s="954">
        <v>0.3</v>
      </c>
      <c r="AD735" s="921"/>
      <c r="AE735" s="921"/>
      <c r="AF735" s="921"/>
      <c r="AG735" s="943"/>
      <c r="AH735" s="946">
        <f t="shared" si="20"/>
        <v>0.29979674796747968</v>
      </c>
      <c r="AI735" s="947"/>
      <c r="AJ735" s="948"/>
      <c r="AK735" s="949" t="s">
        <v>855</v>
      </c>
      <c r="AL735" s="921"/>
      <c r="AM735" s="921"/>
      <c r="AN735" s="921"/>
      <c r="AO735" s="943"/>
      <c r="AP735" s="1"/>
      <c r="AQ735" s="1"/>
      <c r="AR735" s="1"/>
      <c r="AS735" s="1"/>
      <c r="AY735" s="126"/>
      <c r="AZ735" s="470">
        <f t="shared" si="21"/>
        <v>3936</v>
      </c>
      <c r="BA735" s="1"/>
      <c r="BB735" s="1"/>
      <c r="BC735" s="1"/>
      <c r="BD735" s="1"/>
      <c r="BE735" s="1"/>
      <c r="BF735" s="527">
        <f t="shared" si="22"/>
        <v>2</v>
      </c>
      <c r="BG735" s="407">
        <f t="shared" si="23"/>
        <v>8.6206896551724137E-3</v>
      </c>
      <c r="BH735" s="475">
        <f t="shared" si="24"/>
        <v>2.5862068965517241E-3</v>
      </c>
      <c r="BI735" s="1"/>
      <c r="BJ735" s="1"/>
      <c r="BK735" s="1"/>
      <c r="BL735" s="1"/>
      <c r="BM735" s="1"/>
      <c r="BN735" s="1"/>
      <c r="BS735" s="527">
        <f t="shared" si="25"/>
        <v>2</v>
      </c>
      <c r="BT735" s="407">
        <f t="shared" si="26"/>
        <v>8.6206896551724137E-3</v>
      </c>
      <c r="BU735" s="475">
        <f t="shared" si="27"/>
        <v>2.5844547238575836E-3</v>
      </c>
      <c r="BV735" s="1"/>
      <c r="BW735" s="1"/>
      <c r="BX735" s="1"/>
      <c r="BY735" s="1"/>
      <c r="BZ735" s="1"/>
      <c r="CA735" s="1"/>
      <c r="CB735" s="1"/>
      <c r="CC735" s="1"/>
      <c r="CE735" s="1"/>
      <c r="CF735" s="1"/>
      <c r="CG735" s="945">
        <f t="shared" si="28"/>
        <v>0</v>
      </c>
      <c r="CH735" s="943"/>
      <c r="CI735" s="945">
        <f t="shared" si="29"/>
        <v>0</v>
      </c>
      <c r="CJ735" s="943"/>
      <c r="CK735" s="945">
        <f t="shared" si="30"/>
        <v>1</v>
      </c>
      <c r="CL735" s="943"/>
      <c r="CM735" s="945">
        <f t="shared" si="31"/>
        <v>2</v>
      </c>
      <c r="CN735" s="943"/>
      <c r="CO735" s="1"/>
      <c r="CP735" s="942">
        <f t="shared" si="32"/>
        <v>0</v>
      </c>
      <c r="CQ735" s="921"/>
      <c r="CR735" s="921"/>
      <c r="CS735" s="921"/>
      <c r="CT735" s="943"/>
      <c r="CU735" s="942">
        <f t="shared" si="33"/>
        <v>0</v>
      </c>
      <c r="CV735" s="921"/>
      <c r="CW735" s="921"/>
      <c r="CX735" s="921"/>
      <c r="CY735" s="943"/>
      <c r="CZ735" s="942">
        <f t="shared" si="34"/>
        <v>2</v>
      </c>
      <c r="DA735" s="921"/>
      <c r="DB735" s="921"/>
      <c r="DC735" s="921"/>
      <c r="DD735" s="943"/>
      <c r="DE735" s="955">
        <f t="shared" si="35"/>
        <v>0</v>
      </c>
      <c r="DF735" s="921"/>
      <c r="DG735" s="921"/>
      <c r="DH735" s="921"/>
      <c r="DI735" s="943"/>
      <c r="DJ735" s="942">
        <f t="shared" si="36"/>
        <v>0</v>
      </c>
      <c r="DK735" s="921"/>
      <c r="DL735" s="921"/>
      <c r="DM735" s="921"/>
      <c r="DN735" s="943"/>
      <c r="DO735" s="942">
        <f t="shared" si="37"/>
        <v>0</v>
      </c>
      <c r="DP735" s="921"/>
      <c r="DQ735" s="921"/>
      <c r="DR735" s="921"/>
      <c r="DS735" s="943"/>
      <c r="DT735" s="7"/>
      <c r="DU735" s="944">
        <f t="shared" si="38"/>
        <v>0</v>
      </c>
      <c r="DV735" s="921"/>
      <c r="DW735" s="921"/>
      <c r="DX735" s="921"/>
      <c r="DY735" s="943"/>
      <c r="DZ735" s="944">
        <f t="shared" si="39"/>
        <v>0</v>
      </c>
      <c r="EA735" s="921"/>
      <c r="EB735" s="921"/>
      <c r="EC735" s="921"/>
      <c r="ED735" s="943"/>
      <c r="EE735" s="944">
        <f t="shared" si="40"/>
        <v>2</v>
      </c>
      <c r="EF735" s="921"/>
      <c r="EG735" s="921"/>
      <c r="EH735" s="921"/>
      <c r="EI735" s="943"/>
      <c r="EJ735" s="944">
        <f t="shared" si="41"/>
        <v>0</v>
      </c>
      <c r="EK735" s="921"/>
      <c r="EL735" s="921"/>
      <c r="EM735" s="921"/>
      <c r="EN735" s="943"/>
      <c r="EO735" s="944">
        <f t="shared" si="42"/>
        <v>0</v>
      </c>
      <c r="EP735" s="921"/>
      <c r="EQ735" s="921"/>
      <c r="ER735" s="921"/>
      <c r="ES735" s="943"/>
      <c r="ET735" s="944">
        <f t="shared" si="43"/>
        <v>0</v>
      </c>
      <c r="EU735" s="921"/>
      <c r="EV735" s="921"/>
      <c r="EW735" s="921"/>
      <c r="EX735" s="943"/>
      <c r="EZ735" s="945" t="str">
        <f t="shared" si="44"/>
        <v/>
      </c>
      <c r="FA735" s="921"/>
      <c r="FB735" s="921"/>
      <c r="FC735" s="921"/>
      <c r="FD735" s="943"/>
      <c r="FE735" s="945" t="str">
        <f t="shared" si="45"/>
        <v/>
      </c>
      <c r="FF735" s="921"/>
      <c r="FG735" s="921"/>
      <c r="FH735" s="921"/>
      <c r="FI735" s="943"/>
      <c r="FJ735" s="945">
        <f t="shared" si="46"/>
        <v>1043</v>
      </c>
      <c r="FK735" s="921"/>
      <c r="FL735" s="921"/>
      <c r="FM735" s="921"/>
      <c r="FN735" s="943"/>
      <c r="FO735" s="953" t="str">
        <f t="shared" si="47"/>
        <v/>
      </c>
      <c r="FP735" s="921"/>
      <c r="FQ735" s="921"/>
      <c r="FR735" s="921"/>
      <c r="FS735" s="943"/>
      <c r="FT735" s="945" t="str">
        <f t="shared" si="48"/>
        <v/>
      </c>
      <c r="FU735" s="921"/>
      <c r="FV735" s="921"/>
      <c r="FW735" s="921"/>
      <c r="FX735" s="943"/>
      <c r="FY735" s="945" t="str">
        <f t="shared" si="49"/>
        <v/>
      </c>
      <c r="FZ735" s="921"/>
      <c r="GA735" s="921"/>
      <c r="GB735" s="921"/>
      <c r="GC735" s="943"/>
    </row>
    <row r="736" spans="1:185" ht="12.75" customHeight="1">
      <c r="B736" s="949" t="s">
        <v>884</v>
      </c>
      <c r="C736" s="921"/>
      <c r="D736" s="921"/>
      <c r="E736" s="921"/>
      <c r="F736" s="943"/>
      <c r="G736" s="950">
        <v>2</v>
      </c>
      <c r="H736" s="921"/>
      <c r="I736" s="921"/>
      <c r="J736" s="943"/>
      <c r="K736" s="951">
        <v>800</v>
      </c>
      <c r="L736" s="921"/>
      <c r="M736" s="921"/>
      <c r="N736" s="943"/>
      <c r="O736" s="952">
        <v>1830</v>
      </c>
      <c r="P736" s="921"/>
      <c r="Q736" s="921"/>
      <c r="R736" s="921"/>
      <c r="S736" s="943"/>
      <c r="T736" s="952">
        <v>137</v>
      </c>
      <c r="U736" s="921"/>
      <c r="V736" s="921"/>
      <c r="W736" s="943"/>
      <c r="X736" s="953">
        <f t="shared" si="19"/>
        <v>1967</v>
      </c>
      <c r="Y736" s="921"/>
      <c r="Z736" s="921"/>
      <c r="AA736" s="921"/>
      <c r="AB736" s="943"/>
      <c r="AC736" s="954">
        <v>0.5</v>
      </c>
      <c r="AD736" s="921"/>
      <c r="AE736" s="921"/>
      <c r="AF736" s="921"/>
      <c r="AG736" s="943"/>
      <c r="AH736" s="946">
        <f t="shared" si="20"/>
        <v>0.4997459349593496</v>
      </c>
      <c r="AI736" s="947"/>
      <c r="AJ736" s="948"/>
      <c r="AK736" s="949" t="s">
        <v>855</v>
      </c>
      <c r="AL736" s="921"/>
      <c r="AM736" s="921"/>
      <c r="AN736" s="921"/>
      <c r="AO736" s="943"/>
      <c r="AP736" s="1"/>
      <c r="AQ736" s="1"/>
      <c r="AR736" s="1"/>
      <c r="AS736" s="1"/>
      <c r="AY736" s="126"/>
      <c r="AZ736" s="470">
        <f t="shared" si="21"/>
        <v>3936</v>
      </c>
      <c r="BA736" s="1"/>
      <c r="BB736" s="1"/>
      <c r="BC736" s="1"/>
      <c r="BD736" s="1"/>
      <c r="BE736" s="1"/>
      <c r="BF736" s="527">
        <f t="shared" si="22"/>
        <v>2</v>
      </c>
      <c r="BG736" s="407">
        <f t="shared" si="23"/>
        <v>8.6206896551724137E-3</v>
      </c>
      <c r="BH736" s="475">
        <f t="shared" si="24"/>
        <v>4.3103448275862068E-3</v>
      </c>
      <c r="BI736" s="1"/>
      <c r="BJ736" s="1"/>
      <c r="BK736" s="1"/>
      <c r="BL736" s="1"/>
      <c r="BM736" s="1"/>
      <c r="BN736" s="1"/>
      <c r="BS736" s="527">
        <f t="shared" si="25"/>
        <v>2</v>
      </c>
      <c r="BT736" s="407">
        <f t="shared" si="26"/>
        <v>8.6206896551724137E-3</v>
      </c>
      <c r="BU736" s="475">
        <f t="shared" si="27"/>
        <v>4.3081546117185307E-3</v>
      </c>
      <c r="BV736" s="1"/>
      <c r="BW736" s="1"/>
      <c r="BX736" s="1"/>
      <c r="BY736" s="1"/>
      <c r="BZ736" s="1"/>
      <c r="CA736" s="1"/>
      <c r="CB736" s="1"/>
      <c r="CC736" s="1"/>
      <c r="CE736" s="1"/>
      <c r="CF736" s="1"/>
      <c r="CG736" s="945">
        <f t="shared" si="28"/>
        <v>1</v>
      </c>
      <c r="CH736" s="943"/>
      <c r="CI736" s="956">
        <f t="shared" si="29"/>
        <v>2</v>
      </c>
      <c r="CJ736" s="943"/>
      <c r="CK736" s="945">
        <f t="shared" si="30"/>
        <v>0</v>
      </c>
      <c r="CL736" s="943"/>
      <c r="CM736" s="945">
        <f t="shared" si="31"/>
        <v>0</v>
      </c>
      <c r="CN736" s="943"/>
      <c r="CO736" s="1"/>
      <c r="CP736" s="942">
        <f t="shared" si="32"/>
        <v>0</v>
      </c>
      <c r="CQ736" s="921"/>
      <c r="CR736" s="921"/>
      <c r="CS736" s="921"/>
      <c r="CT736" s="943"/>
      <c r="CU736" s="942">
        <f t="shared" si="33"/>
        <v>0</v>
      </c>
      <c r="CV736" s="921"/>
      <c r="CW736" s="921"/>
      <c r="CX736" s="921"/>
      <c r="CY736" s="943"/>
      <c r="CZ736" s="942">
        <f t="shared" si="34"/>
        <v>2</v>
      </c>
      <c r="DA736" s="921"/>
      <c r="DB736" s="921"/>
      <c r="DC736" s="921"/>
      <c r="DD736" s="943"/>
      <c r="DE736" s="955">
        <f t="shared" si="35"/>
        <v>0</v>
      </c>
      <c r="DF736" s="921"/>
      <c r="DG736" s="921"/>
      <c r="DH736" s="921"/>
      <c r="DI736" s="943"/>
      <c r="DJ736" s="942">
        <f t="shared" si="36"/>
        <v>0</v>
      </c>
      <c r="DK736" s="921"/>
      <c r="DL736" s="921"/>
      <c r="DM736" s="921"/>
      <c r="DN736" s="943"/>
      <c r="DO736" s="942">
        <f t="shared" si="37"/>
        <v>0</v>
      </c>
      <c r="DP736" s="921"/>
      <c r="DQ736" s="921"/>
      <c r="DR736" s="921"/>
      <c r="DS736" s="943"/>
      <c r="DT736" s="7"/>
      <c r="DU736" s="944">
        <f t="shared" si="38"/>
        <v>0</v>
      </c>
      <c r="DV736" s="921"/>
      <c r="DW736" s="921"/>
      <c r="DX736" s="921"/>
      <c r="DY736" s="943"/>
      <c r="DZ736" s="944">
        <f t="shared" si="39"/>
        <v>0</v>
      </c>
      <c r="EA736" s="921"/>
      <c r="EB736" s="921"/>
      <c r="EC736" s="921"/>
      <c r="ED736" s="943"/>
      <c r="EE736" s="944">
        <f t="shared" si="40"/>
        <v>0</v>
      </c>
      <c r="EF736" s="921"/>
      <c r="EG736" s="921"/>
      <c r="EH736" s="921"/>
      <c r="EI736" s="943"/>
      <c r="EJ736" s="944">
        <f t="shared" si="41"/>
        <v>0</v>
      </c>
      <c r="EK736" s="921"/>
      <c r="EL736" s="921"/>
      <c r="EM736" s="921"/>
      <c r="EN736" s="943"/>
      <c r="EO736" s="944">
        <f t="shared" si="42"/>
        <v>0</v>
      </c>
      <c r="EP736" s="921"/>
      <c r="EQ736" s="921"/>
      <c r="ER736" s="921"/>
      <c r="ES736" s="943"/>
      <c r="ET736" s="944">
        <f t="shared" si="43"/>
        <v>0</v>
      </c>
      <c r="EU736" s="921"/>
      <c r="EV736" s="921"/>
      <c r="EW736" s="921"/>
      <c r="EX736" s="943"/>
      <c r="EZ736" s="945" t="str">
        <f t="shared" si="44"/>
        <v/>
      </c>
      <c r="FA736" s="921"/>
      <c r="FB736" s="921"/>
      <c r="FC736" s="921"/>
      <c r="FD736" s="943"/>
      <c r="FE736" s="945" t="str">
        <f t="shared" si="45"/>
        <v/>
      </c>
      <c r="FF736" s="921"/>
      <c r="FG736" s="921"/>
      <c r="FH736" s="921"/>
      <c r="FI736" s="943"/>
      <c r="FJ736" s="945">
        <f t="shared" si="46"/>
        <v>1830</v>
      </c>
      <c r="FK736" s="921"/>
      <c r="FL736" s="921"/>
      <c r="FM736" s="921"/>
      <c r="FN736" s="943"/>
      <c r="FO736" s="953" t="str">
        <f t="shared" si="47"/>
        <v/>
      </c>
      <c r="FP736" s="921"/>
      <c r="FQ736" s="921"/>
      <c r="FR736" s="921"/>
      <c r="FS736" s="943"/>
      <c r="FT736" s="945" t="str">
        <f t="shared" si="48"/>
        <v/>
      </c>
      <c r="FU736" s="921"/>
      <c r="FV736" s="921"/>
      <c r="FW736" s="921"/>
      <c r="FX736" s="943"/>
      <c r="FY736" s="945" t="str">
        <f t="shared" si="49"/>
        <v/>
      </c>
      <c r="FZ736" s="921"/>
      <c r="GA736" s="921"/>
      <c r="GB736" s="921"/>
      <c r="GC736" s="943"/>
    </row>
    <row r="737" spans="2:185" ht="12.75" customHeight="1">
      <c r="B737" s="949" t="s">
        <v>884</v>
      </c>
      <c r="C737" s="921"/>
      <c r="D737" s="921"/>
      <c r="E737" s="921"/>
      <c r="F737" s="943"/>
      <c r="G737" s="950">
        <v>13</v>
      </c>
      <c r="H737" s="921"/>
      <c r="I737" s="921"/>
      <c r="J737" s="943"/>
      <c r="K737" s="951">
        <v>800</v>
      </c>
      <c r="L737" s="921"/>
      <c r="M737" s="921"/>
      <c r="N737" s="943"/>
      <c r="O737" s="952">
        <v>2224</v>
      </c>
      <c r="P737" s="921"/>
      <c r="Q737" s="921"/>
      <c r="R737" s="921"/>
      <c r="S737" s="943"/>
      <c r="T737" s="952">
        <v>137</v>
      </c>
      <c r="U737" s="921"/>
      <c r="V737" s="921"/>
      <c r="W737" s="943"/>
      <c r="X737" s="953">
        <f t="shared" si="19"/>
        <v>2361</v>
      </c>
      <c r="Y737" s="921"/>
      <c r="Z737" s="921"/>
      <c r="AA737" s="921"/>
      <c r="AB737" s="943"/>
      <c r="AC737" s="954">
        <v>0.6</v>
      </c>
      <c r="AD737" s="921"/>
      <c r="AE737" s="921"/>
      <c r="AF737" s="921"/>
      <c r="AG737" s="943"/>
      <c r="AH737" s="946">
        <f t="shared" si="20"/>
        <v>0.59984756097560976</v>
      </c>
      <c r="AI737" s="947"/>
      <c r="AJ737" s="948"/>
      <c r="AK737" s="949" t="s">
        <v>855</v>
      </c>
      <c r="AL737" s="921"/>
      <c r="AM737" s="921"/>
      <c r="AN737" s="921"/>
      <c r="AO737" s="943"/>
      <c r="AP737" s="1"/>
      <c r="AQ737" s="1"/>
      <c r="AR737" s="1"/>
      <c r="AS737" s="1"/>
      <c r="AY737" s="126"/>
      <c r="AZ737" s="470">
        <f t="shared" si="21"/>
        <v>3936</v>
      </c>
      <c r="BA737" s="1"/>
      <c r="BB737" s="1"/>
      <c r="BC737" s="1"/>
      <c r="BD737" s="1"/>
      <c r="BE737" s="1"/>
      <c r="BF737" s="527">
        <f t="shared" si="22"/>
        <v>13</v>
      </c>
      <c r="BG737" s="407">
        <f t="shared" si="23"/>
        <v>5.6034482758620691E-2</v>
      </c>
      <c r="BH737" s="475">
        <f t="shared" si="24"/>
        <v>3.3620689655172412E-2</v>
      </c>
      <c r="BI737" s="1"/>
      <c r="BJ737" s="1"/>
      <c r="BK737" s="1"/>
      <c r="BL737" s="1"/>
      <c r="BM737" s="1"/>
      <c r="BN737" s="1"/>
      <c r="BS737" s="527">
        <f t="shared" si="25"/>
        <v>13</v>
      </c>
      <c r="BT737" s="407">
        <f t="shared" si="26"/>
        <v>5.6034482758620691E-2</v>
      </c>
      <c r="BU737" s="475">
        <f t="shared" si="27"/>
        <v>3.361214781328848E-2</v>
      </c>
      <c r="BV737" s="1"/>
      <c r="BW737" s="1"/>
      <c r="BX737" s="1"/>
      <c r="BY737" s="1"/>
      <c r="BZ737" s="1"/>
      <c r="CA737" s="1"/>
      <c r="CB737" s="1"/>
      <c r="CC737" s="1"/>
      <c r="CE737" s="1"/>
      <c r="CF737" s="1"/>
      <c r="CG737" s="945">
        <f t="shared" si="28"/>
        <v>0</v>
      </c>
      <c r="CH737" s="943"/>
      <c r="CI737" s="945">
        <f t="shared" si="29"/>
        <v>0</v>
      </c>
      <c r="CJ737" s="943"/>
      <c r="CK737" s="945">
        <f t="shared" si="30"/>
        <v>0</v>
      </c>
      <c r="CL737" s="943"/>
      <c r="CM737" s="956">
        <f t="shared" si="31"/>
        <v>0</v>
      </c>
      <c r="CN737" s="943"/>
      <c r="CO737" s="1"/>
      <c r="CP737" s="942">
        <f t="shared" si="32"/>
        <v>0</v>
      </c>
      <c r="CQ737" s="921"/>
      <c r="CR737" s="921"/>
      <c r="CS737" s="921"/>
      <c r="CT737" s="943"/>
      <c r="CU737" s="942">
        <f t="shared" si="33"/>
        <v>0</v>
      </c>
      <c r="CV737" s="921"/>
      <c r="CW737" s="921"/>
      <c r="CX737" s="921"/>
      <c r="CY737" s="943"/>
      <c r="CZ737" s="942">
        <f t="shared" si="34"/>
        <v>13</v>
      </c>
      <c r="DA737" s="921"/>
      <c r="DB737" s="921"/>
      <c r="DC737" s="921"/>
      <c r="DD737" s="943"/>
      <c r="DE737" s="955">
        <f t="shared" si="35"/>
        <v>0</v>
      </c>
      <c r="DF737" s="921"/>
      <c r="DG737" s="921"/>
      <c r="DH737" s="921"/>
      <c r="DI737" s="943"/>
      <c r="DJ737" s="942">
        <f t="shared" si="36"/>
        <v>0</v>
      </c>
      <c r="DK737" s="921"/>
      <c r="DL737" s="921"/>
      <c r="DM737" s="921"/>
      <c r="DN737" s="943"/>
      <c r="DO737" s="942">
        <f t="shared" si="37"/>
        <v>0</v>
      </c>
      <c r="DP737" s="921"/>
      <c r="DQ737" s="921"/>
      <c r="DR737" s="921"/>
      <c r="DS737" s="943"/>
      <c r="DT737" s="7"/>
      <c r="DU737" s="944">
        <f t="shared" si="38"/>
        <v>0</v>
      </c>
      <c r="DV737" s="921"/>
      <c r="DW737" s="921"/>
      <c r="DX737" s="921"/>
      <c r="DY737" s="943"/>
      <c r="DZ737" s="944">
        <f t="shared" si="39"/>
        <v>0</v>
      </c>
      <c r="EA737" s="921"/>
      <c r="EB737" s="921"/>
      <c r="EC737" s="921"/>
      <c r="ED737" s="943"/>
      <c r="EE737" s="944">
        <f t="shared" si="40"/>
        <v>0</v>
      </c>
      <c r="EF737" s="921"/>
      <c r="EG737" s="921"/>
      <c r="EH737" s="921"/>
      <c r="EI737" s="943"/>
      <c r="EJ737" s="977">
        <f t="shared" si="41"/>
        <v>0</v>
      </c>
      <c r="EK737" s="921"/>
      <c r="EL737" s="921"/>
      <c r="EM737" s="921"/>
      <c r="EN737" s="943"/>
      <c r="EO737" s="944">
        <f t="shared" si="42"/>
        <v>0</v>
      </c>
      <c r="EP737" s="921"/>
      <c r="EQ737" s="921"/>
      <c r="ER737" s="921"/>
      <c r="ES737" s="943"/>
      <c r="ET737" s="944">
        <f t="shared" si="43"/>
        <v>0</v>
      </c>
      <c r="EU737" s="921"/>
      <c r="EV737" s="921"/>
      <c r="EW737" s="921"/>
      <c r="EX737" s="943"/>
      <c r="EZ737" s="945" t="str">
        <f t="shared" si="44"/>
        <v/>
      </c>
      <c r="FA737" s="921"/>
      <c r="FB737" s="921"/>
      <c r="FC737" s="921"/>
      <c r="FD737" s="943"/>
      <c r="FE737" s="945" t="str">
        <f t="shared" si="45"/>
        <v/>
      </c>
      <c r="FF737" s="921"/>
      <c r="FG737" s="921"/>
      <c r="FH737" s="921"/>
      <c r="FI737" s="943"/>
      <c r="FJ737" s="945">
        <f t="shared" si="46"/>
        <v>2224</v>
      </c>
      <c r="FK737" s="921"/>
      <c r="FL737" s="921"/>
      <c r="FM737" s="921"/>
      <c r="FN737" s="943"/>
      <c r="FO737" s="953" t="str">
        <f t="shared" si="47"/>
        <v/>
      </c>
      <c r="FP737" s="921"/>
      <c r="FQ737" s="921"/>
      <c r="FR737" s="921"/>
      <c r="FS737" s="943"/>
      <c r="FT737" s="945" t="str">
        <f t="shared" si="48"/>
        <v/>
      </c>
      <c r="FU737" s="921"/>
      <c r="FV737" s="921"/>
      <c r="FW737" s="921"/>
      <c r="FX737" s="943"/>
      <c r="FY737" s="945" t="str">
        <f t="shared" si="49"/>
        <v/>
      </c>
      <c r="FZ737" s="921"/>
      <c r="GA737" s="921"/>
      <c r="GB737" s="921"/>
      <c r="GC737" s="943"/>
    </row>
    <row r="738" spans="2:185" ht="12.75" customHeight="1">
      <c r="B738" s="949" t="s">
        <v>885</v>
      </c>
      <c r="C738" s="921"/>
      <c r="D738" s="921"/>
      <c r="E738" s="921"/>
      <c r="F738" s="943"/>
      <c r="G738" s="950">
        <v>2</v>
      </c>
      <c r="H738" s="921"/>
      <c r="I738" s="921"/>
      <c r="J738" s="943"/>
      <c r="K738" s="951">
        <v>950</v>
      </c>
      <c r="L738" s="921"/>
      <c r="M738" s="921"/>
      <c r="N738" s="943"/>
      <c r="O738" s="952">
        <v>1186</v>
      </c>
      <c r="P738" s="921"/>
      <c r="Q738" s="921"/>
      <c r="R738" s="921"/>
      <c r="S738" s="943"/>
      <c r="T738" s="952">
        <v>178</v>
      </c>
      <c r="U738" s="921"/>
      <c r="V738" s="921"/>
      <c r="W738" s="943"/>
      <c r="X738" s="953">
        <f t="shared" si="19"/>
        <v>1364</v>
      </c>
      <c r="Y738" s="921"/>
      <c r="Z738" s="921"/>
      <c r="AA738" s="921"/>
      <c r="AB738" s="943"/>
      <c r="AC738" s="954">
        <v>0.3</v>
      </c>
      <c r="AD738" s="921"/>
      <c r="AE738" s="921"/>
      <c r="AF738" s="921"/>
      <c r="AG738" s="943"/>
      <c r="AH738" s="946">
        <f t="shared" si="20"/>
        <v>0.30004399472063353</v>
      </c>
      <c r="AI738" s="947"/>
      <c r="AJ738" s="948"/>
      <c r="AK738" s="949" t="s">
        <v>855</v>
      </c>
      <c r="AL738" s="921"/>
      <c r="AM738" s="921"/>
      <c r="AN738" s="921"/>
      <c r="AO738" s="943"/>
      <c r="AP738" s="1"/>
      <c r="AQ738" s="1"/>
      <c r="AR738" s="1"/>
      <c r="AS738" s="1"/>
      <c r="AY738" s="126"/>
      <c r="AZ738" s="470">
        <f t="shared" si="21"/>
        <v>4546</v>
      </c>
      <c r="BA738" s="1"/>
      <c r="BB738" s="1"/>
      <c r="BC738" s="1"/>
      <c r="BD738" s="1"/>
      <c r="BE738" s="1"/>
      <c r="BF738" s="527">
        <f t="shared" si="22"/>
        <v>2</v>
      </c>
      <c r="BG738" s="407">
        <f t="shared" si="23"/>
        <v>8.6206896551724137E-3</v>
      </c>
      <c r="BH738" s="475">
        <f t="shared" si="24"/>
        <v>2.5862068965517241E-3</v>
      </c>
      <c r="BI738" s="1"/>
      <c r="BJ738" s="1"/>
      <c r="BK738" s="1"/>
      <c r="BL738" s="1"/>
      <c r="BM738" s="1"/>
      <c r="BN738" s="1"/>
      <c r="BS738" s="527">
        <f t="shared" si="25"/>
        <v>2</v>
      </c>
      <c r="BT738" s="407">
        <f t="shared" si="26"/>
        <v>8.6206896551724137E-3</v>
      </c>
      <c r="BU738" s="475">
        <f t="shared" si="27"/>
        <v>2.586586161384772E-3</v>
      </c>
      <c r="BV738" s="1"/>
      <c r="BW738" s="1"/>
      <c r="BX738" s="1"/>
      <c r="BY738" s="1"/>
      <c r="BZ738" s="1"/>
      <c r="CA738" s="1"/>
      <c r="CB738" s="1"/>
      <c r="CC738" s="1"/>
      <c r="CE738" s="1"/>
      <c r="CF738" s="1"/>
      <c r="CG738" s="945">
        <f t="shared" si="28"/>
        <v>0</v>
      </c>
      <c r="CH738" s="943"/>
      <c r="CI738" s="945">
        <f t="shared" si="29"/>
        <v>0</v>
      </c>
      <c r="CJ738" s="943"/>
      <c r="CK738" s="945">
        <f t="shared" si="30"/>
        <v>1</v>
      </c>
      <c r="CL738" s="943"/>
      <c r="CM738" s="945">
        <f t="shared" si="31"/>
        <v>2</v>
      </c>
      <c r="CN738" s="943"/>
      <c r="CO738" s="1"/>
      <c r="CP738" s="942">
        <f t="shared" si="32"/>
        <v>0</v>
      </c>
      <c r="CQ738" s="921"/>
      <c r="CR738" s="921"/>
      <c r="CS738" s="921"/>
      <c r="CT738" s="943"/>
      <c r="CU738" s="942">
        <f t="shared" si="33"/>
        <v>0</v>
      </c>
      <c r="CV738" s="921"/>
      <c r="CW738" s="921"/>
      <c r="CX738" s="921"/>
      <c r="CY738" s="943"/>
      <c r="CZ738" s="942">
        <f t="shared" si="34"/>
        <v>0</v>
      </c>
      <c r="DA738" s="921"/>
      <c r="DB738" s="921"/>
      <c r="DC738" s="921"/>
      <c r="DD738" s="943"/>
      <c r="DE738" s="942">
        <f t="shared" si="35"/>
        <v>2</v>
      </c>
      <c r="DF738" s="921"/>
      <c r="DG738" s="921"/>
      <c r="DH738" s="921"/>
      <c r="DI738" s="943"/>
      <c r="DJ738" s="955">
        <f t="shared" si="36"/>
        <v>0</v>
      </c>
      <c r="DK738" s="921"/>
      <c r="DL738" s="921"/>
      <c r="DM738" s="921"/>
      <c r="DN738" s="943"/>
      <c r="DO738" s="942">
        <f t="shared" si="37"/>
        <v>0</v>
      </c>
      <c r="DP738" s="921"/>
      <c r="DQ738" s="921"/>
      <c r="DR738" s="921"/>
      <c r="DS738" s="943"/>
      <c r="DT738" s="7"/>
      <c r="DU738" s="944">
        <f t="shared" si="38"/>
        <v>0</v>
      </c>
      <c r="DV738" s="921"/>
      <c r="DW738" s="921"/>
      <c r="DX738" s="921"/>
      <c r="DY738" s="943"/>
      <c r="DZ738" s="944">
        <f t="shared" si="39"/>
        <v>0</v>
      </c>
      <c r="EA738" s="921"/>
      <c r="EB738" s="921"/>
      <c r="EC738" s="921"/>
      <c r="ED738" s="943"/>
      <c r="EE738" s="944">
        <f t="shared" si="40"/>
        <v>0</v>
      </c>
      <c r="EF738" s="921"/>
      <c r="EG738" s="921"/>
      <c r="EH738" s="921"/>
      <c r="EI738" s="943"/>
      <c r="EJ738" s="944">
        <f t="shared" si="41"/>
        <v>2</v>
      </c>
      <c r="EK738" s="921"/>
      <c r="EL738" s="921"/>
      <c r="EM738" s="921"/>
      <c r="EN738" s="943"/>
      <c r="EO738" s="944">
        <f t="shared" si="42"/>
        <v>0</v>
      </c>
      <c r="EP738" s="921"/>
      <c r="EQ738" s="921"/>
      <c r="ER738" s="921"/>
      <c r="ES738" s="943"/>
      <c r="ET738" s="944">
        <f t="shared" si="43"/>
        <v>0</v>
      </c>
      <c r="EU738" s="921"/>
      <c r="EV738" s="921"/>
      <c r="EW738" s="921"/>
      <c r="EX738" s="943"/>
      <c r="EZ738" s="945" t="str">
        <f t="shared" si="44"/>
        <v/>
      </c>
      <c r="FA738" s="921"/>
      <c r="FB738" s="921"/>
      <c r="FC738" s="921"/>
      <c r="FD738" s="943"/>
      <c r="FE738" s="945" t="str">
        <f t="shared" si="45"/>
        <v/>
      </c>
      <c r="FF738" s="921"/>
      <c r="FG738" s="921"/>
      <c r="FH738" s="921"/>
      <c r="FI738" s="943"/>
      <c r="FJ738" s="945" t="str">
        <f t="shared" si="46"/>
        <v/>
      </c>
      <c r="FK738" s="921"/>
      <c r="FL738" s="921"/>
      <c r="FM738" s="921"/>
      <c r="FN738" s="943"/>
      <c r="FO738" s="945">
        <f t="shared" si="47"/>
        <v>1186</v>
      </c>
      <c r="FP738" s="921"/>
      <c r="FQ738" s="921"/>
      <c r="FR738" s="921"/>
      <c r="FS738" s="943"/>
      <c r="FT738" s="953" t="str">
        <f t="shared" si="48"/>
        <v/>
      </c>
      <c r="FU738" s="921"/>
      <c r="FV738" s="921"/>
      <c r="FW738" s="921"/>
      <c r="FX738" s="943"/>
      <c r="FY738" s="945" t="str">
        <f t="shared" si="49"/>
        <v/>
      </c>
      <c r="FZ738" s="921"/>
      <c r="GA738" s="921"/>
      <c r="GB738" s="921"/>
      <c r="GC738" s="943"/>
    </row>
    <row r="739" spans="2:185" ht="12.75" customHeight="1">
      <c r="B739" s="949" t="s">
        <v>885</v>
      </c>
      <c r="C739" s="921"/>
      <c r="D739" s="921"/>
      <c r="E739" s="921"/>
      <c r="F739" s="943"/>
      <c r="G739" s="950">
        <v>2</v>
      </c>
      <c r="H739" s="921"/>
      <c r="I739" s="921"/>
      <c r="J739" s="943"/>
      <c r="K739" s="951">
        <v>950</v>
      </c>
      <c r="L739" s="921"/>
      <c r="M739" s="921"/>
      <c r="N739" s="943"/>
      <c r="O739" s="952">
        <v>2095</v>
      </c>
      <c r="P739" s="921"/>
      <c r="Q739" s="921"/>
      <c r="R739" s="921"/>
      <c r="S739" s="943"/>
      <c r="T739" s="952">
        <v>178</v>
      </c>
      <c r="U739" s="921"/>
      <c r="V739" s="921"/>
      <c r="W739" s="943"/>
      <c r="X739" s="953">
        <f t="shared" si="19"/>
        <v>2273</v>
      </c>
      <c r="Y739" s="921"/>
      <c r="Z739" s="921"/>
      <c r="AA739" s="921"/>
      <c r="AB739" s="943"/>
      <c r="AC739" s="954">
        <v>0.5</v>
      </c>
      <c r="AD739" s="921"/>
      <c r="AE739" s="921"/>
      <c r="AF739" s="921"/>
      <c r="AG739" s="943"/>
      <c r="AH739" s="946">
        <f t="shared" si="20"/>
        <v>0.5</v>
      </c>
      <c r="AI739" s="947"/>
      <c r="AJ739" s="948"/>
      <c r="AK739" s="949" t="s">
        <v>855</v>
      </c>
      <c r="AL739" s="921"/>
      <c r="AM739" s="921"/>
      <c r="AN739" s="921"/>
      <c r="AO739" s="943"/>
      <c r="AP739" s="1"/>
      <c r="AQ739" s="1"/>
      <c r="AR739" s="1"/>
      <c r="AS739" s="1"/>
      <c r="AY739" s="126"/>
      <c r="AZ739" s="17">
        <f t="shared" si="21"/>
        <v>4546</v>
      </c>
      <c r="BA739" s="1"/>
      <c r="BB739" s="1"/>
      <c r="BC739" s="1"/>
      <c r="BD739" s="1"/>
      <c r="BE739" s="1"/>
      <c r="BF739" s="527">
        <f t="shared" si="22"/>
        <v>2</v>
      </c>
      <c r="BG739" s="407">
        <f t="shared" si="23"/>
        <v>8.6206896551724137E-3</v>
      </c>
      <c r="BH739" s="475">
        <f t="shared" si="24"/>
        <v>4.3103448275862068E-3</v>
      </c>
      <c r="BI739" s="1"/>
      <c r="BJ739" s="1"/>
      <c r="BK739" s="1"/>
      <c r="BL739" s="1"/>
      <c r="BM739" s="1"/>
      <c r="BN739" s="1"/>
      <c r="BS739" s="527">
        <f t="shared" si="25"/>
        <v>2</v>
      </c>
      <c r="BT739" s="407">
        <f t="shared" si="26"/>
        <v>8.6206896551724137E-3</v>
      </c>
      <c r="BU739" s="475">
        <f t="shared" si="27"/>
        <v>4.3103448275862068E-3</v>
      </c>
      <c r="BV739" s="1"/>
      <c r="BW739" s="1"/>
      <c r="BX739" s="1"/>
      <c r="BY739" s="1"/>
      <c r="BZ739" s="1"/>
      <c r="CA739" s="1"/>
      <c r="CB739" s="1"/>
      <c r="CC739" s="1"/>
      <c r="CE739" s="1"/>
      <c r="CF739" s="1"/>
      <c r="CG739" s="945">
        <f t="shared" si="28"/>
        <v>1</v>
      </c>
      <c r="CH739" s="943"/>
      <c r="CI739" s="945">
        <f t="shared" si="29"/>
        <v>2</v>
      </c>
      <c r="CJ739" s="943"/>
      <c r="CK739" s="945">
        <f t="shared" si="30"/>
        <v>0</v>
      </c>
      <c r="CL739" s="943"/>
      <c r="CM739" s="945">
        <f t="shared" si="31"/>
        <v>0</v>
      </c>
      <c r="CN739" s="943"/>
      <c r="CO739" s="1"/>
      <c r="CP739" s="942">
        <f t="shared" si="32"/>
        <v>0</v>
      </c>
      <c r="CQ739" s="921"/>
      <c r="CR739" s="921"/>
      <c r="CS739" s="921"/>
      <c r="CT739" s="943"/>
      <c r="CU739" s="942">
        <f t="shared" si="33"/>
        <v>0</v>
      </c>
      <c r="CV739" s="921"/>
      <c r="CW739" s="921"/>
      <c r="CX739" s="921"/>
      <c r="CY739" s="943"/>
      <c r="CZ739" s="942">
        <f t="shared" si="34"/>
        <v>0</v>
      </c>
      <c r="DA739" s="921"/>
      <c r="DB739" s="921"/>
      <c r="DC739" s="921"/>
      <c r="DD739" s="943"/>
      <c r="DE739" s="942">
        <f t="shared" si="35"/>
        <v>2</v>
      </c>
      <c r="DF739" s="921"/>
      <c r="DG739" s="921"/>
      <c r="DH739" s="921"/>
      <c r="DI739" s="943"/>
      <c r="DJ739" s="942">
        <f t="shared" si="36"/>
        <v>0</v>
      </c>
      <c r="DK739" s="921"/>
      <c r="DL739" s="921"/>
      <c r="DM739" s="921"/>
      <c r="DN739" s="943"/>
      <c r="DO739" s="942">
        <f t="shared" si="37"/>
        <v>0</v>
      </c>
      <c r="DP739" s="921"/>
      <c r="DQ739" s="921"/>
      <c r="DR739" s="921"/>
      <c r="DS739" s="943"/>
      <c r="DT739" s="7"/>
      <c r="DU739" s="944">
        <f t="shared" si="38"/>
        <v>0</v>
      </c>
      <c r="DV739" s="921"/>
      <c r="DW739" s="921"/>
      <c r="DX739" s="921"/>
      <c r="DY739" s="943"/>
      <c r="DZ739" s="944">
        <f t="shared" si="39"/>
        <v>0</v>
      </c>
      <c r="EA739" s="921"/>
      <c r="EB739" s="921"/>
      <c r="EC739" s="921"/>
      <c r="ED739" s="943"/>
      <c r="EE739" s="944">
        <f t="shared" si="40"/>
        <v>0</v>
      </c>
      <c r="EF739" s="921"/>
      <c r="EG739" s="921"/>
      <c r="EH739" s="921"/>
      <c r="EI739" s="943"/>
      <c r="EJ739" s="944">
        <f t="shared" si="41"/>
        <v>0</v>
      </c>
      <c r="EK739" s="921"/>
      <c r="EL739" s="921"/>
      <c r="EM739" s="921"/>
      <c r="EN739" s="943"/>
      <c r="EO739" s="944">
        <f t="shared" si="42"/>
        <v>0</v>
      </c>
      <c r="EP739" s="921"/>
      <c r="EQ739" s="921"/>
      <c r="ER739" s="921"/>
      <c r="ES739" s="943"/>
      <c r="ET739" s="944">
        <f t="shared" si="43"/>
        <v>0</v>
      </c>
      <c r="EU739" s="921"/>
      <c r="EV739" s="921"/>
      <c r="EW739" s="921"/>
      <c r="EX739" s="943"/>
      <c r="EZ739" s="945" t="str">
        <f t="shared" si="44"/>
        <v/>
      </c>
      <c r="FA739" s="921"/>
      <c r="FB739" s="921"/>
      <c r="FC739" s="921"/>
      <c r="FD739" s="943"/>
      <c r="FE739" s="945" t="str">
        <f t="shared" si="45"/>
        <v/>
      </c>
      <c r="FF739" s="921"/>
      <c r="FG739" s="921"/>
      <c r="FH739" s="921"/>
      <c r="FI739" s="943"/>
      <c r="FJ739" s="945" t="str">
        <f t="shared" si="46"/>
        <v/>
      </c>
      <c r="FK739" s="921"/>
      <c r="FL739" s="921"/>
      <c r="FM739" s="921"/>
      <c r="FN739" s="943"/>
      <c r="FO739" s="945">
        <f t="shared" si="47"/>
        <v>2095</v>
      </c>
      <c r="FP739" s="921"/>
      <c r="FQ739" s="921"/>
      <c r="FR739" s="921"/>
      <c r="FS739" s="943"/>
      <c r="FT739" s="945" t="str">
        <f t="shared" si="48"/>
        <v/>
      </c>
      <c r="FU739" s="921"/>
      <c r="FV739" s="921"/>
      <c r="FW739" s="921"/>
      <c r="FX739" s="943"/>
      <c r="FY739" s="945" t="str">
        <f t="shared" si="49"/>
        <v/>
      </c>
      <c r="FZ739" s="921"/>
      <c r="GA739" s="921"/>
      <c r="GB739" s="921"/>
      <c r="GC739" s="943"/>
    </row>
    <row r="740" spans="2:185" ht="12.75" customHeight="1">
      <c r="B740" s="949" t="s">
        <v>885</v>
      </c>
      <c r="C740" s="921"/>
      <c r="D740" s="921"/>
      <c r="E740" s="921"/>
      <c r="F740" s="943"/>
      <c r="G740" s="950">
        <v>10</v>
      </c>
      <c r="H740" s="921"/>
      <c r="I740" s="921"/>
      <c r="J740" s="943"/>
      <c r="K740" s="951">
        <v>950</v>
      </c>
      <c r="L740" s="921"/>
      <c r="M740" s="921"/>
      <c r="N740" s="943"/>
      <c r="O740" s="952">
        <v>2550</v>
      </c>
      <c r="P740" s="921"/>
      <c r="Q740" s="921"/>
      <c r="R740" s="921"/>
      <c r="S740" s="943"/>
      <c r="T740" s="952">
        <v>178</v>
      </c>
      <c r="U740" s="921"/>
      <c r="V740" s="921"/>
      <c r="W740" s="943"/>
      <c r="X740" s="953">
        <f t="shared" si="19"/>
        <v>2728</v>
      </c>
      <c r="Y740" s="921"/>
      <c r="Z740" s="921"/>
      <c r="AA740" s="921"/>
      <c r="AB740" s="943"/>
      <c r="AC740" s="954">
        <v>0.6</v>
      </c>
      <c r="AD740" s="921"/>
      <c r="AE740" s="921"/>
      <c r="AF740" s="921"/>
      <c r="AG740" s="943"/>
      <c r="AH740" s="946">
        <f t="shared" si="20"/>
        <v>0.60008798944126707</v>
      </c>
      <c r="AI740" s="947"/>
      <c r="AJ740" s="948"/>
      <c r="AK740" s="949" t="s">
        <v>855</v>
      </c>
      <c r="AL740" s="921"/>
      <c r="AM740" s="921"/>
      <c r="AN740" s="921"/>
      <c r="AO740" s="943"/>
      <c r="AP740" s="1"/>
      <c r="AQ740" s="1"/>
      <c r="AR740" s="1"/>
      <c r="AS740" s="1"/>
      <c r="AY740" s="126"/>
      <c r="AZ740" s="17">
        <f t="shared" si="21"/>
        <v>4546</v>
      </c>
      <c r="BA740" s="1"/>
      <c r="BB740" s="1"/>
      <c r="BC740" s="1"/>
      <c r="BD740" s="1"/>
      <c r="BE740" s="1"/>
      <c r="BF740" s="527">
        <f t="shared" si="22"/>
        <v>10</v>
      </c>
      <c r="BG740" s="407">
        <f t="shared" si="23"/>
        <v>4.3103448275862072E-2</v>
      </c>
      <c r="BH740" s="475">
        <f t="shared" si="24"/>
        <v>2.5862068965517241E-2</v>
      </c>
      <c r="BI740" s="1"/>
      <c r="BJ740" s="1"/>
      <c r="BK740" s="1"/>
      <c r="BL740" s="1"/>
      <c r="BM740" s="1"/>
      <c r="BN740" s="1"/>
      <c r="BS740" s="527">
        <f t="shared" si="25"/>
        <v>10</v>
      </c>
      <c r="BT740" s="407">
        <f t="shared" si="26"/>
        <v>4.3103448275862072E-2</v>
      </c>
      <c r="BU740" s="475">
        <f t="shared" si="27"/>
        <v>2.586586161384772E-2</v>
      </c>
      <c r="BV740" s="1"/>
      <c r="BW740" s="1"/>
      <c r="BX740" s="1"/>
      <c r="BY740" s="1"/>
      <c r="BZ740" s="1"/>
      <c r="CA740" s="1"/>
      <c r="CB740" s="1"/>
      <c r="CC740" s="1"/>
      <c r="CE740" s="1"/>
      <c r="CF740" s="1"/>
      <c r="CG740" s="945">
        <f t="shared" si="28"/>
        <v>0</v>
      </c>
      <c r="CH740" s="943"/>
      <c r="CI740" s="945">
        <f t="shared" si="29"/>
        <v>0</v>
      </c>
      <c r="CJ740" s="943"/>
      <c r="CK740" s="945">
        <f t="shared" si="30"/>
        <v>0</v>
      </c>
      <c r="CL740" s="943"/>
      <c r="CM740" s="945">
        <f t="shared" si="31"/>
        <v>0</v>
      </c>
      <c r="CN740" s="943"/>
      <c r="CO740" s="1"/>
      <c r="CP740" s="942">
        <f t="shared" si="32"/>
        <v>0</v>
      </c>
      <c r="CQ740" s="921"/>
      <c r="CR740" s="921"/>
      <c r="CS740" s="921"/>
      <c r="CT740" s="943"/>
      <c r="CU740" s="942">
        <f t="shared" si="33"/>
        <v>0</v>
      </c>
      <c r="CV740" s="921"/>
      <c r="CW740" s="921"/>
      <c r="CX740" s="921"/>
      <c r="CY740" s="943"/>
      <c r="CZ740" s="942">
        <f t="shared" si="34"/>
        <v>0</v>
      </c>
      <c r="DA740" s="921"/>
      <c r="DB740" s="921"/>
      <c r="DC740" s="921"/>
      <c r="DD740" s="943"/>
      <c r="DE740" s="942">
        <f t="shared" si="35"/>
        <v>10</v>
      </c>
      <c r="DF740" s="921"/>
      <c r="DG740" s="921"/>
      <c r="DH740" s="921"/>
      <c r="DI740" s="943"/>
      <c r="DJ740" s="942">
        <f t="shared" si="36"/>
        <v>0</v>
      </c>
      <c r="DK740" s="921"/>
      <c r="DL740" s="921"/>
      <c r="DM740" s="921"/>
      <c r="DN740" s="943"/>
      <c r="DO740" s="942">
        <f t="shared" si="37"/>
        <v>0</v>
      </c>
      <c r="DP740" s="921"/>
      <c r="DQ740" s="921"/>
      <c r="DR740" s="921"/>
      <c r="DS740" s="943"/>
      <c r="DT740" s="7"/>
      <c r="DU740" s="944">
        <f t="shared" si="38"/>
        <v>0</v>
      </c>
      <c r="DV740" s="921"/>
      <c r="DW740" s="921"/>
      <c r="DX740" s="921"/>
      <c r="DY740" s="943"/>
      <c r="DZ740" s="944">
        <f t="shared" si="39"/>
        <v>0</v>
      </c>
      <c r="EA740" s="921"/>
      <c r="EB740" s="921"/>
      <c r="EC740" s="921"/>
      <c r="ED740" s="943"/>
      <c r="EE740" s="944">
        <f t="shared" si="40"/>
        <v>0</v>
      </c>
      <c r="EF740" s="921"/>
      <c r="EG740" s="921"/>
      <c r="EH740" s="921"/>
      <c r="EI740" s="943"/>
      <c r="EJ740" s="944">
        <f t="shared" si="41"/>
        <v>0</v>
      </c>
      <c r="EK740" s="921"/>
      <c r="EL740" s="921"/>
      <c r="EM740" s="921"/>
      <c r="EN740" s="943"/>
      <c r="EO740" s="944">
        <f t="shared" si="42"/>
        <v>0</v>
      </c>
      <c r="EP740" s="921"/>
      <c r="EQ740" s="921"/>
      <c r="ER740" s="921"/>
      <c r="ES740" s="943"/>
      <c r="ET740" s="944">
        <f t="shared" si="43"/>
        <v>0</v>
      </c>
      <c r="EU740" s="921"/>
      <c r="EV740" s="921"/>
      <c r="EW740" s="921"/>
      <c r="EX740" s="943"/>
      <c r="EZ740" s="945" t="str">
        <f t="shared" si="44"/>
        <v/>
      </c>
      <c r="FA740" s="921"/>
      <c r="FB740" s="921"/>
      <c r="FC740" s="921"/>
      <c r="FD740" s="943"/>
      <c r="FE740" s="945" t="str">
        <f t="shared" si="45"/>
        <v/>
      </c>
      <c r="FF740" s="921"/>
      <c r="FG740" s="921"/>
      <c r="FH740" s="921"/>
      <c r="FI740" s="943"/>
      <c r="FJ740" s="945" t="str">
        <f t="shared" si="46"/>
        <v/>
      </c>
      <c r="FK740" s="921"/>
      <c r="FL740" s="921"/>
      <c r="FM740" s="921"/>
      <c r="FN740" s="943"/>
      <c r="FO740" s="945">
        <f t="shared" si="47"/>
        <v>2550</v>
      </c>
      <c r="FP740" s="921"/>
      <c r="FQ740" s="921"/>
      <c r="FR740" s="921"/>
      <c r="FS740" s="943"/>
      <c r="FT740" s="945" t="str">
        <f t="shared" si="48"/>
        <v/>
      </c>
      <c r="FU740" s="921"/>
      <c r="FV740" s="921"/>
      <c r="FW740" s="921"/>
      <c r="FX740" s="943"/>
      <c r="FY740" s="945" t="str">
        <f t="shared" si="49"/>
        <v/>
      </c>
      <c r="FZ740" s="921"/>
      <c r="GA740" s="921"/>
      <c r="GB740" s="921"/>
      <c r="GC740" s="943"/>
    </row>
    <row r="741" spans="2:185" ht="12.75" customHeight="1">
      <c r="B741" s="949" t="s">
        <v>885</v>
      </c>
      <c r="C741" s="921"/>
      <c r="D741" s="921"/>
      <c r="E741" s="921"/>
      <c r="F741" s="943"/>
      <c r="G741" s="950">
        <v>4</v>
      </c>
      <c r="H741" s="921"/>
      <c r="I741" s="921"/>
      <c r="J741" s="943"/>
      <c r="K741" s="951">
        <v>950</v>
      </c>
      <c r="L741" s="921"/>
      <c r="M741" s="921"/>
      <c r="N741" s="943"/>
      <c r="O741" s="952">
        <v>1186</v>
      </c>
      <c r="P741" s="921"/>
      <c r="Q741" s="921"/>
      <c r="R741" s="921"/>
      <c r="S741" s="943"/>
      <c r="T741" s="952">
        <v>178</v>
      </c>
      <c r="U741" s="921"/>
      <c r="V741" s="921"/>
      <c r="W741" s="943"/>
      <c r="X741" s="953">
        <f t="shared" si="19"/>
        <v>1364</v>
      </c>
      <c r="Y741" s="921"/>
      <c r="Z741" s="921"/>
      <c r="AA741" s="921"/>
      <c r="AB741" s="943"/>
      <c r="AC741" s="954">
        <v>0.3</v>
      </c>
      <c r="AD741" s="921"/>
      <c r="AE741" s="921"/>
      <c r="AF741" s="921"/>
      <c r="AG741" s="943"/>
      <c r="AH741" s="946">
        <f t="shared" si="20"/>
        <v>0.30004399472063353</v>
      </c>
      <c r="AI741" s="947"/>
      <c r="AJ741" s="948"/>
      <c r="AK741" s="949" t="s">
        <v>855</v>
      </c>
      <c r="AL741" s="921"/>
      <c r="AM741" s="921"/>
      <c r="AN741" s="921"/>
      <c r="AO741" s="943"/>
      <c r="AP741" s="1"/>
      <c r="AQ741" s="1"/>
      <c r="AR741" s="1"/>
      <c r="AS741" s="1"/>
      <c r="AY741" s="126"/>
      <c r="AZ741" s="17">
        <f t="shared" si="21"/>
        <v>4546</v>
      </c>
      <c r="BA741" s="1"/>
      <c r="BB741" s="1"/>
      <c r="BC741" s="1"/>
      <c r="BD741" s="1"/>
      <c r="BE741" s="1"/>
      <c r="BF741" s="527">
        <f t="shared" si="22"/>
        <v>4</v>
      </c>
      <c r="BG741" s="407">
        <f t="shared" si="23"/>
        <v>1.7241379310344827E-2</v>
      </c>
      <c r="BH741" s="475">
        <f t="shared" si="24"/>
        <v>5.1724137931034482E-3</v>
      </c>
      <c r="BI741" s="1"/>
      <c r="BJ741" s="1"/>
      <c r="BK741" s="1"/>
      <c r="BL741" s="1"/>
      <c r="BM741" s="1"/>
      <c r="BN741" s="1"/>
      <c r="BS741" s="527">
        <f t="shared" si="25"/>
        <v>4</v>
      </c>
      <c r="BT741" s="407">
        <f t="shared" si="26"/>
        <v>1.7241379310344827E-2</v>
      </c>
      <c r="BU741" s="475">
        <f t="shared" si="27"/>
        <v>5.1731723227695439E-3</v>
      </c>
      <c r="BV741" s="1"/>
      <c r="BW741" s="1"/>
      <c r="BX741" s="1"/>
      <c r="BY741" s="1"/>
      <c r="BZ741" s="1"/>
      <c r="CA741" s="1"/>
      <c r="CB741" s="1"/>
      <c r="CC741" s="1"/>
      <c r="CE741" s="1"/>
      <c r="CF741" s="1"/>
      <c r="CG741" s="945">
        <f t="shared" si="28"/>
        <v>0</v>
      </c>
      <c r="CH741" s="943"/>
      <c r="CI741" s="945">
        <f t="shared" si="29"/>
        <v>0</v>
      </c>
      <c r="CJ741" s="943"/>
      <c r="CK741" s="945">
        <f t="shared" si="30"/>
        <v>1</v>
      </c>
      <c r="CL741" s="943"/>
      <c r="CM741" s="945">
        <f t="shared" si="31"/>
        <v>4</v>
      </c>
      <c r="CN741" s="943"/>
      <c r="CO741" s="1"/>
      <c r="CP741" s="942">
        <f t="shared" si="32"/>
        <v>0</v>
      </c>
      <c r="CQ741" s="921"/>
      <c r="CR741" s="921"/>
      <c r="CS741" s="921"/>
      <c r="CT741" s="943"/>
      <c r="CU741" s="942">
        <f t="shared" si="33"/>
        <v>0</v>
      </c>
      <c r="CV741" s="921"/>
      <c r="CW741" s="921"/>
      <c r="CX741" s="921"/>
      <c r="CY741" s="943"/>
      <c r="CZ741" s="942">
        <f t="shared" si="34"/>
        <v>0</v>
      </c>
      <c r="DA741" s="921"/>
      <c r="DB741" s="921"/>
      <c r="DC741" s="921"/>
      <c r="DD741" s="943"/>
      <c r="DE741" s="942">
        <f t="shared" si="35"/>
        <v>4</v>
      </c>
      <c r="DF741" s="921"/>
      <c r="DG741" s="921"/>
      <c r="DH741" s="921"/>
      <c r="DI741" s="943"/>
      <c r="DJ741" s="942">
        <f t="shared" si="36"/>
        <v>0</v>
      </c>
      <c r="DK741" s="921"/>
      <c r="DL741" s="921"/>
      <c r="DM741" s="921"/>
      <c r="DN741" s="943"/>
      <c r="DO741" s="942">
        <f t="shared" si="37"/>
        <v>0</v>
      </c>
      <c r="DP741" s="921"/>
      <c r="DQ741" s="921"/>
      <c r="DR741" s="921"/>
      <c r="DS741" s="943"/>
      <c r="DT741" s="7"/>
      <c r="DU741" s="944">
        <f t="shared" si="38"/>
        <v>0</v>
      </c>
      <c r="DV741" s="921"/>
      <c r="DW741" s="921"/>
      <c r="DX741" s="921"/>
      <c r="DY741" s="943"/>
      <c r="DZ741" s="944">
        <f t="shared" si="39"/>
        <v>0</v>
      </c>
      <c r="EA741" s="921"/>
      <c r="EB741" s="921"/>
      <c r="EC741" s="921"/>
      <c r="ED741" s="943"/>
      <c r="EE741" s="944">
        <f t="shared" si="40"/>
        <v>0</v>
      </c>
      <c r="EF741" s="921"/>
      <c r="EG741" s="921"/>
      <c r="EH741" s="921"/>
      <c r="EI741" s="943"/>
      <c r="EJ741" s="944">
        <f t="shared" si="41"/>
        <v>4</v>
      </c>
      <c r="EK741" s="921"/>
      <c r="EL741" s="921"/>
      <c r="EM741" s="921"/>
      <c r="EN741" s="943"/>
      <c r="EO741" s="944">
        <f t="shared" si="42"/>
        <v>0</v>
      </c>
      <c r="EP741" s="921"/>
      <c r="EQ741" s="921"/>
      <c r="ER741" s="921"/>
      <c r="ES741" s="943"/>
      <c r="ET741" s="944">
        <f t="shared" si="43"/>
        <v>0</v>
      </c>
      <c r="EU741" s="921"/>
      <c r="EV741" s="921"/>
      <c r="EW741" s="921"/>
      <c r="EX741" s="943"/>
      <c r="EZ741" s="945" t="str">
        <f t="shared" si="44"/>
        <v/>
      </c>
      <c r="FA741" s="921"/>
      <c r="FB741" s="921"/>
      <c r="FC741" s="921"/>
      <c r="FD741" s="943"/>
      <c r="FE741" s="945" t="str">
        <f t="shared" si="45"/>
        <v/>
      </c>
      <c r="FF741" s="921"/>
      <c r="FG741" s="921"/>
      <c r="FH741" s="921"/>
      <c r="FI741" s="943"/>
      <c r="FJ741" s="945" t="str">
        <f t="shared" si="46"/>
        <v/>
      </c>
      <c r="FK741" s="921"/>
      <c r="FL741" s="921"/>
      <c r="FM741" s="921"/>
      <c r="FN741" s="943"/>
      <c r="FO741" s="945">
        <f t="shared" si="47"/>
        <v>1186</v>
      </c>
      <c r="FP741" s="921"/>
      <c r="FQ741" s="921"/>
      <c r="FR741" s="921"/>
      <c r="FS741" s="943"/>
      <c r="FT741" s="945" t="str">
        <f t="shared" si="48"/>
        <v/>
      </c>
      <c r="FU741" s="921"/>
      <c r="FV741" s="921"/>
      <c r="FW741" s="921"/>
      <c r="FX741" s="943"/>
      <c r="FY741" s="945" t="str">
        <f t="shared" si="49"/>
        <v/>
      </c>
      <c r="FZ741" s="921"/>
      <c r="GA741" s="921"/>
      <c r="GB741" s="921"/>
      <c r="GC741" s="943"/>
    </row>
    <row r="742" spans="2:185" ht="12.75" customHeight="1">
      <c r="B742" s="949" t="s">
        <v>885</v>
      </c>
      <c r="C742" s="921"/>
      <c r="D742" s="921"/>
      <c r="E742" s="921"/>
      <c r="F742" s="943"/>
      <c r="G742" s="950">
        <v>4</v>
      </c>
      <c r="H742" s="921"/>
      <c r="I742" s="921"/>
      <c r="J742" s="943"/>
      <c r="K742" s="951">
        <v>950</v>
      </c>
      <c r="L742" s="921"/>
      <c r="M742" s="921"/>
      <c r="N742" s="943"/>
      <c r="O742" s="952">
        <v>2095</v>
      </c>
      <c r="P742" s="921"/>
      <c r="Q742" s="921"/>
      <c r="R742" s="921"/>
      <c r="S742" s="943"/>
      <c r="T742" s="952">
        <v>178</v>
      </c>
      <c r="U742" s="921"/>
      <c r="V742" s="921"/>
      <c r="W742" s="943"/>
      <c r="X742" s="953">
        <f t="shared" si="19"/>
        <v>2273</v>
      </c>
      <c r="Y742" s="921"/>
      <c r="Z742" s="921"/>
      <c r="AA742" s="921"/>
      <c r="AB742" s="943"/>
      <c r="AC742" s="954">
        <v>0.5</v>
      </c>
      <c r="AD742" s="921"/>
      <c r="AE742" s="921"/>
      <c r="AF742" s="921"/>
      <c r="AG742" s="943"/>
      <c r="AH742" s="946">
        <f t="shared" si="20"/>
        <v>0.5</v>
      </c>
      <c r="AI742" s="947"/>
      <c r="AJ742" s="948"/>
      <c r="AK742" s="949" t="s">
        <v>855</v>
      </c>
      <c r="AL742" s="921"/>
      <c r="AM742" s="921"/>
      <c r="AN742" s="921"/>
      <c r="AO742" s="943"/>
      <c r="AP742" s="1"/>
      <c r="AQ742" s="1"/>
      <c r="AR742" s="1"/>
      <c r="AS742" s="1"/>
      <c r="AY742" s="126"/>
      <c r="AZ742" s="17">
        <f t="shared" si="21"/>
        <v>4546</v>
      </c>
      <c r="BA742" s="1"/>
      <c r="BB742" s="1"/>
      <c r="BC742" s="1"/>
      <c r="BD742" s="1"/>
      <c r="BE742" s="1"/>
      <c r="BF742" s="527">
        <f t="shared" si="22"/>
        <v>4</v>
      </c>
      <c r="BG742" s="407">
        <f t="shared" si="23"/>
        <v>1.7241379310344827E-2</v>
      </c>
      <c r="BH742" s="475">
        <f t="shared" si="24"/>
        <v>8.6206896551724137E-3</v>
      </c>
      <c r="BI742" s="1"/>
      <c r="BJ742" s="1"/>
      <c r="BK742" s="1"/>
      <c r="BL742" s="1"/>
      <c r="BM742" s="1"/>
      <c r="BN742" s="1"/>
      <c r="BS742" s="527">
        <f t="shared" si="25"/>
        <v>4</v>
      </c>
      <c r="BT742" s="407">
        <f t="shared" si="26"/>
        <v>1.7241379310344827E-2</v>
      </c>
      <c r="BU742" s="475">
        <f t="shared" si="27"/>
        <v>8.6206896551724137E-3</v>
      </c>
      <c r="BV742" s="1"/>
      <c r="BW742" s="1"/>
      <c r="BX742" s="1"/>
      <c r="BY742" s="1"/>
      <c r="BZ742" s="1"/>
      <c r="CA742" s="1"/>
      <c r="CB742" s="1"/>
      <c r="CC742" s="1"/>
      <c r="CE742" s="1"/>
      <c r="CF742" s="1"/>
      <c r="CG742" s="945">
        <f t="shared" si="28"/>
        <v>1</v>
      </c>
      <c r="CH742" s="943"/>
      <c r="CI742" s="945">
        <f t="shared" si="29"/>
        <v>4</v>
      </c>
      <c r="CJ742" s="943"/>
      <c r="CK742" s="945">
        <f t="shared" si="30"/>
        <v>0</v>
      </c>
      <c r="CL742" s="943"/>
      <c r="CM742" s="945">
        <f t="shared" si="31"/>
        <v>0</v>
      </c>
      <c r="CN742" s="943"/>
      <c r="CO742" s="1"/>
      <c r="CP742" s="942">
        <f t="shared" si="32"/>
        <v>0</v>
      </c>
      <c r="CQ742" s="921"/>
      <c r="CR742" s="921"/>
      <c r="CS742" s="921"/>
      <c r="CT742" s="943"/>
      <c r="CU742" s="942">
        <f t="shared" si="33"/>
        <v>0</v>
      </c>
      <c r="CV742" s="921"/>
      <c r="CW742" s="921"/>
      <c r="CX742" s="921"/>
      <c r="CY742" s="943"/>
      <c r="CZ742" s="942">
        <f t="shared" si="34"/>
        <v>0</v>
      </c>
      <c r="DA742" s="921"/>
      <c r="DB742" s="921"/>
      <c r="DC742" s="921"/>
      <c r="DD742" s="943"/>
      <c r="DE742" s="942">
        <f t="shared" si="35"/>
        <v>4</v>
      </c>
      <c r="DF742" s="921"/>
      <c r="DG742" s="921"/>
      <c r="DH742" s="921"/>
      <c r="DI742" s="943"/>
      <c r="DJ742" s="942">
        <f t="shared" si="36"/>
        <v>0</v>
      </c>
      <c r="DK742" s="921"/>
      <c r="DL742" s="921"/>
      <c r="DM742" s="921"/>
      <c r="DN742" s="943"/>
      <c r="DO742" s="942">
        <f t="shared" si="37"/>
        <v>0</v>
      </c>
      <c r="DP742" s="921"/>
      <c r="DQ742" s="921"/>
      <c r="DR742" s="921"/>
      <c r="DS742" s="943"/>
      <c r="DT742" s="7"/>
      <c r="DU742" s="944">
        <f t="shared" si="38"/>
        <v>0</v>
      </c>
      <c r="DV742" s="921"/>
      <c r="DW742" s="921"/>
      <c r="DX742" s="921"/>
      <c r="DY742" s="943"/>
      <c r="DZ742" s="944">
        <f t="shared" si="39"/>
        <v>0</v>
      </c>
      <c r="EA742" s="921"/>
      <c r="EB742" s="921"/>
      <c r="EC742" s="921"/>
      <c r="ED742" s="943"/>
      <c r="EE742" s="944">
        <f t="shared" si="40"/>
        <v>0</v>
      </c>
      <c r="EF742" s="921"/>
      <c r="EG742" s="921"/>
      <c r="EH742" s="921"/>
      <c r="EI742" s="943"/>
      <c r="EJ742" s="944">
        <f t="shared" si="41"/>
        <v>0</v>
      </c>
      <c r="EK742" s="921"/>
      <c r="EL742" s="921"/>
      <c r="EM742" s="921"/>
      <c r="EN742" s="943"/>
      <c r="EO742" s="944">
        <f t="shared" si="42"/>
        <v>0</v>
      </c>
      <c r="EP742" s="921"/>
      <c r="EQ742" s="921"/>
      <c r="ER742" s="921"/>
      <c r="ES742" s="943"/>
      <c r="ET742" s="944">
        <f t="shared" si="43"/>
        <v>0</v>
      </c>
      <c r="EU742" s="921"/>
      <c r="EV742" s="921"/>
      <c r="EW742" s="921"/>
      <c r="EX742" s="943"/>
      <c r="EZ742" s="945" t="str">
        <f t="shared" si="44"/>
        <v/>
      </c>
      <c r="FA742" s="921"/>
      <c r="FB742" s="921"/>
      <c r="FC742" s="921"/>
      <c r="FD742" s="943"/>
      <c r="FE742" s="945" t="str">
        <f t="shared" si="45"/>
        <v/>
      </c>
      <c r="FF742" s="921"/>
      <c r="FG742" s="921"/>
      <c r="FH742" s="921"/>
      <c r="FI742" s="943"/>
      <c r="FJ742" s="945" t="str">
        <f t="shared" si="46"/>
        <v/>
      </c>
      <c r="FK742" s="921"/>
      <c r="FL742" s="921"/>
      <c r="FM742" s="921"/>
      <c r="FN742" s="943"/>
      <c r="FO742" s="945">
        <f t="shared" si="47"/>
        <v>2095</v>
      </c>
      <c r="FP742" s="921"/>
      <c r="FQ742" s="921"/>
      <c r="FR742" s="921"/>
      <c r="FS742" s="943"/>
      <c r="FT742" s="945" t="str">
        <f t="shared" si="48"/>
        <v/>
      </c>
      <c r="FU742" s="921"/>
      <c r="FV742" s="921"/>
      <c r="FW742" s="921"/>
      <c r="FX742" s="943"/>
      <c r="FY742" s="945" t="str">
        <f t="shared" si="49"/>
        <v/>
      </c>
      <c r="FZ742" s="921"/>
      <c r="GA742" s="921"/>
      <c r="GB742" s="921"/>
      <c r="GC742" s="943"/>
    </row>
    <row r="743" spans="2:185" ht="12.75" customHeight="1">
      <c r="B743" s="949" t="s">
        <v>885</v>
      </c>
      <c r="C743" s="921"/>
      <c r="D743" s="921"/>
      <c r="E743" s="921"/>
      <c r="F743" s="943"/>
      <c r="G743" s="950">
        <v>23</v>
      </c>
      <c r="H743" s="921"/>
      <c r="I743" s="921"/>
      <c r="J743" s="943"/>
      <c r="K743" s="951">
        <v>950</v>
      </c>
      <c r="L743" s="921"/>
      <c r="M743" s="921"/>
      <c r="N743" s="943"/>
      <c r="O743" s="952">
        <v>2550</v>
      </c>
      <c r="P743" s="921"/>
      <c r="Q743" s="921"/>
      <c r="R743" s="921"/>
      <c r="S743" s="943"/>
      <c r="T743" s="952">
        <v>178</v>
      </c>
      <c r="U743" s="921"/>
      <c r="V743" s="921"/>
      <c r="W743" s="943"/>
      <c r="X743" s="953">
        <f t="shared" si="19"/>
        <v>2728</v>
      </c>
      <c r="Y743" s="921"/>
      <c r="Z743" s="921"/>
      <c r="AA743" s="921"/>
      <c r="AB743" s="943"/>
      <c r="AC743" s="954">
        <v>0.6</v>
      </c>
      <c r="AD743" s="921"/>
      <c r="AE743" s="921"/>
      <c r="AF743" s="921"/>
      <c r="AG743" s="943"/>
      <c r="AH743" s="946">
        <f t="shared" si="20"/>
        <v>0.60008798944126707</v>
      </c>
      <c r="AI743" s="947"/>
      <c r="AJ743" s="948"/>
      <c r="AK743" s="949" t="s">
        <v>855</v>
      </c>
      <c r="AL743" s="921"/>
      <c r="AM743" s="921"/>
      <c r="AN743" s="921"/>
      <c r="AO743" s="943"/>
      <c r="AP743" s="1"/>
      <c r="AQ743" s="1"/>
      <c r="AR743" s="1"/>
      <c r="AS743" s="1"/>
      <c r="AY743" s="126"/>
      <c r="AZ743" s="17">
        <f t="shared" si="21"/>
        <v>4546</v>
      </c>
      <c r="BA743" s="1"/>
      <c r="BB743" s="1"/>
      <c r="BC743" s="1"/>
      <c r="BD743" s="1"/>
      <c r="BE743" s="1"/>
      <c r="BF743" s="527">
        <f t="shared" si="22"/>
        <v>23</v>
      </c>
      <c r="BG743" s="407">
        <f t="shared" si="23"/>
        <v>9.9137931034482762E-2</v>
      </c>
      <c r="BH743" s="475">
        <f t="shared" si="24"/>
        <v>5.9482758620689656E-2</v>
      </c>
      <c r="BI743" s="1"/>
      <c r="BJ743" s="1"/>
      <c r="BK743" s="1"/>
      <c r="BL743" s="1"/>
      <c r="BM743" s="1"/>
      <c r="BN743" s="1"/>
      <c r="BS743" s="527">
        <f t="shared" si="25"/>
        <v>23</v>
      </c>
      <c r="BT743" s="407">
        <f t="shared" si="26"/>
        <v>9.9137931034482762E-2</v>
      </c>
      <c r="BU743" s="475">
        <f t="shared" si="27"/>
        <v>5.9491481711849752E-2</v>
      </c>
      <c r="BV743" s="1"/>
      <c r="BW743" s="1"/>
      <c r="BX743" s="1"/>
      <c r="BY743" s="1"/>
      <c r="BZ743" s="1"/>
      <c r="CA743" s="1"/>
      <c r="CB743" s="1"/>
      <c r="CC743" s="1"/>
      <c r="CE743" s="1"/>
      <c r="CF743" s="1"/>
      <c r="CG743" s="945">
        <f t="shared" si="28"/>
        <v>0</v>
      </c>
      <c r="CH743" s="943"/>
      <c r="CI743" s="945">
        <f t="shared" si="29"/>
        <v>0</v>
      </c>
      <c r="CJ743" s="943"/>
      <c r="CK743" s="945">
        <f t="shared" si="30"/>
        <v>0</v>
      </c>
      <c r="CL743" s="943"/>
      <c r="CM743" s="945">
        <f t="shared" si="31"/>
        <v>0</v>
      </c>
      <c r="CN743" s="943"/>
      <c r="CO743" s="1"/>
      <c r="CP743" s="942">
        <f t="shared" si="32"/>
        <v>0</v>
      </c>
      <c r="CQ743" s="921"/>
      <c r="CR743" s="921"/>
      <c r="CS743" s="921"/>
      <c r="CT743" s="943"/>
      <c r="CU743" s="942">
        <f t="shared" si="33"/>
        <v>0</v>
      </c>
      <c r="CV743" s="921"/>
      <c r="CW743" s="921"/>
      <c r="CX743" s="921"/>
      <c r="CY743" s="943"/>
      <c r="CZ743" s="942">
        <f t="shared" si="34"/>
        <v>0</v>
      </c>
      <c r="DA743" s="921"/>
      <c r="DB743" s="921"/>
      <c r="DC743" s="921"/>
      <c r="DD743" s="943"/>
      <c r="DE743" s="942">
        <f t="shared" si="35"/>
        <v>23</v>
      </c>
      <c r="DF743" s="921"/>
      <c r="DG743" s="921"/>
      <c r="DH743" s="921"/>
      <c r="DI743" s="943"/>
      <c r="DJ743" s="942">
        <f t="shared" si="36"/>
        <v>0</v>
      </c>
      <c r="DK743" s="921"/>
      <c r="DL743" s="921"/>
      <c r="DM743" s="921"/>
      <c r="DN743" s="943"/>
      <c r="DO743" s="942">
        <f t="shared" si="37"/>
        <v>0</v>
      </c>
      <c r="DP743" s="921"/>
      <c r="DQ743" s="921"/>
      <c r="DR743" s="921"/>
      <c r="DS743" s="943"/>
      <c r="DT743" s="7"/>
      <c r="DU743" s="944">
        <f t="shared" si="38"/>
        <v>0</v>
      </c>
      <c r="DV743" s="921"/>
      <c r="DW743" s="921"/>
      <c r="DX743" s="921"/>
      <c r="DY743" s="943"/>
      <c r="DZ743" s="944">
        <f t="shared" si="39"/>
        <v>0</v>
      </c>
      <c r="EA743" s="921"/>
      <c r="EB743" s="921"/>
      <c r="EC743" s="921"/>
      <c r="ED743" s="943"/>
      <c r="EE743" s="944">
        <f t="shared" si="40"/>
        <v>0</v>
      </c>
      <c r="EF743" s="921"/>
      <c r="EG743" s="921"/>
      <c r="EH743" s="921"/>
      <c r="EI743" s="943"/>
      <c r="EJ743" s="944">
        <f t="shared" si="41"/>
        <v>0</v>
      </c>
      <c r="EK743" s="921"/>
      <c r="EL743" s="921"/>
      <c r="EM743" s="921"/>
      <c r="EN743" s="943"/>
      <c r="EO743" s="944">
        <f t="shared" si="42"/>
        <v>0</v>
      </c>
      <c r="EP743" s="921"/>
      <c r="EQ743" s="921"/>
      <c r="ER743" s="921"/>
      <c r="ES743" s="943"/>
      <c r="ET743" s="944">
        <f t="shared" si="43"/>
        <v>0</v>
      </c>
      <c r="EU743" s="921"/>
      <c r="EV743" s="921"/>
      <c r="EW743" s="921"/>
      <c r="EX743" s="943"/>
      <c r="EZ743" s="945" t="str">
        <f t="shared" si="44"/>
        <v/>
      </c>
      <c r="FA743" s="921"/>
      <c r="FB743" s="921"/>
      <c r="FC743" s="921"/>
      <c r="FD743" s="943"/>
      <c r="FE743" s="945" t="str">
        <f t="shared" si="45"/>
        <v/>
      </c>
      <c r="FF743" s="921"/>
      <c r="FG743" s="921"/>
      <c r="FH743" s="921"/>
      <c r="FI743" s="943"/>
      <c r="FJ743" s="945" t="str">
        <f t="shared" si="46"/>
        <v/>
      </c>
      <c r="FK743" s="921"/>
      <c r="FL743" s="921"/>
      <c r="FM743" s="921"/>
      <c r="FN743" s="943"/>
      <c r="FO743" s="945">
        <f t="shared" si="47"/>
        <v>2550</v>
      </c>
      <c r="FP743" s="921"/>
      <c r="FQ743" s="921"/>
      <c r="FR743" s="921"/>
      <c r="FS743" s="943"/>
      <c r="FT743" s="945" t="str">
        <f t="shared" si="48"/>
        <v/>
      </c>
      <c r="FU743" s="921"/>
      <c r="FV743" s="921"/>
      <c r="FW743" s="921"/>
      <c r="FX743" s="943"/>
      <c r="FY743" s="945" t="str">
        <f t="shared" si="49"/>
        <v/>
      </c>
      <c r="FZ743" s="921"/>
      <c r="GA743" s="921"/>
      <c r="GB743" s="921"/>
      <c r="GC743" s="943"/>
    </row>
    <row r="744" spans="2:185" ht="12.75" customHeight="1">
      <c r="B744" s="949"/>
      <c r="C744" s="921"/>
      <c r="D744" s="921"/>
      <c r="E744" s="921"/>
      <c r="F744" s="943"/>
      <c r="G744" s="950"/>
      <c r="H744" s="921"/>
      <c r="I744" s="921"/>
      <c r="J744" s="943"/>
      <c r="K744" s="951"/>
      <c r="L744" s="921"/>
      <c r="M744" s="921"/>
      <c r="N744" s="943"/>
      <c r="O744" s="952"/>
      <c r="P744" s="921"/>
      <c r="Q744" s="921"/>
      <c r="R744" s="921"/>
      <c r="S744" s="943"/>
      <c r="T744" s="952"/>
      <c r="U744" s="921"/>
      <c r="V744" s="921"/>
      <c r="W744" s="943"/>
      <c r="X744" s="953">
        <f t="shared" si="19"/>
        <v>0</v>
      </c>
      <c r="Y744" s="921"/>
      <c r="Z744" s="921"/>
      <c r="AA744" s="921"/>
      <c r="AB744" s="943"/>
      <c r="AC744" s="954"/>
      <c r="AD744" s="921"/>
      <c r="AE744" s="921"/>
      <c r="AF744" s="921"/>
      <c r="AG744" s="943"/>
      <c r="AH744" s="946" t="str">
        <f t="shared" si="20"/>
        <v/>
      </c>
      <c r="AI744" s="947"/>
      <c r="AJ744" s="948"/>
      <c r="AK744" s="949" t="s">
        <v>855</v>
      </c>
      <c r="AL744" s="921"/>
      <c r="AM744" s="921"/>
      <c r="AN744" s="921"/>
      <c r="AO744" s="943"/>
      <c r="AP744" s="1"/>
      <c r="AQ744" s="1"/>
      <c r="AR744" s="1"/>
      <c r="AS744" s="1"/>
      <c r="AY744" s="126"/>
      <c r="AZ744" s="17" t="str">
        <f t="shared" si="21"/>
        <v>N/A</v>
      </c>
      <c r="BA744" s="1"/>
      <c r="BE744" s="1"/>
      <c r="BF744" s="527">
        <f t="shared" si="22"/>
        <v>0</v>
      </c>
      <c r="BG744" s="407">
        <f t="shared" si="23"/>
        <v>0</v>
      </c>
      <c r="BH744" s="475" t="str">
        <f t="shared" si="24"/>
        <v/>
      </c>
      <c r="BK744" s="1"/>
      <c r="BL744" s="1"/>
      <c r="BM744" s="1"/>
      <c r="BN744" s="1"/>
      <c r="BS744" s="527">
        <f t="shared" si="25"/>
        <v>0</v>
      </c>
      <c r="BT744" s="407">
        <f t="shared" si="26"/>
        <v>0</v>
      </c>
      <c r="BU744" s="475" t="str">
        <f t="shared" si="27"/>
        <v/>
      </c>
      <c r="BV744" s="1"/>
      <c r="BW744" s="1"/>
      <c r="BX744" s="1"/>
      <c r="BY744" s="1"/>
      <c r="BZ744" s="1"/>
      <c r="CA744" s="1"/>
      <c r="CB744" s="1"/>
      <c r="CC744" s="1"/>
      <c r="CE744" s="1"/>
      <c r="CF744" s="1"/>
      <c r="CG744" s="945">
        <f t="shared" si="28"/>
        <v>0</v>
      </c>
      <c r="CH744" s="943"/>
      <c r="CI744" s="945">
        <f t="shared" si="29"/>
        <v>0</v>
      </c>
      <c r="CJ744" s="943"/>
      <c r="CK744" s="945">
        <f t="shared" si="30"/>
        <v>0</v>
      </c>
      <c r="CL744" s="943"/>
      <c r="CM744" s="945">
        <f t="shared" si="31"/>
        <v>0</v>
      </c>
      <c r="CN744" s="943"/>
      <c r="CO744" s="1"/>
      <c r="CP744" s="942">
        <f t="shared" si="32"/>
        <v>0</v>
      </c>
      <c r="CQ744" s="921"/>
      <c r="CR744" s="921"/>
      <c r="CS744" s="921"/>
      <c r="CT744" s="943"/>
      <c r="CU744" s="942">
        <f t="shared" si="33"/>
        <v>0</v>
      </c>
      <c r="CV744" s="921"/>
      <c r="CW744" s="921"/>
      <c r="CX744" s="921"/>
      <c r="CY744" s="943"/>
      <c r="CZ744" s="942">
        <f t="shared" si="34"/>
        <v>0</v>
      </c>
      <c r="DA744" s="921"/>
      <c r="DB744" s="921"/>
      <c r="DC744" s="921"/>
      <c r="DD744" s="943"/>
      <c r="DE744" s="942">
        <f t="shared" si="35"/>
        <v>0</v>
      </c>
      <c r="DF744" s="921"/>
      <c r="DG744" s="921"/>
      <c r="DH744" s="921"/>
      <c r="DI744" s="943"/>
      <c r="DJ744" s="942">
        <f t="shared" si="36"/>
        <v>0</v>
      </c>
      <c r="DK744" s="921"/>
      <c r="DL744" s="921"/>
      <c r="DM744" s="921"/>
      <c r="DN744" s="943"/>
      <c r="DO744" s="942">
        <f t="shared" si="37"/>
        <v>0</v>
      </c>
      <c r="DP744" s="921"/>
      <c r="DQ744" s="921"/>
      <c r="DR744" s="921"/>
      <c r="DS744" s="943"/>
      <c r="DT744" s="7"/>
      <c r="DU744" s="944">
        <f t="shared" si="38"/>
        <v>0</v>
      </c>
      <c r="DV744" s="921"/>
      <c r="DW744" s="921"/>
      <c r="DX744" s="921"/>
      <c r="DY744" s="943"/>
      <c r="DZ744" s="944">
        <f t="shared" si="39"/>
        <v>0</v>
      </c>
      <c r="EA744" s="921"/>
      <c r="EB744" s="921"/>
      <c r="EC744" s="921"/>
      <c r="ED744" s="943"/>
      <c r="EE744" s="944">
        <f t="shared" si="40"/>
        <v>0</v>
      </c>
      <c r="EF744" s="921"/>
      <c r="EG744" s="921"/>
      <c r="EH744" s="921"/>
      <c r="EI744" s="943"/>
      <c r="EJ744" s="944">
        <f t="shared" si="41"/>
        <v>0</v>
      </c>
      <c r="EK744" s="921"/>
      <c r="EL744" s="921"/>
      <c r="EM744" s="921"/>
      <c r="EN744" s="943"/>
      <c r="EO744" s="944">
        <f t="shared" si="42"/>
        <v>0</v>
      </c>
      <c r="EP744" s="921"/>
      <c r="EQ744" s="921"/>
      <c r="ER744" s="921"/>
      <c r="ES744" s="943"/>
      <c r="ET744" s="944">
        <f t="shared" si="43"/>
        <v>0</v>
      </c>
      <c r="EU744" s="921"/>
      <c r="EV744" s="921"/>
      <c r="EW744" s="921"/>
      <c r="EX744" s="943"/>
      <c r="EZ744" s="945" t="str">
        <f t="shared" si="44"/>
        <v/>
      </c>
      <c r="FA744" s="921"/>
      <c r="FB744" s="921"/>
      <c r="FC744" s="921"/>
      <c r="FD744" s="943"/>
      <c r="FE744" s="945" t="str">
        <f t="shared" si="45"/>
        <v/>
      </c>
      <c r="FF744" s="921"/>
      <c r="FG744" s="921"/>
      <c r="FH744" s="921"/>
      <c r="FI744" s="943"/>
      <c r="FJ744" s="945" t="str">
        <f t="shared" si="46"/>
        <v/>
      </c>
      <c r="FK744" s="921"/>
      <c r="FL744" s="921"/>
      <c r="FM744" s="921"/>
      <c r="FN744" s="943"/>
      <c r="FO744" s="945" t="str">
        <f t="shared" si="47"/>
        <v/>
      </c>
      <c r="FP744" s="921"/>
      <c r="FQ744" s="921"/>
      <c r="FR744" s="921"/>
      <c r="FS744" s="943"/>
      <c r="FT744" s="945" t="str">
        <f t="shared" si="48"/>
        <v/>
      </c>
      <c r="FU744" s="921"/>
      <c r="FV744" s="921"/>
      <c r="FW744" s="921"/>
      <c r="FX744" s="943"/>
      <c r="FY744" s="945" t="str">
        <f t="shared" si="49"/>
        <v/>
      </c>
      <c r="FZ744" s="921"/>
      <c r="GA744" s="921"/>
      <c r="GB744" s="921"/>
      <c r="GC744" s="943"/>
    </row>
    <row r="745" spans="2:185" ht="12.75" customHeight="1">
      <c r="B745" s="949"/>
      <c r="C745" s="921"/>
      <c r="D745" s="921"/>
      <c r="E745" s="921"/>
      <c r="F745" s="943"/>
      <c r="G745" s="950"/>
      <c r="H745" s="921"/>
      <c r="I745" s="921"/>
      <c r="J745" s="943"/>
      <c r="K745" s="951"/>
      <c r="L745" s="921"/>
      <c r="M745" s="921"/>
      <c r="N745" s="943"/>
      <c r="O745" s="952"/>
      <c r="P745" s="921"/>
      <c r="Q745" s="921"/>
      <c r="R745" s="921"/>
      <c r="S745" s="943"/>
      <c r="T745" s="952"/>
      <c r="U745" s="921"/>
      <c r="V745" s="921"/>
      <c r="W745" s="943"/>
      <c r="X745" s="953">
        <f t="shared" si="19"/>
        <v>0</v>
      </c>
      <c r="Y745" s="921"/>
      <c r="Z745" s="921"/>
      <c r="AA745" s="921"/>
      <c r="AB745" s="943"/>
      <c r="AC745" s="954"/>
      <c r="AD745" s="921"/>
      <c r="AE745" s="921"/>
      <c r="AF745" s="921"/>
      <c r="AG745" s="943"/>
      <c r="AH745" s="946" t="str">
        <f t="shared" si="20"/>
        <v/>
      </c>
      <c r="AI745" s="947"/>
      <c r="AJ745" s="948"/>
      <c r="AK745" s="949" t="s">
        <v>855</v>
      </c>
      <c r="AL745" s="921"/>
      <c r="AM745" s="921"/>
      <c r="AN745" s="921"/>
      <c r="AO745" s="943"/>
      <c r="AP745" s="1"/>
      <c r="AQ745" s="1"/>
      <c r="AR745" s="1"/>
      <c r="AS745" s="1"/>
      <c r="AY745" s="126"/>
      <c r="AZ745" s="17" t="str">
        <f t="shared" si="21"/>
        <v>N/A</v>
      </c>
      <c r="BA745" s="1"/>
      <c r="BE745" s="1"/>
      <c r="BF745" s="527">
        <f t="shared" si="22"/>
        <v>0</v>
      </c>
      <c r="BG745" s="407">
        <f t="shared" si="23"/>
        <v>0</v>
      </c>
      <c r="BH745" s="475" t="str">
        <f t="shared" si="24"/>
        <v/>
      </c>
      <c r="BK745" s="1"/>
      <c r="BL745" s="1"/>
      <c r="BM745" s="1"/>
      <c r="BN745" s="1"/>
      <c r="BS745" s="527">
        <f t="shared" si="25"/>
        <v>0</v>
      </c>
      <c r="BT745" s="407">
        <f t="shared" si="26"/>
        <v>0</v>
      </c>
      <c r="BU745" s="475" t="str">
        <f t="shared" si="27"/>
        <v/>
      </c>
      <c r="BV745" s="1"/>
      <c r="BW745" s="1"/>
      <c r="BX745" s="1"/>
      <c r="BY745" s="1"/>
      <c r="BZ745" s="1"/>
      <c r="CA745" s="1"/>
      <c r="CB745" s="1"/>
      <c r="CC745" s="1"/>
      <c r="CE745" s="1"/>
      <c r="CF745" s="1"/>
      <c r="CG745" s="945">
        <f t="shared" si="28"/>
        <v>0</v>
      </c>
      <c r="CH745" s="943"/>
      <c r="CI745" s="945">
        <f t="shared" si="29"/>
        <v>0</v>
      </c>
      <c r="CJ745" s="943"/>
      <c r="CK745" s="945">
        <f t="shared" si="30"/>
        <v>0</v>
      </c>
      <c r="CL745" s="943"/>
      <c r="CM745" s="945">
        <f t="shared" si="31"/>
        <v>0</v>
      </c>
      <c r="CN745" s="943"/>
      <c r="CO745" s="1"/>
      <c r="CP745" s="942">
        <f t="shared" si="32"/>
        <v>0</v>
      </c>
      <c r="CQ745" s="921"/>
      <c r="CR745" s="921"/>
      <c r="CS745" s="921"/>
      <c r="CT745" s="943"/>
      <c r="CU745" s="942">
        <f t="shared" si="33"/>
        <v>0</v>
      </c>
      <c r="CV745" s="921"/>
      <c r="CW745" s="921"/>
      <c r="CX745" s="921"/>
      <c r="CY745" s="943"/>
      <c r="CZ745" s="942">
        <f t="shared" si="34"/>
        <v>0</v>
      </c>
      <c r="DA745" s="921"/>
      <c r="DB745" s="921"/>
      <c r="DC745" s="921"/>
      <c r="DD745" s="943"/>
      <c r="DE745" s="942">
        <f t="shared" si="35"/>
        <v>0</v>
      </c>
      <c r="DF745" s="921"/>
      <c r="DG745" s="921"/>
      <c r="DH745" s="921"/>
      <c r="DI745" s="943"/>
      <c r="DJ745" s="942">
        <f t="shared" si="36"/>
        <v>0</v>
      </c>
      <c r="DK745" s="921"/>
      <c r="DL745" s="921"/>
      <c r="DM745" s="921"/>
      <c r="DN745" s="943"/>
      <c r="DO745" s="942">
        <f t="shared" si="37"/>
        <v>0</v>
      </c>
      <c r="DP745" s="921"/>
      <c r="DQ745" s="921"/>
      <c r="DR745" s="921"/>
      <c r="DS745" s="943"/>
      <c r="DT745" s="7"/>
      <c r="DU745" s="944">
        <f t="shared" si="38"/>
        <v>0</v>
      </c>
      <c r="DV745" s="921"/>
      <c r="DW745" s="921"/>
      <c r="DX745" s="921"/>
      <c r="DY745" s="943"/>
      <c r="DZ745" s="944">
        <f t="shared" si="39"/>
        <v>0</v>
      </c>
      <c r="EA745" s="921"/>
      <c r="EB745" s="921"/>
      <c r="EC745" s="921"/>
      <c r="ED745" s="943"/>
      <c r="EE745" s="944">
        <f t="shared" si="40"/>
        <v>0</v>
      </c>
      <c r="EF745" s="921"/>
      <c r="EG745" s="921"/>
      <c r="EH745" s="921"/>
      <c r="EI745" s="943"/>
      <c r="EJ745" s="944">
        <f t="shared" si="41"/>
        <v>0</v>
      </c>
      <c r="EK745" s="921"/>
      <c r="EL745" s="921"/>
      <c r="EM745" s="921"/>
      <c r="EN745" s="943"/>
      <c r="EO745" s="944">
        <f t="shared" si="42"/>
        <v>0</v>
      </c>
      <c r="EP745" s="921"/>
      <c r="EQ745" s="921"/>
      <c r="ER745" s="921"/>
      <c r="ES745" s="943"/>
      <c r="ET745" s="944">
        <f t="shared" si="43"/>
        <v>0</v>
      </c>
      <c r="EU745" s="921"/>
      <c r="EV745" s="921"/>
      <c r="EW745" s="921"/>
      <c r="EX745" s="943"/>
      <c r="EZ745" s="945" t="str">
        <f t="shared" si="44"/>
        <v/>
      </c>
      <c r="FA745" s="921"/>
      <c r="FB745" s="921"/>
      <c r="FC745" s="921"/>
      <c r="FD745" s="943"/>
      <c r="FE745" s="945" t="str">
        <f t="shared" si="45"/>
        <v/>
      </c>
      <c r="FF745" s="921"/>
      <c r="FG745" s="921"/>
      <c r="FH745" s="921"/>
      <c r="FI745" s="943"/>
      <c r="FJ745" s="945" t="str">
        <f t="shared" si="46"/>
        <v/>
      </c>
      <c r="FK745" s="921"/>
      <c r="FL745" s="921"/>
      <c r="FM745" s="921"/>
      <c r="FN745" s="943"/>
      <c r="FO745" s="945" t="str">
        <f t="shared" si="47"/>
        <v/>
      </c>
      <c r="FP745" s="921"/>
      <c r="FQ745" s="921"/>
      <c r="FR745" s="921"/>
      <c r="FS745" s="943"/>
      <c r="FT745" s="945" t="str">
        <f t="shared" si="48"/>
        <v/>
      </c>
      <c r="FU745" s="921"/>
      <c r="FV745" s="921"/>
      <c r="FW745" s="921"/>
      <c r="FX745" s="943"/>
      <c r="FY745" s="945" t="str">
        <f t="shared" si="49"/>
        <v/>
      </c>
      <c r="FZ745" s="921"/>
      <c r="GA745" s="921"/>
      <c r="GB745" s="921"/>
      <c r="GC745" s="943"/>
    </row>
    <row r="746" spans="2:185" ht="12.75" customHeight="1">
      <c r="B746" s="949"/>
      <c r="C746" s="921"/>
      <c r="D746" s="921"/>
      <c r="E746" s="921"/>
      <c r="F746" s="943"/>
      <c r="G746" s="950"/>
      <c r="H746" s="921"/>
      <c r="I746" s="921"/>
      <c r="J746" s="943"/>
      <c r="K746" s="951"/>
      <c r="L746" s="921"/>
      <c r="M746" s="921"/>
      <c r="N746" s="943"/>
      <c r="O746" s="952"/>
      <c r="P746" s="921"/>
      <c r="Q746" s="921"/>
      <c r="R746" s="921"/>
      <c r="S746" s="943"/>
      <c r="T746" s="952"/>
      <c r="U746" s="921"/>
      <c r="V746" s="921"/>
      <c r="W746" s="943"/>
      <c r="X746" s="953">
        <f t="shared" si="19"/>
        <v>0</v>
      </c>
      <c r="Y746" s="921"/>
      <c r="Z746" s="921"/>
      <c r="AA746" s="921"/>
      <c r="AB746" s="943"/>
      <c r="AC746" s="954"/>
      <c r="AD746" s="921"/>
      <c r="AE746" s="921"/>
      <c r="AF746" s="921"/>
      <c r="AG746" s="943"/>
      <c r="AH746" s="946" t="str">
        <f t="shared" si="20"/>
        <v/>
      </c>
      <c r="AI746" s="947"/>
      <c r="AJ746" s="948"/>
      <c r="AK746" s="949" t="s">
        <v>855</v>
      </c>
      <c r="AL746" s="921"/>
      <c r="AM746" s="921"/>
      <c r="AN746" s="921"/>
      <c r="AO746" s="943"/>
      <c r="AP746" s="1"/>
      <c r="AQ746" s="1"/>
      <c r="AR746" s="1"/>
      <c r="AS746" s="1"/>
      <c r="AY746" s="126"/>
      <c r="AZ746" s="17" t="str">
        <f t="shared" si="21"/>
        <v>N/A</v>
      </c>
      <c r="BA746" s="1"/>
      <c r="BE746" s="1"/>
      <c r="BF746" s="527">
        <f t="shared" si="22"/>
        <v>0</v>
      </c>
      <c r="BG746" s="407">
        <f t="shared" si="23"/>
        <v>0</v>
      </c>
      <c r="BH746" s="475" t="str">
        <f t="shared" si="24"/>
        <v/>
      </c>
      <c r="BK746" s="1"/>
      <c r="BL746" s="1"/>
      <c r="BM746" s="1"/>
      <c r="BN746" s="1"/>
      <c r="BS746" s="527">
        <f t="shared" si="25"/>
        <v>0</v>
      </c>
      <c r="BT746" s="407">
        <f t="shared" si="26"/>
        <v>0</v>
      </c>
      <c r="BU746" s="475" t="str">
        <f t="shared" si="27"/>
        <v/>
      </c>
      <c r="BV746" s="1"/>
      <c r="BW746" s="1"/>
      <c r="BX746" s="1"/>
      <c r="BY746" s="1"/>
      <c r="BZ746" s="1"/>
      <c r="CA746" s="1"/>
      <c r="CB746" s="1"/>
      <c r="CC746" s="1"/>
      <c r="CE746" s="1"/>
      <c r="CF746" s="1"/>
      <c r="CG746" s="945">
        <f t="shared" si="28"/>
        <v>0</v>
      </c>
      <c r="CH746" s="943"/>
      <c r="CI746" s="945">
        <f t="shared" si="29"/>
        <v>0</v>
      </c>
      <c r="CJ746" s="943"/>
      <c r="CK746" s="945">
        <f t="shared" si="30"/>
        <v>0</v>
      </c>
      <c r="CL746" s="943"/>
      <c r="CM746" s="945">
        <f t="shared" si="31"/>
        <v>0</v>
      </c>
      <c r="CN746" s="943"/>
      <c r="CO746" s="1"/>
      <c r="CP746" s="942">
        <f t="shared" si="32"/>
        <v>0</v>
      </c>
      <c r="CQ746" s="921"/>
      <c r="CR746" s="921"/>
      <c r="CS746" s="921"/>
      <c r="CT746" s="943"/>
      <c r="CU746" s="942">
        <f t="shared" si="33"/>
        <v>0</v>
      </c>
      <c r="CV746" s="921"/>
      <c r="CW746" s="921"/>
      <c r="CX746" s="921"/>
      <c r="CY746" s="943"/>
      <c r="CZ746" s="942">
        <f t="shared" si="34"/>
        <v>0</v>
      </c>
      <c r="DA746" s="921"/>
      <c r="DB746" s="921"/>
      <c r="DC746" s="921"/>
      <c r="DD746" s="943"/>
      <c r="DE746" s="942">
        <f t="shared" si="35"/>
        <v>0</v>
      </c>
      <c r="DF746" s="921"/>
      <c r="DG746" s="921"/>
      <c r="DH746" s="921"/>
      <c r="DI746" s="943"/>
      <c r="DJ746" s="942">
        <f t="shared" si="36"/>
        <v>0</v>
      </c>
      <c r="DK746" s="921"/>
      <c r="DL746" s="921"/>
      <c r="DM746" s="921"/>
      <c r="DN746" s="943"/>
      <c r="DO746" s="942">
        <f t="shared" si="37"/>
        <v>0</v>
      </c>
      <c r="DP746" s="921"/>
      <c r="DQ746" s="921"/>
      <c r="DR746" s="921"/>
      <c r="DS746" s="943"/>
      <c r="DT746" s="7"/>
      <c r="DU746" s="944">
        <f t="shared" si="38"/>
        <v>0</v>
      </c>
      <c r="DV746" s="921"/>
      <c r="DW746" s="921"/>
      <c r="DX746" s="921"/>
      <c r="DY746" s="943"/>
      <c r="DZ746" s="944">
        <f t="shared" si="39"/>
        <v>0</v>
      </c>
      <c r="EA746" s="921"/>
      <c r="EB746" s="921"/>
      <c r="EC746" s="921"/>
      <c r="ED746" s="943"/>
      <c r="EE746" s="944">
        <f t="shared" si="40"/>
        <v>0</v>
      </c>
      <c r="EF746" s="921"/>
      <c r="EG746" s="921"/>
      <c r="EH746" s="921"/>
      <c r="EI746" s="943"/>
      <c r="EJ746" s="944">
        <f t="shared" si="41"/>
        <v>0</v>
      </c>
      <c r="EK746" s="921"/>
      <c r="EL746" s="921"/>
      <c r="EM746" s="921"/>
      <c r="EN746" s="943"/>
      <c r="EO746" s="944">
        <f t="shared" si="42"/>
        <v>0</v>
      </c>
      <c r="EP746" s="921"/>
      <c r="EQ746" s="921"/>
      <c r="ER746" s="921"/>
      <c r="ES746" s="943"/>
      <c r="ET746" s="944">
        <f t="shared" si="43"/>
        <v>0</v>
      </c>
      <c r="EU746" s="921"/>
      <c r="EV746" s="921"/>
      <c r="EW746" s="921"/>
      <c r="EX746" s="943"/>
      <c r="EZ746" s="945" t="str">
        <f t="shared" si="44"/>
        <v/>
      </c>
      <c r="FA746" s="921"/>
      <c r="FB746" s="921"/>
      <c r="FC746" s="921"/>
      <c r="FD746" s="943"/>
      <c r="FE746" s="945" t="str">
        <f t="shared" si="45"/>
        <v/>
      </c>
      <c r="FF746" s="921"/>
      <c r="FG746" s="921"/>
      <c r="FH746" s="921"/>
      <c r="FI746" s="943"/>
      <c r="FJ746" s="945" t="str">
        <f t="shared" si="46"/>
        <v/>
      </c>
      <c r="FK746" s="921"/>
      <c r="FL746" s="921"/>
      <c r="FM746" s="921"/>
      <c r="FN746" s="943"/>
      <c r="FO746" s="945" t="str">
        <f t="shared" si="47"/>
        <v/>
      </c>
      <c r="FP746" s="921"/>
      <c r="FQ746" s="921"/>
      <c r="FR746" s="921"/>
      <c r="FS746" s="943"/>
      <c r="FT746" s="945" t="str">
        <f t="shared" si="48"/>
        <v/>
      </c>
      <c r="FU746" s="921"/>
      <c r="FV746" s="921"/>
      <c r="FW746" s="921"/>
      <c r="FX746" s="943"/>
      <c r="FY746" s="945" t="str">
        <f t="shared" si="49"/>
        <v/>
      </c>
      <c r="FZ746" s="921"/>
      <c r="GA746" s="921"/>
      <c r="GB746" s="921"/>
      <c r="GC746" s="943"/>
    </row>
    <row r="747" spans="2:185" ht="12.75" customHeight="1">
      <c r="B747" s="949"/>
      <c r="C747" s="921"/>
      <c r="D747" s="921"/>
      <c r="E747" s="921"/>
      <c r="F747" s="943"/>
      <c r="G747" s="950"/>
      <c r="H747" s="921"/>
      <c r="I747" s="921"/>
      <c r="J747" s="943"/>
      <c r="K747" s="951"/>
      <c r="L747" s="921"/>
      <c r="M747" s="921"/>
      <c r="N747" s="943"/>
      <c r="O747" s="952"/>
      <c r="P747" s="921"/>
      <c r="Q747" s="921"/>
      <c r="R747" s="921"/>
      <c r="S747" s="943"/>
      <c r="T747" s="952"/>
      <c r="U747" s="921"/>
      <c r="V747" s="921"/>
      <c r="W747" s="943"/>
      <c r="X747" s="953">
        <f t="shared" si="19"/>
        <v>0</v>
      </c>
      <c r="Y747" s="921"/>
      <c r="Z747" s="921"/>
      <c r="AA747" s="921"/>
      <c r="AB747" s="943"/>
      <c r="AC747" s="954"/>
      <c r="AD747" s="921"/>
      <c r="AE747" s="921"/>
      <c r="AF747" s="921"/>
      <c r="AG747" s="943"/>
      <c r="AH747" s="946" t="str">
        <f t="shared" si="20"/>
        <v/>
      </c>
      <c r="AI747" s="947"/>
      <c r="AJ747" s="948"/>
      <c r="AK747" s="949" t="s">
        <v>855</v>
      </c>
      <c r="AL747" s="921"/>
      <c r="AM747" s="921"/>
      <c r="AN747" s="921"/>
      <c r="AO747" s="943"/>
      <c r="AP747" s="1"/>
      <c r="AQ747" s="1"/>
      <c r="AR747" s="1"/>
      <c r="AS747" s="1"/>
      <c r="AY747" s="126"/>
      <c r="AZ747" s="17" t="str">
        <f t="shared" si="21"/>
        <v>N/A</v>
      </c>
      <c r="BA747" s="1"/>
      <c r="BE747" s="1"/>
      <c r="BF747" s="527">
        <f t="shared" si="22"/>
        <v>0</v>
      </c>
      <c r="BG747" s="407">
        <f t="shared" si="23"/>
        <v>0</v>
      </c>
      <c r="BH747" s="475" t="str">
        <f t="shared" si="24"/>
        <v/>
      </c>
      <c r="BK747" s="1"/>
      <c r="BL747" s="1"/>
      <c r="BM747" s="1"/>
      <c r="BN747" s="1"/>
      <c r="BS747" s="527">
        <f t="shared" si="25"/>
        <v>0</v>
      </c>
      <c r="BT747" s="407">
        <f t="shared" si="26"/>
        <v>0</v>
      </c>
      <c r="BU747" s="475" t="str">
        <f t="shared" si="27"/>
        <v/>
      </c>
      <c r="BV747" s="1"/>
      <c r="BW747" s="1"/>
      <c r="BX747" s="1"/>
      <c r="BY747" s="1"/>
      <c r="BZ747" s="1"/>
      <c r="CA747" s="1"/>
      <c r="CB747" s="1"/>
      <c r="CC747" s="1"/>
      <c r="CE747" s="1"/>
      <c r="CF747" s="1"/>
      <c r="CG747" s="945">
        <f t="shared" si="28"/>
        <v>0</v>
      </c>
      <c r="CH747" s="943"/>
      <c r="CI747" s="945">
        <f t="shared" si="29"/>
        <v>0</v>
      </c>
      <c r="CJ747" s="943"/>
      <c r="CK747" s="945">
        <f t="shared" si="30"/>
        <v>0</v>
      </c>
      <c r="CL747" s="943"/>
      <c r="CM747" s="945">
        <f t="shared" si="31"/>
        <v>0</v>
      </c>
      <c r="CN747" s="943"/>
      <c r="CO747" s="1"/>
      <c r="CP747" s="942">
        <f t="shared" si="32"/>
        <v>0</v>
      </c>
      <c r="CQ747" s="921"/>
      <c r="CR747" s="921"/>
      <c r="CS747" s="921"/>
      <c r="CT747" s="943"/>
      <c r="CU747" s="942">
        <f t="shared" si="33"/>
        <v>0</v>
      </c>
      <c r="CV747" s="921"/>
      <c r="CW747" s="921"/>
      <c r="CX747" s="921"/>
      <c r="CY747" s="943"/>
      <c r="CZ747" s="942">
        <f t="shared" si="34"/>
        <v>0</v>
      </c>
      <c r="DA747" s="921"/>
      <c r="DB747" s="921"/>
      <c r="DC747" s="921"/>
      <c r="DD747" s="943"/>
      <c r="DE747" s="942">
        <f t="shared" si="35"/>
        <v>0</v>
      </c>
      <c r="DF747" s="921"/>
      <c r="DG747" s="921"/>
      <c r="DH747" s="921"/>
      <c r="DI747" s="943"/>
      <c r="DJ747" s="942">
        <f t="shared" si="36"/>
        <v>0</v>
      </c>
      <c r="DK747" s="921"/>
      <c r="DL747" s="921"/>
      <c r="DM747" s="921"/>
      <c r="DN747" s="943"/>
      <c r="DO747" s="942">
        <f t="shared" si="37"/>
        <v>0</v>
      </c>
      <c r="DP747" s="921"/>
      <c r="DQ747" s="921"/>
      <c r="DR747" s="921"/>
      <c r="DS747" s="943"/>
      <c r="DT747" s="7"/>
      <c r="DU747" s="944">
        <f t="shared" si="38"/>
        <v>0</v>
      </c>
      <c r="DV747" s="921"/>
      <c r="DW747" s="921"/>
      <c r="DX747" s="921"/>
      <c r="DY747" s="943"/>
      <c r="DZ747" s="944">
        <f t="shared" si="39"/>
        <v>0</v>
      </c>
      <c r="EA747" s="921"/>
      <c r="EB747" s="921"/>
      <c r="EC747" s="921"/>
      <c r="ED747" s="943"/>
      <c r="EE747" s="944">
        <f t="shared" si="40"/>
        <v>0</v>
      </c>
      <c r="EF747" s="921"/>
      <c r="EG747" s="921"/>
      <c r="EH747" s="921"/>
      <c r="EI747" s="943"/>
      <c r="EJ747" s="944">
        <f t="shared" si="41"/>
        <v>0</v>
      </c>
      <c r="EK747" s="921"/>
      <c r="EL747" s="921"/>
      <c r="EM747" s="921"/>
      <c r="EN747" s="943"/>
      <c r="EO747" s="944">
        <f t="shared" si="42"/>
        <v>0</v>
      </c>
      <c r="EP747" s="921"/>
      <c r="EQ747" s="921"/>
      <c r="ER747" s="921"/>
      <c r="ES747" s="943"/>
      <c r="ET747" s="944">
        <f t="shared" si="43"/>
        <v>0</v>
      </c>
      <c r="EU747" s="921"/>
      <c r="EV747" s="921"/>
      <c r="EW747" s="921"/>
      <c r="EX747" s="943"/>
      <c r="EZ747" s="945" t="str">
        <f t="shared" si="44"/>
        <v/>
      </c>
      <c r="FA747" s="921"/>
      <c r="FB747" s="921"/>
      <c r="FC747" s="921"/>
      <c r="FD747" s="943"/>
      <c r="FE747" s="945" t="str">
        <f t="shared" si="45"/>
        <v/>
      </c>
      <c r="FF747" s="921"/>
      <c r="FG747" s="921"/>
      <c r="FH747" s="921"/>
      <c r="FI747" s="943"/>
      <c r="FJ747" s="945" t="str">
        <f t="shared" si="46"/>
        <v/>
      </c>
      <c r="FK747" s="921"/>
      <c r="FL747" s="921"/>
      <c r="FM747" s="921"/>
      <c r="FN747" s="943"/>
      <c r="FO747" s="945" t="str">
        <f t="shared" si="47"/>
        <v/>
      </c>
      <c r="FP747" s="921"/>
      <c r="FQ747" s="921"/>
      <c r="FR747" s="921"/>
      <c r="FS747" s="943"/>
      <c r="FT747" s="945" t="str">
        <f t="shared" si="48"/>
        <v/>
      </c>
      <c r="FU747" s="921"/>
      <c r="FV747" s="921"/>
      <c r="FW747" s="921"/>
      <c r="FX747" s="943"/>
      <c r="FY747" s="945" t="str">
        <f t="shared" si="49"/>
        <v/>
      </c>
      <c r="FZ747" s="921"/>
      <c r="GA747" s="921"/>
      <c r="GB747" s="921"/>
      <c r="GC747" s="943"/>
    </row>
    <row r="748" spans="2:185" ht="12.75" customHeight="1">
      <c r="B748" s="949"/>
      <c r="C748" s="921"/>
      <c r="D748" s="921"/>
      <c r="E748" s="921"/>
      <c r="F748" s="943"/>
      <c r="G748" s="950"/>
      <c r="H748" s="921"/>
      <c r="I748" s="921"/>
      <c r="J748" s="943"/>
      <c r="K748" s="951"/>
      <c r="L748" s="921"/>
      <c r="M748" s="921"/>
      <c r="N748" s="943"/>
      <c r="O748" s="952"/>
      <c r="P748" s="921"/>
      <c r="Q748" s="921"/>
      <c r="R748" s="921"/>
      <c r="S748" s="943"/>
      <c r="T748" s="952"/>
      <c r="U748" s="921"/>
      <c r="V748" s="921"/>
      <c r="W748" s="943"/>
      <c r="X748" s="953">
        <f t="shared" si="19"/>
        <v>0</v>
      </c>
      <c r="Y748" s="921"/>
      <c r="Z748" s="921"/>
      <c r="AA748" s="921"/>
      <c r="AB748" s="943"/>
      <c r="AC748" s="954"/>
      <c r="AD748" s="921"/>
      <c r="AE748" s="921"/>
      <c r="AF748" s="921"/>
      <c r="AG748" s="943"/>
      <c r="AH748" s="946" t="str">
        <f t="shared" si="20"/>
        <v/>
      </c>
      <c r="AI748" s="947"/>
      <c r="AJ748" s="948"/>
      <c r="AK748" s="949" t="s">
        <v>855</v>
      </c>
      <c r="AL748" s="921"/>
      <c r="AM748" s="921"/>
      <c r="AN748" s="921"/>
      <c r="AO748" s="943"/>
      <c r="AP748" s="1"/>
      <c r="AQ748" s="1"/>
      <c r="AR748" s="1"/>
      <c r="AS748" s="1"/>
      <c r="AY748" s="126"/>
      <c r="AZ748" s="17" t="str">
        <f t="shared" si="21"/>
        <v>N/A</v>
      </c>
      <c r="BA748" s="1"/>
      <c r="BB748" s="1"/>
      <c r="BE748" s="1"/>
      <c r="BF748" s="527">
        <f t="shared" si="22"/>
        <v>0</v>
      </c>
      <c r="BG748" s="407">
        <f t="shared" si="23"/>
        <v>0</v>
      </c>
      <c r="BH748" s="475" t="str">
        <f t="shared" si="24"/>
        <v/>
      </c>
      <c r="BL748" s="1"/>
      <c r="BM748" s="1"/>
      <c r="BN748" s="1"/>
      <c r="BS748" s="527">
        <f t="shared" si="25"/>
        <v>0</v>
      </c>
      <c r="BT748" s="407">
        <f t="shared" si="26"/>
        <v>0</v>
      </c>
      <c r="BU748" s="475" t="str">
        <f t="shared" si="27"/>
        <v/>
      </c>
      <c r="BV748" s="1"/>
      <c r="BW748" s="1"/>
      <c r="BX748" s="1"/>
      <c r="BY748" s="1"/>
      <c r="BZ748" s="1"/>
      <c r="CA748" s="1"/>
      <c r="CB748" s="1"/>
      <c r="CC748" s="1"/>
      <c r="CE748" s="1"/>
      <c r="CF748" s="1"/>
      <c r="CG748" s="945">
        <f t="shared" si="28"/>
        <v>0</v>
      </c>
      <c r="CH748" s="943"/>
      <c r="CI748" s="945">
        <f t="shared" si="29"/>
        <v>0</v>
      </c>
      <c r="CJ748" s="943"/>
      <c r="CK748" s="945">
        <f t="shared" si="30"/>
        <v>0</v>
      </c>
      <c r="CL748" s="943"/>
      <c r="CM748" s="945">
        <f t="shared" si="31"/>
        <v>0</v>
      </c>
      <c r="CN748" s="943"/>
      <c r="CO748" s="1"/>
      <c r="CP748" s="942">
        <f t="shared" si="32"/>
        <v>0</v>
      </c>
      <c r="CQ748" s="921"/>
      <c r="CR748" s="921"/>
      <c r="CS748" s="921"/>
      <c r="CT748" s="943"/>
      <c r="CU748" s="942">
        <f t="shared" si="33"/>
        <v>0</v>
      </c>
      <c r="CV748" s="921"/>
      <c r="CW748" s="921"/>
      <c r="CX748" s="921"/>
      <c r="CY748" s="943"/>
      <c r="CZ748" s="942">
        <f t="shared" si="34"/>
        <v>0</v>
      </c>
      <c r="DA748" s="921"/>
      <c r="DB748" s="921"/>
      <c r="DC748" s="921"/>
      <c r="DD748" s="943"/>
      <c r="DE748" s="942">
        <f t="shared" si="35"/>
        <v>0</v>
      </c>
      <c r="DF748" s="921"/>
      <c r="DG748" s="921"/>
      <c r="DH748" s="921"/>
      <c r="DI748" s="943"/>
      <c r="DJ748" s="942">
        <f t="shared" si="36"/>
        <v>0</v>
      </c>
      <c r="DK748" s="921"/>
      <c r="DL748" s="921"/>
      <c r="DM748" s="921"/>
      <c r="DN748" s="943"/>
      <c r="DO748" s="942">
        <f t="shared" si="37"/>
        <v>0</v>
      </c>
      <c r="DP748" s="921"/>
      <c r="DQ748" s="921"/>
      <c r="DR748" s="921"/>
      <c r="DS748" s="943"/>
      <c r="DT748" s="7"/>
      <c r="DU748" s="944">
        <f t="shared" si="38"/>
        <v>0</v>
      </c>
      <c r="DV748" s="921"/>
      <c r="DW748" s="921"/>
      <c r="DX748" s="921"/>
      <c r="DY748" s="943"/>
      <c r="DZ748" s="944">
        <f t="shared" si="39"/>
        <v>0</v>
      </c>
      <c r="EA748" s="921"/>
      <c r="EB748" s="921"/>
      <c r="EC748" s="921"/>
      <c r="ED748" s="943"/>
      <c r="EE748" s="944">
        <f t="shared" si="40"/>
        <v>0</v>
      </c>
      <c r="EF748" s="921"/>
      <c r="EG748" s="921"/>
      <c r="EH748" s="921"/>
      <c r="EI748" s="943"/>
      <c r="EJ748" s="944">
        <f t="shared" si="41"/>
        <v>0</v>
      </c>
      <c r="EK748" s="921"/>
      <c r="EL748" s="921"/>
      <c r="EM748" s="921"/>
      <c r="EN748" s="943"/>
      <c r="EO748" s="944">
        <f t="shared" si="42"/>
        <v>0</v>
      </c>
      <c r="EP748" s="921"/>
      <c r="EQ748" s="921"/>
      <c r="ER748" s="921"/>
      <c r="ES748" s="943"/>
      <c r="ET748" s="944">
        <f t="shared" si="43"/>
        <v>0</v>
      </c>
      <c r="EU748" s="921"/>
      <c r="EV748" s="921"/>
      <c r="EW748" s="921"/>
      <c r="EX748" s="943"/>
      <c r="EZ748" s="945" t="str">
        <f t="shared" si="44"/>
        <v/>
      </c>
      <c r="FA748" s="921"/>
      <c r="FB748" s="921"/>
      <c r="FC748" s="921"/>
      <c r="FD748" s="943"/>
      <c r="FE748" s="945" t="str">
        <f t="shared" si="45"/>
        <v/>
      </c>
      <c r="FF748" s="921"/>
      <c r="FG748" s="921"/>
      <c r="FH748" s="921"/>
      <c r="FI748" s="943"/>
      <c r="FJ748" s="945" t="str">
        <f t="shared" si="46"/>
        <v/>
      </c>
      <c r="FK748" s="921"/>
      <c r="FL748" s="921"/>
      <c r="FM748" s="921"/>
      <c r="FN748" s="943"/>
      <c r="FO748" s="945" t="str">
        <f t="shared" si="47"/>
        <v/>
      </c>
      <c r="FP748" s="921"/>
      <c r="FQ748" s="921"/>
      <c r="FR748" s="921"/>
      <c r="FS748" s="943"/>
      <c r="FT748" s="945" t="str">
        <f t="shared" si="48"/>
        <v/>
      </c>
      <c r="FU748" s="921"/>
      <c r="FV748" s="921"/>
      <c r="FW748" s="921"/>
      <c r="FX748" s="943"/>
      <c r="FY748" s="945" t="str">
        <f t="shared" si="49"/>
        <v/>
      </c>
      <c r="FZ748" s="921"/>
      <c r="GA748" s="921"/>
      <c r="GB748" s="921"/>
      <c r="GC748" s="943"/>
    </row>
    <row r="749" spans="2:185" ht="12.75" customHeight="1">
      <c r="B749" s="949"/>
      <c r="C749" s="921"/>
      <c r="D749" s="921"/>
      <c r="E749" s="921"/>
      <c r="F749" s="943"/>
      <c r="G749" s="950"/>
      <c r="H749" s="921"/>
      <c r="I749" s="921"/>
      <c r="J749" s="943"/>
      <c r="K749" s="951"/>
      <c r="L749" s="921"/>
      <c r="M749" s="921"/>
      <c r="N749" s="943"/>
      <c r="O749" s="952"/>
      <c r="P749" s="921"/>
      <c r="Q749" s="921"/>
      <c r="R749" s="921"/>
      <c r="S749" s="943"/>
      <c r="T749" s="952"/>
      <c r="U749" s="921"/>
      <c r="V749" s="921"/>
      <c r="W749" s="943"/>
      <c r="X749" s="953">
        <f t="shared" si="19"/>
        <v>0</v>
      </c>
      <c r="Y749" s="921"/>
      <c r="Z749" s="921"/>
      <c r="AA749" s="921"/>
      <c r="AB749" s="943"/>
      <c r="AC749" s="954"/>
      <c r="AD749" s="921"/>
      <c r="AE749" s="921"/>
      <c r="AF749" s="921"/>
      <c r="AG749" s="943"/>
      <c r="AH749" s="946" t="str">
        <f t="shared" si="20"/>
        <v/>
      </c>
      <c r="AI749" s="947"/>
      <c r="AJ749" s="948"/>
      <c r="AK749" s="949" t="s">
        <v>855</v>
      </c>
      <c r="AL749" s="921"/>
      <c r="AM749" s="921"/>
      <c r="AN749" s="921"/>
      <c r="AO749" s="943"/>
      <c r="AP749" s="1"/>
      <c r="AQ749" s="1"/>
      <c r="AR749" s="1"/>
      <c r="AS749" s="1"/>
      <c r="AY749" s="126"/>
      <c r="AZ749" s="17" t="str">
        <f t="shared" si="21"/>
        <v>N/A</v>
      </c>
      <c r="BA749" s="1"/>
      <c r="BB749" s="1"/>
      <c r="BC749" s="1"/>
      <c r="BF749" s="527">
        <f t="shared" si="22"/>
        <v>0</v>
      </c>
      <c r="BG749" s="407">
        <f t="shared" si="23"/>
        <v>0</v>
      </c>
      <c r="BH749" s="475" t="str">
        <f t="shared" si="24"/>
        <v/>
      </c>
      <c r="BS749" s="527">
        <f t="shared" si="25"/>
        <v>0</v>
      </c>
      <c r="BT749" s="407">
        <f t="shared" si="26"/>
        <v>0</v>
      </c>
      <c r="BU749" s="475" t="str">
        <f t="shared" si="27"/>
        <v/>
      </c>
      <c r="BV749" s="1"/>
      <c r="BW749" s="1"/>
      <c r="BX749" s="1"/>
      <c r="BY749" s="1"/>
      <c r="BZ749" s="1"/>
      <c r="CA749" s="1"/>
      <c r="CB749" s="1"/>
      <c r="CC749" s="1"/>
      <c r="CE749" s="1"/>
      <c r="CF749" s="1"/>
      <c r="CG749" s="945">
        <f t="shared" si="28"/>
        <v>0</v>
      </c>
      <c r="CH749" s="943"/>
      <c r="CI749" s="945">
        <f t="shared" si="29"/>
        <v>0</v>
      </c>
      <c r="CJ749" s="943"/>
      <c r="CK749" s="945">
        <f t="shared" si="30"/>
        <v>0</v>
      </c>
      <c r="CL749" s="943"/>
      <c r="CM749" s="945">
        <f t="shared" si="31"/>
        <v>0</v>
      </c>
      <c r="CN749" s="943"/>
      <c r="CO749" s="1"/>
      <c r="CP749" s="942">
        <f t="shared" si="32"/>
        <v>0</v>
      </c>
      <c r="CQ749" s="921"/>
      <c r="CR749" s="921"/>
      <c r="CS749" s="921"/>
      <c r="CT749" s="943"/>
      <c r="CU749" s="942">
        <f t="shared" si="33"/>
        <v>0</v>
      </c>
      <c r="CV749" s="921"/>
      <c r="CW749" s="921"/>
      <c r="CX749" s="921"/>
      <c r="CY749" s="943"/>
      <c r="CZ749" s="942">
        <f t="shared" si="34"/>
        <v>0</v>
      </c>
      <c r="DA749" s="921"/>
      <c r="DB749" s="921"/>
      <c r="DC749" s="921"/>
      <c r="DD749" s="943"/>
      <c r="DE749" s="942">
        <f t="shared" si="35"/>
        <v>0</v>
      </c>
      <c r="DF749" s="921"/>
      <c r="DG749" s="921"/>
      <c r="DH749" s="921"/>
      <c r="DI749" s="943"/>
      <c r="DJ749" s="942">
        <f t="shared" si="36"/>
        <v>0</v>
      </c>
      <c r="DK749" s="921"/>
      <c r="DL749" s="921"/>
      <c r="DM749" s="921"/>
      <c r="DN749" s="943"/>
      <c r="DO749" s="942">
        <f t="shared" si="37"/>
        <v>0</v>
      </c>
      <c r="DP749" s="921"/>
      <c r="DQ749" s="921"/>
      <c r="DR749" s="921"/>
      <c r="DS749" s="943"/>
      <c r="DT749" s="7"/>
      <c r="DU749" s="944">
        <f t="shared" si="38"/>
        <v>0</v>
      </c>
      <c r="DV749" s="921"/>
      <c r="DW749" s="921"/>
      <c r="DX749" s="921"/>
      <c r="DY749" s="943"/>
      <c r="DZ749" s="944">
        <f t="shared" si="39"/>
        <v>0</v>
      </c>
      <c r="EA749" s="921"/>
      <c r="EB749" s="921"/>
      <c r="EC749" s="921"/>
      <c r="ED749" s="943"/>
      <c r="EE749" s="944">
        <f t="shared" si="40"/>
        <v>0</v>
      </c>
      <c r="EF749" s="921"/>
      <c r="EG749" s="921"/>
      <c r="EH749" s="921"/>
      <c r="EI749" s="943"/>
      <c r="EJ749" s="944">
        <f t="shared" si="41"/>
        <v>0</v>
      </c>
      <c r="EK749" s="921"/>
      <c r="EL749" s="921"/>
      <c r="EM749" s="921"/>
      <c r="EN749" s="943"/>
      <c r="EO749" s="944">
        <f t="shared" si="42"/>
        <v>0</v>
      </c>
      <c r="EP749" s="921"/>
      <c r="EQ749" s="921"/>
      <c r="ER749" s="921"/>
      <c r="ES749" s="943"/>
      <c r="ET749" s="944">
        <f t="shared" si="43"/>
        <v>0</v>
      </c>
      <c r="EU749" s="921"/>
      <c r="EV749" s="921"/>
      <c r="EW749" s="921"/>
      <c r="EX749" s="943"/>
      <c r="EZ749" s="945" t="str">
        <f t="shared" si="44"/>
        <v/>
      </c>
      <c r="FA749" s="921"/>
      <c r="FB749" s="921"/>
      <c r="FC749" s="921"/>
      <c r="FD749" s="943"/>
      <c r="FE749" s="945" t="str">
        <f t="shared" si="45"/>
        <v/>
      </c>
      <c r="FF749" s="921"/>
      <c r="FG749" s="921"/>
      <c r="FH749" s="921"/>
      <c r="FI749" s="943"/>
      <c r="FJ749" s="945" t="str">
        <f t="shared" si="46"/>
        <v/>
      </c>
      <c r="FK749" s="921"/>
      <c r="FL749" s="921"/>
      <c r="FM749" s="921"/>
      <c r="FN749" s="943"/>
      <c r="FO749" s="945" t="str">
        <f t="shared" si="47"/>
        <v/>
      </c>
      <c r="FP749" s="921"/>
      <c r="FQ749" s="921"/>
      <c r="FR749" s="921"/>
      <c r="FS749" s="943"/>
      <c r="FT749" s="945" t="str">
        <f t="shared" si="48"/>
        <v/>
      </c>
      <c r="FU749" s="921"/>
      <c r="FV749" s="921"/>
      <c r="FW749" s="921"/>
      <c r="FX749" s="943"/>
      <c r="FY749" s="945" t="str">
        <f t="shared" si="49"/>
        <v/>
      </c>
      <c r="FZ749" s="921"/>
      <c r="GA749" s="921"/>
      <c r="GB749" s="921"/>
      <c r="GC749" s="943"/>
    </row>
    <row r="750" spans="2:185" ht="12.75" customHeight="1">
      <c r="B750" s="949"/>
      <c r="C750" s="921"/>
      <c r="D750" s="921"/>
      <c r="E750" s="921"/>
      <c r="F750" s="943"/>
      <c r="G750" s="950"/>
      <c r="H750" s="921"/>
      <c r="I750" s="921"/>
      <c r="J750" s="943"/>
      <c r="K750" s="951"/>
      <c r="L750" s="921"/>
      <c r="M750" s="921"/>
      <c r="N750" s="943"/>
      <c r="O750" s="952"/>
      <c r="P750" s="921"/>
      <c r="Q750" s="921"/>
      <c r="R750" s="921"/>
      <c r="S750" s="943"/>
      <c r="T750" s="952"/>
      <c r="U750" s="921"/>
      <c r="V750" s="921"/>
      <c r="W750" s="943"/>
      <c r="X750" s="953">
        <f t="shared" si="19"/>
        <v>0</v>
      </c>
      <c r="Y750" s="921"/>
      <c r="Z750" s="921"/>
      <c r="AA750" s="921"/>
      <c r="AB750" s="943"/>
      <c r="AC750" s="954"/>
      <c r="AD750" s="921"/>
      <c r="AE750" s="921"/>
      <c r="AF750" s="921"/>
      <c r="AG750" s="943"/>
      <c r="AH750" s="946" t="str">
        <f t="shared" si="20"/>
        <v/>
      </c>
      <c r="AI750" s="947"/>
      <c r="AJ750" s="948"/>
      <c r="AK750" s="949" t="s">
        <v>855</v>
      </c>
      <c r="AL750" s="921"/>
      <c r="AM750" s="921"/>
      <c r="AN750" s="921"/>
      <c r="AO750" s="943"/>
      <c r="AP750" s="1"/>
      <c r="AQ750" s="1"/>
      <c r="AR750" s="1"/>
      <c r="AS750" s="1"/>
      <c r="AY750" s="126"/>
      <c r="AZ750" s="17" t="str">
        <f t="shared" si="21"/>
        <v>N/A</v>
      </c>
      <c r="BA750" s="1"/>
      <c r="BB750" s="1"/>
      <c r="BC750" s="1"/>
      <c r="BD750" s="1"/>
      <c r="BE750" s="1"/>
      <c r="BF750" s="527">
        <f t="shared" si="22"/>
        <v>0</v>
      </c>
      <c r="BG750" s="407">
        <f t="shared" si="23"/>
        <v>0</v>
      </c>
      <c r="BH750" s="475" t="str">
        <f t="shared" si="24"/>
        <v/>
      </c>
      <c r="BI750" s="1"/>
      <c r="BJ750" s="1"/>
      <c r="BK750" s="1"/>
      <c r="BL750" s="1"/>
      <c r="BM750" s="1"/>
      <c r="BN750" s="1"/>
      <c r="BS750" s="527">
        <f t="shared" si="25"/>
        <v>0</v>
      </c>
      <c r="BT750" s="407">
        <f t="shared" si="26"/>
        <v>0</v>
      </c>
      <c r="BU750" s="475" t="str">
        <f t="shared" si="27"/>
        <v/>
      </c>
      <c r="BV750" s="1"/>
      <c r="BW750" s="1"/>
      <c r="BX750" s="1"/>
      <c r="BY750" s="1"/>
      <c r="BZ750" s="1"/>
      <c r="CA750" s="1"/>
      <c r="CB750" s="1"/>
      <c r="CC750" s="1"/>
      <c r="CE750" s="1"/>
      <c r="CF750" s="1"/>
      <c r="CG750" s="945">
        <f t="shared" si="28"/>
        <v>0</v>
      </c>
      <c r="CH750" s="943"/>
      <c r="CI750" s="945">
        <f t="shared" si="29"/>
        <v>0</v>
      </c>
      <c r="CJ750" s="943"/>
      <c r="CK750" s="945">
        <f t="shared" si="30"/>
        <v>0</v>
      </c>
      <c r="CL750" s="943"/>
      <c r="CM750" s="945">
        <f t="shared" si="31"/>
        <v>0</v>
      </c>
      <c r="CN750" s="943"/>
      <c r="CO750" s="1"/>
      <c r="CP750" s="942">
        <f t="shared" si="32"/>
        <v>0</v>
      </c>
      <c r="CQ750" s="921"/>
      <c r="CR750" s="921"/>
      <c r="CS750" s="921"/>
      <c r="CT750" s="943"/>
      <c r="CU750" s="942">
        <f t="shared" si="33"/>
        <v>0</v>
      </c>
      <c r="CV750" s="921"/>
      <c r="CW750" s="921"/>
      <c r="CX750" s="921"/>
      <c r="CY750" s="943"/>
      <c r="CZ750" s="942">
        <f t="shared" si="34"/>
        <v>0</v>
      </c>
      <c r="DA750" s="921"/>
      <c r="DB750" s="921"/>
      <c r="DC750" s="921"/>
      <c r="DD750" s="943"/>
      <c r="DE750" s="942">
        <f t="shared" si="35"/>
        <v>0</v>
      </c>
      <c r="DF750" s="921"/>
      <c r="DG750" s="921"/>
      <c r="DH750" s="921"/>
      <c r="DI750" s="943"/>
      <c r="DJ750" s="942">
        <f t="shared" si="36"/>
        <v>0</v>
      </c>
      <c r="DK750" s="921"/>
      <c r="DL750" s="921"/>
      <c r="DM750" s="921"/>
      <c r="DN750" s="943"/>
      <c r="DO750" s="942">
        <f t="shared" si="37"/>
        <v>0</v>
      </c>
      <c r="DP750" s="921"/>
      <c r="DQ750" s="921"/>
      <c r="DR750" s="921"/>
      <c r="DS750" s="943"/>
      <c r="DT750" s="7"/>
      <c r="DU750" s="944">
        <f t="shared" si="38"/>
        <v>0</v>
      </c>
      <c r="DV750" s="921"/>
      <c r="DW750" s="921"/>
      <c r="DX750" s="921"/>
      <c r="DY750" s="943"/>
      <c r="DZ750" s="944">
        <f t="shared" si="39"/>
        <v>0</v>
      </c>
      <c r="EA750" s="921"/>
      <c r="EB750" s="921"/>
      <c r="EC750" s="921"/>
      <c r="ED750" s="943"/>
      <c r="EE750" s="944">
        <f t="shared" si="40"/>
        <v>0</v>
      </c>
      <c r="EF750" s="921"/>
      <c r="EG750" s="921"/>
      <c r="EH750" s="921"/>
      <c r="EI750" s="943"/>
      <c r="EJ750" s="944">
        <f t="shared" si="41"/>
        <v>0</v>
      </c>
      <c r="EK750" s="921"/>
      <c r="EL750" s="921"/>
      <c r="EM750" s="921"/>
      <c r="EN750" s="943"/>
      <c r="EO750" s="944">
        <f t="shared" si="42"/>
        <v>0</v>
      </c>
      <c r="EP750" s="921"/>
      <c r="EQ750" s="921"/>
      <c r="ER750" s="921"/>
      <c r="ES750" s="943"/>
      <c r="ET750" s="944">
        <f t="shared" si="43"/>
        <v>0</v>
      </c>
      <c r="EU750" s="921"/>
      <c r="EV750" s="921"/>
      <c r="EW750" s="921"/>
      <c r="EX750" s="943"/>
      <c r="EZ750" s="945" t="str">
        <f t="shared" si="44"/>
        <v/>
      </c>
      <c r="FA750" s="921"/>
      <c r="FB750" s="921"/>
      <c r="FC750" s="921"/>
      <c r="FD750" s="943"/>
      <c r="FE750" s="945" t="str">
        <f t="shared" si="45"/>
        <v/>
      </c>
      <c r="FF750" s="921"/>
      <c r="FG750" s="921"/>
      <c r="FH750" s="921"/>
      <c r="FI750" s="943"/>
      <c r="FJ750" s="945" t="str">
        <f t="shared" si="46"/>
        <v/>
      </c>
      <c r="FK750" s="921"/>
      <c r="FL750" s="921"/>
      <c r="FM750" s="921"/>
      <c r="FN750" s="943"/>
      <c r="FO750" s="945" t="str">
        <f t="shared" si="47"/>
        <v/>
      </c>
      <c r="FP750" s="921"/>
      <c r="FQ750" s="921"/>
      <c r="FR750" s="921"/>
      <c r="FS750" s="943"/>
      <c r="FT750" s="945" t="str">
        <f t="shared" si="48"/>
        <v/>
      </c>
      <c r="FU750" s="921"/>
      <c r="FV750" s="921"/>
      <c r="FW750" s="921"/>
      <c r="FX750" s="943"/>
      <c r="FY750" s="945" t="str">
        <f t="shared" si="49"/>
        <v/>
      </c>
      <c r="FZ750" s="921"/>
      <c r="GA750" s="921"/>
      <c r="GB750" s="921"/>
      <c r="GC750" s="943"/>
    </row>
    <row r="751" spans="2:185" ht="12.75" customHeight="1">
      <c r="B751" s="949"/>
      <c r="C751" s="921"/>
      <c r="D751" s="921"/>
      <c r="E751" s="921"/>
      <c r="F751" s="943"/>
      <c r="G751" s="950"/>
      <c r="H751" s="921"/>
      <c r="I751" s="921"/>
      <c r="J751" s="943"/>
      <c r="K751" s="951"/>
      <c r="L751" s="921"/>
      <c r="M751" s="921"/>
      <c r="N751" s="943"/>
      <c r="O751" s="952"/>
      <c r="P751" s="921"/>
      <c r="Q751" s="921"/>
      <c r="R751" s="921"/>
      <c r="S751" s="943"/>
      <c r="T751" s="952"/>
      <c r="U751" s="921"/>
      <c r="V751" s="921"/>
      <c r="W751" s="943"/>
      <c r="X751" s="953">
        <f t="shared" si="19"/>
        <v>0</v>
      </c>
      <c r="Y751" s="921"/>
      <c r="Z751" s="921"/>
      <c r="AA751" s="921"/>
      <c r="AB751" s="943"/>
      <c r="AC751" s="954"/>
      <c r="AD751" s="921"/>
      <c r="AE751" s="921"/>
      <c r="AF751" s="921"/>
      <c r="AG751" s="943"/>
      <c r="AH751" s="946" t="str">
        <f t="shared" si="20"/>
        <v/>
      </c>
      <c r="AI751" s="947"/>
      <c r="AJ751" s="948"/>
      <c r="AK751" s="949" t="s">
        <v>855</v>
      </c>
      <c r="AL751" s="921"/>
      <c r="AM751" s="921"/>
      <c r="AN751" s="921"/>
      <c r="AO751" s="943"/>
      <c r="AP751" s="1"/>
      <c r="AQ751" s="1"/>
      <c r="AR751" s="1"/>
      <c r="AS751" s="1"/>
      <c r="AY751" s="126"/>
      <c r="AZ751" s="17" t="str">
        <f t="shared" si="21"/>
        <v>N/A</v>
      </c>
      <c r="BA751" s="1"/>
      <c r="BB751" s="1"/>
      <c r="BC751" s="1"/>
      <c r="BD751" s="1"/>
      <c r="BE751" s="1"/>
      <c r="BF751" s="527">
        <f t="shared" si="22"/>
        <v>0</v>
      </c>
      <c r="BG751" s="407">
        <f t="shared" si="23"/>
        <v>0</v>
      </c>
      <c r="BH751" s="475" t="str">
        <f t="shared" si="24"/>
        <v/>
      </c>
      <c r="BI751" s="1"/>
      <c r="BJ751" s="1"/>
      <c r="BK751" s="1"/>
      <c r="BL751" s="1"/>
      <c r="BM751" s="1"/>
      <c r="BN751" s="1"/>
      <c r="BS751" s="527">
        <f t="shared" si="25"/>
        <v>0</v>
      </c>
      <c r="BT751" s="407">
        <f t="shared" si="26"/>
        <v>0</v>
      </c>
      <c r="BU751" s="475" t="str">
        <f t="shared" si="27"/>
        <v/>
      </c>
      <c r="BV751" s="1"/>
      <c r="BW751" s="1"/>
      <c r="BX751" s="1"/>
      <c r="BY751" s="1"/>
      <c r="BZ751" s="1"/>
      <c r="CA751" s="1"/>
      <c r="CB751" s="1"/>
      <c r="CC751" s="1"/>
      <c r="CE751" s="1"/>
      <c r="CF751" s="1"/>
      <c r="CG751" s="945">
        <f t="shared" si="28"/>
        <v>0</v>
      </c>
      <c r="CH751" s="943"/>
      <c r="CI751" s="945">
        <f t="shared" si="29"/>
        <v>0</v>
      </c>
      <c r="CJ751" s="943"/>
      <c r="CK751" s="945">
        <f t="shared" si="30"/>
        <v>0</v>
      </c>
      <c r="CL751" s="943"/>
      <c r="CM751" s="945">
        <f t="shared" si="31"/>
        <v>0</v>
      </c>
      <c r="CN751" s="943"/>
      <c r="CO751" s="1"/>
      <c r="CP751" s="942">
        <f t="shared" si="32"/>
        <v>0</v>
      </c>
      <c r="CQ751" s="921"/>
      <c r="CR751" s="921"/>
      <c r="CS751" s="921"/>
      <c r="CT751" s="943"/>
      <c r="CU751" s="942">
        <f t="shared" si="33"/>
        <v>0</v>
      </c>
      <c r="CV751" s="921"/>
      <c r="CW751" s="921"/>
      <c r="CX751" s="921"/>
      <c r="CY751" s="943"/>
      <c r="CZ751" s="942">
        <f t="shared" si="34"/>
        <v>0</v>
      </c>
      <c r="DA751" s="921"/>
      <c r="DB751" s="921"/>
      <c r="DC751" s="921"/>
      <c r="DD751" s="943"/>
      <c r="DE751" s="942">
        <f t="shared" si="35"/>
        <v>0</v>
      </c>
      <c r="DF751" s="921"/>
      <c r="DG751" s="921"/>
      <c r="DH751" s="921"/>
      <c r="DI751" s="943"/>
      <c r="DJ751" s="942">
        <f t="shared" si="36"/>
        <v>0</v>
      </c>
      <c r="DK751" s="921"/>
      <c r="DL751" s="921"/>
      <c r="DM751" s="921"/>
      <c r="DN751" s="943"/>
      <c r="DO751" s="942">
        <f t="shared" si="37"/>
        <v>0</v>
      </c>
      <c r="DP751" s="921"/>
      <c r="DQ751" s="921"/>
      <c r="DR751" s="921"/>
      <c r="DS751" s="943"/>
      <c r="DT751" s="7"/>
      <c r="DU751" s="944">
        <f t="shared" si="38"/>
        <v>0</v>
      </c>
      <c r="DV751" s="921"/>
      <c r="DW751" s="921"/>
      <c r="DX751" s="921"/>
      <c r="DY751" s="943"/>
      <c r="DZ751" s="944">
        <f t="shared" si="39"/>
        <v>0</v>
      </c>
      <c r="EA751" s="921"/>
      <c r="EB751" s="921"/>
      <c r="EC751" s="921"/>
      <c r="ED751" s="943"/>
      <c r="EE751" s="944">
        <f t="shared" si="40"/>
        <v>0</v>
      </c>
      <c r="EF751" s="921"/>
      <c r="EG751" s="921"/>
      <c r="EH751" s="921"/>
      <c r="EI751" s="943"/>
      <c r="EJ751" s="944">
        <f t="shared" si="41"/>
        <v>0</v>
      </c>
      <c r="EK751" s="921"/>
      <c r="EL751" s="921"/>
      <c r="EM751" s="921"/>
      <c r="EN751" s="943"/>
      <c r="EO751" s="944">
        <f t="shared" si="42"/>
        <v>0</v>
      </c>
      <c r="EP751" s="921"/>
      <c r="EQ751" s="921"/>
      <c r="ER751" s="921"/>
      <c r="ES751" s="943"/>
      <c r="ET751" s="944">
        <f t="shared" si="43"/>
        <v>0</v>
      </c>
      <c r="EU751" s="921"/>
      <c r="EV751" s="921"/>
      <c r="EW751" s="921"/>
      <c r="EX751" s="943"/>
      <c r="EZ751" s="945" t="str">
        <f t="shared" si="44"/>
        <v/>
      </c>
      <c r="FA751" s="921"/>
      <c r="FB751" s="921"/>
      <c r="FC751" s="921"/>
      <c r="FD751" s="943"/>
      <c r="FE751" s="945" t="str">
        <f t="shared" si="45"/>
        <v/>
      </c>
      <c r="FF751" s="921"/>
      <c r="FG751" s="921"/>
      <c r="FH751" s="921"/>
      <c r="FI751" s="943"/>
      <c r="FJ751" s="945" t="str">
        <f t="shared" si="46"/>
        <v/>
      </c>
      <c r="FK751" s="921"/>
      <c r="FL751" s="921"/>
      <c r="FM751" s="921"/>
      <c r="FN751" s="943"/>
      <c r="FO751" s="945" t="str">
        <f t="shared" si="47"/>
        <v/>
      </c>
      <c r="FP751" s="921"/>
      <c r="FQ751" s="921"/>
      <c r="FR751" s="921"/>
      <c r="FS751" s="943"/>
      <c r="FT751" s="945" t="str">
        <f t="shared" si="48"/>
        <v/>
      </c>
      <c r="FU751" s="921"/>
      <c r="FV751" s="921"/>
      <c r="FW751" s="921"/>
      <c r="FX751" s="943"/>
      <c r="FY751" s="945" t="str">
        <f t="shared" si="49"/>
        <v/>
      </c>
      <c r="FZ751" s="921"/>
      <c r="GA751" s="921"/>
      <c r="GB751" s="921"/>
      <c r="GC751" s="943"/>
    </row>
    <row r="752" spans="2:185" ht="12.75" customHeight="1">
      <c r="B752" s="949"/>
      <c r="C752" s="921"/>
      <c r="D752" s="921"/>
      <c r="E752" s="921"/>
      <c r="F752" s="943"/>
      <c r="G752" s="950"/>
      <c r="H752" s="921"/>
      <c r="I752" s="921"/>
      <c r="J752" s="943"/>
      <c r="K752" s="951"/>
      <c r="L752" s="921"/>
      <c r="M752" s="921"/>
      <c r="N752" s="943"/>
      <c r="O752" s="952"/>
      <c r="P752" s="921"/>
      <c r="Q752" s="921"/>
      <c r="R752" s="921"/>
      <c r="S752" s="943"/>
      <c r="T752" s="952"/>
      <c r="U752" s="921"/>
      <c r="V752" s="921"/>
      <c r="W752" s="943"/>
      <c r="X752" s="953">
        <f t="shared" si="19"/>
        <v>0</v>
      </c>
      <c r="Y752" s="921"/>
      <c r="Z752" s="921"/>
      <c r="AA752" s="921"/>
      <c r="AB752" s="943"/>
      <c r="AC752" s="954"/>
      <c r="AD752" s="921"/>
      <c r="AE752" s="921"/>
      <c r="AF752" s="921"/>
      <c r="AG752" s="943"/>
      <c r="AH752" s="946" t="str">
        <f t="shared" si="20"/>
        <v/>
      </c>
      <c r="AI752" s="947"/>
      <c r="AJ752" s="948"/>
      <c r="AK752" s="949" t="s">
        <v>855</v>
      </c>
      <c r="AL752" s="921"/>
      <c r="AM752" s="921"/>
      <c r="AN752" s="921"/>
      <c r="AO752" s="943"/>
      <c r="AP752" s="1"/>
      <c r="AQ752" s="1"/>
      <c r="AR752" s="1"/>
      <c r="AS752" s="1"/>
      <c r="AY752" s="126"/>
      <c r="AZ752" s="17" t="str">
        <f t="shared" si="21"/>
        <v>N/A</v>
      </c>
      <c r="BA752" s="1"/>
      <c r="BB752" s="1"/>
      <c r="BC752" s="1"/>
      <c r="BD752" s="1"/>
      <c r="BE752" s="1"/>
      <c r="BF752" s="527">
        <f t="shared" si="22"/>
        <v>0</v>
      </c>
      <c r="BG752" s="407">
        <f t="shared" si="23"/>
        <v>0</v>
      </c>
      <c r="BH752" s="475" t="str">
        <f t="shared" si="24"/>
        <v/>
      </c>
      <c r="BI752" s="1"/>
      <c r="BJ752" s="1"/>
      <c r="BK752" s="1"/>
      <c r="BL752" s="1"/>
      <c r="BM752" s="1"/>
      <c r="BN752" s="1"/>
      <c r="BS752" s="527">
        <f t="shared" si="25"/>
        <v>0</v>
      </c>
      <c r="BT752" s="407">
        <f t="shared" si="26"/>
        <v>0</v>
      </c>
      <c r="BU752" s="475" t="str">
        <f t="shared" si="27"/>
        <v/>
      </c>
      <c r="BV752" s="1"/>
      <c r="BW752" s="1"/>
      <c r="BX752" s="1"/>
      <c r="BY752" s="1"/>
      <c r="BZ752" s="1"/>
      <c r="CA752" s="1"/>
      <c r="CB752" s="1"/>
      <c r="CC752" s="1"/>
      <c r="CE752" s="1"/>
      <c r="CF752" s="1"/>
      <c r="CG752" s="945">
        <f t="shared" si="28"/>
        <v>0</v>
      </c>
      <c r="CH752" s="943"/>
      <c r="CI752" s="945">
        <f t="shared" si="29"/>
        <v>0</v>
      </c>
      <c r="CJ752" s="943"/>
      <c r="CK752" s="945">
        <f t="shared" si="30"/>
        <v>0</v>
      </c>
      <c r="CL752" s="943"/>
      <c r="CM752" s="945">
        <f t="shared" si="31"/>
        <v>0</v>
      </c>
      <c r="CN752" s="943"/>
      <c r="CO752" s="1"/>
      <c r="CP752" s="942">
        <f t="shared" si="32"/>
        <v>0</v>
      </c>
      <c r="CQ752" s="921"/>
      <c r="CR752" s="921"/>
      <c r="CS752" s="921"/>
      <c r="CT752" s="943"/>
      <c r="CU752" s="942">
        <f t="shared" si="33"/>
        <v>0</v>
      </c>
      <c r="CV752" s="921"/>
      <c r="CW752" s="921"/>
      <c r="CX752" s="921"/>
      <c r="CY752" s="943"/>
      <c r="CZ752" s="942">
        <f t="shared" si="34"/>
        <v>0</v>
      </c>
      <c r="DA752" s="921"/>
      <c r="DB752" s="921"/>
      <c r="DC752" s="921"/>
      <c r="DD752" s="943"/>
      <c r="DE752" s="942">
        <f t="shared" si="35"/>
        <v>0</v>
      </c>
      <c r="DF752" s="921"/>
      <c r="DG752" s="921"/>
      <c r="DH752" s="921"/>
      <c r="DI752" s="943"/>
      <c r="DJ752" s="942">
        <f t="shared" si="36"/>
        <v>0</v>
      </c>
      <c r="DK752" s="921"/>
      <c r="DL752" s="921"/>
      <c r="DM752" s="921"/>
      <c r="DN752" s="943"/>
      <c r="DO752" s="942">
        <f t="shared" si="37"/>
        <v>0</v>
      </c>
      <c r="DP752" s="921"/>
      <c r="DQ752" s="921"/>
      <c r="DR752" s="921"/>
      <c r="DS752" s="943"/>
      <c r="DT752" s="7"/>
      <c r="DU752" s="944">
        <f t="shared" si="38"/>
        <v>0</v>
      </c>
      <c r="DV752" s="921"/>
      <c r="DW752" s="921"/>
      <c r="DX752" s="921"/>
      <c r="DY752" s="943"/>
      <c r="DZ752" s="944">
        <f t="shared" si="39"/>
        <v>0</v>
      </c>
      <c r="EA752" s="921"/>
      <c r="EB752" s="921"/>
      <c r="EC752" s="921"/>
      <c r="ED752" s="943"/>
      <c r="EE752" s="944">
        <f t="shared" si="40"/>
        <v>0</v>
      </c>
      <c r="EF752" s="921"/>
      <c r="EG752" s="921"/>
      <c r="EH752" s="921"/>
      <c r="EI752" s="943"/>
      <c r="EJ752" s="944">
        <f t="shared" si="41"/>
        <v>0</v>
      </c>
      <c r="EK752" s="921"/>
      <c r="EL752" s="921"/>
      <c r="EM752" s="921"/>
      <c r="EN752" s="943"/>
      <c r="EO752" s="944">
        <f t="shared" si="42"/>
        <v>0</v>
      </c>
      <c r="EP752" s="921"/>
      <c r="EQ752" s="921"/>
      <c r="ER752" s="921"/>
      <c r="ES752" s="943"/>
      <c r="ET752" s="944">
        <f t="shared" si="43"/>
        <v>0</v>
      </c>
      <c r="EU752" s="921"/>
      <c r="EV752" s="921"/>
      <c r="EW752" s="921"/>
      <c r="EX752" s="943"/>
      <c r="EZ752" s="945" t="str">
        <f t="shared" si="44"/>
        <v/>
      </c>
      <c r="FA752" s="921"/>
      <c r="FB752" s="921"/>
      <c r="FC752" s="921"/>
      <c r="FD752" s="943"/>
      <c r="FE752" s="945" t="str">
        <f t="shared" si="45"/>
        <v/>
      </c>
      <c r="FF752" s="921"/>
      <c r="FG752" s="921"/>
      <c r="FH752" s="921"/>
      <c r="FI752" s="943"/>
      <c r="FJ752" s="945" t="str">
        <f t="shared" si="46"/>
        <v/>
      </c>
      <c r="FK752" s="921"/>
      <c r="FL752" s="921"/>
      <c r="FM752" s="921"/>
      <c r="FN752" s="943"/>
      <c r="FO752" s="945" t="str">
        <f t="shared" si="47"/>
        <v/>
      </c>
      <c r="FP752" s="921"/>
      <c r="FQ752" s="921"/>
      <c r="FR752" s="921"/>
      <c r="FS752" s="943"/>
      <c r="FT752" s="945" t="str">
        <f t="shared" si="48"/>
        <v/>
      </c>
      <c r="FU752" s="921"/>
      <c r="FV752" s="921"/>
      <c r="FW752" s="921"/>
      <c r="FX752" s="943"/>
      <c r="FY752" s="945" t="str">
        <f t="shared" si="49"/>
        <v/>
      </c>
      <c r="FZ752" s="921"/>
      <c r="GA752" s="921"/>
      <c r="GB752" s="921"/>
      <c r="GC752" s="943"/>
    </row>
    <row r="753" spans="1:185" ht="12.75" customHeight="1">
      <c r="B753" s="949"/>
      <c r="C753" s="921"/>
      <c r="D753" s="921"/>
      <c r="E753" s="921"/>
      <c r="F753" s="943"/>
      <c r="G753" s="950"/>
      <c r="H753" s="921"/>
      <c r="I753" s="921"/>
      <c r="J753" s="943"/>
      <c r="K753" s="951"/>
      <c r="L753" s="921"/>
      <c r="M753" s="921"/>
      <c r="N753" s="943"/>
      <c r="O753" s="952"/>
      <c r="P753" s="921"/>
      <c r="Q753" s="921"/>
      <c r="R753" s="921"/>
      <c r="S753" s="943"/>
      <c r="T753" s="952"/>
      <c r="U753" s="921"/>
      <c r="V753" s="921"/>
      <c r="W753" s="943"/>
      <c r="X753" s="953">
        <f t="shared" si="19"/>
        <v>0</v>
      </c>
      <c r="Y753" s="921"/>
      <c r="Z753" s="921"/>
      <c r="AA753" s="921"/>
      <c r="AB753" s="943"/>
      <c r="AC753" s="954"/>
      <c r="AD753" s="921"/>
      <c r="AE753" s="921"/>
      <c r="AF753" s="921"/>
      <c r="AG753" s="943"/>
      <c r="AH753" s="946" t="str">
        <f t="shared" si="20"/>
        <v/>
      </c>
      <c r="AI753" s="947"/>
      <c r="AJ753" s="948"/>
      <c r="AK753" s="949" t="s">
        <v>855</v>
      </c>
      <c r="AL753" s="921"/>
      <c r="AM753" s="921"/>
      <c r="AN753" s="921"/>
      <c r="AO753" s="943"/>
      <c r="AP753" s="1"/>
      <c r="AQ753" s="1"/>
      <c r="AR753" s="1"/>
      <c r="AS753" s="1"/>
      <c r="AY753" s="126"/>
      <c r="AZ753" s="17" t="str">
        <f t="shared" si="21"/>
        <v>N/A</v>
      </c>
      <c r="BA753" s="1"/>
      <c r="BB753" s="1"/>
      <c r="BC753" s="1"/>
      <c r="BD753" s="1"/>
      <c r="BE753" s="1"/>
      <c r="BF753" s="527">
        <f t="shared" si="22"/>
        <v>0</v>
      </c>
      <c r="BG753" s="407">
        <f t="shared" si="23"/>
        <v>0</v>
      </c>
      <c r="BH753" s="475" t="str">
        <f t="shared" si="24"/>
        <v/>
      </c>
      <c r="BI753" s="1"/>
      <c r="BJ753" s="1"/>
      <c r="BK753" s="1"/>
      <c r="BL753" s="1"/>
      <c r="BM753" s="1"/>
      <c r="BN753" s="1"/>
      <c r="BS753" s="527">
        <f t="shared" si="25"/>
        <v>0</v>
      </c>
      <c r="BT753" s="407">
        <f t="shared" si="26"/>
        <v>0</v>
      </c>
      <c r="BU753" s="475" t="str">
        <f t="shared" si="27"/>
        <v/>
      </c>
      <c r="BV753" s="1"/>
      <c r="BW753" s="1"/>
      <c r="BX753" s="1"/>
      <c r="BY753" s="1"/>
      <c r="BZ753" s="1"/>
      <c r="CA753" s="1"/>
      <c r="CB753" s="1"/>
      <c r="CC753" s="1"/>
      <c r="CE753" s="1"/>
      <c r="CF753" s="1"/>
      <c r="CG753" s="945">
        <f t="shared" si="28"/>
        <v>0</v>
      </c>
      <c r="CH753" s="943"/>
      <c r="CI753" s="945">
        <f t="shared" si="29"/>
        <v>0</v>
      </c>
      <c r="CJ753" s="943"/>
      <c r="CK753" s="945">
        <f t="shared" si="30"/>
        <v>0</v>
      </c>
      <c r="CL753" s="943"/>
      <c r="CM753" s="945">
        <f t="shared" si="31"/>
        <v>0</v>
      </c>
      <c r="CN753" s="943"/>
      <c r="CO753" s="1"/>
      <c r="CP753" s="942">
        <f t="shared" si="32"/>
        <v>0</v>
      </c>
      <c r="CQ753" s="921"/>
      <c r="CR753" s="921"/>
      <c r="CS753" s="921"/>
      <c r="CT753" s="943"/>
      <c r="CU753" s="942">
        <f t="shared" si="33"/>
        <v>0</v>
      </c>
      <c r="CV753" s="921"/>
      <c r="CW753" s="921"/>
      <c r="CX753" s="921"/>
      <c r="CY753" s="943"/>
      <c r="CZ753" s="942">
        <f t="shared" si="34"/>
        <v>0</v>
      </c>
      <c r="DA753" s="921"/>
      <c r="DB753" s="921"/>
      <c r="DC753" s="921"/>
      <c r="DD753" s="943"/>
      <c r="DE753" s="942">
        <f t="shared" si="35"/>
        <v>0</v>
      </c>
      <c r="DF753" s="921"/>
      <c r="DG753" s="921"/>
      <c r="DH753" s="921"/>
      <c r="DI753" s="943"/>
      <c r="DJ753" s="942">
        <f t="shared" si="36"/>
        <v>0</v>
      </c>
      <c r="DK753" s="921"/>
      <c r="DL753" s="921"/>
      <c r="DM753" s="921"/>
      <c r="DN753" s="943"/>
      <c r="DO753" s="942">
        <f t="shared" si="37"/>
        <v>0</v>
      </c>
      <c r="DP753" s="921"/>
      <c r="DQ753" s="921"/>
      <c r="DR753" s="921"/>
      <c r="DS753" s="943"/>
      <c r="DT753" s="7"/>
      <c r="DU753" s="944">
        <f t="shared" si="38"/>
        <v>0</v>
      </c>
      <c r="DV753" s="921"/>
      <c r="DW753" s="921"/>
      <c r="DX753" s="921"/>
      <c r="DY753" s="943"/>
      <c r="DZ753" s="944">
        <f t="shared" si="39"/>
        <v>0</v>
      </c>
      <c r="EA753" s="921"/>
      <c r="EB753" s="921"/>
      <c r="EC753" s="921"/>
      <c r="ED753" s="943"/>
      <c r="EE753" s="944">
        <f t="shared" si="40"/>
        <v>0</v>
      </c>
      <c r="EF753" s="921"/>
      <c r="EG753" s="921"/>
      <c r="EH753" s="921"/>
      <c r="EI753" s="943"/>
      <c r="EJ753" s="944">
        <f t="shared" si="41"/>
        <v>0</v>
      </c>
      <c r="EK753" s="921"/>
      <c r="EL753" s="921"/>
      <c r="EM753" s="921"/>
      <c r="EN753" s="943"/>
      <c r="EO753" s="944">
        <f t="shared" si="42"/>
        <v>0</v>
      </c>
      <c r="EP753" s="921"/>
      <c r="EQ753" s="921"/>
      <c r="ER753" s="921"/>
      <c r="ES753" s="943"/>
      <c r="ET753" s="944">
        <f t="shared" si="43"/>
        <v>0</v>
      </c>
      <c r="EU753" s="921"/>
      <c r="EV753" s="921"/>
      <c r="EW753" s="921"/>
      <c r="EX753" s="943"/>
      <c r="EZ753" s="945" t="str">
        <f t="shared" si="44"/>
        <v/>
      </c>
      <c r="FA753" s="921"/>
      <c r="FB753" s="921"/>
      <c r="FC753" s="921"/>
      <c r="FD753" s="943"/>
      <c r="FE753" s="945" t="str">
        <f t="shared" si="45"/>
        <v/>
      </c>
      <c r="FF753" s="921"/>
      <c r="FG753" s="921"/>
      <c r="FH753" s="921"/>
      <c r="FI753" s="943"/>
      <c r="FJ753" s="945" t="str">
        <f t="shared" si="46"/>
        <v/>
      </c>
      <c r="FK753" s="921"/>
      <c r="FL753" s="921"/>
      <c r="FM753" s="921"/>
      <c r="FN753" s="943"/>
      <c r="FO753" s="945" t="str">
        <f t="shared" si="47"/>
        <v/>
      </c>
      <c r="FP753" s="921"/>
      <c r="FQ753" s="921"/>
      <c r="FR753" s="921"/>
      <c r="FS753" s="943"/>
      <c r="FT753" s="945" t="str">
        <f t="shared" si="48"/>
        <v/>
      </c>
      <c r="FU753" s="921"/>
      <c r="FV753" s="921"/>
      <c r="FW753" s="921"/>
      <c r="FX753" s="943"/>
      <c r="FY753" s="945" t="str">
        <f t="shared" si="49"/>
        <v/>
      </c>
      <c r="FZ753" s="921"/>
      <c r="GA753" s="921"/>
      <c r="GB753" s="921"/>
      <c r="GC753" s="943"/>
    </row>
    <row r="754" spans="1:185" ht="12.75" customHeight="1">
      <c r="B754" s="949"/>
      <c r="C754" s="921"/>
      <c r="D754" s="921"/>
      <c r="E754" s="921"/>
      <c r="F754" s="943"/>
      <c r="G754" s="950"/>
      <c r="H754" s="921"/>
      <c r="I754" s="921"/>
      <c r="J754" s="943"/>
      <c r="K754" s="951"/>
      <c r="L754" s="921"/>
      <c r="M754" s="921"/>
      <c r="N754" s="943"/>
      <c r="O754" s="952"/>
      <c r="P754" s="921"/>
      <c r="Q754" s="921"/>
      <c r="R754" s="921"/>
      <c r="S754" s="943"/>
      <c r="T754" s="952"/>
      <c r="U754" s="921"/>
      <c r="V754" s="921"/>
      <c r="W754" s="943"/>
      <c r="X754" s="953">
        <f t="shared" si="19"/>
        <v>0</v>
      </c>
      <c r="Y754" s="921"/>
      <c r="Z754" s="921"/>
      <c r="AA754" s="921"/>
      <c r="AB754" s="943"/>
      <c r="AC754" s="954"/>
      <c r="AD754" s="921"/>
      <c r="AE754" s="921"/>
      <c r="AF754" s="921"/>
      <c r="AG754" s="943"/>
      <c r="AH754" s="946" t="str">
        <f t="shared" si="20"/>
        <v/>
      </c>
      <c r="AI754" s="947"/>
      <c r="AJ754" s="948"/>
      <c r="AK754" s="949" t="s">
        <v>855</v>
      </c>
      <c r="AL754" s="921"/>
      <c r="AM754" s="921"/>
      <c r="AN754" s="921"/>
      <c r="AO754" s="943"/>
      <c r="AP754" s="1"/>
      <c r="AQ754" s="1"/>
      <c r="AR754" s="1"/>
      <c r="AS754" s="1"/>
      <c r="AY754" s="126"/>
      <c r="AZ754" s="17" t="str">
        <f t="shared" si="21"/>
        <v>N/A</v>
      </c>
      <c r="BA754" s="1"/>
      <c r="BB754" s="1"/>
      <c r="BC754" s="1"/>
      <c r="BD754" s="1"/>
      <c r="BE754" s="1"/>
      <c r="BF754" s="527">
        <f t="shared" si="22"/>
        <v>0</v>
      </c>
      <c r="BG754" s="407">
        <f t="shared" si="23"/>
        <v>0</v>
      </c>
      <c r="BH754" s="475" t="str">
        <f t="shared" si="24"/>
        <v/>
      </c>
      <c r="BI754" s="1"/>
      <c r="BJ754" s="1"/>
      <c r="BK754" s="1"/>
      <c r="BL754" s="1"/>
      <c r="BM754" s="1"/>
      <c r="BN754" s="1"/>
      <c r="BS754" s="527">
        <f t="shared" si="25"/>
        <v>0</v>
      </c>
      <c r="BT754" s="407">
        <f t="shared" si="26"/>
        <v>0</v>
      </c>
      <c r="BU754" s="475" t="str">
        <f t="shared" si="27"/>
        <v/>
      </c>
      <c r="BV754" s="1"/>
      <c r="BW754" s="1"/>
      <c r="BX754" s="1"/>
      <c r="BY754" s="1"/>
      <c r="BZ754" s="1"/>
      <c r="CA754" s="1"/>
      <c r="CB754" s="1"/>
      <c r="CC754" s="1"/>
      <c r="CE754" s="1"/>
      <c r="CF754" s="1"/>
      <c r="CG754" s="945">
        <f t="shared" si="28"/>
        <v>0</v>
      </c>
      <c r="CH754" s="943"/>
      <c r="CI754" s="945">
        <f t="shared" si="29"/>
        <v>0</v>
      </c>
      <c r="CJ754" s="943"/>
      <c r="CK754" s="945">
        <f t="shared" si="30"/>
        <v>0</v>
      </c>
      <c r="CL754" s="943"/>
      <c r="CM754" s="945">
        <f t="shared" si="31"/>
        <v>0</v>
      </c>
      <c r="CN754" s="943"/>
      <c r="CO754" s="1"/>
      <c r="CP754" s="942">
        <f t="shared" si="32"/>
        <v>0</v>
      </c>
      <c r="CQ754" s="921"/>
      <c r="CR754" s="921"/>
      <c r="CS754" s="921"/>
      <c r="CT754" s="943"/>
      <c r="CU754" s="942">
        <f t="shared" si="33"/>
        <v>0</v>
      </c>
      <c r="CV754" s="921"/>
      <c r="CW754" s="921"/>
      <c r="CX754" s="921"/>
      <c r="CY754" s="943"/>
      <c r="CZ754" s="942">
        <f t="shared" si="34"/>
        <v>0</v>
      </c>
      <c r="DA754" s="921"/>
      <c r="DB754" s="921"/>
      <c r="DC754" s="921"/>
      <c r="DD754" s="943"/>
      <c r="DE754" s="942">
        <f t="shared" si="35"/>
        <v>0</v>
      </c>
      <c r="DF754" s="921"/>
      <c r="DG754" s="921"/>
      <c r="DH754" s="921"/>
      <c r="DI754" s="943"/>
      <c r="DJ754" s="942">
        <f t="shared" si="36"/>
        <v>0</v>
      </c>
      <c r="DK754" s="921"/>
      <c r="DL754" s="921"/>
      <c r="DM754" s="921"/>
      <c r="DN754" s="943"/>
      <c r="DO754" s="942">
        <f t="shared" si="37"/>
        <v>0</v>
      </c>
      <c r="DP754" s="921"/>
      <c r="DQ754" s="921"/>
      <c r="DR754" s="921"/>
      <c r="DS754" s="943"/>
      <c r="DT754" s="7"/>
      <c r="DU754" s="944">
        <f t="shared" si="38"/>
        <v>0</v>
      </c>
      <c r="DV754" s="921"/>
      <c r="DW754" s="921"/>
      <c r="DX754" s="921"/>
      <c r="DY754" s="943"/>
      <c r="DZ754" s="944">
        <f t="shared" si="39"/>
        <v>0</v>
      </c>
      <c r="EA754" s="921"/>
      <c r="EB754" s="921"/>
      <c r="EC754" s="921"/>
      <c r="ED754" s="943"/>
      <c r="EE754" s="944">
        <f t="shared" si="40"/>
        <v>0</v>
      </c>
      <c r="EF754" s="921"/>
      <c r="EG754" s="921"/>
      <c r="EH754" s="921"/>
      <c r="EI754" s="943"/>
      <c r="EJ754" s="944">
        <f t="shared" si="41"/>
        <v>0</v>
      </c>
      <c r="EK754" s="921"/>
      <c r="EL754" s="921"/>
      <c r="EM754" s="921"/>
      <c r="EN754" s="943"/>
      <c r="EO754" s="944">
        <f t="shared" si="42"/>
        <v>0</v>
      </c>
      <c r="EP754" s="921"/>
      <c r="EQ754" s="921"/>
      <c r="ER754" s="921"/>
      <c r="ES754" s="943"/>
      <c r="ET754" s="944">
        <f t="shared" si="43"/>
        <v>0</v>
      </c>
      <c r="EU754" s="921"/>
      <c r="EV754" s="921"/>
      <c r="EW754" s="921"/>
      <c r="EX754" s="943"/>
      <c r="EZ754" s="945" t="str">
        <f t="shared" si="44"/>
        <v/>
      </c>
      <c r="FA754" s="921"/>
      <c r="FB754" s="921"/>
      <c r="FC754" s="921"/>
      <c r="FD754" s="943"/>
      <c r="FE754" s="945" t="str">
        <f t="shared" si="45"/>
        <v/>
      </c>
      <c r="FF754" s="921"/>
      <c r="FG754" s="921"/>
      <c r="FH754" s="921"/>
      <c r="FI754" s="943"/>
      <c r="FJ754" s="945" t="str">
        <f t="shared" si="46"/>
        <v/>
      </c>
      <c r="FK754" s="921"/>
      <c r="FL754" s="921"/>
      <c r="FM754" s="921"/>
      <c r="FN754" s="943"/>
      <c r="FO754" s="945" t="str">
        <f t="shared" si="47"/>
        <v/>
      </c>
      <c r="FP754" s="921"/>
      <c r="FQ754" s="921"/>
      <c r="FR754" s="921"/>
      <c r="FS754" s="943"/>
      <c r="FT754" s="945" t="str">
        <f t="shared" si="48"/>
        <v/>
      </c>
      <c r="FU754" s="921"/>
      <c r="FV754" s="921"/>
      <c r="FW754" s="921"/>
      <c r="FX754" s="943"/>
      <c r="FY754" s="945" t="str">
        <f t="shared" si="49"/>
        <v/>
      </c>
      <c r="FZ754" s="921"/>
      <c r="GA754" s="921"/>
      <c r="GB754" s="921"/>
      <c r="GC754" s="943"/>
    </row>
    <row r="755" spans="1:185" ht="12.75" customHeight="1">
      <c r="B755" s="949"/>
      <c r="C755" s="921"/>
      <c r="D755" s="921"/>
      <c r="E755" s="921"/>
      <c r="F755" s="943"/>
      <c r="G755" s="950"/>
      <c r="H755" s="921"/>
      <c r="I755" s="921"/>
      <c r="J755" s="943"/>
      <c r="K755" s="951"/>
      <c r="L755" s="921"/>
      <c r="M755" s="921"/>
      <c r="N755" s="943"/>
      <c r="O755" s="952"/>
      <c r="P755" s="921"/>
      <c r="Q755" s="921"/>
      <c r="R755" s="921"/>
      <c r="S755" s="943"/>
      <c r="T755" s="952"/>
      <c r="U755" s="921"/>
      <c r="V755" s="921"/>
      <c r="W755" s="943"/>
      <c r="X755" s="953">
        <f t="shared" si="19"/>
        <v>0</v>
      </c>
      <c r="Y755" s="921"/>
      <c r="Z755" s="921"/>
      <c r="AA755" s="921"/>
      <c r="AB755" s="943"/>
      <c r="AC755" s="954"/>
      <c r="AD755" s="921"/>
      <c r="AE755" s="921"/>
      <c r="AF755" s="921"/>
      <c r="AG755" s="943"/>
      <c r="AH755" s="946" t="str">
        <f t="shared" si="20"/>
        <v/>
      </c>
      <c r="AI755" s="947"/>
      <c r="AJ755" s="948"/>
      <c r="AK755" s="949" t="s">
        <v>855</v>
      </c>
      <c r="AL755" s="921"/>
      <c r="AM755" s="921"/>
      <c r="AN755" s="921"/>
      <c r="AO755" s="943"/>
      <c r="AP755" s="1"/>
      <c r="AQ755" s="1"/>
      <c r="AR755" s="1"/>
      <c r="AS755" s="1"/>
      <c r="AY755" s="126"/>
      <c r="AZ755" s="17" t="str">
        <f t="shared" si="21"/>
        <v>N/A</v>
      </c>
      <c r="BA755" s="1"/>
      <c r="BB755" s="1"/>
      <c r="BC755" s="1"/>
      <c r="BD755" s="1"/>
      <c r="BE755" s="1"/>
      <c r="BF755" s="527">
        <f t="shared" si="22"/>
        <v>0</v>
      </c>
      <c r="BG755" s="407">
        <f t="shared" si="23"/>
        <v>0</v>
      </c>
      <c r="BH755" s="475" t="str">
        <f t="shared" si="24"/>
        <v/>
      </c>
      <c r="BI755" s="1"/>
      <c r="BJ755" s="1"/>
      <c r="BK755" s="1"/>
      <c r="BL755" s="1"/>
      <c r="BM755" s="1"/>
      <c r="BN755" s="1"/>
      <c r="BS755" s="527">
        <f t="shared" si="25"/>
        <v>0</v>
      </c>
      <c r="BT755" s="407">
        <f t="shared" si="26"/>
        <v>0</v>
      </c>
      <c r="BU755" s="475" t="str">
        <f t="shared" si="27"/>
        <v/>
      </c>
      <c r="BV755" s="1"/>
      <c r="BW755" s="1"/>
      <c r="BX755" s="1"/>
      <c r="BY755" s="1"/>
      <c r="BZ755" s="1"/>
      <c r="CA755" s="1"/>
      <c r="CB755" s="1"/>
      <c r="CC755" s="1"/>
      <c r="CE755" s="1"/>
      <c r="CF755" s="1"/>
      <c r="CG755" s="945">
        <f t="shared" si="28"/>
        <v>0</v>
      </c>
      <c r="CH755" s="943"/>
      <c r="CI755" s="945">
        <f t="shared" si="29"/>
        <v>0</v>
      </c>
      <c r="CJ755" s="943"/>
      <c r="CK755" s="945">
        <f t="shared" si="30"/>
        <v>0</v>
      </c>
      <c r="CL755" s="943"/>
      <c r="CM755" s="945">
        <f t="shared" si="31"/>
        <v>0</v>
      </c>
      <c r="CN755" s="943"/>
      <c r="CO755" s="1"/>
      <c r="CP755" s="942">
        <f t="shared" si="32"/>
        <v>0</v>
      </c>
      <c r="CQ755" s="921"/>
      <c r="CR755" s="921"/>
      <c r="CS755" s="921"/>
      <c r="CT755" s="943"/>
      <c r="CU755" s="942">
        <f t="shared" si="33"/>
        <v>0</v>
      </c>
      <c r="CV755" s="921"/>
      <c r="CW755" s="921"/>
      <c r="CX755" s="921"/>
      <c r="CY755" s="943"/>
      <c r="CZ755" s="942">
        <f t="shared" si="34"/>
        <v>0</v>
      </c>
      <c r="DA755" s="921"/>
      <c r="DB755" s="921"/>
      <c r="DC755" s="921"/>
      <c r="DD755" s="943"/>
      <c r="DE755" s="942">
        <f t="shared" si="35"/>
        <v>0</v>
      </c>
      <c r="DF755" s="921"/>
      <c r="DG755" s="921"/>
      <c r="DH755" s="921"/>
      <c r="DI755" s="943"/>
      <c r="DJ755" s="942">
        <f t="shared" si="36"/>
        <v>0</v>
      </c>
      <c r="DK755" s="921"/>
      <c r="DL755" s="921"/>
      <c r="DM755" s="921"/>
      <c r="DN755" s="943"/>
      <c r="DO755" s="942">
        <f t="shared" si="37"/>
        <v>0</v>
      </c>
      <c r="DP755" s="921"/>
      <c r="DQ755" s="921"/>
      <c r="DR755" s="921"/>
      <c r="DS755" s="943"/>
      <c r="DT755" s="7"/>
      <c r="DU755" s="944">
        <f t="shared" si="38"/>
        <v>0</v>
      </c>
      <c r="DV755" s="921"/>
      <c r="DW755" s="921"/>
      <c r="DX755" s="921"/>
      <c r="DY755" s="943"/>
      <c r="DZ755" s="944">
        <f t="shared" si="39"/>
        <v>0</v>
      </c>
      <c r="EA755" s="921"/>
      <c r="EB755" s="921"/>
      <c r="EC755" s="921"/>
      <c r="ED755" s="943"/>
      <c r="EE755" s="944">
        <f t="shared" si="40"/>
        <v>0</v>
      </c>
      <c r="EF755" s="921"/>
      <c r="EG755" s="921"/>
      <c r="EH755" s="921"/>
      <c r="EI755" s="943"/>
      <c r="EJ755" s="944">
        <f t="shared" si="41"/>
        <v>0</v>
      </c>
      <c r="EK755" s="921"/>
      <c r="EL755" s="921"/>
      <c r="EM755" s="921"/>
      <c r="EN755" s="943"/>
      <c r="EO755" s="944">
        <f t="shared" si="42"/>
        <v>0</v>
      </c>
      <c r="EP755" s="921"/>
      <c r="EQ755" s="921"/>
      <c r="ER755" s="921"/>
      <c r="ES755" s="943"/>
      <c r="ET755" s="944">
        <f t="shared" si="43"/>
        <v>0</v>
      </c>
      <c r="EU755" s="921"/>
      <c r="EV755" s="921"/>
      <c r="EW755" s="921"/>
      <c r="EX755" s="943"/>
      <c r="EZ755" s="945" t="str">
        <f t="shared" si="44"/>
        <v/>
      </c>
      <c r="FA755" s="921"/>
      <c r="FB755" s="921"/>
      <c r="FC755" s="921"/>
      <c r="FD755" s="943"/>
      <c r="FE755" s="945" t="str">
        <f t="shared" si="45"/>
        <v/>
      </c>
      <c r="FF755" s="921"/>
      <c r="FG755" s="921"/>
      <c r="FH755" s="921"/>
      <c r="FI755" s="943"/>
      <c r="FJ755" s="945" t="str">
        <f t="shared" si="46"/>
        <v/>
      </c>
      <c r="FK755" s="921"/>
      <c r="FL755" s="921"/>
      <c r="FM755" s="921"/>
      <c r="FN755" s="943"/>
      <c r="FO755" s="945" t="str">
        <f t="shared" si="47"/>
        <v/>
      </c>
      <c r="FP755" s="921"/>
      <c r="FQ755" s="921"/>
      <c r="FR755" s="921"/>
      <c r="FS755" s="943"/>
      <c r="FT755" s="945" t="str">
        <f t="shared" si="48"/>
        <v/>
      </c>
      <c r="FU755" s="921"/>
      <c r="FV755" s="921"/>
      <c r="FW755" s="921"/>
      <c r="FX755" s="943"/>
      <c r="FY755" s="945" t="str">
        <f t="shared" si="49"/>
        <v/>
      </c>
      <c r="FZ755" s="921"/>
      <c r="GA755" s="921"/>
      <c r="GB755" s="921"/>
      <c r="GC755" s="943"/>
    </row>
    <row r="756" spans="1:185" ht="12.75" customHeight="1">
      <c r="B756" s="949"/>
      <c r="C756" s="921"/>
      <c r="D756" s="921"/>
      <c r="E756" s="921"/>
      <c r="F756" s="943"/>
      <c r="G756" s="950"/>
      <c r="H756" s="921"/>
      <c r="I756" s="921"/>
      <c r="J756" s="943"/>
      <c r="K756" s="951"/>
      <c r="L756" s="921"/>
      <c r="M756" s="921"/>
      <c r="N756" s="943"/>
      <c r="O756" s="952"/>
      <c r="P756" s="921"/>
      <c r="Q756" s="921"/>
      <c r="R756" s="921"/>
      <c r="S756" s="943"/>
      <c r="T756" s="952"/>
      <c r="U756" s="921"/>
      <c r="V756" s="921"/>
      <c r="W756" s="943"/>
      <c r="X756" s="953">
        <f t="shared" si="19"/>
        <v>0</v>
      </c>
      <c r="Y756" s="921"/>
      <c r="Z756" s="921"/>
      <c r="AA756" s="921"/>
      <c r="AB756" s="943"/>
      <c r="AC756" s="954"/>
      <c r="AD756" s="921"/>
      <c r="AE756" s="921"/>
      <c r="AF756" s="921"/>
      <c r="AG756" s="943"/>
      <c r="AH756" s="946" t="str">
        <f t="shared" si="20"/>
        <v/>
      </c>
      <c r="AI756" s="947"/>
      <c r="AJ756" s="948"/>
      <c r="AK756" s="949" t="s">
        <v>855</v>
      </c>
      <c r="AL756" s="921"/>
      <c r="AM756" s="921"/>
      <c r="AN756" s="921"/>
      <c r="AO756" s="943"/>
      <c r="AP756" s="1"/>
      <c r="AQ756" s="1"/>
      <c r="AR756" s="1"/>
      <c r="AS756" s="1"/>
      <c r="AZ756" s="17" t="str">
        <f t="shared" si="21"/>
        <v>N/A</v>
      </c>
      <c r="BA756" s="1"/>
      <c r="BB756" s="1"/>
      <c r="BC756" s="1"/>
      <c r="BD756" s="1"/>
      <c r="BE756" s="1"/>
      <c r="BF756" s="527">
        <f t="shared" si="22"/>
        <v>0</v>
      </c>
      <c r="BG756" s="407">
        <f t="shared" si="23"/>
        <v>0</v>
      </c>
      <c r="BH756" s="475" t="str">
        <f t="shared" si="24"/>
        <v/>
      </c>
      <c r="BI756" s="1"/>
      <c r="BJ756" s="1"/>
      <c r="BK756" s="1"/>
      <c r="BL756" s="1"/>
      <c r="BM756" s="1"/>
      <c r="BN756" s="1"/>
      <c r="BS756" s="527">
        <f t="shared" si="25"/>
        <v>0</v>
      </c>
      <c r="BT756" s="407">
        <f t="shared" si="26"/>
        <v>0</v>
      </c>
      <c r="BU756" s="475" t="str">
        <f t="shared" si="27"/>
        <v/>
      </c>
      <c r="BV756" s="1"/>
      <c r="BW756" s="1"/>
      <c r="BX756" s="1"/>
      <c r="BY756" s="1"/>
      <c r="BZ756" s="1"/>
      <c r="CA756" s="1"/>
      <c r="CB756" s="1"/>
      <c r="CC756" s="1"/>
      <c r="CE756" s="1"/>
      <c r="CF756" s="1"/>
      <c r="CG756" s="945">
        <f t="shared" si="28"/>
        <v>0</v>
      </c>
      <c r="CH756" s="943"/>
      <c r="CI756" s="945">
        <f t="shared" si="29"/>
        <v>0</v>
      </c>
      <c r="CJ756" s="943"/>
      <c r="CK756" s="945">
        <f t="shared" si="30"/>
        <v>0</v>
      </c>
      <c r="CL756" s="943"/>
      <c r="CM756" s="945">
        <f t="shared" si="31"/>
        <v>0</v>
      </c>
      <c r="CN756" s="943"/>
      <c r="CO756" s="1"/>
      <c r="CP756" s="942">
        <f t="shared" si="32"/>
        <v>0</v>
      </c>
      <c r="CQ756" s="921"/>
      <c r="CR756" s="921"/>
      <c r="CS756" s="921"/>
      <c r="CT756" s="943"/>
      <c r="CU756" s="942">
        <f t="shared" si="33"/>
        <v>0</v>
      </c>
      <c r="CV756" s="921"/>
      <c r="CW756" s="921"/>
      <c r="CX756" s="921"/>
      <c r="CY756" s="943"/>
      <c r="CZ756" s="942">
        <f t="shared" si="34"/>
        <v>0</v>
      </c>
      <c r="DA756" s="921"/>
      <c r="DB756" s="921"/>
      <c r="DC756" s="921"/>
      <c r="DD756" s="943"/>
      <c r="DE756" s="942">
        <f t="shared" si="35"/>
        <v>0</v>
      </c>
      <c r="DF756" s="921"/>
      <c r="DG756" s="921"/>
      <c r="DH756" s="921"/>
      <c r="DI756" s="943"/>
      <c r="DJ756" s="942">
        <f t="shared" si="36"/>
        <v>0</v>
      </c>
      <c r="DK756" s="921"/>
      <c r="DL756" s="921"/>
      <c r="DM756" s="921"/>
      <c r="DN756" s="943"/>
      <c r="DO756" s="942">
        <f t="shared" si="37"/>
        <v>0</v>
      </c>
      <c r="DP756" s="921"/>
      <c r="DQ756" s="921"/>
      <c r="DR756" s="921"/>
      <c r="DS756" s="943"/>
      <c r="DT756" s="7"/>
      <c r="DU756" s="944">
        <f t="shared" si="38"/>
        <v>0</v>
      </c>
      <c r="DV756" s="921"/>
      <c r="DW756" s="921"/>
      <c r="DX756" s="921"/>
      <c r="DY756" s="943"/>
      <c r="DZ756" s="944">
        <f t="shared" si="39"/>
        <v>0</v>
      </c>
      <c r="EA756" s="921"/>
      <c r="EB756" s="921"/>
      <c r="EC756" s="921"/>
      <c r="ED756" s="943"/>
      <c r="EE756" s="944">
        <f t="shared" si="40"/>
        <v>0</v>
      </c>
      <c r="EF756" s="921"/>
      <c r="EG756" s="921"/>
      <c r="EH756" s="921"/>
      <c r="EI756" s="943"/>
      <c r="EJ756" s="944">
        <f t="shared" si="41"/>
        <v>0</v>
      </c>
      <c r="EK756" s="921"/>
      <c r="EL756" s="921"/>
      <c r="EM756" s="921"/>
      <c r="EN756" s="943"/>
      <c r="EO756" s="944">
        <f t="shared" si="42"/>
        <v>0</v>
      </c>
      <c r="EP756" s="921"/>
      <c r="EQ756" s="921"/>
      <c r="ER756" s="921"/>
      <c r="ES756" s="943"/>
      <c r="ET756" s="944">
        <f t="shared" si="43"/>
        <v>0</v>
      </c>
      <c r="EU756" s="921"/>
      <c r="EV756" s="921"/>
      <c r="EW756" s="921"/>
      <c r="EX756" s="943"/>
      <c r="EZ756" s="945" t="str">
        <f t="shared" si="44"/>
        <v/>
      </c>
      <c r="FA756" s="921"/>
      <c r="FB756" s="921"/>
      <c r="FC756" s="921"/>
      <c r="FD756" s="943"/>
      <c r="FE756" s="945" t="str">
        <f t="shared" si="45"/>
        <v/>
      </c>
      <c r="FF756" s="921"/>
      <c r="FG756" s="921"/>
      <c r="FH756" s="921"/>
      <c r="FI756" s="943"/>
      <c r="FJ756" s="945" t="str">
        <f t="shared" si="46"/>
        <v/>
      </c>
      <c r="FK756" s="921"/>
      <c r="FL756" s="921"/>
      <c r="FM756" s="921"/>
      <c r="FN756" s="943"/>
      <c r="FO756" s="945" t="str">
        <f t="shared" si="47"/>
        <v/>
      </c>
      <c r="FP756" s="921"/>
      <c r="FQ756" s="921"/>
      <c r="FR756" s="921"/>
      <c r="FS756" s="943"/>
      <c r="FT756" s="945" t="str">
        <f t="shared" si="48"/>
        <v/>
      </c>
      <c r="FU756" s="921"/>
      <c r="FV756" s="921"/>
      <c r="FW756" s="921"/>
      <c r="FX756" s="943"/>
      <c r="FY756" s="945" t="str">
        <f t="shared" si="49"/>
        <v/>
      </c>
      <c r="FZ756" s="921"/>
      <c r="GA756" s="921"/>
      <c r="GB756" s="921"/>
      <c r="GC756" s="943"/>
    </row>
    <row r="757" spans="1:185" ht="12.75" customHeight="1">
      <c r="B757" s="949"/>
      <c r="C757" s="921"/>
      <c r="D757" s="921"/>
      <c r="E757" s="921"/>
      <c r="F757" s="943"/>
      <c r="G757" s="950"/>
      <c r="H757" s="921"/>
      <c r="I757" s="921"/>
      <c r="J757" s="943"/>
      <c r="K757" s="951"/>
      <c r="L757" s="921"/>
      <c r="M757" s="921"/>
      <c r="N757" s="943"/>
      <c r="O757" s="952"/>
      <c r="P757" s="921"/>
      <c r="Q757" s="921"/>
      <c r="R757" s="921"/>
      <c r="S757" s="943"/>
      <c r="T757" s="952"/>
      <c r="U757" s="921"/>
      <c r="V757" s="921"/>
      <c r="W757" s="943"/>
      <c r="X757" s="953">
        <f t="shared" si="19"/>
        <v>0</v>
      </c>
      <c r="Y757" s="921"/>
      <c r="Z757" s="921"/>
      <c r="AA757" s="921"/>
      <c r="AB757" s="943"/>
      <c r="AC757" s="954"/>
      <c r="AD757" s="921"/>
      <c r="AE757" s="921"/>
      <c r="AF757" s="921"/>
      <c r="AG757" s="943"/>
      <c r="AH757" s="946" t="str">
        <f t="shared" si="20"/>
        <v/>
      </c>
      <c r="AI757" s="947"/>
      <c r="AJ757" s="948"/>
      <c r="AK757" s="949" t="s">
        <v>855</v>
      </c>
      <c r="AL757" s="921"/>
      <c r="AM757" s="921"/>
      <c r="AN757" s="921"/>
      <c r="AO757" s="943"/>
      <c r="AP757" s="1"/>
      <c r="AQ757" s="1"/>
      <c r="AR757" s="1"/>
      <c r="AS757" s="1"/>
      <c r="AZ757" s="17" t="str">
        <f t="shared" si="21"/>
        <v>N/A</v>
      </c>
      <c r="BA757" s="1"/>
      <c r="BB757" s="1"/>
      <c r="BC757" s="1"/>
      <c r="BD757" s="1"/>
      <c r="BE757" s="1"/>
      <c r="BF757" s="527">
        <f t="shared" si="22"/>
        <v>0</v>
      </c>
      <c r="BG757" s="407">
        <f t="shared" si="23"/>
        <v>0</v>
      </c>
      <c r="BH757" s="475" t="str">
        <f t="shared" si="24"/>
        <v/>
      </c>
      <c r="BI757" s="1"/>
      <c r="BJ757" s="1"/>
      <c r="BK757" s="1"/>
      <c r="BL757" s="1"/>
      <c r="BM757" s="1"/>
      <c r="BN757" s="1"/>
      <c r="BS757" s="527">
        <f t="shared" si="25"/>
        <v>0</v>
      </c>
      <c r="BT757" s="407">
        <f t="shared" si="26"/>
        <v>0</v>
      </c>
      <c r="BU757" s="475" t="str">
        <f t="shared" si="27"/>
        <v/>
      </c>
      <c r="BV757" s="1"/>
      <c r="BW757" s="1"/>
      <c r="BX757" s="1"/>
      <c r="BY757" s="1"/>
      <c r="BZ757" s="1"/>
      <c r="CA757" s="1"/>
      <c r="CB757" s="1"/>
      <c r="CC757" s="1"/>
      <c r="CE757" s="1"/>
      <c r="CF757" s="1"/>
      <c r="CG757" s="945">
        <f t="shared" si="28"/>
        <v>0</v>
      </c>
      <c r="CH757" s="943"/>
      <c r="CI757" s="945">
        <f t="shared" si="29"/>
        <v>0</v>
      </c>
      <c r="CJ757" s="943"/>
      <c r="CK757" s="945">
        <f t="shared" si="30"/>
        <v>0</v>
      </c>
      <c r="CL757" s="943"/>
      <c r="CM757" s="945">
        <f t="shared" si="31"/>
        <v>0</v>
      </c>
      <c r="CN757" s="943"/>
      <c r="CO757" s="1"/>
      <c r="CP757" s="942">
        <f t="shared" si="32"/>
        <v>0</v>
      </c>
      <c r="CQ757" s="921"/>
      <c r="CR757" s="921"/>
      <c r="CS757" s="921"/>
      <c r="CT757" s="943"/>
      <c r="CU757" s="942">
        <f t="shared" si="33"/>
        <v>0</v>
      </c>
      <c r="CV757" s="921"/>
      <c r="CW757" s="921"/>
      <c r="CX757" s="921"/>
      <c r="CY757" s="943"/>
      <c r="CZ757" s="942">
        <f t="shared" si="34"/>
        <v>0</v>
      </c>
      <c r="DA757" s="921"/>
      <c r="DB757" s="921"/>
      <c r="DC757" s="921"/>
      <c r="DD757" s="943"/>
      <c r="DE757" s="942">
        <f t="shared" si="35"/>
        <v>0</v>
      </c>
      <c r="DF757" s="921"/>
      <c r="DG757" s="921"/>
      <c r="DH757" s="921"/>
      <c r="DI757" s="943"/>
      <c r="DJ757" s="942">
        <f t="shared" si="36"/>
        <v>0</v>
      </c>
      <c r="DK757" s="921"/>
      <c r="DL757" s="921"/>
      <c r="DM757" s="921"/>
      <c r="DN757" s="943"/>
      <c r="DO757" s="942">
        <f t="shared" si="37"/>
        <v>0</v>
      </c>
      <c r="DP757" s="921"/>
      <c r="DQ757" s="921"/>
      <c r="DR757" s="921"/>
      <c r="DS757" s="943"/>
      <c r="DT757" s="7"/>
      <c r="DU757" s="944">
        <f t="shared" si="38"/>
        <v>0</v>
      </c>
      <c r="DV757" s="921"/>
      <c r="DW757" s="921"/>
      <c r="DX757" s="921"/>
      <c r="DY757" s="943"/>
      <c r="DZ757" s="944">
        <f t="shared" si="39"/>
        <v>0</v>
      </c>
      <c r="EA757" s="921"/>
      <c r="EB757" s="921"/>
      <c r="EC757" s="921"/>
      <c r="ED757" s="943"/>
      <c r="EE757" s="944">
        <f t="shared" si="40"/>
        <v>0</v>
      </c>
      <c r="EF757" s="921"/>
      <c r="EG757" s="921"/>
      <c r="EH757" s="921"/>
      <c r="EI757" s="943"/>
      <c r="EJ757" s="944">
        <f t="shared" si="41"/>
        <v>0</v>
      </c>
      <c r="EK757" s="921"/>
      <c r="EL757" s="921"/>
      <c r="EM757" s="921"/>
      <c r="EN757" s="943"/>
      <c r="EO757" s="944">
        <f t="shared" si="42"/>
        <v>0</v>
      </c>
      <c r="EP757" s="921"/>
      <c r="EQ757" s="921"/>
      <c r="ER757" s="921"/>
      <c r="ES757" s="943"/>
      <c r="ET757" s="944">
        <f t="shared" si="43"/>
        <v>0</v>
      </c>
      <c r="EU757" s="921"/>
      <c r="EV757" s="921"/>
      <c r="EW757" s="921"/>
      <c r="EX757" s="943"/>
      <c r="EZ757" s="945" t="str">
        <f t="shared" si="44"/>
        <v/>
      </c>
      <c r="FA757" s="921"/>
      <c r="FB757" s="921"/>
      <c r="FC757" s="921"/>
      <c r="FD757" s="943"/>
      <c r="FE757" s="945" t="str">
        <f t="shared" si="45"/>
        <v/>
      </c>
      <c r="FF757" s="921"/>
      <c r="FG757" s="921"/>
      <c r="FH757" s="921"/>
      <c r="FI757" s="943"/>
      <c r="FJ757" s="945" t="str">
        <f t="shared" si="46"/>
        <v/>
      </c>
      <c r="FK757" s="921"/>
      <c r="FL757" s="921"/>
      <c r="FM757" s="921"/>
      <c r="FN757" s="943"/>
      <c r="FO757" s="945" t="str">
        <f t="shared" si="47"/>
        <v/>
      </c>
      <c r="FP757" s="921"/>
      <c r="FQ757" s="921"/>
      <c r="FR757" s="921"/>
      <c r="FS757" s="943"/>
      <c r="FT757" s="945" t="str">
        <f t="shared" si="48"/>
        <v/>
      </c>
      <c r="FU757" s="921"/>
      <c r="FV757" s="921"/>
      <c r="FW757" s="921"/>
      <c r="FX757" s="943"/>
      <c r="FY757" s="945" t="str">
        <f t="shared" si="49"/>
        <v/>
      </c>
      <c r="FZ757" s="921"/>
      <c r="GA757" s="921"/>
      <c r="GB757" s="921"/>
      <c r="GC757" s="943"/>
    </row>
    <row r="758" spans="1:185" ht="12.75" customHeight="1">
      <c r="B758" s="949"/>
      <c r="C758" s="921"/>
      <c r="D758" s="921"/>
      <c r="E758" s="921"/>
      <c r="F758" s="943"/>
      <c r="G758" s="950"/>
      <c r="H758" s="921"/>
      <c r="I758" s="921"/>
      <c r="J758" s="943"/>
      <c r="K758" s="951"/>
      <c r="L758" s="921"/>
      <c r="M758" s="921"/>
      <c r="N758" s="943"/>
      <c r="O758" s="952"/>
      <c r="P758" s="921"/>
      <c r="Q758" s="921"/>
      <c r="R758" s="921"/>
      <c r="S758" s="943"/>
      <c r="T758" s="952"/>
      <c r="U758" s="921"/>
      <c r="V758" s="921"/>
      <c r="W758" s="943"/>
      <c r="X758" s="953">
        <f t="shared" si="19"/>
        <v>0</v>
      </c>
      <c r="Y758" s="921"/>
      <c r="Z758" s="921"/>
      <c r="AA758" s="921"/>
      <c r="AB758" s="943"/>
      <c r="AC758" s="954"/>
      <c r="AD758" s="921"/>
      <c r="AE758" s="921"/>
      <c r="AF758" s="921"/>
      <c r="AG758" s="943"/>
      <c r="AH758" s="946" t="str">
        <f t="shared" si="20"/>
        <v/>
      </c>
      <c r="AI758" s="947"/>
      <c r="AJ758" s="948"/>
      <c r="AK758" s="949" t="s">
        <v>855</v>
      </c>
      <c r="AL758" s="921"/>
      <c r="AM758" s="921"/>
      <c r="AN758" s="921"/>
      <c r="AO758" s="943"/>
      <c r="AP758" s="1"/>
      <c r="AQ758" s="1"/>
      <c r="AR758" s="1"/>
      <c r="AS758" s="1"/>
      <c r="AZ758" s="17" t="str">
        <f t="shared" si="21"/>
        <v>N/A</v>
      </c>
      <c r="BA758" s="1"/>
      <c r="BB758" s="1"/>
      <c r="BC758" s="1"/>
      <c r="BD758" s="1"/>
      <c r="BF758" s="527">
        <f t="shared" si="22"/>
        <v>0</v>
      </c>
      <c r="BG758" s="407">
        <f t="shared" si="23"/>
        <v>0</v>
      </c>
      <c r="BH758" s="475" t="str">
        <f t="shared" si="24"/>
        <v/>
      </c>
      <c r="BI758" s="1"/>
      <c r="BJ758" s="1"/>
      <c r="BK758" s="1"/>
      <c r="BL758" s="1"/>
      <c r="BM758" s="1"/>
      <c r="BN758" s="1"/>
      <c r="BS758" s="711">
        <f t="shared" si="25"/>
        <v>0</v>
      </c>
      <c r="BT758" s="407">
        <f t="shared" si="26"/>
        <v>0</v>
      </c>
      <c r="BU758" s="475" t="str">
        <f t="shared" si="27"/>
        <v/>
      </c>
      <c r="BV758" s="1"/>
      <c r="BW758" s="1"/>
      <c r="BX758" s="1"/>
      <c r="BY758" s="1"/>
      <c r="BZ758" s="1"/>
      <c r="CA758" s="1"/>
      <c r="CB758" s="1"/>
      <c r="CC758" s="1"/>
      <c r="CE758" s="1"/>
      <c r="CF758" s="1"/>
      <c r="CG758" s="945">
        <f t="shared" si="28"/>
        <v>0</v>
      </c>
      <c r="CH758" s="943"/>
      <c r="CI758" s="945">
        <f t="shared" si="29"/>
        <v>0</v>
      </c>
      <c r="CJ758" s="943"/>
      <c r="CK758" s="945">
        <f t="shared" si="30"/>
        <v>0</v>
      </c>
      <c r="CL758" s="943"/>
      <c r="CM758" s="945">
        <f t="shared" si="31"/>
        <v>0</v>
      </c>
      <c r="CN758" s="943"/>
      <c r="CO758" s="1"/>
      <c r="CP758" s="942">
        <f t="shared" si="32"/>
        <v>0</v>
      </c>
      <c r="CQ758" s="921"/>
      <c r="CR758" s="921"/>
      <c r="CS758" s="921"/>
      <c r="CT758" s="943"/>
      <c r="CU758" s="942">
        <f t="shared" si="33"/>
        <v>0</v>
      </c>
      <c r="CV758" s="921"/>
      <c r="CW758" s="921"/>
      <c r="CX758" s="921"/>
      <c r="CY758" s="943"/>
      <c r="CZ758" s="942">
        <f t="shared" si="34"/>
        <v>0</v>
      </c>
      <c r="DA758" s="921"/>
      <c r="DB758" s="921"/>
      <c r="DC758" s="921"/>
      <c r="DD758" s="943"/>
      <c r="DE758" s="942">
        <f t="shared" si="35"/>
        <v>0</v>
      </c>
      <c r="DF758" s="921"/>
      <c r="DG758" s="921"/>
      <c r="DH758" s="921"/>
      <c r="DI758" s="943"/>
      <c r="DJ758" s="942">
        <f t="shared" si="36"/>
        <v>0</v>
      </c>
      <c r="DK758" s="921"/>
      <c r="DL758" s="921"/>
      <c r="DM758" s="921"/>
      <c r="DN758" s="943"/>
      <c r="DO758" s="942">
        <f t="shared" si="37"/>
        <v>0</v>
      </c>
      <c r="DP758" s="921"/>
      <c r="DQ758" s="921"/>
      <c r="DR758" s="921"/>
      <c r="DS758" s="943"/>
      <c r="DT758" s="7"/>
      <c r="DU758" s="944">
        <f t="shared" si="38"/>
        <v>0</v>
      </c>
      <c r="DV758" s="921"/>
      <c r="DW758" s="921"/>
      <c r="DX758" s="921"/>
      <c r="DY758" s="943"/>
      <c r="DZ758" s="944">
        <f t="shared" si="39"/>
        <v>0</v>
      </c>
      <c r="EA758" s="921"/>
      <c r="EB758" s="921"/>
      <c r="EC758" s="921"/>
      <c r="ED758" s="943"/>
      <c r="EE758" s="944">
        <f t="shared" si="40"/>
        <v>0</v>
      </c>
      <c r="EF758" s="921"/>
      <c r="EG758" s="921"/>
      <c r="EH758" s="921"/>
      <c r="EI758" s="943"/>
      <c r="EJ758" s="944">
        <f t="shared" si="41"/>
        <v>0</v>
      </c>
      <c r="EK758" s="921"/>
      <c r="EL758" s="921"/>
      <c r="EM758" s="921"/>
      <c r="EN758" s="943"/>
      <c r="EO758" s="944">
        <f t="shared" si="42"/>
        <v>0</v>
      </c>
      <c r="EP758" s="921"/>
      <c r="EQ758" s="921"/>
      <c r="ER758" s="921"/>
      <c r="ES758" s="943"/>
      <c r="ET758" s="944">
        <f t="shared" si="43"/>
        <v>0</v>
      </c>
      <c r="EU758" s="921"/>
      <c r="EV758" s="921"/>
      <c r="EW758" s="921"/>
      <c r="EX758" s="943"/>
      <c r="EZ758" s="945" t="str">
        <f t="shared" si="44"/>
        <v/>
      </c>
      <c r="FA758" s="921"/>
      <c r="FB758" s="921"/>
      <c r="FC758" s="921"/>
      <c r="FD758" s="943"/>
      <c r="FE758" s="945" t="str">
        <f t="shared" si="45"/>
        <v/>
      </c>
      <c r="FF758" s="921"/>
      <c r="FG758" s="921"/>
      <c r="FH758" s="921"/>
      <c r="FI758" s="943"/>
      <c r="FJ758" s="945" t="str">
        <f t="shared" si="46"/>
        <v/>
      </c>
      <c r="FK758" s="921"/>
      <c r="FL758" s="921"/>
      <c r="FM758" s="921"/>
      <c r="FN758" s="943"/>
      <c r="FO758" s="945" t="str">
        <f t="shared" si="47"/>
        <v/>
      </c>
      <c r="FP758" s="921"/>
      <c r="FQ758" s="921"/>
      <c r="FR758" s="921"/>
      <c r="FS758" s="943"/>
      <c r="FT758" s="945" t="str">
        <f t="shared" si="48"/>
        <v/>
      </c>
      <c r="FU758" s="921"/>
      <c r="FV758" s="921"/>
      <c r="FW758" s="921"/>
      <c r="FX758" s="943"/>
      <c r="FY758" s="945" t="str">
        <f t="shared" si="49"/>
        <v/>
      </c>
      <c r="FZ758" s="921"/>
      <c r="GA758" s="921"/>
      <c r="GB758" s="921"/>
      <c r="GC758" s="943"/>
    </row>
    <row r="759" spans="1:185" ht="12.75" customHeight="1">
      <c r="B759" s="1004" t="s">
        <v>2358</v>
      </c>
      <c r="C759" s="921"/>
      <c r="D759" s="921"/>
      <c r="E759" s="921"/>
      <c r="F759" s="943"/>
      <c r="G759" s="956">
        <f>SUM(G726:G758)</f>
        <v>232</v>
      </c>
      <c r="H759" s="921"/>
      <c r="I759" s="921"/>
      <c r="J759" s="943"/>
      <c r="K759" s="714" t="s">
        <v>1574</v>
      </c>
      <c r="L759" s="5"/>
      <c r="M759" s="5"/>
      <c r="N759" s="321"/>
      <c r="O759" s="953">
        <f>SUMPRODUCT(G726:G758,O726:O758)</f>
        <v>448540</v>
      </c>
      <c r="P759" s="921"/>
      <c r="Q759" s="921"/>
      <c r="R759" s="921"/>
      <c r="S759" s="943"/>
      <c r="X759" s="714" t="s">
        <v>2363</v>
      </c>
      <c r="Y759" s="6"/>
      <c r="Z759" s="6"/>
      <c r="AA759" s="6"/>
      <c r="AB759" s="715"/>
      <c r="AC759" s="1056">
        <f>BH759</f>
        <v>0.55517241379310334</v>
      </c>
      <c r="AD759" s="921"/>
      <c r="AE759" s="921"/>
      <c r="AF759" s="921"/>
      <c r="AG759" s="943"/>
      <c r="AH759" s="1056">
        <f>IFERROR(BU759,"")</f>
        <v>0.55497974899235814</v>
      </c>
      <c r="AI759" s="921"/>
      <c r="AJ759" s="943"/>
      <c r="AP759" s="8"/>
      <c r="AQ759" s="8"/>
      <c r="AR759" s="8"/>
      <c r="AS759" s="8"/>
      <c r="AZ759" s="1"/>
      <c r="BA759" s="1"/>
      <c r="BB759" s="1"/>
      <c r="BC759" s="1"/>
      <c r="BD759" s="1"/>
      <c r="BE759" s="237" t="s">
        <v>1988</v>
      </c>
      <c r="BF759" s="716">
        <f>SUM(BF726:BF758)</f>
        <v>232</v>
      </c>
      <c r="BG759" s="717">
        <f>SUM(BG726:BG758)</f>
        <v>1</v>
      </c>
      <c r="BH759" s="717">
        <f>SUM(BH726:BH758)</f>
        <v>0.55517241379310334</v>
      </c>
      <c r="BM759" s="1"/>
      <c r="BN759" s="1"/>
      <c r="BS759" s="718">
        <f>SUM(BS726:BS758)</f>
        <v>232</v>
      </c>
      <c r="BT759" s="717">
        <f>SUM(BT726:BT758)</f>
        <v>1</v>
      </c>
      <c r="BU759" s="717">
        <f>SUM(BU726:BU758)</f>
        <v>0.55497974899235814</v>
      </c>
      <c r="BV759" s="1"/>
      <c r="BW759" s="1"/>
      <c r="BX759" s="1"/>
      <c r="BY759" s="1"/>
      <c r="BZ759" s="1"/>
      <c r="CA759" s="1"/>
      <c r="CB759" s="1"/>
      <c r="CC759" s="1"/>
      <c r="CD759" s="1"/>
      <c r="CE759" s="1"/>
      <c r="CF759" s="1"/>
      <c r="CG759" s="1"/>
      <c r="CH759" s="1"/>
      <c r="CI759" s="956">
        <f>SUM(CI726:CJ758)</f>
        <v>26</v>
      </c>
      <c r="CJ759" s="943"/>
      <c r="CK759" s="1"/>
      <c r="CL759" s="1"/>
      <c r="CM759" s="945">
        <f>SUM(CM726:CN758)</f>
        <v>26</v>
      </c>
      <c r="CN759" s="943"/>
      <c r="CO759" s="1"/>
      <c r="CP759" s="945">
        <f>SUM(CP726:CT758)</f>
        <v>0</v>
      </c>
      <c r="CQ759" s="921"/>
      <c r="CR759" s="921"/>
      <c r="CS759" s="921"/>
      <c r="CT759" s="943"/>
      <c r="CU759" s="956">
        <f>SUM(CU726:CY758)</f>
        <v>119</v>
      </c>
      <c r="CV759" s="921"/>
      <c r="CW759" s="921"/>
      <c r="CX759" s="921"/>
      <c r="CY759" s="943"/>
      <c r="CZ759" s="945">
        <f>SUM(CZ726:DD758)</f>
        <v>68</v>
      </c>
      <c r="DA759" s="921"/>
      <c r="DB759" s="921"/>
      <c r="DC759" s="921"/>
      <c r="DD759" s="943"/>
      <c r="DE759" s="945">
        <f>SUM(DE726:DI758)</f>
        <v>45</v>
      </c>
      <c r="DF759" s="921"/>
      <c r="DG759" s="921"/>
      <c r="DH759" s="921"/>
      <c r="DI759" s="943"/>
      <c r="DJ759" s="945">
        <f>SUM(DJ726:DN758)</f>
        <v>0</v>
      </c>
      <c r="DK759" s="921"/>
      <c r="DL759" s="921"/>
      <c r="DM759" s="921"/>
      <c r="DN759" s="943"/>
      <c r="DO759" s="945">
        <f>SUM(DO726:DS758)</f>
        <v>0</v>
      </c>
      <c r="DP759" s="921"/>
      <c r="DQ759" s="921"/>
      <c r="DR759" s="921"/>
      <c r="DS759" s="943"/>
      <c r="DT759" s="7"/>
      <c r="DU759" s="945">
        <f>SUM(DU726:DY758)</f>
        <v>0</v>
      </c>
      <c r="DV759" s="921"/>
      <c r="DW759" s="921"/>
      <c r="DX759" s="921"/>
      <c r="DY759" s="943"/>
      <c r="DZ759" s="945">
        <f>SUM(DZ726:ED758)</f>
        <v>12</v>
      </c>
      <c r="EA759" s="921"/>
      <c r="EB759" s="921"/>
      <c r="EC759" s="921"/>
      <c r="ED759" s="943"/>
      <c r="EE759" s="945">
        <f>SUM(EE726:EI758)</f>
        <v>8</v>
      </c>
      <c r="EF759" s="921"/>
      <c r="EG759" s="921"/>
      <c r="EH759" s="921"/>
      <c r="EI759" s="943"/>
      <c r="EJ759" s="945">
        <f>SUM(EJ726:EN758)</f>
        <v>6</v>
      </c>
      <c r="EK759" s="921"/>
      <c r="EL759" s="921"/>
      <c r="EM759" s="921"/>
      <c r="EN759" s="943"/>
      <c r="EO759" s="945">
        <f>SUM(EO726:ES758)</f>
        <v>0</v>
      </c>
      <c r="EP759" s="921"/>
      <c r="EQ759" s="921"/>
      <c r="ER759" s="921"/>
      <c r="ES759" s="943"/>
      <c r="ET759" s="945">
        <f>SUM(ET726:EX758)</f>
        <v>0</v>
      </c>
      <c r="EU759" s="921"/>
      <c r="EV759" s="921"/>
      <c r="EW759" s="921"/>
      <c r="EX759" s="943"/>
      <c r="EZ759" s="945">
        <f>SUM(EZ726:FD758)</f>
        <v>0</v>
      </c>
      <c r="FA759" s="921"/>
      <c r="FB759" s="921"/>
      <c r="FC759" s="921"/>
      <c r="FD759" s="943"/>
      <c r="FE759" s="953">
        <f>SUM(FE726:FI758)</f>
        <v>8560</v>
      </c>
      <c r="FF759" s="921"/>
      <c r="FG759" s="921"/>
      <c r="FH759" s="921"/>
      <c r="FI759" s="943"/>
      <c r="FJ759" s="945">
        <f>SUM(FJ726:FN758)</f>
        <v>10194</v>
      </c>
      <c r="FK759" s="921"/>
      <c r="FL759" s="921"/>
      <c r="FM759" s="921"/>
      <c r="FN759" s="943"/>
      <c r="FO759" s="945">
        <f>SUM(FO726:FS758)</f>
        <v>11662</v>
      </c>
      <c r="FP759" s="921"/>
      <c r="FQ759" s="921"/>
      <c r="FR759" s="921"/>
      <c r="FS759" s="943"/>
      <c r="FT759" s="945">
        <f>SUM(FT726:FX758)</f>
        <v>0</v>
      </c>
      <c r="FU759" s="921"/>
      <c r="FV759" s="921"/>
      <c r="FW759" s="921"/>
      <c r="FX759" s="943"/>
      <c r="FY759" s="945">
        <f>SUM(FY726:GC758)</f>
        <v>0</v>
      </c>
      <c r="FZ759" s="921"/>
      <c r="GA759" s="921"/>
      <c r="GB759" s="921"/>
      <c r="GC759" s="943"/>
    </row>
    <row r="760" spans="1:185" ht="12.75" customHeight="1">
      <c r="B760" s="1057" t="s">
        <v>2374</v>
      </c>
      <c r="C760" s="893"/>
      <c r="D760" s="893"/>
      <c r="E760" s="893"/>
      <c r="F760" s="893"/>
      <c r="G760" s="893"/>
      <c r="H760" s="893"/>
      <c r="I760" s="893"/>
      <c r="J760" s="893"/>
      <c r="K760" s="893"/>
      <c r="L760" s="893"/>
      <c r="M760" s="893"/>
      <c r="N760" s="893"/>
      <c r="O760" s="893"/>
      <c r="P760" s="893"/>
      <c r="Q760" s="893"/>
      <c r="R760" s="893"/>
      <c r="S760" s="893"/>
      <c r="T760" s="893"/>
      <c r="U760" s="893"/>
      <c r="V760" s="893"/>
      <c r="W760" s="893"/>
      <c r="X760" s="893"/>
      <c r="Y760" s="893"/>
      <c r="Z760" s="893"/>
      <c r="AA760" s="893"/>
      <c r="AB760" s="893"/>
      <c r="AC760" s="893"/>
      <c r="AD760" s="893"/>
      <c r="AE760" s="893"/>
      <c r="AF760" s="893"/>
      <c r="AG760" s="893"/>
      <c r="AH760" s="893"/>
      <c r="AL760" s="1"/>
      <c r="AM760" s="1"/>
      <c r="AN760" s="1"/>
      <c r="AO760" s="1"/>
      <c r="AP760" s="1"/>
      <c r="AQ760" s="1"/>
      <c r="AR760" s="1"/>
      <c r="AS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237" t="s">
        <v>2377</v>
      </c>
      <c r="DO760" s="956">
        <f>CP759+CU759+CZ759+DE759+DJ759+DO759</f>
        <v>232</v>
      </c>
      <c r="DP760" s="921"/>
      <c r="DQ760" s="921"/>
      <c r="DR760" s="921"/>
      <c r="DS760" s="943"/>
      <c r="DT760" s="7"/>
      <c r="DU760" s="1"/>
      <c r="DV760" s="1"/>
      <c r="DW760" s="1"/>
      <c r="DX760" s="1"/>
      <c r="DY760" s="1"/>
      <c r="DZ760" s="1"/>
      <c r="EA760" s="1"/>
      <c r="EB760" s="1"/>
      <c r="EC760" s="1"/>
      <c r="ED760" s="1"/>
      <c r="EE760" s="1"/>
      <c r="EF760" s="1"/>
      <c r="EG760" s="1"/>
      <c r="EH760" s="1"/>
    </row>
    <row r="761" spans="1:185" ht="12.75" customHeight="1">
      <c r="B761" s="893"/>
      <c r="C761" s="893"/>
      <c r="D761" s="893"/>
      <c r="E761" s="893"/>
      <c r="F761" s="893"/>
      <c r="G761" s="893"/>
      <c r="H761" s="893"/>
      <c r="I761" s="893"/>
      <c r="J761" s="893"/>
      <c r="K761" s="893"/>
      <c r="L761" s="893"/>
      <c r="M761" s="893"/>
      <c r="N761" s="893"/>
      <c r="O761" s="893"/>
      <c r="P761" s="893"/>
      <c r="Q761" s="893"/>
      <c r="R761" s="893"/>
      <c r="S761" s="893"/>
      <c r="T761" s="893"/>
      <c r="U761" s="893"/>
      <c r="V761" s="893"/>
      <c r="W761" s="893"/>
      <c r="X761" s="893"/>
      <c r="Y761" s="893"/>
      <c r="Z761" s="893"/>
      <c r="AA761" s="893"/>
      <c r="AB761" s="893"/>
      <c r="AC761" s="893"/>
      <c r="AD761" s="893"/>
      <c r="AE761" s="893"/>
      <c r="AF761" s="893"/>
      <c r="AG761" s="893"/>
      <c r="AH761" s="893"/>
      <c r="AL761" s="1"/>
      <c r="AM761" s="1"/>
      <c r="AN761" s="1"/>
      <c r="AO761" s="1"/>
      <c r="AP761" s="1"/>
      <c r="AQ761" s="1"/>
      <c r="AR761" s="1"/>
      <c r="AS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E761" s="1"/>
      <c r="CF761" s="1"/>
      <c r="CG761" s="1"/>
      <c r="CH761" s="1"/>
      <c r="CI761" s="1"/>
      <c r="CJ761" s="1"/>
      <c r="CK761" s="1"/>
      <c r="CL761" s="1"/>
      <c r="CM761" s="1"/>
      <c r="CN761" s="1"/>
      <c r="CO761" s="1"/>
      <c r="CT761" s="180">
        <f>CP759*1</f>
        <v>0</v>
      </c>
      <c r="CU761" s="1"/>
      <c r="CV761" s="1"/>
      <c r="CW761" s="1"/>
      <c r="CX761" s="1"/>
      <c r="CY761" s="180">
        <f>CU759*1</f>
        <v>119</v>
      </c>
      <c r="CZ761" s="1"/>
      <c r="DA761" s="1"/>
      <c r="DB761" s="1"/>
      <c r="DC761" s="1"/>
      <c r="DD761" s="180">
        <f>CZ759*2</f>
        <v>136</v>
      </c>
      <c r="DE761" s="1"/>
      <c r="DF761" s="1"/>
      <c r="DG761" s="1"/>
      <c r="DH761" s="1"/>
      <c r="DI761" s="180">
        <f>DE759*3</f>
        <v>135</v>
      </c>
      <c r="DJ761" s="1"/>
      <c r="DK761" s="1"/>
      <c r="DL761" s="1"/>
      <c r="DM761" s="1"/>
      <c r="DN761" s="180">
        <f>DJ759*4</f>
        <v>0</v>
      </c>
      <c r="DO761" s="1"/>
      <c r="DP761" s="1"/>
      <c r="DQ761" s="1"/>
      <c r="DR761" s="1"/>
      <c r="DS761" s="180">
        <f>DO759*5</f>
        <v>0</v>
      </c>
      <c r="DU761" s="180">
        <f>CT761+CY761+DD761+DI761+DN761+DS761</f>
        <v>390</v>
      </c>
      <c r="DV761" s="62" t="s">
        <v>2380</v>
      </c>
      <c r="DW761" s="1"/>
      <c r="DX761" s="1"/>
      <c r="DY761" s="1"/>
      <c r="DZ761" s="1"/>
      <c r="EA761" s="1"/>
      <c r="EB761" s="1"/>
      <c r="EC761" s="1"/>
      <c r="ED761" s="1"/>
      <c r="EE761" s="1"/>
      <c r="EF761" s="1"/>
      <c r="EG761" s="1"/>
      <c r="EH761" s="1"/>
    </row>
    <row r="762" spans="1:185" ht="12.75" customHeight="1">
      <c r="A762" s="1"/>
      <c r="B762" s="1"/>
      <c r="C762" s="17" t="s">
        <v>2381</v>
      </c>
      <c r="D762" s="33"/>
      <c r="E762" s="33"/>
      <c r="F762" s="33"/>
      <c r="G762" s="427"/>
      <c r="H762" s="427"/>
      <c r="I762" s="427"/>
      <c r="J762" s="427"/>
      <c r="K762" s="33"/>
      <c r="L762" s="33"/>
      <c r="M762" s="33"/>
      <c r="N762" s="33"/>
      <c r="O762" s="945">
        <f>DU761</f>
        <v>390</v>
      </c>
      <c r="P762" s="921"/>
      <c r="Q762" s="921"/>
      <c r="R762" s="943"/>
      <c r="S762" s="226"/>
      <c r="T762" s="226"/>
      <c r="U762" s="17" t="s">
        <v>2383</v>
      </c>
      <c r="V762" s="33"/>
      <c r="W762" s="33"/>
      <c r="X762" s="33"/>
      <c r="Y762" s="427"/>
      <c r="Z762" s="427"/>
      <c r="AA762" s="427"/>
      <c r="AB762" s="427"/>
      <c r="AC762" s="33"/>
      <c r="AD762" s="33"/>
      <c r="AE762" s="33"/>
      <c r="AF762" s="33"/>
      <c r="AG762" s="949"/>
      <c r="AH762" s="921"/>
      <c r="AI762" s="921"/>
      <c r="AJ762" s="943"/>
      <c r="AK762" s="1"/>
      <c r="AL762" s="1"/>
      <c r="AM762" s="1"/>
      <c r="AN762" s="1"/>
      <c r="AO762" s="1"/>
      <c r="AP762" s="1"/>
      <c r="AQ762" s="1"/>
      <c r="AR762" s="1"/>
      <c r="AS762" s="1"/>
      <c r="AZ762" s="1"/>
      <c r="BA762" s="1"/>
      <c r="BB762" s="237"/>
      <c r="BC762" s="237"/>
      <c r="BD762" s="237"/>
      <c r="BE762" s="237"/>
      <c r="BF762" s="237"/>
      <c r="BG762" s="237"/>
      <c r="BH762" s="237"/>
      <c r="BI762" s="237"/>
      <c r="BJ762" s="237"/>
      <c r="BK762" s="237"/>
      <c r="BL762" s="237"/>
      <c r="BM762" s="237"/>
      <c r="BN762" s="237"/>
      <c r="BO762" s="237"/>
      <c r="BP762" s="237"/>
      <c r="BQ762" s="237"/>
      <c r="BR762" s="237"/>
      <c r="BS762" s="237"/>
      <c r="BT762" s="237"/>
      <c r="BU762" s="237"/>
      <c r="BV762" s="237"/>
      <c r="BW762" s="237"/>
      <c r="BX762" s="237"/>
      <c r="BY762" s="237"/>
      <c r="BZ762" s="237"/>
      <c r="CA762" s="237"/>
      <c r="CB762" s="237"/>
      <c r="CC762" s="237"/>
      <c r="CE762" s="1"/>
      <c r="CF762" s="237"/>
      <c r="CG762" s="237"/>
      <c r="CH762" s="237"/>
      <c r="CI762" s="237"/>
      <c r="CJ762" s="237"/>
      <c r="CK762" s="237"/>
      <c r="CL762" s="237"/>
      <c r="CM762" s="237"/>
      <c r="CN762" s="237"/>
      <c r="CO762" s="237"/>
      <c r="CP762" s="237"/>
      <c r="CQ762" s="237"/>
      <c r="CR762" s="237"/>
      <c r="CS762" s="237"/>
      <c r="CT762" s="237"/>
      <c r="CU762" s="237"/>
      <c r="CV762" s="237"/>
      <c r="CW762" s="237"/>
      <c r="CX762" s="237"/>
      <c r="CY762" s="237"/>
      <c r="CZ762" s="237"/>
      <c r="DA762" s="237"/>
      <c r="DB762" s="237"/>
      <c r="DC762" s="237"/>
      <c r="DD762" s="237"/>
      <c r="DE762" s="237"/>
      <c r="DF762" s="237"/>
      <c r="DG762" s="237"/>
      <c r="DH762" s="237"/>
      <c r="DI762" s="237"/>
      <c r="DJ762" s="237"/>
      <c r="DK762" s="237"/>
      <c r="DL762" s="237"/>
      <c r="DM762" s="237"/>
      <c r="DN762" s="237"/>
      <c r="DO762" s="237"/>
      <c r="DP762" s="237"/>
      <c r="DQ762" s="237"/>
      <c r="DR762" s="237"/>
      <c r="DS762" s="237"/>
      <c r="DT762" s="237"/>
      <c r="DU762" s="237"/>
      <c r="DV762" s="237"/>
      <c r="DW762" s="237"/>
      <c r="FB762" s="237"/>
      <c r="FC762" s="237"/>
    </row>
    <row r="763" spans="1:185" ht="12.75" customHeight="1">
      <c r="B763" s="62"/>
      <c r="C763" s="1058" t="str">
        <f>IF(G759&lt;&gt;AG449,"! Total Low-Income Units in the Unit Mix Table above does not match the number of Total Low-Income Units on row #"&amp;TEXT(ROW(D449),"#"),"")</f>
        <v/>
      </c>
      <c r="D763" s="893"/>
      <c r="E763" s="893"/>
      <c r="F763" s="893"/>
      <c r="G763" s="893"/>
      <c r="H763" s="893"/>
      <c r="I763" s="893"/>
      <c r="J763" s="893"/>
      <c r="K763" s="893"/>
      <c r="L763" s="893"/>
      <c r="M763" s="893"/>
      <c r="N763" s="893"/>
      <c r="O763" s="893"/>
      <c r="P763" s="893"/>
      <c r="Q763" s="893"/>
      <c r="R763" s="893"/>
      <c r="S763" s="893"/>
      <c r="T763" s="893"/>
      <c r="U763" s="893"/>
      <c r="V763" s="893"/>
      <c r="W763" s="893"/>
      <c r="X763" s="893"/>
      <c r="Y763" s="893"/>
      <c r="Z763" s="893"/>
      <c r="AA763" s="893"/>
      <c r="AB763" s="893"/>
      <c r="AC763" s="893"/>
      <c r="AD763" s="893"/>
      <c r="AE763" s="893"/>
      <c r="AF763" s="893"/>
      <c r="AG763" s="893"/>
      <c r="AH763" s="893"/>
      <c r="AI763" s="893"/>
      <c r="AJ763" s="893"/>
      <c r="AK763" s="893"/>
      <c r="AL763" s="893"/>
      <c r="AM763" s="893"/>
      <c r="AP763" s="237"/>
      <c r="AQ763" s="237"/>
      <c r="AR763" s="237"/>
      <c r="AS763" s="237"/>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row>
    <row r="764" spans="1:185" ht="12.75" customHeight="1">
      <c r="B764" s="62"/>
      <c r="C764" s="893"/>
      <c r="D764" s="893"/>
      <c r="E764" s="893"/>
      <c r="F764" s="893"/>
      <c r="G764" s="893"/>
      <c r="H764" s="893"/>
      <c r="I764" s="893"/>
      <c r="J764" s="893"/>
      <c r="K764" s="893"/>
      <c r="L764" s="893"/>
      <c r="M764" s="893"/>
      <c r="N764" s="893"/>
      <c r="O764" s="893"/>
      <c r="P764" s="893"/>
      <c r="Q764" s="893"/>
      <c r="R764" s="893"/>
      <c r="S764" s="893"/>
      <c r="T764" s="893"/>
      <c r="U764" s="893"/>
      <c r="V764" s="893"/>
      <c r="W764" s="893"/>
      <c r="X764" s="893"/>
      <c r="Y764" s="893"/>
      <c r="Z764" s="893"/>
      <c r="AA764" s="893"/>
      <c r="AB764" s="893"/>
      <c r="AC764" s="893"/>
      <c r="AD764" s="893"/>
      <c r="AE764" s="893"/>
      <c r="AF764" s="893"/>
      <c r="AG764" s="893"/>
      <c r="AH764" s="893"/>
      <c r="AI764" s="893"/>
      <c r="AJ764" s="893"/>
      <c r="AK764" s="893"/>
      <c r="AL764" s="893"/>
      <c r="AM764" s="893"/>
      <c r="AP764" s="237"/>
      <c r="AQ764" s="237"/>
      <c r="AR764" s="237"/>
      <c r="AS764" s="237"/>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FB764" s="1"/>
      <c r="FC764" s="1"/>
    </row>
    <row r="765" spans="1:185" ht="12.75" customHeight="1">
      <c r="B765" s="1"/>
      <c r="C765" s="17" t="s">
        <v>2387</v>
      </c>
      <c r="D765" s="365"/>
      <c r="E765" s="365"/>
      <c r="F765" s="365"/>
      <c r="G765" s="365"/>
      <c r="H765" s="365"/>
      <c r="I765" s="365"/>
      <c r="J765" s="365"/>
      <c r="K765" s="365"/>
      <c r="L765" s="365"/>
      <c r="M765" s="365"/>
      <c r="N765" s="365"/>
      <c r="O765" s="365"/>
      <c r="P765" s="365"/>
      <c r="Q765" s="365"/>
      <c r="R765" s="365"/>
      <c r="S765" s="365"/>
      <c r="T765" s="365"/>
      <c r="U765" s="365"/>
      <c r="V765" s="365"/>
      <c r="W765" s="365"/>
      <c r="X765" s="365"/>
      <c r="Y765" s="365"/>
      <c r="Z765" s="365"/>
      <c r="AA765" s="365"/>
      <c r="AB765" s="365"/>
      <c r="AC765" s="365"/>
      <c r="AD765" s="1059" t="s">
        <v>855</v>
      </c>
      <c r="AE765" s="968"/>
      <c r="AF765" s="969"/>
      <c r="AG765" s="365"/>
      <c r="AH765" s="365"/>
      <c r="AI765" s="365"/>
      <c r="AJ765" s="365"/>
      <c r="AK765" s="365"/>
      <c r="AL765" s="365"/>
      <c r="AM765" s="365"/>
      <c r="AN765" s="365"/>
      <c r="AO765" s="365"/>
      <c r="AP765" s="365"/>
      <c r="AQ765" s="365"/>
      <c r="AR765" s="365"/>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FB765" s="1"/>
      <c r="FC765" s="1"/>
    </row>
    <row r="766" spans="1:185" ht="12.75" customHeight="1">
      <c r="C766" s="46" t="s">
        <v>2391</v>
      </c>
      <c r="D766" s="365"/>
      <c r="E766" s="365"/>
      <c r="F766" s="365"/>
      <c r="G766" s="365"/>
      <c r="H766" s="365"/>
      <c r="I766" s="365"/>
      <c r="J766" s="365"/>
      <c r="K766" s="365"/>
      <c r="L766" s="365"/>
      <c r="M766" s="365"/>
      <c r="N766" s="365"/>
      <c r="O766" s="365"/>
      <c r="P766" s="365"/>
      <c r="Q766" s="365"/>
      <c r="R766" s="365"/>
      <c r="S766" s="365"/>
      <c r="T766" s="365"/>
      <c r="U766" s="365"/>
      <c r="V766" s="365"/>
      <c r="W766" s="365"/>
      <c r="X766" s="365"/>
      <c r="Y766" s="365"/>
      <c r="Z766" s="365"/>
      <c r="AA766" s="365"/>
      <c r="AB766" s="365"/>
      <c r="AC766" s="365"/>
      <c r="AD766" s="365"/>
      <c r="AE766" s="365"/>
      <c r="AF766" s="365"/>
      <c r="AG766" s="365"/>
      <c r="AH766" s="365"/>
      <c r="AI766" s="365"/>
      <c r="AJ766" s="365"/>
      <c r="AK766" s="365"/>
      <c r="AL766" s="365"/>
      <c r="AM766" s="365"/>
      <c r="AN766" s="365"/>
      <c r="AO766" s="365"/>
      <c r="AP766" s="365"/>
      <c r="AQ766" s="365"/>
      <c r="AR766" s="365"/>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FB766" s="1"/>
      <c r="FC766" s="1"/>
    </row>
    <row r="767" spans="1:185" ht="12.75" customHeight="1">
      <c r="A767" s="8" t="s">
        <v>1003</v>
      </c>
      <c r="B767" s="237"/>
      <c r="C767" s="62" t="s">
        <v>2392</v>
      </c>
      <c r="D767" s="237"/>
      <c r="E767" s="237"/>
      <c r="F767" s="237"/>
      <c r="G767" s="7"/>
      <c r="H767" s="7"/>
      <c r="I767" s="7"/>
      <c r="J767" s="7"/>
      <c r="K767" s="7"/>
      <c r="L767" s="237"/>
      <c r="M767" s="237"/>
      <c r="N767" s="237"/>
      <c r="O767" s="237"/>
      <c r="P767" s="237"/>
      <c r="Q767" s="7"/>
      <c r="R767" s="7"/>
      <c r="S767" s="7"/>
      <c r="T767" s="7"/>
      <c r="U767" s="7"/>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DU767" s="1"/>
      <c r="DV767" s="1"/>
      <c r="DW767" s="1"/>
      <c r="FB767" s="1"/>
      <c r="FC767" s="1"/>
    </row>
    <row r="768" spans="1:185" ht="12.75" customHeight="1">
      <c r="A768" s="1"/>
      <c r="B768" s="33"/>
      <c r="C768" s="17" t="s">
        <v>2393</v>
      </c>
      <c r="D768" s="33"/>
      <c r="E768" s="33"/>
      <c r="F768" s="33"/>
      <c r="G768" s="7"/>
      <c r="H768" s="7"/>
      <c r="I768" s="7"/>
      <c r="J768" s="7"/>
      <c r="K768" s="7"/>
      <c r="L768" s="33"/>
      <c r="M768" s="33"/>
      <c r="N768" s="33"/>
      <c r="O768" s="33"/>
      <c r="P768" s="33"/>
      <c r="Q768" s="7"/>
      <c r="R768" s="7"/>
      <c r="S768" s="7"/>
      <c r="T768" s="7"/>
      <c r="U768" s="7"/>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DU768" s="1"/>
      <c r="DV768" s="1"/>
      <c r="DW768" s="1"/>
      <c r="FB768" s="1"/>
      <c r="FC768" s="1"/>
    </row>
    <row r="769" spans="1:159" ht="12.75" customHeight="1">
      <c r="A769" s="1"/>
      <c r="B769" s="33"/>
      <c r="C769" s="894" t="s">
        <v>2395</v>
      </c>
      <c r="D769" s="893"/>
      <c r="E769" s="893"/>
      <c r="F769" s="893"/>
      <c r="G769" s="893"/>
      <c r="H769" s="893"/>
      <c r="I769" s="893"/>
      <c r="J769" s="893"/>
      <c r="K769" s="893"/>
      <c r="L769" s="893"/>
      <c r="M769" s="893"/>
      <c r="N769" s="893"/>
      <c r="O769" s="893"/>
      <c r="P769" s="893"/>
      <c r="Q769" s="893"/>
      <c r="R769" s="893"/>
      <c r="S769" s="893"/>
      <c r="T769" s="893"/>
      <c r="U769" s="893"/>
      <c r="V769" s="893"/>
      <c r="W769" s="893"/>
      <c r="X769" s="893"/>
      <c r="Y769" s="893"/>
      <c r="Z769" s="893"/>
      <c r="AA769" s="893"/>
      <c r="AB769" s="893"/>
      <c r="AC769" s="893"/>
      <c r="AD769" s="893"/>
      <c r="AE769" s="893"/>
      <c r="AF769" s="893"/>
      <c r="AG769" s="893"/>
      <c r="AH769" s="893"/>
      <c r="AI769" s="893"/>
      <c r="AJ769" s="893"/>
      <c r="AK769" s="893"/>
      <c r="AL769" s="893"/>
      <c r="AM769" s="893"/>
      <c r="AN769" s="893"/>
      <c r="AO769" s="893"/>
      <c r="AP769" s="893"/>
      <c r="AQ769" s="893"/>
      <c r="AR769" s="893"/>
      <c r="AS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row>
    <row r="770" spans="1:159" ht="12.75" customHeight="1">
      <c r="A770" s="1"/>
      <c r="B770" s="33"/>
      <c r="C770" s="893"/>
      <c r="D770" s="893"/>
      <c r="E770" s="893"/>
      <c r="F770" s="893"/>
      <c r="G770" s="893"/>
      <c r="H770" s="893"/>
      <c r="I770" s="893"/>
      <c r="J770" s="893"/>
      <c r="K770" s="893"/>
      <c r="L770" s="893"/>
      <c r="M770" s="893"/>
      <c r="N770" s="893"/>
      <c r="O770" s="893"/>
      <c r="P770" s="893"/>
      <c r="Q770" s="893"/>
      <c r="R770" s="893"/>
      <c r="S770" s="893"/>
      <c r="T770" s="893"/>
      <c r="U770" s="893"/>
      <c r="V770" s="893"/>
      <c r="W770" s="893"/>
      <c r="X770" s="893"/>
      <c r="Y770" s="893"/>
      <c r="Z770" s="893"/>
      <c r="AA770" s="893"/>
      <c r="AB770" s="893"/>
      <c r="AC770" s="893"/>
      <c r="AD770" s="893"/>
      <c r="AE770" s="893"/>
      <c r="AF770" s="893"/>
      <c r="AG770" s="893"/>
      <c r="AH770" s="893"/>
      <c r="AI770" s="893"/>
      <c r="AJ770" s="893"/>
      <c r="AK770" s="893"/>
      <c r="AL770" s="893"/>
      <c r="AM770" s="893"/>
      <c r="AN770" s="893"/>
      <c r="AO770" s="893"/>
      <c r="AP770" s="893"/>
      <c r="AQ770" s="893"/>
      <c r="AR770" s="893"/>
      <c r="AS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DU770" s="1"/>
      <c r="DV770" s="1"/>
      <c r="DW770" s="1"/>
      <c r="FB770" s="1"/>
      <c r="FC770" s="1"/>
    </row>
    <row r="771" spans="1:159" ht="12.75" customHeight="1">
      <c r="A771" s="1"/>
      <c r="B771" s="33"/>
      <c r="C771" s="893"/>
      <c r="D771" s="893"/>
      <c r="E771" s="893"/>
      <c r="F771" s="893"/>
      <c r="G771" s="893"/>
      <c r="H771" s="893"/>
      <c r="I771" s="893"/>
      <c r="J771" s="893"/>
      <c r="K771" s="893"/>
      <c r="L771" s="893"/>
      <c r="M771" s="893"/>
      <c r="N771" s="893"/>
      <c r="O771" s="893"/>
      <c r="P771" s="893"/>
      <c r="Q771" s="893"/>
      <c r="R771" s="893"/>
      <c r="S771" s="893"/>
      <c r="T771" s="893"/>
      <c r="U771" s="893"/>
      <c r="V771" s="893"/>
      <c r="W771" s="893"/>
      <c r="X771" s="893"/>
      <c r="Y771" s="893"/>
      <c r="Z771" s="893"/>
      <c r="AA771" s="893"/>
      <c r="AB771" s="893"/>
      <c r="AC771" s="893"/>
      <c r="AD771" s="893"/>
      <c r="AE771" s="893"/>
      <c r="AF771" s="893"/>
      <c r="AG771" s="893"/>
      <c r="AH771" s="893"/>
      <c r="AI771" s="893"/>
      <c r="AJ771" s="893"/>
      <c r="AK771" s="893"/>
      <c r="AL771" s="893"/>
      <c r="AM771" s="893"/>
      <c r="AN771" s="893"/>
      <c r="AO771" s="893"/>
      <c r="AP771" s="893"/>
      <c r="AQ771" s="893"/>
      <c r="AR771" s="893"/>
      <c r="AS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E771" s="1"/>
      <c r="CF771" s="1"/>
      <c r="CG771" s="1"/>
    </row>
    <row r="772" spans="1:159" ht="12.75" customHeight="1">
      <c r="A772" s="1"/>
      <c r="B772" s="33"/>
      <c r="C772" s="894" t="s">
        <v>2397</v>
      </c>
      <c r="D772" s="893"/>
      <c r="E772" s="893"/>
      <c r="F772" s="893"/>
      <c r="G772" s="893"/>
      <c r="H772" s="893"/>
      <c r="I772" s="893"/>
      <c r="J772" s="893"/>
      <c r="K772" s="893"/>
      <c r="L772" s="893"/>
      <c r="M772" s="893"/>
      <c r="N772" s="893"/>
      <c r="O772" s="893"/>
      <c r="P772" s="893"/>
      <c r="Q772" s="893"/>
      <c r="R772" s="893"/>
      <c r="S772" s="893"/>
      <c r="T772" s="893"/>
      <c r="U772" s="893"/>
      <c r="V772" s="893"/>
      <c r="W772" s="893"/>
      <c r="X772" s="893"/>
      <c r="Y772" s="893"/>
      <c r="Z772" s="893"/>
      <c r="AA772" s="893"/>
      <c r="AB772" s="893"/>
      <c r="AC772" s="893"/>
      <c r="AD772" s="893"/>
      <c r="AE772" s="893"/>
      <c r="AF772" s="893"/>
      <c r="AG772" s="893"/>
      <c r="AH772" s="893"/>
      <c r="AI772" s="893"/>
      <c r="AJ772" s="893"/>
      <c r="AK772" s="893"/>
      <c r="AL772" s="893"/>
      <c r="AM772" s="893"/>
      <c r="AN772" s="893"/>
      <c r="AO772" s="893"/>
      <c r="AP772" s="893"/>
      <c r="AQ772" s="893"/>
      <c r="AR772" s="893"/>
      <c r="AS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E772" s="1"/>
      <c r="CF772" s="1"/>
      <c r="CG772" s="1"/>
      <c r="DX772" s="237"/>
      <c r="DY772" s="237"/>
      <c r="DZ772" s="237"/>
      <c r="EA772" s="237"/>
      <c r="EB772" s="237"/>
      <c r="EC772" s="237"/>
      <c r="ED772" s="237"/>
      <c r="EE772" s="237"/>
      <c r="EF772" s="237"/>
      <c r="EG772" s="237"/>
      <c r="EH772" s="237"/>
      <c r="EI772" s="237"/>
      <c r="EJ772" s="237"/>
      <c r="EK772" s="237"/>
      <c r="EL772" s="237"/>
      <c r="EM772" s="237"/>
      <c r="EN772" s="237"/>
      <c r="EO772" s="237"/>
      <c r="EP772" s="237"/>
      <c r="EQ772" s="237"/>
      <c r="ER772" s="237"/>
      <c r="ES772" s="237"/>
      <c r="ET772" s="237"/>
      <c r="EU772" s="237"/>
      <c r="EV772" s="237"/>
      <c r="EW772" s="237"/>
      <c r="EX772" s="237"/>
      <c r="EY772" s="237"/>
      <c r="EZ772" s="237"/>
      <c r="FA772" s="237"/>
    </row>
    <row r="773" spans="1:159" ht="12.75" customHeight="1">
      <c r="A773" s="1"/>
      <c r="B773" s="33"/>
      <c r="C773" s="893"/>
      <c r="D773" s="893"/>
      <c r="E773" s="893"/>
      <c r="F773" s="893"/>
      <c r="G773" s="893"/>
      <c r="H773" s="893"/>
      <c r="I773" s="893"/>
      <c r="J773" s="893"/>
      <c r="K773" s="893"/>
      <c r="L773" s="893"/>
      <c r="M773" s="893"/>
      <c r="N773" s="893"/>
      <c r="O773" s="893"/>
      <c r="P773" s="893"/>
      <c r="Q773" s="893"/>
      <c r="R773" s="893"/>
      <c r="S773" s="893"/>
      <c r="T773" s="893"/>
      <c r="U773" s="893"/>
      <c r="V773" s="893"/>
      <c r="W773" s="893"/>
      <c r="X773" s="893"/>
      <c r="Y773" s="893"/>
      <c r="Z773" s="893"/>
      <c r="AA773" s="893"/>
      <c r="AB773" s="893"/>
      <c r="AC773" s="893"/>
      <c r="AD773" s="893"/>
      <c r="AE773" s="893"/>
      <c r="AF773" s="893"/>
      <c r="AG773" s="893"/>
      <c r="AH773" s="893"/>
      <c r="AI773" s="893"/>
      <c r="AJ773" s="893"/>
      <c r="AK773" s="893"/>
      <c r="AL773" s="893"/>
      <c r="AM773" s="893"/>
      <c r="AN773" s="893"/>
      <c r="AO773" s="893"/>
      <c r="AP773" s="893"/>
      <c r="AQ773" s="893"/>
      <c r="AR773" s="893"/>
      <c r="AS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E773" s="1"/>
      <c r="CF773" s="1"/>
      <c r="CG773" s="1"/>
    </row>
    <row r="774" spans="1:159" ht="12.75" customHeight="1">
      <c r="A774" s="1"/>
      <c r="B774" s="33"/>
      <c r="C774" s="893"/>
      <c r="D774" s="893"/>
      <c r="E774" s="893"/>
      <c r="F774" s="893"/>
      <c r="G774" s="893"/>
      <c r="H774" s="893"/>
      <c r="I774" s="893"/>
      <c r="J774" s="893"/>
      <c r="K774" s="893"/>
      <c r="L774" s="893"/>
      <c r="M774" s="893"/>
      <c r="N774" s="893"/>
      <c r="O774" s="893"/>
      <c r="P774" s="893"/>
      <c r="Q774" s="893"/>
      <c r="R774" s="893"/>
      <c r="S774" s="893"/>
      <c r="T774" s="893"/>
      <c r="U774" s="893"/>
      <c r="V774" s="893"/>
      <c r="W774" s="893"/>
      <c r="X774" s="893"/>
      <c r="Y774" s="893"/>
      <c r="Z774" s="893"/>
      <c r="AA774" s="893"/>
      <c r="AB774" s="893"/>
      <c r="AC774" s="893"/>
      <c r="AD774" s="893"/>
      <c r="AE774" s="893"/>
      <c r="AF774" s="893"/>
      <c r="AG774" s="893"/>
      <c r="AH774" s="893"/>
      <c r="AI774" s="893"/>
      <c r="AJ774" s="893"/>
      <c r="AK774" s="893"/>
      <c r="AL774" s="893"/>
      <c r="AM774" s="893"/>
      <c r="AN774" s="893"/>
      <c r="AO774" s="893"/>
      <c r="AP774" s="893"/>
      <c r="AQ774" s="893"/>
      <c r="AR774" s="893"/>
      <c r="AS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row>
    <row r="775" spans="1:159" ht="12.75" customHeight="1">
      <c r="J775" s="957" t="s">
        <v>2029</v>
      </c>
      <c r="K775" s="947"/>
      <c r="L775" s="947"/>
      <c r="M775" s="947"/>
      <c r="N775" s="948"/>
      <c r="O775" s="957" t="s">
        <v>2030</v>
      </c>
      <c r="P775" s="947"/>
      <c r="Q775" s="947"/>
      <c r="R775" s="947"/>
      <c r="S775" s="948"/>
      <c r="T775" s="1055" t="s">
        <v>2031</v>
      </c>
      <c r="U775" s="947"/>
      <c r="V775" s="947"/>
      <c r="W775" s="948"/>
      <c r="X775" s="957" t="s">
        <v>2398</v>
      </c>
      <c r="Y775" s="947"/>
      <c r="Z775" s="947"/>
      <c r="AA775" s="947"/>
      <c r="AB775" s="948"/>
      <c r="AC775" s="957" t="s">
        <v>2399</v>
      </c>
      <c r="AD775" s="947"/>
      <c r="AE775" s="947"/>
      <c r="AF775" s="947"/>
      <c r="AG775" s="948"/>
      <c r="AH775" s="41"/>
      <c r="AI775" s="41"/>
      <c r="AJ775" s="41"/>
      <c r="AK775" s="41"/>
      <c r="AL775" s="4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row>
    <row r="776" spans="1:159" ht="12.75" customHeight="1">
      <c r="J776" s="958"/>
      <c r="K776" s="893"/>
      <c r="L776" s="893"/>
      <c r="M776" s="893"/>
      <c r="N776" s="959"/>
      <c r="O776" s="958"/>
      <c r="P776" s="893"/>
      <c r="Q776" s="893"/>
      <c r="R776" s="893"/>
      <c r="S776" s="959"/>
      <c r="T776" s="958"/>
      <c r="U776" s="893"/>
      <c r="V776" s="893"/>
      <c r="W776" s="959"/>
      <c r="X776" s="958"/>
      <c r="Y776" s="893"/>
      <c r="Z776" s="893"/>
      <c r="AA776" s="893"/>
      <c r="AB776" s="959"/>
      <c r="AC776" s="958"/>
      <c r="AD776" s="893"/>
      <c r="AE776" s="893"/>
      <c r="AF776" s="893"/>
      <c r="AG776" s="959"/>
      <c r="AH776" s="41"/>
      <c r="AI776" s="41"/>
      <c r="AJ776" s="41"/>
      <c r="AK776" s="41"/>
      <c r="AL776" s="4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row>
    <row r="777" spans="1:159" ht="12.75" customHeight="1">
      <c r="J777" s="958"/>
      <c r="K777" s="893"/>
      <c r="L777" s="893"/>
      <c r="M777" s="893"/>
      <c r="N777" s="959"/>
      <c r="O777" s="958"/>
      <c r="P777" s="893"/>
      <c r="Q777" s="893"/>
      <c r="R777" s="893"/>
      <c r="S777" s="959"/>
      <c r="T777" s="958"/>
      <c r="U777" s="893"/>
      <c r="V777" s="893"/>
      <c r="W777" s="959"/>
      <c r="X777" s="958"/>
      <c r="Y777" s="893"/>
      <c r="Z777" s="893"/>
      <c r="AA777" s="893"/>
      <c r="AB777" s="959"/>
      <c r="AC777" s="958"/>
      <c r="AD777" s="893"/>
      <c r="AE777" s="893"/>
      <c r="AF777" s="893"/>
      <c r="AG777" s="959"/>
      <c r="AH777" s="41"/>
      <c r="AK777" s="41"/>
      <c r="AL777" s="4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row>
    <row r="778" spans="1:159" ht="12.75" customHeight="1">
      <c r="J778" s="960"/>
      <c r="K778" s="961"/>
      <c r="L778" s="961"/>
      <c r="M778" s="961"/>
      <c r="N778" s="962"/>
      <c r="O778" s="960"/>
      <c r="P778" s="961"/>
      <c r="Q778" s="961"/>
      <c r="R778" s="961"/>
      <c r="S778" s="962"/>
      <c r="T778" s="960"/>
      <c r="U778" s="961"/>
      <c r="V778" s="961"/>
      <c r="W778" s="962"/>
      <c r="X778" s="960"/>
      <c r="Y778" s="961"/>
      <c r="Z778" s="961"/>
      <c r="AA778" s="961"/>
      <c r="AB778" s="962"/>
      <c r="AC778" s="960"/>
      <c r="AD778" s="961"/>
      <c r="AE778" s="961"/>
      <c r="AF778" s="961"/>
      <c r="AG778" s="962"/>
      <c r="AH778" s="41"/>
      <c r="AI778" s="41"/>
      <c r="AJ778" s="41"/>
      <c r="AK778" s="41"/>
      <c r="AL778" s="4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E778" s="1"/>
      <c r="CF778" s="1"/>
      <c r="CP778" s="1" t="s">
        <v>2403</v>
      </c>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7"/>
      <c r="DU778" s="1"/>
      <c r="DV778" s="1"/>
    </row>
    <row r="779" spans="1:159" ht="12.75" customHeight="1">
      <c r="J779" s="949" t="s">
        <v>883</v>
      </c>
      <c r="K779" s="921"/>
      <c r="L779" s="921"/>
      <c r="M779" s="921"/>
      <c r="N779" s="943"/>
      <c r="O779" s="950">
        <v>1</v>
      </c>
      <c r="P779" s="921"/>
      <c r="Q779" s="921"/>
      <c r="R779" s="921"/>
      <c r="S779" s="943"/>
      <c r="T779" s="951">
        <v>500</v>
      </c>
      <c r="U779" s="921"/>
      <c r="V779" s="921"/>
      <c r="W779" s="943"/>
      <c r="X779" s="952">
        <v>1864</v>
      </c>
      <c r="Y779" s="921"/>
      <c r="Z779" s="921"/>
      <c r="AA779" s="921"/>
      <c r="AB779" s="943"/>
      <c r="AC779" s="953">
        <f t="shared" ref="AC779:AC782" si="50">X779*O779</f>
        <v>1864</v>
      </c>
      <c r="AD779" s="921"/>
      <c r="AE779" s="921"/>
      <c r="AF779" s="921"/>
      <c r="AG779" s="943"/>
      <c r="AH779" s="405"/>
      <c r="AI779" s="41"/>
      <c r="AJ779" s="41"/>
      <c r="AK779" s="405"/>
      <c r="AL779" s="405"/>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E779" s="1"/>
      <c r="CF779" s="1"/>
      <c r="CP779" s="942">
        <f t="shared" ref="CP779:CP782" si="51">IF(J779="SRO/Studio",O779,0)</f>
        <v>0</v>
      </c>
      <c r="CQ779" s="921"/>
      <c r="CR779" s="921"/>
      <c r="CS779" s="921"/>
      <c r="CT779" s="943"/>
      <c r="CU779" s="942">
        <f t="shared" ref="CU779:CU782" si="52">IF(J779="1 Bedroom",O779,0)</f>
        <v>1</v>
      </c>
      <c r="CV779" s="921"/>
      <c r="CW779" s="921"/>
      <c r="CX779" s="921"/>
      <c r="CY779" s="943"/>
      <c r="CZ779" s="955">
        <f t="shared" ref="CZ779:CZ782" si="53">IF(J779="2 Bedrooms",O779,0)</f>
        <v>0</v>
      </c>
      <c r="DA779" s="921"/>
      <c r="DB779" s="921"/>
      <c r="DC779" s="921"/>
      <c r="DD779" s="943"/>
      <c r="DE779" s="942">
        <f t="shared" ref="DE779:DE782" si="54">IF(J779="3 Bedrooms",O779,0)</f>
        <v>0</v>
      </c>
      <c r="DF779" s="921"/>
      <c r="DG779" s="921"/>
      <c r="DH779" s="921"/>
      <c r="DI779" s="943"/>
      <c r="DJ779" s="942">
        <f t="shared" ref="DJ779:DJ782" si="55">IF(J779="4 Bedrooms",O779,0)</f>
        <v>0</v>
      </c>
      <c r="DK779" s="921"/>
      <c r="DL779" s="921"/>
      <c r="DM779" s="921"/>
      <c r="DN779" s="943"/>
      <c r="DO779" s="942">
        <f t="shared" ref="DO779:DO782" si="56">IF(J779="5 Bedrooms",O779,0)</f>
        <v>0</v>
      </c>
      <c r="DP779" s="921"/>
      <c r="DQ779" s="921"/>
      <c r="DR779" s="921"/>
      <c r="DS779" s="943"/>
      <c r="DT779" s="7"/>
      <c r="DU779" s="1"/>
      <c r="DV779" s="1"/>
    </row>
    <row r="780" spans="1:159" ht="12.75" customHeight="1">
      <c r="J780" s="949" t="s">
        <v>883</v>
      </c>
      <c r="K780" s="921"/>
      <c r="L780" s="921"/>
      <c r="M780" s="921"/>
      <c r="N780" s="943"/>
      <c r="O780" s="950">
        <v>1</v>
      </c>
      <c r="P780" s="921"/>
      <c r="Q780" s="921"/>
      <c r="R780" s="921"/>
      <c r="S780" s="943"/>
      <c r="T780" s="951">
        <v>500</v>
      </c>
      <c r="U780" s="921"/>
      <c r="V780" s="921"/>
      <c r="W780" s="943"/>
      <c r="X780" s="952">
        <v>1864</v>
      </c>
      <c r="Y780" s="921"/>
      <c r="Z780" s="921"/>
      <c r="AA780" s="921"/>
      <c r="AB780" s="943"/>
      <c r="AC780" s="953">
        <f t="shared" si="50"/>
        <v>1864</v>
      </c>
      <c r="AD780" s="921"/>
      <c r="AE780" s="921"/>
      <c r="AF780" s="921"/>
      <c r="AG780" s="943"/>
      <c r="AH780" s="405"/>
      <c r="AI780" s="405"/>
      <c r="AJ780" s="405"/>
      <c r="AK780" s="405"/>
      <c r="AL780" s="405"/>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E780" s="1"/>
      <c r="CF780" s="1"/>
      <c r="CP780" s="942">
        <f t="shared" si="51"/>
        <v>0</v>
      </c>
      <c r="CQ780" s="921"/>
      <c r="CR780" s="921"/>
      <c r="CS780" s="921"/>
      <c r="CT780" s="943"/>
      <c r="CU780" s="942">
        <f t="shared" si="52"/>
        <v>1</v>
      </c>
      <c r="CV780" s="921"/>
      <c r="CW780" s="921"/>
      <c r="CX780" s="921"/>
      <c r="CY780" s="943"/>
      <c r="CZ780" s="955">
        <f t="shared" si="53"/>
        <v>0</v>
      </c>
      <c r="DA780" s="921"/>
      <c r="DB780" s="921"/>
      <c r="DC780" s="921"/>
      <c r="DD780" s="943"/>
      <c r="DE780" s="942">
        <f t="shared" si="54"/>
        <v>0</v>
      </c>
      <c r="DF780" s="921"/>
      <c r="DG780" s="921"/>
      <c r="DH780" s="921"/>
      <c r="DI780" s="943"/>
      <c r="DJ780" s="942">
        <f t="shared" si="55"/>
        <v>0</v>
      </c>
      <c r="DK780" s="921"/>
      <c r="DL780" s="921"/>
      <c r="DM780" s="921"/>
      <c r="DN780" s="943"/>
      <c r="DO780" s="942">
        <f t="shared" si="56"/>
        <v>0</v>
      </c>
      <c r="DP780" s="921"/>
      <c r="DQ780" s="921"/>
      <c r="DR780" s="921"/>
      <c r="DS780" s="943"/>
      <c r="DT780" s="7"/>
      <c r="DU780" s="1"/>
      <c r="DV780" s="1"/>
    </row>
    <row r="781" spans="1:159" ht="12.75" customHeight="1">
      <c r="J781" s="949" t="s">
        <v>885</v>
      </c>
      <c r="K781" s="921"/>
      <c r="L781" s="921"/>
      <c r="M781" s="921"/>
      <c r="N781" s="943"/>
      <c r="O781" s="950">
        <v>1</v>
      </c>
      <c r="P781" s="921"/>
      <c r="Q781" s="921"/>
      <c r="R781" s="921"/>
      <c r="S781" s="943"/>
      <c r="T781" s="951">
        <v>950</v>
      </c>
      <c r="U781" s="921"/>
      <c r="V781" s="921"/>
      <c r="W781" s="943"/>
      <c r="X781" s="952">
        <v>2550</v>
      </c>
      <c r="Y781" s="921"/>
      <c r="Z781" s="921"/>
      <c r="AA781" s="921"/>
      <c r="AB781" s="943"/>
      <c r="AC781" s="953">
        <f t="shared" si="50"/>
        <v>2550</v>
      </c>
      <c r="AD781" s="921"/>
      <c r="AE781" s="921"/>
      <c r="AF781" s="921"/>
      <c r="AG781" s="943"/>
      <c r="AH781" s="405"/>
      <c r="AI781" s="405"/>
      <c r="AJ781" s="405"/>
      <c r="AK781" s="405"/>
      <c r="AL781" s="405"/>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P781" s="942">
        <f t="shared" si="51"/>
        <v>0</v>
      </c>
      <c r="CQ781" s="921"/>
      <c r="CR781" s="921"/>
      <c r="CS781" s="921"/>
      <c r="CT781" s="943"/>
      <c r="CU781" s="942">
        <f t="shared" si="52"/>
        <v>0</v>
      </c>
      <c r="CV781" s="921"/>
      <c r="CW781" s="921"/>
      <c r="CX781" s="921"/>
      <c r="CY781" s="943"/>
      <c r="CZ781" s="942">
        <f t="shared" si="53"/>
        <v>0</v>
      </c>
      <c r="DA781" s="921"/>
      <c r="DB781" s="921"/>
      <c r="DC781" s="921"/>
      <c r="DD781" s="943"/>
      <c r="DE781" s="942">
        <f t="shared" si="54"/>
        <v>1</v>
      </c>
      <c r="DF781" s="921"/>
      <c r="DG781" s="921"/>
      <c r="DH781" s="921"/>
      <c r="DI781" s="943"/>
      <c r="DJ781" s="942">
        <f t="shared" si="55"/>
        <v>0</v>
      </c>
      <c r="DK781" s="921"/>
      <c r="DL781" s="921"/>
      <c r="DM781" s="921"/>
      <c r="DN781" s="943"/>
      <c r="DO781" s="942">
        <f t="shared" si="56"/>
        <v>0</v>
      </c>
      <c r="DP781" s="921"/>
      <c r="DQ781" s="921"/>
      <c r="DR781" s="921"/>
      <c r="DS781" s="943"/>
      <c r="DT781" s="7"/>
    </row>
    <row r="782" spans="1:159" ht="12.75" customHeight="1">
      <c r="J782" s="949"/>
      <c r="K782" s="921"/>
      <c r="L782" s="921"/>
      <c r="M782" s="921"/>
      <c r="N782" s="943"/>
      <c r="O782" s="950"/>
      <c r="P782" s="921"/>
      <c r="Q782" s="921"/>
      <c r="R782" s="921"/>
      <c r="S782" s="943"/>
      <c r="T782" s="951"/>
      <c r="U782" s="921"/>
      <c r="V782" s="921"/>
      <c r="W782" s="943"/>
      <c r="X782" s="952"/>
      <c r="Y782" s="921"/>
      <c r="Z782" s="921"/>
      <c r="AA782" s="921"/>
      <c r="AB782" s="943"/>
      <c r="AC782" s="953">
        <f t="shared" si="50"/>
        <v>0</v>
      </c>
      <c r="AD782" s="921"/>
      <c r="AE782" s="921"/>
      <c r="AF782" s="921"/>
      <c r="AG782" s="943"/>
      <c r="AH782" s="405"/>
      <c r="AI782" s="405"/>
      <c r="AJ782" s="405"/>
      <c r="AK782" s="405"/>
      <c r="AL782" s="405"/>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P782" s="942">
        <f t="shared" si="51"/>
        <v>0</v>
      </c>
      <c r="CQ782" s="921"/>
      <c r="CR782" s="921"/>
      <c r="CS782" s="921"/>
      <c r="CT782" s="943"/>
      <c r="CU782" s="942">
        <f t="shared" si="52"/>
        <v>0</v>
      </c>
      <c r="CV782" s="921"/>
      <c r="CW782" s="921"/>
      <c r="CX782" s="921"/>
      <c r="CY782" s="943"/>
      <c r="CZ782" s="942">
        <f t="shared" si="53"/>
        <v>0</v>
      </c>
      <c r="DA782" s="921"/>
      <c r="DB782" s="921"/>
      <c r="DC782" s="921"/>
      <c r="DD782" s="943"/>
      <c r="DE782" s="942">
        <f t="shared" si="54"/>
        <v>0</v>
      </c>
      <c r="DF782" s="921"/>
      <c r="DG782" s="921"/>
      <c r="DH782" s="921"/>
      <c r="DI782" s="943"/>
      <c r="DJ782" s="942">
        <f t="shared" si="55"/>
        <v>0</v>
      </c>
      <c r="DK782" s="921"/>
      <c r="DL782" s="921"/>
      <c r="DM782" s="921"/>
      <c r="DN782" s="943"/>
      <c r="DO782" s="942">
        <f t="shared" si="56"/>
        <v>0</v>
      </c>
      <c r="DP782" s="921"/>
      <c r="DQ782" s="921"/>
      <c r="DR782" s="921"/>
      <c r="DS782" s="943"/>
    </row>
    <row r="783" spans="1:159" ht="12.75" customHeight="1">
      <c r="J783" s="1004" t="s">
        <v>2358</v>
      </c>
      <c r="K783" s="921"/>
      <c r="L783" s="921"/>
      <c r="M783" s="921"/>
      <c r="N783" s="943"/>
      <c r="O783" s="956">
        <f>SUM(O779:S782)</f>
        <v>3</v>
      </c>
      <c r="P783" s="921"/>
      <c r="Q783" s="921"/>
      <c r="R783" s="921"/>
      <c r="S783" s="943"/>
      <c r="X783" s="1004" t="s">
        <v>1574</v>
      </c>
      <c r="Y783" s="921"/>
      <c r="Z783" s="921"/>
      <c r="AA783" s="921"/>
      <c r="AB783" s="943"/>
      <c r="AC783" s="953">
        <f>SUM(AC779:AG782)</f>
        <v>6278</v>
      </c>
      <c r="AD783" s="921"/>
      <c r="AE783" s="921"/>
      <c r="AF783" s="921"/>
      <c r="AG783" s="943"/>
      <c r="AI783" s="405"/>
      <c r="AJ783" s="405"/>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P783" s="945">
        <f>SUM(CP779:CT782)</f>
        <v>0</v>
      </c>
      <c r="CQ783" s="921"/>
      <c r="CR783" s="921"/>
      <c r="CS783" s="921"/>
      <c r="CT783" s="943"/>
      <c r="CU783" s="945">
        <f>SUM(CU779:CY782)</f>
        <v>2</v>
      </c>
      <c r="CV783" s="921"/>
      <c r="CW783" s="921"/>
      <c r="CX783" s="921"/>
      <c r="CY783" s="943"/>
      <c r="CZ783" s="956">
        <f>SUM(CZ779:DD782)</f>
        <v>0</v>
      </c>
      <c r="DA783" s="921"/>
      <c r="DB783" s="921"/>
      <c r="DC783" s="921"/>
      <c r="DD783" s="943"/>
      <c r="DE783" s="945">
        <f>SUM(DE779:DI782)</f>
        <v>1</v>
      </c>
      <c r="DF783" s="921"/>
      <c r="DG783" s="921"/>
      <c r="DH783" s="921"/>
      <c r="DI783" s="943"/>
      <c r="DJ783" s="945">
        <f>SUM(DJ779:DN782)</f>
        <v>0</v>
      </c>
      <c r="DK783" s="921"/>
      <c r="DL783" s="921"/>
      <c r="DM783" s="921"/>
      <c r="DN783" s="943"/>
      <c r="DO783" s="945">
        <f>SUM(DO779:DS782)</f>
        <v>0</v>
      </c>
      <c r="DP783" s="921"/>
      <c r="DQ783" s="921"/>
      <c r="DR783" s="921"/>
      <c r="DS783" s="943"/>
      <c r="DU783" s="729">
        <f>CP783+CU783+CZ783+DE783+DJ783+DO783</f>
        <v>3</v>
      </c>
      <c r="DV783" s="62" t="s">
        <v>2416</v>
      </c>
    </row>
    <row r="784" spans="1:159" ht="12.75" customHeight="1">
      <c r="J784" s="237"/>
      <c r="K784" s="237"/>
      <c r="L784" s="237"/>
      <c r="M784" s="237"/>
      <c r="N784" s="237"/>
      <c r="O784" s="7"/>
      <c r="P784" s="7"/>
      <c r="Q784" s="7"/>
      <c r="R784" s="7"/>
      <c r="S784" s="7"/>
      <c r="T784" s="237"/>
      <c r="U784" s="237"/>
      <c r="V784" s="237"/>
      <c r="W784" s="237"/>
      <c r="X784" s="237"/>
      <c r="Y784" s="226"/>
      <c r="Z784" s="7"/>
      <c r="AA784" s="7"/>
      <c r="AB784" s="7"/>
      <c r="AC784" s="7"/>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T784" s="180">
        <f>CP783*1</f>
        <v>0</v>
      </c>
      <c r="CU784" s="1"/>
      <c r="CV784" s="1"/>
      <c r="CW784" s="1"/>
      <c r="CX784" s="1"/>
      <c r="CY784" s="180">
        <f>CU783*1</f>
        <v>2</v>
      </c>
      <c r="CZ784" s="1"/>
      <c r="DA784" s="1"/>
      <c r="DB784" s="1"/>
      <c r="DC784" s="1"/>
      <c r="DD784" s="180">
        <f>CZ783*2</f>
        <v>0</v>
      </c>
      <c r="DE784" s="1"/>
      <c r="DF784" s="1"/>
      <c r="DG784" s="1"/>
      <c r="DH784" s="1"/>
      <c r="DI784" s="180">
        <f>DE783*3</f>
        <v>3</v>
      </c>
      <c r="DJ784" s="1"/>
      <c r="DK784" s="1"/>
      <c r="DL784" s="1"/>
      <c r="DM784" s="1"/>
      <c r="DN784" s="180">
        <f>DJ783*4</f>
        <v>0</v>
      </c>
      <c r="DO784" s="1"/>
      <c r="DP784" s="1"/>
      <c r="DQ784" s="1"/>
      <c r="DR784" s="1"/>
      <c r="DS784" s="180">
        <f>DO783*5</f>
        <v>0</v>
      </c>
      <c r="DU784" s="180">
        <f>CT784+CY784+DD784+DI784+DN784+DS784</f>
        <v>5</v>
      </c>
      <c r="DV784" s="62" t="s">
        <v>2418</v>
      </c>
    </row>
    <row r="785" spans="1:185" ht="12.75" customHeight="1">
      <c r="B785" s="237"/>
      <c r="C785" s="237"/>
      <c r="D785" s="237"/>
      <c r="E785" s="237"/>
      <c r="F785" s="237"/>
      <c r="G785" s="7"/>
      <c r="H785" s="7"/>
      <c r="I785" s="7"/>
      <c r="J785" s="973" t="s">
        <v>460</v>
      </c>
      <c r="K785" s="969"/>
      <c r="L785" s="237"/>
      <c r="M785" s="17" t="s">
        <v>2419</v>
      </c>
      <c r="N785" s="237"/>
      <c r="O785" s="237"/>
      <c r="P785" s="237"/>
      <c r="Q785" s="7"/>
      <c r="R785" s="7"/>
      <c r="S785" s="7"/>
      <c r="T785" s="7"/>
      <c r="U785" s="7"/>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row>
    <row r="786" spans="1:185" ht="12.75" customHeight="1">
      <c r="B786" s="237"/>
      <c r="C786" s="237"/>
      <c r="D786" s="237"/>
      <c r="E786" s="237"/>
      <c r="F786" s="237"/>
      <c r="G786" s="7"/>
      <c r="H786" s="7"/>
      <c r="I786" s="7"/>
      <c r="J786" s="7"/>
      <c r="K786" s="7"/>
      <c r="L786" s="237"/>
      <c r="M786" s="17" t="s">
        <v>2421</v>
      </c>
      <c r="N786" s="237"/>
      <c r="O786" s="237"/>
      <c r="P786" s="237"/>
      <c r="Q786" s="7"/>
      <c r="R786" s="7"/>
      <c r="S786" s="7"/>
      <c r="T786" s="7"/>
      <c r="U786" s="7"/>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row>
    <row r="787" spans="1:185" ht="12.75" customHeight="1">
      <c r="A787" s="8" t="s">
        <v>1119</v>
      </c>
      <c r="B787" s="62"/>
      <c r="C787" s="62" t="s">
        <v>258</v>
      </c>
      <c r="D787" s="237"/>
      <c r="E787" s="237"/>
      <c r="F787" s="237"/>
      <c r="G787" s="7"/>
      <c r="H787" s="7"/>
      <c r="I787" s="7"/>
      <c r="J787" s="7"/>
      <c r="K787" s="7"/>
      <c r="L787" s="237"/>
      <c r="M787" s="237"/>
      <c r="N787" s="237"/>
      <c r="O787" s="237"/>
      <c r="P787" s="237"/>
      <c r="Q787" s="7"/>
      <c r="R787" s="7"/>
      <c r="S787" s="7"/>
      <c r="T787" s="7"/>
      <c r="U787" s="7"/>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row>
    <row r="788" spans="1:185" ht="12.75" customHeight="1">
      <c r="B788" s="237"/>
      <c r="C788" s="237"/>
      <c r="D788" s="237"/>
      <c r="E788" s="237"/>
      <c r="F788" s="237"/>
      <c r="G788" s="7"/>
      <c r="H788" s="7"/>
      <c r="I788" s="7"/>
      <c r="J788" s="24"/>
      <c r="K788" s="7"/>
      <c r="L788" s="237"/>
      <c r="M788" s="237"/>
      <c r="N788" s="237"/>
      <c r="O788" s="237"/>
      <c r="P788" s="237"/>
      <c r="Q788" s="7"/>
      <c r="R788" s="7"/>
      <c r="S788" s="7"/>
      <c r="T788" s="7"/>
      <c r="U788" s="7"/>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row>
    <row r="789" spans="1:185" ht="12.75" customHeight="1">
      <c r="J789" s="957" t="s">
        <v>2029</v>
      </c>
      <c r="K789" s="947"/>
      <c r="L789" s="947"/>
      <c r="M789" s="947"/>
      <c r="N789" s="948"/>
      <c r="O789" s="957" t="s">
        <v>2030</v>
      </c>
      <c r="P789" s="947"/>
      <c r="Q789" s="947"/>
      <c r="R789" s="947"/>
      <c r="S789" s="948"/>
      <c r="T789" s="1055" t="s">
        <v>2031</v>
      </c>
      <c r="U789" s="947"/>
      <c r="V789" s="947"/>
      <c r="W789" s="948"/>
      <c r="X789" s="957" t="s">
        <v>2423</v>
      </c>
      <c r="Y789" s="947"/>
      <c r="Z789" s="947"/>
      <c r="AA789" s="947"/>
      <c r="AB789" s="948"/>
      <c r="AC789" s="957" t="s">
        <v>2399</v>
      </c>
      <c r="AD789" s="947"/>
      <c r="AE789" s="947"/>
      <c r="AF789" s="947"/>
      <c r="AG789" s="948"/>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row>
    <row r="790" spans="1:185" ht="12.75" customHeight="1">
      <c r="J790" s="958"/>
      <c r="K790" s="893"/>
      <c r="L790" s="893"/>
      <c r="M790" s="893"/>
      <c r="N790" s="959"/>
      <c r="O790" s="958"/>
      <c r="P790" s="893"/>
      <c r="Q790" s="893"/>
      <c r="R790" s="893"/>
      <c r="S790" s="959"/>
      <c r="T790" s="958"/>
      <c r="U790" s="893"/>
      <c r="V790" s="893"/>
      <c r="W790" s="959"/>
      <c r="X790" s="958"/>
      <c r="Y790" s="893"/>
      <c r="Z790" s="893"/>
      <c r="AA790" s="893"/>
      <c r="AB790" s="959"/>
      <c r="AC790" s="958"/>
      <c r="AD790" s="893"/>
      <c r="AE790" s="893"/>
      <c r="AF790" s="893"/>
      <c r="AG790" s="959"/>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row>
    <row r="791" spans="1:185" ht="12.75" customHeight="1">
      <c r="J791" s="958"/>
      <c r="K791" s="893"/>
      <c r="L791" s="893"/>
      <c r="M791" s="893"/>
      <c r="N791" s="959"/>
      <c r="O791" s="958"/>
      <c r="P791" s="893"/>
      <c r="Q791" s="893"/>
      <c r="R791" s="893"/>
      <c r="S791" s="959"/>
      <c r="T791" s="958"/>
      <c r="U791" s="893"/>
      <c r="V791" s="893"/>
      <c r="W791" s="959"/>
      <c r="X791" s="958"/>
      <c r="Y791" s="893"/>
      <c r="Z791" s="893"/>
      <c r="AA791" s="893"/>
      <c r="AB791" s="959"/>
      <c r="AC791" s="958"/>
      <c r="AD791" s="893"/>
      <c r="AE791" s="893"/>
      <c r="AF791" s="893"/>
      <c r="AG791" s="959"/>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row>
    <row r="792" spans="1:185" ht="12.75" customHeight="1">
      <c r="J792" s="960"/>
      <c r="K792" s="961"/>
      <c r="L792" s="961"/>
      <c r="M792" s="961"/>
      <c r="N792" s="962"/>
      <c r="O792" s="960"/>
      <c r="P792" s="961"/>
      <c r="Q792" s="961"/>
      <c r="R792" s="961"/>
      <c r="S792" s="962"/>
      <c r="T792" s="960"/>
      <c r="U792" s="961"/>
      <c r="V792" s="961"/>
      <c r="W792" s="962"/>
      <c r="X792" s="960"/>
      <c r="Y792" s="961"/>
      <c r="Z792" s="961"/>
      <c r="AA792" s="961"/>
      <c r="AB792" s="962"/>
      <c r="AC792" s="960"/>
      <c r="AD792" s="961"/>
      <c r="AE792" s="961"/>
      <c r="AF792" s="961"/>
      <c r="AG792" s="962"/>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P792" s="1" t="s">
        <v>2427</v>
      </c>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t="s">
        <v>2428</v>
      </c>
      <c r="DV792" s="1"/>
      <c r="DW792" s="1"/>
      <c r="DX792" s="1"/>
      <c r="DY792" s="1"/>
      <c r="DZ792" s="1"/>
      <c r="EA792" s="1"/>
      <c r="EB792" s="1"/>
      <c r="EC792" s="1"/>
      <c r="ED792" s="1"/>
      <c r="EE792" s="1"/>
      <c r="EF792" s="1"/>
      <c r="EG792" s="1"/>
      <c r="EH792" s="1"/>
    </row>
    <row r="793" spans="1:185" ht="12.75" customHeight="1">
      <c r="J793" s="949"/>
      <c r="K793" s="921"/>
      <c r="L793" s="921"/>
      <c r="M793" s="921"/>
      <c r="N793" s="943"/>
      <c r="O793" s="950"/>
      <c r="P793" s="921"/>
      <c r="Q793" s="921"/>
      <c r="R793" s="921"/>
      <c r="S793" s="943"/>
      <c r="T793" s="951"/>
      <c r="U793" s="921"/>
      <c r="V793" s="921"/>
      <c r="W793" s="943"/>
      <c r="X793" s="952"/>
      <c r="Y793" s="921"/>
      <c r="Z793" s="921"/>
      <c r="AA793" s="921"/>
      <c r="AB793" s="943"/>
      <c r="AC793" s="953">
        <f t="shared" ref="AC793:AC802" si="57">X793*O793</f>
        <v>0</v>
      </c>
      <c r="AD793" s="921"/>
      <c r="AE793" s="921"/>
      <c r="AF793" s="921"/>
      <c r="AG793" s="943"/>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P793" s="942">
        <f t="shared" ref="CP793:CP802" si="58">IF(J793="SRO/Studio",O793,0)</f>
        <v>0</v>
      </c>
      <c r="CQ793" s="921"/>
      <c r="CR793" s="921"/>
      <c r="CS793" s="921"/>
      <c r="CT793" s="943"/>
      <c r="CU793" s="942">
        <f t="shared" ref="CU793:CU802" si="59">IF(J793="1 Bedroom",O793,0)</f>
        <v>0</v>
      </c>
      <c r="CV793" s="921"/>
      <c r="CW793" s="921"/>
      <c r="CX793" s="921"/>
      <c r="CY793" s="943"/>
      <c r="CZ793" s="942">
        <f t="shared" ref="CZ793:CZ802" si="60">IF(J793="2 Bedrooms",O793,0)</f>
        <v>0</v>
      </c>
      <c r="DA793" s="921"/>
      <c r="DB793" s="921"/>
      <c r="DC793" s="921"/>
      <c r="DD793" s="943"/>
      <c r="DE793" s="942">
        <f t="shared" ref="DE793:DE802" si="61">IF(J793="3 Bedrooms",O793,0)</f>
        <v>0</v>
      </c>
      <c r="DF793" s="921"/>
      <c r="DG793" s="921"/>
      <c r="DH793" s="921"/>
      <c r="DI793" s="943"/>
      <c r="DJ793" s="942">
        <f t="shared" ref="DJ793:DJ802" si="62">IF(J793="4 Bedrooms",O793,0)</f>
        <v>0</v>
      </c>
      <c r="DK793" s="921"/>
      <c r="DL793" s="921"/>
      <c r="DM793" s="921"/>
      <c r="DN793" s="943"/>
      <c r="DO793" s="942">
        <f t="shared" ref="DO793:DO802" si="63">IF(J793="5 Bedrooms",O793,0)</f>
        <v>0</v>
      </c>
      <c r="DP793" s="921"/>
      <c r="DQ793" s="921"/>
      <c r="DR793" s="921"/>
      <c r="DS793" s="943"/>
      <c r="DT793" s="7"/>
      <c r="DU793" s="942">
        <f t="shared" ref="DU793:DU802" si="64">IF(AND(CP793&gt;=1,AH793&gt;=0.1,AH793&lt;=1),O793,0)</f>
        <v>0</v>
      </c>
      <c r="DV793" s="921"/>
      <c r="DW793" s="921"/>
      <c r="DX793" s="921"/>
      <c r="DY793" s="943"/>
      <c r="DZ793" s="942">
        <f t="shared" ref="DZ793:DZ802" si="65">IF(AND(CU793&gt;=1,AH793&gt;=0.1,AH793&lt;=1),O793,0)</f>
        <v>0</v>
      </c>
      <c r="EA793" s="921"/>
      <c r="EB793" s="921"/>
      <c r="EC793" s="921"/>
      <c r="ED793" s="943"/>
      <c r="EE793" s="942">
        <f t="shared" ref="EE793:EE802" si="66">IF(AND(CZ793&gt;=1,AH793&gt;=0.1,AH793&lt;=1),O793,0)</f>
        <v>0</v>
      </c>
      <c r="EF793" s="921"/>
      <c r="EG793" s="921"/>
      <c r="EH793" s="921"/>
      <c r="EI793" s="943"/>
      <c r="EJ793" s="942">
        <f t="shared" ref="EJ793:EJ802" si="67">IF(AND(DE793&gt;=1,AH793&gt;=0.1,AH793&lt;=1),O793,0)</f>
        <v>0</v>
      </c>
      <c r="EK793" s="921"/>
      <c r="EL793" s="921"/>
      <c r="EM793" s="921"/>
      <c r="EN793" s="943"/>
      <c r="EO793" s="942">
        <f t="shared" ref="EO793:EO802" si="68">IF(AND(DJ793&gt;=1,AH793&gt;=0.1,AH793&lt;=1),O793,0)</f>
        <v>0</v>
      </c>
      <c r="EP793" s="921"/>
      <c r="EQ793" s="921"/>
      <c r="ER793" s="921"/>
      <c r="ES793" s="943"/>
      <c r="ET793" s="942">
        <f t="shared" ref="ET793:ET802" si="69">IF(AND(DO793&gt;=1,AH793&gt;=0.1,AH793&lt;=1),O793,0)</f>
        <v>0</v>
      </c>
      <c r="EU793" s="921"/>
      <c r="EV793" s="921"/>
      <c r="EW793" s="921"/>
      <c r="EX793" s="943"/>
    </row>
    <row r="794" spans="1:185" ht="12.75" customHeight="1">
      <c r="J794" s="949"/>
      <c r="K794" s="921"/>
      <c r="L794" s="921"/>
      <c r="M794" s="921"/>
      <c r="N794" s="943"/>
      <c r="O794" s="950"/>
      <c r="P794" s="921"/>
      <c r="Q794" s="921"/>
      <c r="R794" s="921"/>
      <c r="S794" s="943"/>
      <c r="T794" s="951"/>
      <c r="U794" s="921"/>
      <c r="V794" s="921"/>
      <c r="W794" s="943"/>
      <c r="X794" s="952"/>
      <c r="Y794" s="921"/>
      <c r="Z794" s="921"/>
      <c r="AA794" s="921"/>
      <c r="AB794" s="943"/>
      <c r="AC794" s="953">
        <f t="shared" si="57"/>
        <v>0</v>
      </c>
      <c r="AD794" s="921"/>
      <c r="AE794" s="921"/>
      <c r="AF794" s="921"/>
      <c r="AG794" s="943"/>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942">
        <f t="shared" si="58"/>
        <v>0</v>
      </c>
      <c r="CQ794" s="921"/>
      <c r="CR794" s="921"/>
      <c r="CS794" s="921"/>
      <c r="CT794" s="943"/>
      <c r="CU794" s="942">
        <f t="shared" si="59"/>
        <v>0</v>
      </c>
      <c r="CV794" s="921"/>
      <c r="CW794" s="921"/>
      <c r="CX794" s="921"/>
      <c r="CY794" s="943"/>
      <c r="CZ794" s="942">
        <f t="shared" si="60"/>
        <v>0</v>
      </c>
      <c r="DA794" s="921"/>
      <c r="DB794" s="921"/>
      <c r="DC794" s="921"/>
      <c r="DD794" s="943"/>
      <c r="DE794" s="942">
        <f t="shared" si="61"/>
        <v>0</v>
      </c>
      <c r="DF794" s="921"/>
      <c r="DG794" s="921"/>
      <c r="DH794" s="921"/>
      <c r="DI794" s="943"/>
      <c r="DJ794" s="942">
        <f t="shared" si="62"/>
        <v>0</v>
      </c>
      <c r="DK794" s="921"/>
      <c r="DL794" s="921"/>
      <c r="DM794" s="921"/>
      <c r="DN794" s="943"/>
      <c r="DO794" s="942">
        <f t="shared" si="63"/>
        <v>0</v>
      </c>
      <c r="DP794" s="921"/>
      <c r="DQ794" s="921"/>
      <c r="DR794" s="921"/>
      <c r="DS794" s="943"/>
      <c r="DT794" s="7"/>
      <c r="DU794" s="942">
        <f t="shared" si="64"/>
        <v>0</v>
      </c>
      <c r="DV794" s="921"/>
      <c r="DW794" s="921"/>
      <c r="DX794" s="921"/>
      <c r="DY794" s="943"/>
      <c r="DZ794" s="942">
        <f t="shared" si="65"/>
        <v>0</v>
      </c>
      <c r="EA794" s="921"/>
      <c r="EB794" s="921"/>
      <c r="EC794" s="921"/>
      <c r="ED794" s="943"/>
      <c r="EE794" s="942">
        <f t="shared" si="66"/>
        <v>0</v>
      </c>
      <c r="EF794" s="921"/>
      <c r="EG794" s="921"/>
      <c r="EH794" s="921"/>
      <c r="EI794" s="943"/>
      <c r="EJ794" s="942">
        <f t="shared" si="67"/>
        <v>0</v>
      </c>
      <c r="EK794" s="921"/>
      <c r="EL794" s="921"/>
      <c r="EM794" s="921"/>
      <c r="EN794" s="943"/>
      <c r="EO794" s="942">
        <f t="shared" si="68"/>
        <v>0</v>
      </c>
      <c r="EP794" s="921"/>
      <c r="EQ794" s="921"/>
      <c r="ER794" s="921"/>
      <c r="ES794" s="943"/>
      <c r="ET794" s="942">
        <f t="shared" si="69"/>
        <v>0</v>
      </c>
      <c r="EU794" s="921"/>
      <c r="EV794" s="921"/>
      <c r="EW794" s="921"/>
      <c r="EX794" s="943"/>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row>
    <row r="795" spans="1:185" ht="12.75" customHeight="1">
      <c r="J795" s="949"/>
      <c r="K795" s="921"/>
      <c r="L795" s="921"/>
      <c r="M795" s="921"/>
      <c r="N795" s="943"/>
      <c r="O795" s="950"/>
      <c r="P795" s="921"/>
      <c r="Q795" s="921"/>
      <c r="R795" s="921"/>
      <c r="S795" s="943"/>
      <c r="T795" s="951"/>
      <c r="U795" s="921"/>
      <c r="V795" s="921"/>
      <c r="W795" s="943"/>
      <c r="X795" s="952"/>
      <c r="Y795" s="921"/>
      <c r="Z795" s="921"/>
      <c r="AA795" s="921"/>
      <c r="AB795" s="943"/>
      <c r="AC795" s="953">
        <f t="shared" si="57"/>
        <v>0</v>
      </c>
      <c r="AD795" s="921"/>
      <c r="AE795" s="921"/>
      <c r="AF795" s="921"/>
      <c r="AG795" s="943"/>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942">
        <f t="shared" si="58"/>
        <v>0</v>
      </c>
      <c r="CQ795" s="921"/>
      <c r="CR795" s="921"/>
      <c r="CS795" s="921"/>
      <c r="CT795" s="943"/>
      <c r="CU795" s="942">
        <f t="shared" si="59"/>
        <v>0</v>
      </c>
      <c r="CV795" s="921"/>
      <c r="CW795" s="921"/>
      <c r="CX795" s="921"/>
      <c r="CY795" s="943"/>
      <c r="CZ795" s="942">
        <f t="shared" si="60"/>
        <v>0</v>
      </c>
      <c r="DA795" s="921"/>
      <c r="DB795" s="921"/>
      <c r="DC795" s="921"/>
      <c r="DD795" s="943"/>
      <c r="DE795" s="942">
        <f t="shared" si="61"/>
        <v>0</v>
      </c>
      <c r="DF795" s="921"/>
      <c r="DG795" s="921"/>
      <c r="DH795" s="921"/>
      <c r="DI795" s="943"/>
      <c r="DJ795" s="942">
        <f t="shared" si="62"/>
        <v>0</v>
      </c>
      <c r="DK795" s="921"/>
      <c r="DL795" s="921"/>
      <c r="DM795" s="921"/>
      <c r="DN795" s="943"/>
      <c r="DO795" s="942">
        <f t="shared" si="63"/>
        <v>0</v>
      </c>
      <c r="DP795" s="921"/>
      <c r="DQ795" s="921"/>
      <c r="DR795" s="921"/>
      <c r="DS795" s="943"/>
      <c r="DT795" s="7"/>
      <c r="DU795" s="942">
        <f t="shared" si="64"/>
        <v>0</v>
      </c>
      <c r="DV795" s="921"/>
      <c r="DW795" s="921"/>
      <c r="DX795" s="921"/>
      <c r="DY795" s="943"/>
      <c r="DZ795" s="942">
        <f t="shared" si="65"/>
        <v>0</v>
      </c>
      <c r="EA795" s="921"/>
      <c r="EB795" s="921"/>
      <c r="EC795" s="921"/>
      <c r="ED795" s="943"/>
      <c r="EE795" s="942">
        <f t="shared" si="66"/>
        <v>0</v>
      </c>
      <c r="EF795" s="921"/>
      <c r="EG795" s="921"/>
      <c r="EH795" s="921"/>
      <c r="EI795" s="943"/>
      <c r="EJ795" s="942">
        <f t="shared" si="67"/>
        <v>0</v>
      </c>
      <c r="EK795" s="921"/>
      <c r="EL795" s="921"/>
      <c r="EM795" s="921"/>
      <c r="EN795" s="943"/>
      <c r="EO795" s="942">
        <f t="shared" si="68"/>
        <v>0</v>
      </c>
      <c r="EP795" s="921"/>
      <c r="EQ795" s="921"/>
      <c r="ER795" s="921"/>
      <c r="ES795" s="943"/>
      <c r="ET795" s="942">
        <f t="shared" si="69"/>
        <v>0</v>
      </c>
      <c r="EU795" s="921"/>
      <c r="EV795" s="921"/>
      <c r="EW795" s="921"/>
      <c r="EX795" s="943"/>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row>
    <row r="796" spans="1:185" ht="12.75" customHeight="1">
      <c r="J796" s="949"/>
      <c r="K796" s="921"/>
      <c r="L796" s="921"/>
      <c r="M796" s="921"/>
      <c r="N796" s="943"/>
      <c r="O796" s="950"/>
      <c r="P796" s="921"/>
      <c r="Q796" s="921"/>
      <c r="R796" s="921"/>
      <c r="S796" s="943"/>
      <c r="T796" s="951"/>
      <c r="U796" s="921"/>
      <c r="V796" s="921"/>
      <c r="W796" s="943"/>
      <c r="X796" s="952"/>
      <c r="Y796" s="921"/>
      <c r="Z796" s="921"/>
      <c r="AA796" s="921"/>
      <c r="AB796" s="943"/>
      <c r="AC796" s="953">
        <f t="shared" si="57"/>
        <v>0</v>
      </c>
      <c r="AD796" s="921"/>
      <c r="AE796" s="921"/>
      <c r="AF796" s="921"/>
      <c r="AG796" s="943"/>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942">
        <f t="shared" si="58"/>
        <v>0</v>
      </c>
      <c r="CQ796" s="921"/>
      <c r="CR796" s="921"/>
      <c r="CS796" s="921"/>
      <c r="CT796" s="943"/>
      <c r="CU796" s="942">
        <f t="shared" si="59"/>
        <v>0</v>
      </c>
      <c r="CV796" s="921"/>
      <c r="CW796" s="921"/>
      <c r="CX796" s="921"/>
      <c r="CY796" s="943"/>
      <c r="CZ796" s="942">
        <f t="shared" si="60"/>
        <v>0</v>
      </c>
      <c r="DA796" s="921"/>
      <c r="DB796" s="921"/>
      <c r="DC796" s="921"/>
      <c r="DD796" s="943"/>
      <c r="DE796" s="942">
        <f t="shared" si="61"/>
        <v>0</v>
      </c>
      <c r="DF796" s="921"/>
      <c r="DG796" s="921"/>
      <c r="DH796" s="921"/>
      <c r="DI796" s="943"/>
      <c r="DJ796" s="942">
        <f t="shared" si="62"/>
        <v>0</v>
      </c>
      <c r="DK796" s="921"/>
      <c r="DL796" s="921"/>
      <c r="DM796" s="921"/>
      <c r="DN796" s="943"/>
      <c r="DO796" s="942">
        <f t="shared" si="63"/>
        <v>0</v>
      </c>
      <c r="DP796" s="921"/>
      <c r="DQ796" s="921"/>
      <c r="DR796" s="921"/>
      <c r="DS796" s="943"/>
      <c r="DT796" s="7"/>
      <c r="DU796" s="942">
        <f t="shared" si="64"/>
        <v>0</v>
      </c>
      <c r="DV796" s="921"/>
      <c r="DW796" s="921"/>
      <c r="DX796" s="921"/>
      <c r="DY796" s="943"/>
      <c r="DZ796" s="942">
        <f t="shared" si="65"/>
        <v>0</v>
      </c>
      <c r="EA796" s="921"/>
      <c r="EB796" s="921"/>
      <c r="EC796" s="921"/>
      <c r="ED796" s="943"/>
      <c r="EE796" s="942">
        <f t="shared" si="66"/>
        <v>0</v>
      </c>
      <c r="EF796" s="921"/>
      <c r="EG796" s="921"/>
      <c r="EH796" s="921"/>
      <c r="EI796" s="943"/>
      <c r="EJ796" s="942">
        <f t="shared" si="67"/>
        <v>0</v>
      </c>
      <c r="EK796" s="921"/>
      <c r="EL796" s="921"/>
      <c r="EM796" s="921"/>
      <c r="EN796" s="943"/>
      <c r="EO796" s="942">
        <f t="shared" si="68"/>
        <v>0</v>
      </c>
      <c r="EP796" s="921"/>
      <c r="EQ796" s="921"/>
      <c r="ER796" s="921"/>
      <c r="ES796" s="943"/>
      <c r="ET796" s="942">
        <f t="shared" si="69"/>
        <v>0</v>
      </c>
      <c r="EU796" s="921"/>
      <c r="EV796" s="921"/>
      <c r="EW796" s="921"/>
      <c r="EX796" s="943"/>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row>
    <row r="797" spans="1:185" ht="12.75" customHeight="1">
      <c r="J797" s="949"/>
      <c r="K797" s="921"/>
      <c r="L797" s="921"/>
      <c r="M797" s="921"/>
      <c r="N797" s="943"/>
      <c r="O797" s="950"/>
      <c r="P797" s="921"/>
      <c r="Q797" s="921"/>
      <c r="R797" s="921"/>
      <c r="S797" s="943"/>
      <c r="T797" s="951"/>
      <c r="U797" s="921"/>
      <c r="V797" s="921"/>
      <c r="W797" s="943"/>
      <c r="X797" s="952"/>
      <c r="Y797" s="921"/>
      <c r="Z797" s="921"/>
      <c r="AA797" s="921"/>
      <c r="AB797" s="943"/>
      <c r="AC797" s="953">
        <f t="shared" si="57"/>
        <v>0</v>
      </c>
      <c r="AD797" s="921"/>
      <c r="AE797" s="921"/>
      <c r="AF797" s="921"/>
      <c r="AG797" s="943"/>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942">
        <f t="shared" si="58"/>
        <v>0</v>
      </c>
      <c r="CQ797" s="921"/>
      <c r="CR797" s="921"/>
      <c r="CS797" s="921"/>
      <c r="CT797" s="943"/>
      <c r="CU797" s="942">
        <f t="shared" si="59"/>
        <v>0</v>
      </c>
      <c r="CV797" s="921"/>
      <c r="CW797" s="921"/>
      <c r="CX797" s="921"/>
      <c r="CY797" s="943"/>
      <c r="CZ797" s="942">
        <f t="shared" si="60"/>
        <v>0</v>
      </c>
      <c r="DA797" s="921"/>
      <c r="DB797" s="921"/>
      <c r="DC797" s="921"/>
      <c r="DD797" s="943"/>
      <c r="DE797" s="942">
        <f t="shared" si="61"/>
        <v>0</v>
      </c>
      <c r="DF797" s="921"/>
      <c r="DG797" s="921"/>
      <c r="DH797" s="921"/>
      <c r="DI797" s="943"/>
      <c r="DJ797" s="942">
        <f t="shared" si="62"/>
        <v>0</v>
      </c>
      <c r="DK797" s="921"/>
      <c r="DL797" s="921"/>
      <c r="DM797" s="921"/>
      <c r="DN797" s="943"/>
      <c r="DO797" s="942">
        <f t="shared" si="63"/>
        <v>0</v>
      </c>
      <c r="DP797" s="921"/>
      <c r="DQ797" s="921"/>
      <c r="DR797" s="921"/>
      <c r="DS797" s="943"/>
      <c r="DT797" s="7"/>
      <c r="DU797" s="942">
        <f t="shared" si="64"/>
        <v>0</v>
      </c>
      <c r="DV797" s="921"/>
      <c r="DW797" s="921"/>
      <c r="DX797" s="921"/>
      <c r="DY797" s="943"/>
      <c r="DZ797" s="942">
        <f t="shared" si="65"/>
        <v>0</v>
      </c>
      <c r="EA797" s="921"/>
      <c r="EB797" s="921"/>
      <c r="EC797" s="921"/>
      <c r="ED797" s="943"/>
      <c r="EE797" s="942">
        <f t="shared" si="66"/>
        <v>0</v>
      </c>
      <c r="EF797" s="921"/>
      <c r="EG797" s="921"/>
      <c r="EH797" s="921"/>
      <c r="EI797" s="943"/>
      <c r="EJ797" s="942">
        <f t="shared" si="67"/>
        <v>0</v>
      </c>
      <c r="EK797" s="921"/>
      <c r="EL797" s="921"/>
      <c r="EM797" s="921"/>
      <c r="EN797" s="943"/>
      <c r="EO797" s="942">
        <f t="shared" si="68"/>
        <v>0</v>
      </c>
      <c r="EP797" s="921"/>
      <c r="EQ797" s="921"/>
      <c r="ER797" s="921"/>
      <c r="ES797" s="943"/>
      <c r="ET797" s="942">
        <f t="shared" si="69"/>
        <v>0</v>
      </c>
      <c r="EU797" s="921"/>
      <c r="EV797" s="921"/>
      <c r="EW797" s="921"/>
      <c r="EX797" s="943"/>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row>
    <row r="798" spans="1:185" ht="12.75" customHeight="1">
      <c r="J798" s="949"/>
      <c r="K798" s="921"/>
      <c r="L798" s="921"/>
      <c r="M798" s="921"/>
      <c r="N798" s="943"/>
      <c r="O798" s="950"/>
      <c r="P798" s="921"/>
      <c r="Q798" s="921"/>
      <c r="R798" s="921"/>
      <c r="S798" s="943"/>
      <c r="T798" s="951"/>
      <c r="U798" s="921"/>
      <c r="V798" s="921"/>
      <c r="W798" s="943"/>
      <c r="X798" s="952"/>
      <c r="Y798" s="921"/>
      <c r="Z798" s="921"/>
      <c r="AA798" s="921"/>
      <c r="AB798" s="943"/>
      <c r="AC798" s="953">
        <f t="shared" si="57"/>
        <v>0</v>
      </c>
      <c r="AD798" s="921"/>
      <c r="AE798" s="921"/>
      <c r="AF798" s="921"/>
      <c r="AG798" s="943"/>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942">
        <f t="shared" si="58"/>
        <v>0</v>
      </c>
      <c r="CQ798" s="921"/>
      <c r="CR798" s="921"/>
      <c r="CS798" s="921"/>
      <c r="CT798" s="943"/>
      <c r="CU798" s="942">
        <f t="shared" si="59"/>
        <v>0</v>
      </c>
      <c r="CV798" s="921"/>
      <c r="CW798" s="921"/>
      <c r="CX798" s="921"/>
      <c r="CY798" s="943"/>
      <c r="CZ798" s="942">
        <f t="shared" si="60"/>
        <v>0</v>
      </c>
      <c r="DA798" s="921"/>
      <c r="DB798" s="921"/>
      <c r="DC798" s="921"/>
      <c r="DD798" s="943"/>
      <c r="DE798" s="942">
        <f t="shared" si="61"/>
        <v>0</v>
      </c>
      <c r="DF798" s="921"/>
      <c r="DG798" s="921"/>
      <c r="DH798" s="921"/>
      <c r="DI798" s="943"/>
      <c r="DJ798" s="942">
        <f t="shared" si="62"/>
        <v>0</v>
      </c>
      <c r="DK798" s="921"/>
      <c r="DL798" s="921"/>
      <c r="DM798" s="921"/>
      <c r="DN798" s="943"/>
      <c r="DO798" s="942">
        <f t="shared" si="63"/>
        <v>0</v>
      </c>
      <c r="DP798" s="921"/>
      <c r="DQ798" s="921"/>
      <c r="DR798" s="921"/>
      <c r="DS798" s="943"/>
      <c r="DT798" s="7"/>
      <c r="DU798" s="942">
        <f t="shared" si="64"/>
        <v>0</v>
      </c>
      <c r="DV798" s="921"/>
      <c r="DW798" s="921"/>
      <c r="DX798" s="921"/>
      <c r="DY798" s="943"/>
      <c r="DZ798" s="942">
        <f t="shared" si="65"/>
        <v>0</v>
      </c>
      <c r="EA798" s="921"/>
      <c r="EB798" s="921"/>
      <c r="EC798" s="921"/>
      <c r="ED798" s="943"/>
      <c r="EE798" s="942">
        <f t="shared" si="66"/>
        <v>0</v>
      </c>
      <c r="EF798" s="921"/>
      <c r="EG798" s="921"/>
      <c r="EH798" s="921"/>
      <c r="EI798" s="943"/>
      <c r="EJ798" s="942">
        <f t="shared" si="67"/>
        <v>0</v>
      </c>
      <c r="EK798" s="921"/>
      <c r="EL798" s="921"/>
      <c r="EM798" s="921"/>
      <c r="EN798" s="943"/>
      <c r="EO798" s="942">
        <f t="shared" si="68"/>
        <v>0</v>
      </c>
      <c r="EP798" s="921"/>
      <c r="EQ798" s="921"/>
      <c r="ER798" s="921"/>
      <c r="ES798" s="943"/>
      <c r="ET798" s="942">
        <f t="shared" si="69"/>
        <v>0</v>
      </c>
      <c r="EU798" s="921"/>
      <c r="EV798" s="921"/>
      <c r="EW798" s="921"/>
      <c r="EX798" s="943"/>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row>
    <row r="799" spans="1:185" ht="12.75" customHeight="1">
      <c r="J799" s="949"/>
      <c r="K799" s="921"/>
      <c r="L799" s="921"/>
      <c r="M799" s="921"/>
      <c r="N799" s="943"/>
      <c r="O799" s="950"/>
      <c r="P799" s="921"/>
      <c r="Q799" s="921"/>
      <c r="R799" s="921"/>
      <c r="S799" s="943"/>
      <c r="T799" s="951"/>
      <c r="U799" s="921"/>
      <c r="V799" s="921"/>
      <c r="W799" s="943"/>
      <c r="X799" s="952"/>
      <c r="Y799" s="921"/>
      <c r="Z799" s="921"/>
      <c r="AA799" s="921"/>
      <c r="AB799" s="943"/>
      <c r="AC799" s="953">
        <f t="shared" si="57"/>
        <v>0</v>
      </c>
      <c r="AD799" s="921"/>
      <c r="AE799" s="921"/>
      <c r="AF799" s="921"/>
      <c r="AG799" s="943"/>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942">
        <f t="shared" si="58"/>
        <v>0</v>
      </c>
      <c r="CQ799" s="921"/>
      <c r="CR799" s="921"/>
      <c r="CS799" s="921"/>
      <c r="CT799" s="943"/>
      <c r="CU799" s="942">
        <f t="shared" si="59"/>
        <v>0</v>
      </c>
      <c r="CV799" s="921"/>
      <c r="CW799" s="921"/>
      <c r="CX799" s="921"/>
      <c r="CY799" s="943"/>
      <c r="CZ799" s="942">
        <f t="shared" si="60"/>
        <v>0</v>
      </c>
      <c r="DA799" s="921"/>
      <c r="DB799" s="921"/>
      <c r="DC799" s="921"/>
      <c r="DD799" s="943"/>
      <c r="DE799" s="942">
        <f t="shared" si="61"/>
        <v>0</v>
      </c>
      <c r="DF799" s="921"/>
      <c r="DG799" s="921"/>
      <c r="DH799" s="921"/>
      <c r="DI799" s="943"/>
      <c r="DJ799" s="942">
        <f t="shared" si="62"/>
        <v>0</v>
      </c>
      <c r="DK799" s="921"/>
      <c r="DL799" s="921"/>
      <c r="DM799" s="921"/>
      <c r="DN799" s="943"/>
      <c r="DO799" s="942">
        <f t="shared" si="63"/>
        <v>0</v>
      </c>
      <c r="DP799" s="921"/>
      <c r="DQ799" s="921"/>
      <c r="DR799" s="921"/>
      <c r="DS799" s="943"/>
      <c r="DT799" s="7"/>
      <c r="DU799" s="942">
        <f t="shared" si="64"/>
        <v>0</v>
      </c>
      <c r="DV799" s="921"/>
      <c r="DW799" s="921"/>
      <c r="DX799" s="921"/>
      <c r="DY799" s="943"/>
      <c r="DZ799" s="942">
        <f t="shared" si="65"/>
        <v>0</v>
      </c>
      <c r="EA799" s="921"/>
      <c r="EB799" s="921"/>
      <c r="EC799" s="921"/>
      <c r="ED799" s="943"/>
      <c r="EE799" s="942">
        <f t="shared" si="66"/>
        <v>0</v>
      </c>
      <c r="EF799" s="921"/>
      <c r="EG799" s="921"/>
      <c r="EH799" s="921"/>
      <c r="EI799" s="943"/>
      <c r="EJ799" s="942">
        <f t="shared" si="67"/>
        <v>0</v>
      </c>
      <c r="EK799" s="921"/>
      <c r="EL799" s="921"/>
      <c r="EM799" s="921"/>
      <c r="EN799" s="943"/>
      <c r="EO799" s="942">
        <f t="shared" si="68"/>
        <v>0</v>
      </c>
      <c r="EP799" s="921"/>
      <c r="EQ799" s="921"/>
      <c r="ER799" s="921"/>
      <c r="ES799" s="943"/>
      <c r="ET799" s="942">
        <f t="shared" si="69"/>
        <v>0</v>
      </c>
      <c r="EU799" s="921"/>
      <c r="EV799" s="921"/>
      <c r="EW799" s="921"/>
      <c r="EX799" s="943"/>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row>
    <row r="800" spans="1:185" ht="12.75" customHeight="1">
      <c r="J800" s="949"/>
      <c r="K800" s="921"/>
      <c r="L800" s="921"/>
      <c r="M800" s="921"/>
      <c r="N800" s="943"/>
      <c r="O800" s="950"/>
      <c r="P800" s="921"/>
      <c r="Q800" s="921"/>
      <c r="R800" s="921"/>
      <c r="S800" s="943"/>
      <c r="T800" s="951"/>
      <c r="U800" s="921"/>
      <c r="V800" s="921"/>
      <c r="W800" s="943"/>
      <c r="X800" s="952"/>
      <c r="Y800" s="921"/>
      <c r="Z800" s="921"/>
      <c r="AA800" s="921"/>
      <c r="AB800" s="943"/>
      <c r="AC800" s="953">
        <f t="shared" si="57"/>
        <v>0</v>
      </c>
      <c r="AD800" s="921"/>
      <c r="AE800" s="921"/>
      <c r="AF800" s="921"/>
      <c r="AG800" s="943"/>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942">
        <f t="shared" si="58"/>
        <v>0</v>
      </c>
      <c r="CQ800" s="921"/>
      <c r="CR800" s="921"/>
      <c r="CS800" s="921"/>
      <c r="CT800" s="943"/>
      <c r="CU800" s="942">
        <f t="shared" si="59"/>
        <v>0</v>
      </c>
      <c r="CV800" s="921"/>
      <c r="CW800" s="921"/>
      <c r="CX800" s="921"/>
      <c r="CY800" s="943"/>
      <c r="CZ800" s="942">
        <f t="shared" si="60"/>
        <v>0</v>
      </c>
      <c r="DA800" s="921"/>
      <c r="DB800" s="921"/>
      <c r="DC800" s="921"/>
      <c r="DD800" s="943"/>
      <c r="DE800" s="942">
        <f t="shared" si="61"/>
        <v>0</v>
      </c>
      <c r="DF800" s="921"/>
      <c r="DG800" s="921"/>
      <c r="DH800" s="921"/>
      <c r="DI800" s="943"/>
      <c r="DJ800" s="942">
        <f t="shared" si="62"/>
        <v>0</v>
      </c>
      <c r="DK800" s="921"/>
      <c r="DL800" s="921"/>
      <c r="DM800" s="921"/>
      <c r="DN800" s="943"/>
      <c r="DO800" s="942">
        <f t="shared" si="63"/>
        <v>0</v>
      </c>
      <c r="DP800" s="921"/>
      <c r="DQ800" s="921"/>
      <c r="DR800" s="921"/>
      <c r="DS800" s="943"/>
      <c r="DT800" s="7"/>
      <c r="DU800" s="942">
        <f t="shared" si="64"/>
        <v>0</v>
      </c>
      <c r="DV800" s="921"/>
      <c r="DW800" s="921"/>
      <c r="DX800" s="921"/>
      <c r="DY800" s="943"/>
      <c r="DZ800" s="942">
        <f t="shared" si="65"/>
        <v>0</v>
      </c>
      <c r="EA800" s="921"/>
      <c r="EB800" s="921"/>
      <c r="EC800" s="921"/>
      <c r="ED800" s="943"/>
      <c r="EE800" s="942">
        <f t="shared" si="66"/>
        <v>0</v>
      </c>
      <c r="EF800" s="921"/>
      <c r="EG800" s="921"/>
      <c r="EH800" s="921"/>
      <c r="EI800" s="943"/>
      <c r="EJ800" s="942">
        <f t="shared" si="67"/>
        <v>0</v>
      </c>
      <c r="EK800" s="921"/>
      <c r="EL800" s="921"/>
      <c r="EM800" s="921"/>
      <c r="EN800" s="943"/>
      <c r="EO800" s="942">
        <f t="shared" si="68"/>
        <v>0</v>
      </c>
      <c r="EP800" s="921"/>
      <c r="EQ800" s="921"/>
      <c r="ER800" s="921"/>
      <c r="ES800" s="943"/>
      <c r="ET800" s="942">
        <f t="shared" si="69"/>
        <v>0</v>
      </c>
      <c r="EU800" s="921"/>
      <c r="EV800" s="921"/>
      <c r="EW800" s="921"/>
      <c r="EX800" s="943"/>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row>
    <row r="801" spans="1:185" ht="12.75" customHeight="1">
      <c r="J801" s="949"/>
      <c r="K801" s="921"/>
      <c r="L801" s="921"/>
      <c r="M801" s="921"/>
      <c r="N801" s="943"/>
      <c r="O801" s="950"/>
      <c r="P801" s="921"/>
      <c r="Q801" s="921"/>
      <c r="R801" s="921"/>
      <c r="S801" s="943"/>
      <c r="T801" s="951"/>
      <c r="U801" s="921"/>
      <c r="V801" s="921"/>
      <c r="W801" s="943"/>
      <c r="X801" s="952"/>
      <c r="Y801" s="921"/>
      <c r="Z801" s="921"/>
      <c r="AA801" s="921"/>
      <c r="AB801" s="943"/>
      <c r="AC801" s="953">
        <f t="shared" si="57"/>
        <v>0</v>
      </c>
      <c r="AD801" s="921"/>
      <c r="AE801" s="921"/>
      <c r="AF801" s="921"/>
      <c r="AG801" s="943"/>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942">
        <f t="shared" si="58"/>
        <v>0</v>
      </c>
      <c r="CQ801" s="921"/>
      <c r="CR801" s="921"/>
      <c r="CS801" s="921"/>
      <c r="CT801" s="943"/>
      <c r="CU801" s="942">
        <f t="shared" si="59"/>
        <v>0</v>
      </c>
      <c r="CV801" s="921"/>
      <c r="CW801" s="921"/>
      <c r="CX801" s="921"/>
      <c r="CY801" s="943"/>
      <c r="CZ801" s="942">
        <f t="shared" si="60"/>
        <v>0</v>
      </c>
      <c r="DA801" s="921"/>
      <c r="DB801" s="921"/>
      <c r="DC801" s="921"/>
      <c r="DD801" s="943"/>
      <c r="DE801" s="942">
        <f t="shared" si="61"/>
        <v>0</v>
      </c>
      <c r="DF801" s="921"/>
      <c r="DG801" s="921"/>
      <c r="DH801" s="921"/>
      <c r="DI801" s="943"/>
      <c r="DJ801" s="942">
        <f t="shared" si="62"/>
        <v>0</v>
      </c>
      <c r="DK801" s="921"/>
      <c r="DL801" s="921"/>
      <c r="DM801" s="921"/>
      <c r="DN801" s="943"/>
      <c r="DO801" s="942">
        <f t="shared" si="63"/>
        <v>0</v>
      </c>
      <c r="DP801" s="921"/>
      <c r="DQ801" s="921"/>
      <c r="DR801" s="921"/>
      <c r="DS801" s="943"/>
      <c r="DT801" s="7"/>
      <c r="DU801" s="942">
        <f t="shared" si="64"/>
        <v>0</v>
      </c>
      <c r="DV801" s="921"/>
      <c r="DW801" s="921"/>
      <c r="DX801" s="921"/>
      <c r="DY801" s="943"/>
      <c r="DZ801" s="942">
        <f t="shared" si="65"/>
        <v>0</v>
      </c>
      <c r="EA801" s="921"/>
      <c r="EB801" s="921"/>
      <c r="EC801" s="921"/>
      <c r="ED801" s="943"/>
      <c r="EE801" s="942">
        <f t="shared" si="66"/>
        <v>0</v>
      </c>
      <c r="EF801" s="921"/>
      <c r="EG801" s="921"/>
      <c r="EH801" s="921"/>
      <c r="EI801" s="943"/>
      <c r="EJ801" s="942">
        <f t="shared" si="67"/>
        <v>0</v>
      </c>
      <c r="EK801" s="921"/>
      <c r="EL801" s="921"/>
      <c r="EM801" s="921"/>
      <c r="EN801" s="943"/>
      <c r="EO801" s="942">
        <f t="shared" si="68"/>
        <v>0</v>
      </c>
      <c r="EP801" s="921"/>
      <c r="EQ801" s="921"/>
      <c r="ER801" s="921"/>
      <c r="ES801" s="943"/>
      <c r="ET801" s="942">
        <f t="shared" si="69"/>
        <v>0</v>
      </c>
      <c r="EU801" s="921"/>
      <c r="EV801" s="921"/>
      <c r="EW801" s="921"/>
      <c r="EX801" s="943"/>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row>
    <row r="802" spans="1:185" ht="12.75" customHeight="1">
      <c r="J802" s="949"/>
      <c r="K802" s="921"/>
      <c r="L802" s="921"/>
      <c r="M802" s="921"/>
      <c r="N802" s="943"/>
      <c r="O802" s="950"/>
      <c r="P802" s="921"/>
      <c r="Q802" s="921"/>
      <c r="R802" s="921"/>
      <c r="S802" s="943"/>
      <c r="T802" s="951"/>
      <c r="U802" s="921"/>
      <c r="V802" s="921"/>
      <c r="W802" s="943"/>
      <c r="X802" s="952"/>
      <c r="Y802" s="921"/>
      <c r="Z802" s="921"/>
      <c r="AA802" s="921"/>
      <c r="AB802" s="943"/>
      <c r="AC802" s="953">
        <f t="shared" si="57"/>
        <v>0</v>
      </c>
      <c r="AD802" s="921"/>
      <c r="AE802" s="921"/>
      <c r="AF802" s="921"/>
      <c r="AG802" s="943"/>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942">
        <f t="shared" si="58"/>
        <v>0</v>
      </c>
      <c r="CQ802" s="921"/>
      <c r="CR802" s="921"/>
      <c r="CS802" s="921"/>
      <c r="CT802" s="943"/>
      <c r="CU802" s="942">
        <f t="shared" si="59"/>
        <v>0</v>
      </c>
      <c r="CV802" s="921"/>
      <c r="CW802" s="921"/>
      <c r="CX802" s="921"/>
      <c r="CY802" s="943"/>
      <c r="CZ802" s="942">
        <f t="shared" si="60"/>
        <v>0</v>
      </c>
      <c r="DA802" s="921"/>
      <c r="DB802" s="921"/>
      <c r="DC802" s="921"/>
      <c r="DD802" s="943"/>
      <c r="DE802" s="942">
        <f t="shared" si="61"/>
        <v>0</v>
      </c>
      <c r="DF802" s="921"/>
      <c r="DG802" s="921"/>
      <c r="DH802" s="921"/>
      <c r="DI802" s="943"/>
      <c r="DJ802" s="942">
        <f t="shared" si="62"/>
        <v>0</v>
      </c>
      <c r="DK802" s="921"/>
      <c r="DL802" s="921"/>
      <c r="DM802" s="921"/>
      <c r="DN802" s="943"/>
      <c r="DO802" s="942">
        <f t="shared" si="63"/>
        <v>0</v>
      </c>
      <c r="DP802" s="921"/>
      <c r="DQ802" s="921"/>
      <c r="DR802" s="921"/>
      <c r="DS802" s="943"/>
      <c r="DT802" s="7"/>
      <c r="DU802" s="942">
        <f t="shared" si="64"/>
        <v>0</v>
      </c>
      <c r="DV802" s="921"/>
      <c r="DW802" s="921"/>
      <c r="DX802" s="921"/>
      <c r="DY802" s="943"/>
      <c r="DZ802" s="942">
        <f t="shared" si="65"/>
        <v>0</v>
      </c>
      <c r="EA802" s="921"/>
      <c r="EB802" s="921"/>
      <c r="EC802" s="921"/>
      <c r="ED802" s="943"/>
      <c r="EE802" s="942">
        <f t="shared" si="66"/>
        <v>0</v>
      </c>
      <c r="EF802" s="921"/>
      <c r="EG802" s="921"/>
      <c r="EH802" s="921"/>
      <c r="EI802" s="943"/>
      <c r="EJ802" s="942">
        <f t="shared" si="67"/>
        <v>0</v>
      </c>
      <c r="EK802" s="921"/>
      <c r="EL802" s="921"/>
      <c r="EM802" s="921"/>
      <c r="EN802" s="943"/>
      <c r="EO802" s="942">
        <f t="shared" si="68"/>
        <v>0</v>
      </c>
      <c r="EP802" s="921"/>
      <c r="EQ802" s="921"/>
      <c r="ER802" s="921"/>
      <c r="ES802" s="943"/>
      <c r="ET802" s="942">
        <f t="shared" si="69"/>
        <v>0</v>
      </c>
      <c r="EU802" s="921"/>
      <c r="EV802" s="921"/>
      <c r="EW802" s="921"/>
      <c r="EX802" s="943"/>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row>
    <row r="803" spans="1:185" ht="12.75" customHeight="1">
      <c r="J803" s="1004" t="s">
        <v>2358</v>
      </c>
      <c r="K803" s="921"/>
      <c r="L803" s="921"/>
      <c r="M803" s="921"/>
      <c r="N803" s="943"/>
      <c r="O803" s="956">
        <f>SUM(O793:S802)</f>
        <v>0</v>
      </c>
      <c r="P803" s="921"/>
      <c r="Q803" s="921"/>
      <c r="R803" s="921"/>
      <c r="S803" s="943"/>
      <c r="X803" s="714" t="s">
        <v>1574</v>
      </c>
      <c r="Y803" s="6"/>
      <c r="Z803" s="6"/>
      <c r="AA803" s="6"/>
      <c r="AB803" s="715"/>
      <c r="AC803" s="953">
        <f>SUM(AC793:AG802)</f>
        <v>0</v>
      </c>
      <c r="AD803" s="921"/>
      <c r="AE803" s="921"/>
      <c r="AF803" s="921"/>
      <c r="AG803" s="943"/>
      <c r="AZ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945">
        <f>SUM(CP793:CT802)</f>
        <v>0</v>
      </c>
      <c r="CQ803" s="921"/>
      <c r="CR803" s="921"/>
      <c r="CS803" s="921"/>
      <c r="CT803" s="943"/>
      <c r="CU803" s="945">
        <f>SUM(CU793:CY802)</f>
        <v>0</v>
      </c>
      <c r="CV803" s="921"/>
      <c r="CW803" s="921"/>
      <c r="CX803" s="921"/>
      <c r="CY803" s="943"/>
      <c r="CZ803" s="945">
        <f>SUM(CZ793:DD802)</f>
        <v>0</v>
      </c>
      <c r="DA803" s="921"/>
      <c r="DB803" s="921"/>
      <c r="DC803" s="921"/>
      <c r="DD803" s="943"/>
      <c r="DE803" s="945">
        <f>SUM(DE793:DI802)</f>
        <v>0</v>
      </c>
      <c r="DF803" s="921"/>
      <c r="DG803" s="921"/>
      <c r="DH803" s="921"/>
      <c r="DI803" s="943"/>
      <c r="DJ803" s="945">
        <f>SUM(DJ793:DN802)</f>
        <v>0</v>
      </c>
      <c r="DK803" s="921"/>
      <c r="DL803" s="921"/>
      <c r="DM803" s="921"/>
      <c r="DN803" s="943"/>
      <c r="DO803" s="945">
        <f>SUM(DO793:DS802)</f>
        <v>0</v>
      </c>
      <c r="DP803" s="921"/>
      <c r="DQ803" s="921"/>
      <c r="DR803" s="921"/>
      <c r="DS803" s="943"/>
      <c r="DT803" s="7"/>
      <c r="DU803" s="945">
        <f>SUM(DU793:DY802)</f>
        <v>0</v>
      </c>
      <c r="DV803" s="921"/>
      <c r="DW803" s="921"/>
      <c r="DX803" s="921"/>
      <c r="DY803" s="943"/>
      <c r="DZ803" s="945">
        <f>SUM(DZ793:ED802)</f>
        <v>0</v>
      </c>
      <c r="EA803" s="921"/>
      <c r="EB803" s="921"/>
      <c r="EC803" s="921"/>
      <c r="ED803" s="943"/>
      <c r="EE803" s="945">
        <f>SUM(EE793:EI802)</f>
        <v>0</v>
      </c>
      <c r="EF803" s="921"/>
      <c r="EG803" s="921"/>
      <c r="EH803" s="921"/>
      <c r="EI803" s="943"/>
      <c r="EJ803" s="945">
        <f>SUM(EJ793:EN802)</f>
        <v>0</v>
      </c>
      <c r="EK803" s="921"/>
      <c r="EL803" s="921"/>
      <c r="EM803" s="921"/>
      <c r="EN803" s="943"/>
      <c r="EO803" s="945">
        <f>SUM(EO793:ES802)</f>
        <v>0</v>
      </c>
      <c r="EP803" s="921"/>
      <c r="EQ803" s="921"/>
      <c r="ER803" s="921"/>
      <c r="ES803" s="943"/>
      <c r="ET803" s="945">
        <f>SUM(ET793:EX802)</f>
        <v>0</v>
      </c>
      <c r="EU803" s="921"/>
      <c r="EV803" s="921"/>
      <c r="EW803" s="921"/>
      <c r="EX803" s="943"/>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row>
    <row r="804" spans="1:185" ht="12.75" customHeight="1">
      <c r="C804" s="1054" t="str">
        <f>IF(O803&lt;&gt;AG447,"! Total market rate units in the Unit Mix Table above does not match the number of  market rate units on row #"&amp;TEXT(ROW(D447),"#"),"")</f>
        <v>! Total market rate units in the Unit Mix Table above does not match the number of  market rate units on row #447</v>
      </c>
      <c r="D804" s="893"/>
      <c r="E804" s="893"/>
      <c r="F804" s="893"/>
      <c r="G804" s="893"/>
      <c r="H804" s="893"/>
      <c r="I804" s="893"/>
      <c r="J804" s="893"/>
      <c r="K804" s="893"/>
      <c r="L804" s="893"/>
      <c r="M804" s="893"/>
      <c r="N804" s="893"/>
      <c r="O804" s="893"/>
      <c r="P804" s="893"/>
      <c r="Q804" s="893"/>
      <c r="R804" s="893"/>
      <c r="S804" s="893"/>
      <c r="T804" s="893"/>
      <c r="U804" s="893"/>
      <c r="V804" s="893"/>
      <c r="W804" s="893"/>
      <c r="X804" s="893"/>
      <c r="Y804" s="893"/>
      <c r="Z804" s="893"/>
      <c r="AA804" s="893"/>
      <c r="AB804" s="893"/>
      <c r="AC804" s="893"/>
      <c r="AD804" s="893"/>
      <c r="AE804" s="893"/>
      <c r="AF804" s="893"/>
      <c r="AG804" s="893"/>
      <c r="AH804" s="893"/>
      <c r="AI804" s="893"/>
      <c r="AJ804" s="893"/>
      <c r="AK804" s="893"/>
      <c r="AL804" s="893"/>
      <c r="AM804" s="893"/>
      <c r="AN804" s="893"/>
      <c r="AZ804" s="203"/>
      <c r="BA804" s="203"/>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T804" s="180">
        <f>CP803*1</f>
        <v>0</v>
      </c>
      <c r="CU804" s="1"/>
      <c r="CV804" s="1"/>
      <c r="CW804" s="1"/>
      <c r="CX804" s="1"/>
      <c r="CY804" s="180">
        <f>CU803*1</f>
        <v>0</v>
      </c>
      <c r="CZ804" s="1"/>
      <c r="DA804" s="1"/>
      <c r="DB804" s="1"/>
      <c r="DC804" s="1"/>
      <c r="DD804" s="180">
        <f>CZ803*2</f>
        <v>0</v>
      </c>
      <c r="DE804" s="1"/>
      <c r="DF804" s="1"/>
      <c r="DG804" s="1"/>
      <c r="DH804" s="1"/>
      <c r="DI804" s="180">
        <f>DE803*3</f>
        <v>0</v>
      </c>
      <c r="DJ804" s="1"/>
      <c r="DK804" s="1"/>
      <c r="DL804" s="1"/>
      <c r="DM804" s="1"/>
      <c r="DN804" s="180">
        <f>DJ803*4</f>
        <v>0</v>
      </c>
      <c r="DO804" s="1"/>
      <c r="DP804" s="1"/>
      <c r="DQ804" s="1"/>
      <c r="DR804" s="1"/>
      <c r="DS804" s="180">
        <f>DO803*5</f>
        <v>0</v>
      </c>
      <c r="DT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row>
    <row r="805" spans="1:185" ht="12.75" customHeight="1">
      <c r="C805" s="893"/>
      <c r="D805" s="893"/>
      <c r="E805" s="893"/>
      <c r="F805" s="893"/>
      <c r="G805" s="893"/>
      <c r="H805" s="893"/>
      <c r="I805" s="893"/>
      <c r="J805" s="893"/>
      <c r="K805" s="893"/>
      <c r="L805" s="893"/>
      <c r="M805" s="893"/>
      <c r="N805" s="893"/>
      <c r="O805" s="893"/>
      <c r="P805" s="893"/>
      <c r="Q805" s="893"/>
      <c r="R805" s="893"/>
      <c r="S805" s="893"/>
      <c r="T805" s="893"/>
      <c r="U805" s="893"/>
      <c r="V805" s="893"/>
      <c r="W805" s="893"/>
      <c r="X805" s="893"/>
      <c r="Y805" s="893"/>
      <c r="Z805" s="893"/>
      <c r="AA805" s="893"/>
      <c r="AB805" s="893"/>
      <c r="AC805" s="893"/>
      <c r="AD805" s="893"/>
      <c r="AE805" s="893"/>
      <c r="AF805" s="893"/>
      <c r="AG805" s="893"/>
      <c r="AH805" s="893"/>
      <c r="AI805" s="893"/>
      <c r="AJ805" s="893"/>
      <c r="AK805" s="893"/>
      <c r="AL805" s="893"/>
      <c r="AM805" s="893"/>
      <c r="AN805" s="893"/>
      <c r="AZ805" s="203"/>
      <c r="BA805" s="203"/>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DT805" s="1"/>
      <c r="DU805" s="180">
        <f>CP803+CU803+CZ803+DE803+DJ803+DO803</f>
        <v>0</v>
      </c>
      <c r="DV805" s="62" t="s">
        <v>2489</v>
      </c>
      <c r="DW805" s="1"/>
      <c r="DX805" s="1"/>
      <c r="DY805" s="1"/>
      <c r="DZ805" s="1"/>
      <c r="EA805" s="1"/>
      <c r="EB805" s="1"/>
      <c r="EC805" s="1"/>
      <c r="ED805" s="1"/>
      <c r="EE805" s="1"/>
      <c r="EF805" s="1"/>
      <c r="EG805" s="1"/>
      <c r="EH805" s="1"/>
      <c r="ES805" s="237" t="s">
        <v>2490</v>
      </c>
      <c r="ET805" s="945">
        <f>SUM(DU803:EX803)</f>
        <v>0</v>
      </c>
      <c r="EU805" s="921"/>
      <c r="EV805" s="921"/>
      <c r="EW805" s="921"/>
      <c r="EX805" s="943"/>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row>
    <row r="806" spans="1:185" ht="12.75" customHeight="1">
      <c r="J806" s="272"/>
      <c r="K806" s="5"/>
      <c r="L806" s="5"/>
      <c r="M806" s="5"/>
      <c r="N806" s="5"/>
      <c r="O806" s="5"/>
      <c r="P806" s="5"/>
      <c r="Q806" s="5"/>
      <c r="R806" s="5"/>
      <c r="S806" s="5"/>
      <c r="T806" s="5"/>
      <c r="U806" s="5"/>
      <c r="V806" s="5"/>
      <c r="W806" s="5"/>
      <c r="X806" s="372" t="s">
        <v>2492</v>
      </c>
      <c r="Y806" s="1000">
        <f>O759+AC783+AC803</f>
        <v>454818</v>
      </c>
      <c r="Z806" s="921"/>
      <c r="AA806" s="921"/>
      <c r="AB806" s="921"/>
      <c r="AC806" s="943"/>
      <c r="AZ806" s="203"/>
      <c r="BA806" s="203"/>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DT806" s="1"/>
      <c r="DU806" s="180">
        <f>CT804+CY804+DD804+DI804+DN804+DS804</f>
        <v>0</v>
      </c>
      <c r="DV806" s="62" t="s">
        <v>2493</v>
      </c>
      <c r="DW806" s="1"/>
      <c r="DX806" s="1"/>
      <c r="DY806" s="1"/>
      <c r="DZ806" s="1"/>
      <c r="EA806" s="1"/>
      <c r="EB806" s="1"/>
      <c r="EC806" s="1"/>
      <c r="ED806" s="1"/>
      <c r="EE806" s="1"/>
      <c r="EF806" s="1"/>
      <c r="EG806" s="1"/>
      <c r="EH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row>
    <row r="807" spans="1:185" ht="12.75" customHeight="1">
      <c r="J807" s="268"/>
      <c r="K807" s="235"/>
      <c r="L807" s="235"/>
      <c r="M807" s="235"/>
      <c r="N807" s="235"/>
      <c r="O807" s="235"/>
      <c r="P807" s="235"/>
      <c r="Q807" s="235"/>
      <c r="R807" s="235"/>
      <c r="S807" s="235"/>
      <c r="T807" s="235"/>
      <c r="U807" s="235"/>
      <c r="V807" s="235"/>
      <c r="W807" s="235"/>
      <c r="X807" s="758" t="s">
        <v>2494</v>
      </c>
      <c r="Y807" s="1000">
        <f>(O759+AC783+AC803)*12</f>
        <v>5457816</v>
      </c>
      <c r="Z807" s="921"/>
      <c r="AA807" s="921"/>
      <c r="AB807" s="921"/>
      <c r="AC807" s="943"/>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t="s">
        <v>2496</v>
      </c>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row>
    <row r="808" spans="1:185" ht="12.75" customHeight="1">
      <c r="B808" s="8"/>
      <c r="X808" s="322"/>
      <c r="Y808" s="322"/>
      <c r="Z808" s="322"/>
      <c r="AA808" s="322"/>
      <c r="AB808" s="322"/>
      <c r="AC808" s="322"/>
      <c r="AD808" s="322"/>
      <c r="AZ808" s="1"/>
      <c r="BA808" s="1"/>
      <c r="BB808" s="1"/>
      <c r="BC808" s="1"/>
      <c r="BD808" s="1"/>
      <c r="BE808" s="1"/>
      <c r="BF808" s="1"/>
      <c r="BG808" s="1"/>
      <c r="BH808" s="1"/>
      <c r="BI808" s="1"/>
      <c r="BJ808" s="1"/>
      <c r="BK808" s="1"/>
      <c r="BL808" s="1"/>
      <c r="BM808" s="1"/>
      <c r="BN808" s="125"/>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945">
        <f>CP759+CP783+CP803</f>
        <v>0</v>
      </c>
      <c r="CQ808" s="921"/>
      <c r="CR808" s="921"/>
      <c r="CS808" s="921"/>
      <c r="CT808" s="943"/>
      <c r="CU808" s="956">
        <f>CU759+CU783+CU803</f>
        <v>121</v>
      </c>
      <c r="CV808" s="921"/>
      <c r="CW808" s="921"/>
      <c r="CX808" s="921"/>
      <c r="CY808" s="943"/>
      <c r="CZ808" s="956">
        <f>CZ759+CZ783+CZ803</f>
        <v>68</v>
      </c>
      <c r="DA808" s="921"/>
      <c r="DB808" s="921"/>
      <c r="DC808" s="921"/>
      <c r="DD808" s="943"/>
      <c r="DE808" s="945">
        <f>DE759+DE783+DE803</f>
        <v>46</v>
      </c>
      <c r="DF808" s="921"/>
      <c r="DG808" s="921"/>
      <c r="DH808" s="921"/>
      <c r="DI808" s="943"/>
      <c r="DJ808" s="945">
        <f>DJ759+DJ783+DJ803</f>
        <v>0</v>
      </c>
      <c r="DK808" s="921"/>
      <c r="DL808" s="921"/>
      <c r="DM808" s="921"/>
      <c r="DN808" s="943"/>
      <c r="DO808" s="945">
        <f>DO803+DO783+DO759</f>
        <v>0</v>
      </c>
      <c r="DP808" s="921"/>
      <c r="DQ808" s="921"/>
      <c r="DR808" s="921"/>
      <c r="DS808" s="943"/>
      <c r="DT808" s="1"/>
      <c r="DU808" s="180">
        <f>DU761+DU806</f>
        <v>390</v>
      </c>
      <c r="DV808" s="62" t="s">
        <v>2504</v>
      </c>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row>
    <row r="809" spans="1:185" ht="12.75" customHeight="1">
      <c r="A809" s="8" t="s">
        <v>1151</v>
      </c>
      <c r="B809" s="8"/>
      <c r="C809" s="8" t="s">
        <v>263</v>
      </c>
      <c r="X809" s="322"/>
      <c r="Y809" s="322"/>
      <c r="Z809" s="322"/>
      <c r="AA809" s="322"/>
      <c r="AB809" s="322"/>
      <c r="AC809" s="322"/>
      <c r="AD809" s="322"/>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row>
    <row r="810" spans="1:185" ht="12.75" customHeight="1">
      <c r="A810" s="8"/>
      <c r="B810" s="8"/>
      <c r="C810" s="8" t="s">
        <v>2508</v>
      </c>
      <c r="X810" s="322"/>
      <c r="Y810" s="322"/>
      <c r="Z810" s="322"/>
      <c r="AA810" s="322"/>
      <c r="AB810" s="322"/>
      <c r="AC810" s="322"/>
      <c r="AD810" s="322"/>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row>
    <row r="811" spans="1:185" ht="12.75" customHeight="1">
      <c r="B811" s="8"/>
      <c r="X811" s="322"/>
      <c r="Y811" s="322"/>
      <c r="Z811" s="322"/>
      <c r="AA811" s="322"/>
      <c r="AB811" s="322"/>
      <c r="AC811" s="322"/>
      <c r="AD811" s="322"/>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row>
    <row r="812" spans="1:185" ht="12.75" customHeight="1">
      <c r="H812" s="272" t="s">
        <v>2512</v>
      </c>
      <c r="I812" s="5"/>
      <c r="J812" s="5"/>
      <c r="K812" s="5"/>
      <c r="L812" s="5"/>
      <c r="M812" s="5"/>
      <c r="N812" s="5"/>
      <c r="O812" s="5"/>
      <c r="P812" s="5"/>
      <c r="Q812" s="5"/>
      <c r="R812" s="5"/>
      <c r="S812" s="5"/>
      <c r="T812" s="5"/>
      <c r="U812" s="5"/>
      <c r="V812" s="5"/>
      <c r="W812" s="5"/>
      <c r="X812" s="5"/>
      <c r="Y812" s="5"/>
      <c r="Z812" s="986"/>
      <c r="AA812" s="921"/>
      <c r="AB812" s="921"/>
      <c r="AC812" s="921"/>
      <c r="AD812" s="921"/>
      <c r="AE812" s="943"/>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row>
    <row r="813" spans="1:185" ht="12.75" customHeight="1">
      <c r="H813" s="272" t="s">
        <v>2514</v>
      </c>
      <c r="I813" s="5"/>
      <c r="J813" s="5"/>
      <c r="K813" s="5"/>
      <c r="L813" s="5"/>
      <c r="M813" s="5"/>
      <c r="N813" s="5"/>
      <c r="O813" s="5"/>
      <c r="P813" s="5"/>
      <c r="Q813" s="5"/>
      <c r="R813" s="5"/>
      <c r="S813" s="5"/>
      <c r="T813" s="5"/>
      <c r="U813" s="5"/>
      <c r="V813" s="5"/>
      <c r="W813" s="5"/>
      <c r="X813" s="5"/>
      <c r="Y813" s="5"/>
      <c r="Z813" s="1053"/>
      <c r="AA813" s="921"/>
      <c r="AB813" s="921"/>
      <c r="AC813" s="921"/>
      <c r="AD813" s="921"/>
      <c r="AE813" s="943"/>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row>
    <row r="814" spans="1:185" ht="12.75" customHeight="1">
      <c r="H814" s="272" t="s">
        <v>2516</v>
      </c>
      <c r="I814" s="5"/>
      <c r="J814" s="5"/>
      <c r="K814" s="5"/>
      <c r="L814" s="5"/>
      <c r="M814" s="5"/>
      <c r="N814" s="5"/>
      <c r="O814" s="5"/>
      <c r="P814" s="5"/>
      <c r="Q814" s="5"/>
      <c r="R814" s="5"/>
      <c r="S814" s="5"/>
      <c r="T814" s="5"/>
      <c r="U814" s="5"/>
      <c r="V814" s="5"/>
      <c r="W814" s="5"/>
      <c r="X814" s="5"/>
      <c r="Y814" s="5"/>
      <c r="Z814" s="982">
        <v>0</v>
      </c>
      <c r="AA814" s="921"/>
      <c r="AB814" s="921"/>
      <c r="AC814" s="921"/>
      <c r="AD814" s="921"/>
      <c r="AE814" s="943"/>
      <c r="AU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row>
    <row r="815" spans="1:185" ht="12.75" customHeight="1">
      <c r="H815" s="272"/>
      <c r="I815" s="5"/>
      <c r="J815" s="5"/>
      <c r="K815" s="5"/>
      <c r="L815" s="5"/>
      <c r="M815" s="5"/>
      <c r="N815" s="5"/>
      <c r="O815" s="5"/>
      <c r="P815" s="5"/>
      <c r="Q815" s="5"/>
      <c r="R815" s="5"/>
      <c r="S815" s="5"/>
      <c r="T815" s="5"/>
      <c r="U815" s="5"/>
      <c r="V815" s="5"/>
      <c r="W815" s="5"/>
      <c r="X815" s="5"/>
      <c r="Y815" s="484" t="s">
        <v>2519</v>
      </c>
      <c r="Z815" s="1000">
        <f>'Subsidy Contract Calculation'!J40</f>
        <v>0</v>
      </c>
      <c r="AA815" s="921"/>
      <c r="AB815" s="921"/>
      <c r="AC815" s="921"/>
      <c r="AD815" s="921"/>
      <c r="AE815" s="943"/>
      <c r="AU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row>
    <row r="816" spans="1:185" ht="12.75" customHeight="1">
      <c r="X816" s="322"/>
      <c r="Y816" s="322"/>
      <c r="Z816" s="322"/>
      <c r="AA816" s="322"/>
      <c r="AB816" s="322"/>
      <c r="AC816" s="322"/>
      <c r="AD816" s="322"/>
      <c r="AU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row>
    <row r="817" spans="1:185" ht="12.75" customHeight="1">
      <c r="A817" s="8" t="s">
        <v>1166</v>
      </c>
      <c r="B817" s="8"/>
      <c r="C817" s="8" t="s">
        <v>268</v>
      </c>
      <c r="X817" s="322"/>
      <c r="Y817" s="322"/>
      <c r="Z817" s="322"/>
      <c r="AA817" s="322"/>
      <c r="AB817" s="322"/>
      <c r="AC817" s="322"/>
      <c r="AD817" s="322"/>
      <c r="AU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row>
    <row r="818" spans="1:185" ht="12.75" customHeight="1">
      <c r="X818" s="322"/>
      <c r="Y818" s="322"/>
      <c r="Z818" s="322"/>
      <c r="AA818" s="322"/>
      <c r="AB818" s="322"/>
      <c r="AC818" s="322"/>
      <c r="AD818" s="322"/>
      <c r="AU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row>
    <row r="819" spans="1:185" ht="12.75" customHeight="1">
      <c r="H819" s="272" t="s">
        <v>2523</v>
      </c>
      <c r="I819" s="5"/>
      <c r="J819" s="5"/>
      <c r="K819" s="5"/>
      <c r="L819" s="5"/>
      <c r="M819" s="5"/>
      <c r="N819" s="5"/>
      <c r="O819" s="5"/>
      <c r="P819" s="5"/>
      <c r="Q819" s="5"/>
      <c r="R819" s="5"/>
      <c r="S819" s="5"/>
      <c r="T819" s="5"/>
      <c r="U819" s="5"/>
      <c r="V819" s="5"/>
      <c r="W819" s="5"/>
      <c r="X819" s="5"/>
      <c r="Y819" s="5"/>
      <c r="Z819" s="978">
        <v>140621</v>
      </c>
      <c r="AA819" s="921"/>
      <c r="AB819" s="921"/>
      <c r="AC819" s="921"/>
      <c r="AD819" s="921"/>
      <c r="AE819" s="943"/>
      <c r="AU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row>
    <row r="820" spans="1:185" ht="12.75" customHeight="1">
      <c r="H820" s="272" t="s">
        <v>2525</v>
      </c>
      <c r="I820" s="5"/>
      <c r="J820" s="5"/>
      <c r="K820" s="5"/>
      <c r="L820" s="5"/>
      <c r="M820" s="5"/>
      <c r="N820" s="5"/>
      <c r="O820" s="5"/>
      <c r="P820" s="5"/>
      <c r="Q820" s="5"/>
      <c r="R820" s="5"/>
      <c r="S820" s="5"/>
      <c r="T820" s="5"/>
      <c r="U820" s="5"/>
      <c r="V820" s="5"/>
      <c r="W820" s="5"/>
      <c r="X820" s="5"/>
      <c r="Y820" s="5"/>
      <c r="Z820" s="978"/>
      <c r="AA820" s="921"/>
      <c r="AB820" s="921"/>
      <c r="AC820" s="921"/>
      <c r="AD820" s="921"/>
      <c r="AE820" s="943"/>
      <c r="AU820" s="1"/>
      <c r="AZ820" s="203"/>
      <c r="BA820" s="203"/>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row>
    <row r="821" spans="1:185" ht="12.75" customHeight="1">
      <c r="H821" s="272" t="s">
        <v>2527</v>
      </c>
      <c r="I821" s="5"/>
      <c r="J821" s="5"/>
      <c r="K821" s="5"/>
      <c r="L821" s="5"/>
      <c r="M821" s="5"/>
      <c r="N821" s="5"/>
      <c r="O821" s="5"/>
      <c r="P821" s="5"/>
      <c r="Q821" s="5"/>
      <c r="R821" s="5"/>
      <c r="S821" s="5"/>
      <c r="T821" s="5"/>
      <c r="U821" s="5"/>
      <c r="V821" s="5"/>
      <c r="W821" s="5"/>
      <c r="X821" s="5"/>
      <c r="Y821" s="5"/>
      <c r="Z821" s="978">
        <v>125000</v>
      </c>
      <c r="AA821" s="921"/>
      <c r="AB821" s="921"/>
      <c r="AC821" s="921"/>
      <c r="AD821" s="921"/>
      <c r="AE821" s="943"/>
      <c r="AU821" s="1"/>
      <c r="AZ821" s="203"/>
      <c r="BA821" s="203"/>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row>
    <row r="822" spans="1:185" ht="12.75" customHeight="1">
      <c r="H822" s="272" t="s">
        <v>2530</v>
      </c>
      <c r="I822" s="5"/>
      <c r="J822" s="5"/>
      <c r="K822" s="5"/>
      <c r="L822" s="5"/>
      <c r="M822" s="5"/>
      <c r="N822" s="5"/>
      <c r="O822" s="5"/>
      <c r="P822" s="998" t="s">
        <v>2822</v>
      </c>
      <c r="Q822" s="921"/>
      <c r="R822" s="921"/>
      <c r="S822" s="921"/>
      <c r="T822" s="921"/>
      <c r="U822" s="921"/>
      <c r="V822" s="921"/>
      <c r="W822" s="921"/>
      <c r="X822" s="921"/>
      <c r="Y822" s="943"/>
      <c r="Z822" s="978">
        <v>50000</v>
      </c>
      <c r="AA822" s="921"/>
      <c r="AB822" s="921"/>
      <c r="AC822" s="921"/>
      <c r="AD822" s="921"/>
      <c r="AE822" s="943"/>
      <c r="AU822" s="1"/>
      <c r="AZ822" s="203"/>
      <c r="BA822" s="203"/>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row>
    <row r="823" spans="1:185" ht="12.75" customHeight="1">
      <c r="H823" s="272"/>
      <c r="I823" s="5"/>
      <c r="J823" s="5"/>
      <c r="K823" s="5"/>
      <c r="L823" s="5"/>
      <c r="M823" s="5"/>
      <c r="N823" s="5"/>
      <c r="O823" s="5"/>
      <c r="P823" s="5"/>
      <c r="Q823" s="5"/>
      <c r="R823" s="5"/>
      <c r="S823" s="5"/>
      <c r="T823" s="5"/>
      <c r="U823" s="5"/>
      <c r="V823" s="5"/>
      <c r="W823" s="5"/>
      <c r="X823" s="5"/>
      <c r="Y823" s="484" t="s">
        <v>2532</v>
      </c>
      <c r="Z823" s="1000">
        <f>SUM(Z819:AE822)</f>
        <v>315621</v>
      </c>
      <c r="AA823" s="921"/>
      <c r="AB823" s="921"/>
      <c r="AC823" s="921"/>
      <c r="AD823" s="921"/>
      <c r="AE823" s="943"/>
      <c r="AU823" s="1"/>
      <c r="AZ823" s="203"/>
      <c r="BA823" s="203"/>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row>
    <row r="824" spans="1:185" ht="12.75" customHeight="1">
      <c r="H824" s="272"/>
      <c r="I824" s="5"/>
      <c r="J824" s="5"/>
      <c r="K824" s="5"/>
      <c r="L824" s="5"/>
      <c r="M824" s="5"/>
      <c r="N824" s="5"/>
      <c r="O824" s="5"/>
      <c r="P824" s="5"/>
      <c r="Q824" s="5"/>
      <c r="R824" s="5"/>
      <c r="S824" s="5"/>
      <c r="T824" s="5"/>
      <c r="U824" s="5"/>
      <c r="V824" s="5"/>
      <c r="W824" s="5"/>
      <c r="X824" s="5"/>
      <c r="Y824" s="484" t="s">
        <v>2534</v>
      </c>
      <c r="Z824" s="1000">
        <f>Z823+Y807+Z815</f>
        <v>5773437</v>
      </c>
      <c r="AA824" s="921"/>
      <c r="AB824" s="921"/>
      <c r="AC824" s="921"/>
      <c r="AD824" s="921"/>
      <c r="AE824" s="943"/>
      <c r="AU824" s="1"/>
      <c r="AV824" s="1"/>
      <c r="AW824" s="1"/>
      <c r="AX824" s="1"/>
      <c r="AY824" s="1"/>
      <c r="AZ824" s="203"/>
      <c r="BA824" s="203"/>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row>
    <row r="825" spans="1:185" ht="12.75" customHeight="1">
      <c r="X825" s="322"/>
      <c r="Y825" s="322"/>
      <c r="Z825" s="322"/>
      <c r="AA825" s="322"/>
      <c r="AB825" s="322"/>
      <c r="AC825" s="322"/>
      <c r="AD825" s="322"/>
      <c r="AU825" s="1"/>
      <c r="AV825" s="1"/>
      <c r="AW825" s="1"/>
      <c r="AX825" s="1"/>
      <c r="AY825" s="1"/>
      <c r="AZ825" s="203"/>
      <c r="BA825" s="203"/>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row>
    <row r="826" spans="1:185" ht="12.75" customHeight="1">
      <c r="A826" s="8" t="s">
        <v>1210</v>
      </c>
      <c r="B826" s="8"/>
      <c r="C826" s="8" t="s">
        <v>272</v>
      </c>
      <c r="W826" s="237"/>
      <c r="AU826" s="1"/>
      <c r="AV826" s="1"/>
      <c r="AW826" s="1"/>
      <c r="AX826" s="1"/>
      <c r="AY826" s="1"/>
      <c r="AZ826" s="203"/>
      <c r="BA826" s="203"/>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row>
    <row r="827" spans="1:185" ht="12.75" customHeight="1">
      <c r="C827" s="117" t="s">
        <v>2539</v>
      </c>
      <c r="W827" s="237"/>
      <c r="AU827" s="1"/>
      <c r="AV827" s="1"/>
      <c r="AW827" s="1"/>
      <c r="AX827" s="1"/>
      <c r="AY827" s="1"/>
      <c r="AZ827" s="203"/>
      <c r="BA827" s="203"/>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row>
    <row r="828" spans="1:185" ht="12.75" customHeight="1">
      <c r="C828" s="117"/>
      <c r="W828" s="237"/>
      <c r="AU828" s="1"/>
      <c r="AV828" s="1"/>
      <c r="AW828" s="1"/>
      <c r="AX828" s="1"/>
      <c r="AY828" s="1"/>
      <c r="AZ828" s="203"/>
      <c r="BA828" s="203"/>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row>
    <row r="829" spans="1:185" ht="12.75" customHeight="1">
      <c r="C829" s="265"/>
      <c r="D829" s="246"/>
      <c r="E829" s="246"/>
      <c r="F829" s="246"/>
      <c r="G829" s="246"/>
      <c r="H829" s="246"/>
      <c r="I829" s="246"/>
      <c r="J829" s="246"/>
      <c r="K829" s="246"/>
      <c r="L829" s="247"/>
      <c r="M829" s="1051" t="s">
        <v>2544</v>
      </c>
      <c r="N829" s="947"/>
      <c r="O829" s="947"/>
      <c r="P829" s="948"/>
      <c r="Q829" s="992" t="s">
        <v>2545</v>
      </c>
      <c r="R829" s="947"/>
      <c r="S829" s="947"/>
      <c r="T829" s="948"/>
      <c r="U829" s="992" t="s">
        <v>2546</v>
      </c>
      <c r="V829" s="947"/>
      <c r="W829" s="947"/>
      <c r="X829" s="948"/>
      <c r="Y829" s="992" t="s">
        <v>2547</v>
      </c>
      <c r="Z829" s="947"/>
      <c r="AA829" s="947"/>
      <c r="AB829" s="948"/>
      <c r="AC829" s="992" t="s">
        <v>2548</v>
      </c>
      <c r="AD829" s="947"/>
      <c r="AE829" s="947"/>
      <c r="AF829" s="948"/>
      <c r="AG829" s="1052" t="s">
        <v>2549</v>
      </c>
      <c r="AH829" s="947"/>
      <c r="AI829" s="947"/>
      <c r="AJ829" s="948"/>
      <c r="AL829" s="1"/>
      <c r="AM829" s="1"/>
      <c r="AN829" s="1"/>
      <c r="AO829" s="1"/>
      <c r="AP829" s="1"/>
      <c r="AQ829" s="1"/>
      <c r="AR829" s="1"/>
      <c r="AS829" s="1"/>
      <c r="AT829" s="1"/>
      <c r="AU829" s="1"/>
      <c r="AV829" s="1"/>
      <c r="AW829" s="1"/>
      <c r="AX829" s="1"/>
      <c r="AY829" s="1"/>
      <c r="AZ829" s="203"/>
      <c r="BA829" s="203"/>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row>
    <row r="830" spans="1:185" ht="12.75" customHeight="1">
      <c r="C830" s="268"/>
      <c r="D830" s="235"/>
      <c r="E830" s="235"/>
      <c r="F830" s="235"/>
      <c r="G830" s="235"/>
      <c r="H830" s="235"/>
      <c r="I830" s="235"/>
      <c r="J830" s="235"/>
      <c r="K830" s="235"/>
      <c r="L830" s="251"/>
      <c r="M830" s="961"/>
      <c r="N830" s="961"/>
      <c r="O830" s="961"/>
      <c r="P830" s="962"/>
      <c r="Q830" s="960"/>
      <c r="R830" s="961"/>
      <c r="S830" s="961"/>
      <c r="T830" s="962"/>
      <c r="U830" s="960"/>
      <c r="V830" s="961"/>
      <c r="W830" s="961"/>
      <c r="X830" s="962"/>
      <c r="Y830" s="960"/>
      <c r="Z830" s="961"/>
      <c r="AA830" s="961"/>
      <c r="AB830" s="962"/>
      <c r="AC830" s="960"/>
      <c r="AD830" s="961"/>
      <c r="AE830" s="961"/>
      <c r="AF830" s="962"/>
      <c r="AG830" s="960"/>
      <c r="AH830" s="961"/>
      <c r="AI830" s="961"/>
      <c r="AJ830" s="962"/>
      <c r="AL830" s="1"/>
      <c r="AM830" s="1"/>
      <c r="AN830" s="1"/>
      <c r="AO830" s="1"/>
      <c r="AP830" s="1"/>
      <c r="AQ830" s="1"/>
      <c r="AR830" s="1"/>
      <c r="AS830" s="1"/>
      <c r="AT830" s="1"/>
      <c r="AV830" s="1"/>
      <c r="AW830" s="1"/>
      <c r="AX830" s="1"/>
      <c r="AY830" s="1"/>
      <c r="AZ830" s="203"/>
      <c r="BA830" s="203"/>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row>
    <row r="831" spans="1:185" ht="12.75" customHeight="1">
      <c r="C831" s="1045" t="s">
        <v>2557</v>
      </c>
      <c r="D831" s="961"/>
      <c r="E831" s="961"/>
      <c r="F831" s="961"/>
      <c r="G831" s="961"/>
      <c r="H831" s="961"/>
      <c r="I831" s="235"/>
      <c r="J831" s="235"/>
      <c r="K831" s="235"/>
      <c r="L831" s="251"/>
      <c r="M831" s="952"/>
      <c r="N831" s="921"/>
      <c r="O831" s="921"/>
      <c r="P831" s="943"/>
      <c r="Q831" s="952">
        <v>29</v>
      </c>
      <c r="R831" s="921"/>
      <c r="S831" s="921"/>
      <c r="T831" s="943"/>
      <c r="U831" s="952">
        <v>33</v>
      </c>
      <c r="V831" s="921"/>
      <c r="W831" s="921"/>
      <c r="X831" s="943"/>
      <c r="Y831" s="952">
        <v>37</v>
      </c>
      <c r="Z831" s="921"/>
      <c r="AA831" s="921"/>
      <c r="AB831" s="943"/>
      <c r="AC831" s="952"/>
      <c r="AD831" s="921"/>
      <c r="AE831" s="921"/>
      <c r="AF831" s="943"/>
      <c r="AG831" s="952"/>
      <c r="AH831" s="921"/>
      <c r="AI831" s="921"/>
      <c r="AJ831" s="943"/>
      <c r="AL831" s="1"/>
      <c r="AM831" s="1"/>
      <c r="AN831" s="1"/>
      <c r="AO831" s="1"/>
      <c r="AP831" s="1"/>
      <c r="AQ831" s="1"/>
      <c r="AR831" s="1"/>
      <c r="AS831" s="1"/>
      <c r="AT831" s="1"/>
      <c r="AV831" s="1"/>
      <c r="AW831" s="1"/>
      <c r="AX831" s="1"/>
      <c r="AY831" s="1"/>
      <c r="AZ831" s="203"/>
      <c r="BA831" s="203"/>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row>
    <row r="832" spans="1:185" ht="12.75" customHeight="1">
      <c r="C832" s="1013" t="s">
        <v>2561</v>
      </c>
      <c r="D832" s="921"/>
      <c r="E832" s="921"/>
      <c r="F832" s="921"/>
      <c r="G832" s="921"/>
      <c r="H832" s="921"/>
      <c r="I832" s="5"/>
      <c r="J832" s="5"/>
      <c r="K832" s="5"/>
      <c r="L832" s="321"/>
      <c r="M832" s="952"/>
      <c r="N832" s="921"/>
      <c r="O832" s="921"/>
      <c r="P832" s="943"/>
      <c r="Q832" s="952">
        <v>13</v>
      </c>
      <c r="R832" s="921"/>
      <c r="S832" s="921"/>
      <c r="T832" s="943"/>
      <c r="U832" s="952">
        <v>18</v>
      </c>
      <c r="V832" s="921"/>
      <c r="W832" s="921"/>
      <c r="X832" s="943"/>
      <c r="Y832" s="952">
        <v>29</v>
      </c>
      <c r="Z832" s="921"/>
      <c r="AA832" s="921"/>
      <c r="AB832" s="943"/>
      <c r="AC832" s="952"/>
      <c r="AD832" s="921"/>
      <c r="AE832" s="921"/>
      <c r="AF832" s="943"/>
      <c r="AG832" s="952"/>
      <c r="AH832" s="921"/>
      <c r="AI832" s="921"/>
      <c r="AJ832" s="943"/>
      <c r="AL832" s="1"/>
      <c r="AM832" s="1"/>
      <c r="AN832" s="1"/>
      <c r="AO832" s="1"/>
      <c r="AP832" s="1"/>
      <c r="AQ832" s="1"/>
      <c r="AR832" s="1"/>
      <c r="AS832" s="1"/>
      <c r="AT832" s="1"/>
      <c r="AV832" s="1"/>
      <c r="AW832" s="1"/>
      <c r="AX832" s="1"/>
      <c r="AY832" s="1"/>
      <c r="AZ832" s="203"/>
      <c r="BA832" s="203"/>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row>
    <row r="833" spans="1:185" ht="12.75" customHeight="1">
      <c r="C833" s="1013" t="s">
        <v>2563</v>
      </c>
      <c r="D833" s="921"/>
      <c r="E833" s="921"/>
      <c r="F833" s="921"/>
      <c r="G833" s="921"/>
      <c r="H833" s="921"/>
      <c r="I833" s="163"/>
      <c r="J833" s="163"/>
      <c r="K833" s="163"/>
      <c r="L833" s="786"/>
      <c r="M833" s="952"/>
      <c r="N833" s="921"/>
      <c r="O833" s="921"/>
      <c r="P833" s="943"/>
      <c r="Q833" s="952">
        <v>13</v>
      </c>
      <c r="R833" s="921"/>
      <c r="S833" s="921"/>
      <c r="T833" s="943"/>
      <c r="U833" s="952">
        <v>67</v>
      </c>
      <c r="V833" s="921"/>
      <c r="W833" s="921"/>
      <c r="X833" s="943"/>
      <c r="Y833" s="952">
        <v>86</v>
      </c>
      <c r="Z833" s="921"/>
      <c r="AA833" s="921"/>
      <c r="AB833" s="943"/>
      <c r="AC833" s="952"/>
      <c r="AD833" s="921"/>
      <c r="AE833" s="921"/>
      <c r="AF833" s="943"/>
      <c r="AG833" s="952"/>
      <c r="AH833" s="921"/>
      <c r="AI833" s="921"/>
      <c r="AJ833" s="943"/>
      <c r="AL833" s="1"/>
      <c r="AM833" s="1"/>
      <c r="AN833" s="1"/>
      <c r="AO833" s="1"/>
      <c r="AP833" s="1"/>
      <c r="AQ833" s="1"/>
      <c r="AR833" s="1"/>
      <c r="AS833" s="1"/>
      <c r="AT833" s="1"/>
      <c r="AV833" s="1"/>
      <c r="AW833" s="1"/>
      <c r="AX833" s="1"/>
      <c r="AY833" s="1"/>
      <c r="AZ833" s="203"/>
      <c r="BA833" s="203"/>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row>
    <row r="834" spans="1:185" ht="12.75" customHeight="1">
      <c r="C834" s="1013" t="s">
        <v>2565</v>
      </c>
      <c r="D834" s="921"/>
      <c r="E834" s="921"/>
      <c r="F834" s="921"/>
      <c r="G834" s="921"/>
      <c r="H834" s="921"/>
      <c r="I834" s="163"/>
      <c r="J834" s="163"/>
      <c r="K834" s="163"/>
      <c r="L834" s="786"/>
      <c r="M834" s="952"/>
      <c r="N834" s="921"/>
      <c r="O834" s="921"/>
      <c r="P834" s="943"/>
      <c r="Q834" s="952"/>
      <c r="R834" s="921"/>
      <c r="S834" s="921"/>
      <c r="T834" s="943"/>
      <c r="U834" s="952"/>
      <c r="V834" s="921"/>
      <c r="W834" s="921"/>
      <c r="X834" s="943"/>
      <c r="Y834" s="952"/>
      <c r="Z834" s="921"/>
      <c r="AA834" s="921"/>
      <c r="AB834" s="943"/>
      <c r="AC834" s="952"/>
      <c r="AD834" s="921"/>
      <c r="AE834" s="921"/>
      <c r="AF834" s="943"/>
      <c r="AG834" s="952"/>
      <c r="AH834" s="921"/>
      <c r="AI834" s="921"/>
      <c r="AJ834" s="943"/>
      <c r="AL834" s="1"/>
      <c r="AM834" s="1"/>
      <c r="AN834" s="1"/>
      <c r="AO834" s="1"/>
      <c r="AP834" s="1"/>
      <c r="AQ834" s="1"/>
      <c r="AR834" s="1"/>
      <c r="AS834" s="1"/>
      <c r="AT834" s="1"/>
      <c r="AV834" s="1"/>
      <c r="AW834" s="1"/>
      <c r="AX834" s="1"/>
      <c r="AY834" s="1"/>
      <c r="AZ834" s="203"/>
      <c r="BA834" s="203"/>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row>
    <row r="835" spans="1:185" ht="12.75" customHeight="1">
      <c r="C835" s="1013" t="s">
        <v>2566</v>
      </c>
      <c r="D835" s="921"/>
      <c r="E835" s="921"/>
      <c r="F835" s="921"/>
      <c r="G835" s="921"/>
      <c r="H835" s="921"/>
      <c r="I835" s="163"/>
      <c r="J835" s="163"/>
      <c r="K835" s="163"/>
      <c r="L835" s="786"/>
      <c r="M835" s="952"/>
      <c r="N835" s="921"/>
      <c r="O835" s="921"/>
      <c r="P835" s="943"/>
      <c r="Q835" s="952">
        <v>48</v>
      </c>
      <c r="R835" s="921"/>
      <c r="S835" s="921"/>
      <c r="T835" s="943"/>
      <c r="U835" s="952">
        <v>19</v>
      </c>
      <c r="V835" s="921"/>
      <c r="W835" s="921"/>
      <c r="X835" s="943"/>
      <c r="Y835" s="952">
        <v>26</v>
      </c>
      <c r="Z835" s="921"/>
      <c r="AA835" s="921"/>
      <c r="AB835" s="943"/>
      <c r="AC835" s="952"/>
      <c r="AD835" s="921"/>
      <c r="AE835" s="921"/>
      <c r="AF835" s="943"/>
      <c r="AG835" s="952"/>
      <c r="AH835" s="921"/>
      <c r="AI835" s="921"/>
      <c r="AJ835" s="943"/>
      <c r="AL835" s="1"/>
      <c r="AM835" s="1"/>
      <c r="AN835" s="1"/>
      <c r="AO835" s="1"/>
      <c r="AP835" s="1"/>
      <c r="AQ835" s="1"/>
      <c r="AR835" s="1"/>
      <c r="AS835" s="1"/>
      <c r="AT835" s="1"/>
      <c r="AV835" s="1"/>
      <c r="AW835" s="1"/>
      <c r="AX835" s="1"/>
      <c r="AY835" s="1"/>
      <c r="AZ835" s="203"/>
      <c r="BA835" s="203"/>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row>
    <row r="836" spans="1:185" ht="12.75" customHeight="1">
      <c r="C836" s="1013" t="s">
        <v>2568</v>
      </c>
      <c r="D836" s="921"/>
      <c r="E836" s="921"/>
      <c r="F836" s="921"/>
      <c r="G836" s="921"/>
      <c r="H836" s="921"/>
      <c r="I836" s="163"/>
      <c r="J836" s="163"/>
      <c r="K836" s="163"/>
      <c r="L836" s="786"/>
      <c r="M836" s="952"/>
      <c r="N836" s="921"/>
      <c r="O836" s="921"/>
      <c r="P836" s="943"/>
      <c r="Q836" s="952"/>
      <c r="R836" s="921"/>
      <c r="S836" s="921"/>
      <c r="T836" s="943"/>
      <c r="U836" s="952"/>
      <c r="V836" s="921"/>
      <c r="W836" s="921"/>
      <c r="X836" s="943"/>
      <c r="Y836" s="952"/>
      <c r="Z836" s="921"/>
      <c r="AA836" s="921"/>
      <c r="AB836" s="943"/>
      <c r="AC836" s="952"/>
      <c r="AD836" s="921"/>
      <c r="AE836" s="921"/>
      <c r="AF836" s="943"/>
      <c r="AG836" s="952"/>
      <c r="AH836" s="921"/>
      <c r="AI836" s="921"/>
      <c r="AJ836" s="943"/>
      <c r="AL836" s="1"/>
      <c r="AM836" s="1"/>
      <c r="AN836" s="1"/>
      <c r="AO836" s="1"/>
      <c r="AP836" s="1"/>
      <c r="AQ836" s="1"/>
      <c r="AR836" s="1"/>
      <c r="AS836" s="1"/>
      <c r="AT836" s="1"/>
      <c r="AV836" s="1"/>
      <c r="AW836" s="1"/>
      <c r="AX836" s="1"/>
      <c r="AY836" s="1"/>
      <c r="AZ836" s="203"/>
      <c r="BA836" s="203"/>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row>
    <row r="837" spans="1:185" ht="12.75" customHeight="1">
      <c r="C837" s="277" t="s">
        <v>2569</v>
      </c>
      <c r="D837" s="163"/>
      <c r="E837" s="163"/>
      <c r="F837" s="998" t="s">
        <v>1705</v>
      </c>
      <c r="G837" s="921"/>
      <c r="H837" s="921"/>
      <c r="I837" s="921"/>
      <c r="J837" s="921"/>
      <c r="K837" s="921"/>
      <c r="L837" s="971"/>
      <c r="M837" s="952"/>
      <c r="N837" s="921"/>
      <c r="O837" s="921"/>
      <c r="P837" s="943"/>
      <c r="Q837" s="952"/>
      <c r="R837" s="921"/>
      <c r="S837" s="921"/>
      <c r="T837" s="943"/>
      <c r="U837" s="952"/>
      <c r="V837" s="921"/>
      <c r="W837" s="921"/>
      <c r="X837" s="943"/>
      <c r="Y837" s="952"/>
      <c r="Z837" s="921"/>
      <c r="AA837" s="921"/>
      <c r="AB837" s="943"/>
      <c r="AC837" s="952"/>
      <c r="AD837" s="921"/>
      <c r="AE837" s="921"/>
      <c r="AF837" s="943"/>
      <c r="AG837" s="952"/>
      <c r="AH837" s="921"/>
      <c r="AI837" s="921"/>
      <c r="AJ837" s="943"/>
      <c r="AL837" s="1"/>
      <c r="AM837" s="1"/>
      <c r="AN837" s="1"/>
      <c r="AO837" s="1"/>
      <c r="AP837" s="1"/>
      <c r="AQ837" s="1"/>
      <c r="AR837" s="1"/>
      <c r="AS837" s="1"/>
      <c r="AT837" s="1"/>
      <c r="AV837" s="1"/>
      <c r="AW837" s="1"/>
      <c r="AX837" s="1"/>
      <c r="AY837" s="1"/>
      <c r="AZ837" s="203"/>
      <c r="BA837" s="203"/>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row>
    <row r="838" spans="1:185" ht="12.75" customHeight="1">
      <c r="C838" s="1004" t="s">
        <v>1574</v>
      </c>
      <c r="D838" s="921"/>
      <c r="E838" s="921"/>
      <c r="F838" s="921"/>
      <c r="G838" s="921"/>
      <c r="H838" s="921"/>
      <c r="I838" s="921"/>
      <c r="J838" s="921"/>
      <c r="K838" s="921"/>
      <c r="L838" s="943"/>
      <c r="M838" s="953">
        <f>SUM(M831:P837)</f>
        <v>0</v>
      </c>
      <c r="N838" s="921"/>
      <c r="O838" s="921"/>
      <c r="P838" s="943"/>
      <c r="Q838" s="953">
        <f>SUM(Q831:T837)</f>
        <v>103</v>
      </c>
      <c r="R838" s="921"/>
      <c r="S838" s="921"/>
      <c r="T838" s="943"/>
      <c r="U838" s="953">
        <f>SUM(U831:X837)</f>
        <v>137</v>
      </c>
      <c r="V838" s="921"/>
      <c r="W838" s="921"/>
      <c r="X838" s="943"/>
      <c r="Y838" s="953">
        <f>SUM(Y831:AB837)</f>
        <v>178</v>
      </c>
      <c r="Z838" s="921"/>
      <c r="AA838" s="921"/>
      <c r="AB838" s="943"/>
      <c r="AC838" s="953">
        <f>SUM(AC831:AF837)</f>
        <v>0</v>
      </c>
      <c r="AD838" s="921"/>
      <c r="AE838" s="921"/>
      <c r="AF838" s="943"/>
      <c r="AG838" s="953">
        <f>SUM(AG831:AJ837)</f>
        <v>0</v>
      </c>
      <c r="AH838" s="921"/>
      <c r="AI838" s="921"/>
      <c r="AJ838" s="943"/>
      <c r="AL838" s="1"/>
      <c r="AM838" s="1"/>
      <c r="AN838" s="1"/>
      <c r="AO838" s="1"/>
      <c r="AP838" s="1"/>
      <c r="AQ838" s="1"/>
      <c r="AR838" s="1"/>
      <c r="AS838" s="1"/>
      <c r="AT838" s="1"/>
      <c r="AV838" s="1"/>
      <c r="AW838" s="1"/>
      <c r="AX838" s="1"/>
      <c r="AY838" s="1"/>
      <c r="AZ838" s="203"/>
      <c r="BA838" s="203"/>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row>
    <row r="839" spans="1:185" ht="12.75" customHeight="1">
      <c r="C839" s="62" t="s">
        <v>2573</v>
      </c>
      <c r="D839" s="237"/>
      <c r="E839" s="237"/>
      <c r="F839" s="237"/>
      <c r="G839" s="237"/>
      <c r="H839" s="237"/>
      <c r="I839" s="237"/>
      <c r="J839" s="237"/>
      <c r="K839" s="237"/>
      <c r="L839" s="237"/>
      <c r="M839" s="226"/>
      <c r="N839" s="226"/>
      <c r="O839" s="226"/>
      <c r="P839" s="226"/>
      <c r="Q839" s="226"/>
      <c r="R839" s="226"/>
      <c r="S839" s="226"/>
      <c r="T839" s="226"/>
      <c r="U839" s="226"/>
      <c r="V839" s="226"/>
      <c r="W839" s="226"/>
      <c r="X839" s="226"/>
      <c r="Y839" s="226"/>
      <c r="Z839" s="226"/>
      <c r="AA839" s="226"/>
      <c r="AB839" s="226"/>
      <c r="AC839" s="226"/>
      <c r="AD839" s="226"/>
      <c r="AE839" s="226"/>
      <c r="AF839" s="226"/>
      <c r="AG839" s="226"/>
      <c r="AH839" s="226"/>
      <c r="AI839" s="226"/>
      <c r="AJ839" s="226"/>
      <c r="AL839" s="1"/>
      <c r="AM839" s="1"/>
      <c r="AN839" s="1"/>
      <c r="AO839" s="1"/>
      <c r="AP839" s="1"/>
      <c r="AQ839" s="1"/>
      <c r="AR839" s="1"/>
      <c r="AS839" s="1"/>
      <c r="AT839" s="1"/>
      <c r="AV839" s="1"/>
      <c r="AW839" s="1"/>
      <c r="AX839" s="1"/>
      <c r="AY839" s="1"/>
      <c r="AZ839" s="203"/>
      <c r="BA839" s="203"/>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row>
    <row r="840" spans="1:185" ht="12.75" customHeight="1">
      <c r="C840" s="62" t="s">
        <v>2575</v>
      </c>
      <c r="D840" s="237"/>
      <c r="E840" s="237"/>
      <c r="F840" s="237"/>
      <c r="G840" s="237"/>
      <c r="H840" s="237"/>
      <c r="I840" s="237"/>
      <c r="J840" s="237"/>
      <c r="K840" s="237"/>
      <c r="L840" s="237"/>
      <c r="M840" s="226"/>
      <c r="N840" s="226"/>
      <c r="O840" s="226"/>
      <c r="P840" s="226"/>
      <c r="Q840" s="226"/>
      <c r="R840" s="226"/>
      <c r="S840" s="226"/>
      <c r="T840" s="226"/>
      <c r="U840" s="226"/>
      <c r="V840" s="226"/>
      <c r="W840" s="226"/>
      <c r="X840" s="226"/>
      <c r="Y840" s="226"/>
      <c r="Z840" s="226"/>
      <c r="AA840" s="226"/>
      <c r="AB840" s="226"/>
      <c r="AC840" s="226"/>
      <c r="AD840" s="226"/>
      <c r="AE840" s="226"/>
      <c r="AF840" s="226"/>
      <c r="AG840" s="226"/>
      <c r="AH840" s="226"/>
      <c r="AI840" s="226"/>
      <c r="AJ840" s="226"/>
      <c r="AL840" s="1"/>
      <c r="AM840" s="1"/>
      <c r="AN840" s="1"/>
      <c r="AO840" s="1"/>
      <c r="AP840" s="1"/>
      <c r="AQ840" s="1"/>
      <c r="AR840" s="1"/>
      <c r="AS840" s="1"/>
      <c r="AT840" s="1"/>
      <c r="AZ840" s="203"/>
      <c r="BA840" s="203"/>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row>
    <row r="841" spans="1:185" ht="12.75" customHeight="1">
      <c r="C841" s="237"/>
      <c r="D841" s="237"/>
      <c r="E841" s="237"/>
      <c r="F841" s="237"/>
      <c r="G841" s="237"/>
      <c r="H841" s="237"/>
      <c r="I841" s="237"/>
      <c r="J841" s="237"/>
      <c r="K841" s="237"/>
      <c r="L841" s="237"/>
      <c r="M841" s="226"/>
      <c r="N841" s="226"/>
      <c r="O841" s="226"/>
      <c r="P841" s="226"/>
      <c r="Q841" s="226"/>
      <c r="R841" s="226"/>
      <c r="S841" s="226"/>
      <c r="T841" s="226"/>
      <c r="U841" s="226"/>
      <c r="V841" s="226"/>
      <c r="W841" s="226"/>
      <c r="X841" s="226"/>
      <c r="Y841" s="226"/>
      <c r="Z841" s="226"/>
      <c r="AA841" s="226"/>
      <c r="AB841" s="226"/>
      <c r="AC841" s="226"/>
      <c r="AD841" s="226"/>
      <c r="AE841" s="226"/>
      <c r="AF841" s="226"/>
      <c r="AG841" s="226"/>
      <c r="AH841" s="226"/>
      <c r="AI841" s="226"/>
      <c r="AJ841" s="226"/>
      <c r="AL841" s="1"/>
      <c r="AM841" s="1"/>
      <c r="AN841" s="1"/>
      <c r="AO841" s="1"/>
      <c r="AP841" s="1"/>
      <c r="AQ841" s="1"/>
      <c r="AR841" s="1"/>
      <c r="AS841" s="1"/>
      <c r="AT841" s="1"/>
      <c r="AZ841" s="203"/>
      <c r="BA841" s="203"/>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row>
    <row r="842" spans="1:185" ht="12.75" customHeight="1">
      <c r="C842" s="8" t="s">
        <v>2577</v>
      </c>
      <c r="R842" s="17"/>
      <c r="S842" s="17"/>
      <c r="T842" s="17"/>
      <c r="U842" s="17"/>
      <c r="V842" s="17"/>
      <c r="W842" s="17"/>
      <c r="X842" s="17"/>
      <c r="Y842" s="17"/>
      <c r="Z842" s="17"/>
      <c r="AA842" s="17"/>
      <c r="AB842" s="17"/>
      <c r="AC842" s="17"/>
      <c r="AD842" s="17"/>
      <c r="AE842" s="17"/>
      <c r="AF842" s="17"/>
      <c r="AG842" s="17"/>
      <c r="AH842" s="17"/>
      <c r="AI842" s="17"/>
      <c r="AJ842" s="17"/>
      <c r="AL842" s="1"/>
      <c r="AM842" s="1"/>
      <c r="AN842" s="1"/>
      <c r="AO842" s="1"/>
      <c r="AP842" s="1"/>
      <c r="AQ842" s="1"/>
      <c r="AR842" s="1"/>
      <c r="AS842" s="1"/>
      <c r="AT842" s="1"/>
      <c r="AZ842" s="203"/>
      <c r="BA842" s="203"/>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row>
    <row r="843" spans="1:185" ht="12.75" customHeight="1">
      <c r="C843" s="1005" t="s">
        <v>841</v>
      </c>
      <c r="D843" s="921"/>
      <c r="E843" s="921"/>
      <c r="F843" s="921"/>
      <c r="G843" s="921"/>
      <c r="H843" s="921"/>
      <c r="I843" s="921"/>
      <c r="J843" s="921"/>
      <c r="K843" s="921"/>
      <c r="L843" s="921"/>
      <c r="M843" s="921"/>
      <c r="N843" s="921"/>
      <c r="O843" s="921"/>
      <c r="P843" s="921"/>
      <c r="Q843" s="921"/>
      <c r="R843" s="921"/>
      <c r="S843" s="921"/>
      <c r="T843" s="921"/>
      <c r="U843" s="921"/>
      <c r="V843" s="921"/>
      <c r="W843" s="921"/>
      <c r="X843" s="921"/>
      <c r="Y843" s="921"/>
      <c r="Z843" s="921"/>
      <c r="AA843" s="921"/>
      <c r="AB843" s="921"/>
      <c r="AC843" s="921"/>
      <c r="AD843" s="921"/>
      <c r="AE843" s="921"/>
      <c r="AF843" s="921"/>
      <c r="AG843" s="921"/>
      <c r="AH843" s="921"/>
      <c r="AI843" s="921"/>
      <c r="AJ843" s="943"/>
      <c r="AL843" s="1"/>
      <c r="AM843" s="1"/>
      <c r="AN843" s="1"/>
      <c r="AO843" s="1"/>
      <c r="AP843" s="1"/>
      <c r="AQ843" s="1"/>
      <c r="AR843" s="1"/>
      <c r="AS843" s="1"/>
      <c r="AT843" s="1"/>
      <c r="AZ843" s="203"/>
      <c r="BA843" s="203"/>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row>
    <row r="844" spans="1:185" ht="12.75" customHeight="1">
      <c r="B844" s="1"/>
      <c r="C844" s="1" t="s">
        <v>2579</v>
      </c>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L844" s="1"/>
      <c r="AM844" s="1"/>
      <c r="AN844" s="1"/>
      <c r="AO844" s="1"/>
      <c r="AP844" s="1"/>
      <c r="AQ844" s="1"/>
      <c r="AR844" s="1"/>
      <c r="AS844" s="1"/>
      <c r="AT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row>
    <row r="845" spans="1:185" ht="12.75" customHeight="1">
      <c r="C845" s="8"/>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row>
    <row r="846" spans="1:185" ht="12.75" customHeight="1">
      <c r="A846" s="8" t="s">
        <v>1315</v>
      </c>
      <c r="C846" s="8" t="s">
        <v>2580</v>
      </c>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row>
    <row r="847" spans="1:185" ht="12.75" customHeight="1">
      <c r="AZ847" s="1"/>
      <c r="BA847" s="1"/>
      <c r="BB847" s="1"/>
      <c r="BC847" s="1"/>
      <c r="BD847" s="1"/>
      <c r="BE847" s="1"/>
      <c r="BF847" s="1"/>
      <c r="BG847" s="1"/>
      <c r="BH847" s="1"/>
      <c r="BI847" s="1003"/>
      <c r="BJ847" s="893"/>
      <c r="BK847" s="893"/>
      <c r="BL847" s="893"/>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row>
    <row r="848" spans="1:185" ht="12.75" customHeight="1">
      <c r="C848" s="8" t="s">
        <v>2582</v>
      </c>
      <c r="J848" s="272" t="s">
        <v>2583</v>
      </c>
      <c r="K848" s="5"/>
      <c r="L848" s="5"/>
      <c r="M848" s="5"/>
      <c r="N848" s="5"/>
      <c r="O848" s="5"/>
      <c r="P848" s="5"/>
      <c r="Q848" s="5"/>
      <c r="R848" s="5"/>
      <c r="S848" s="5"/>
      <c r="T848" s="5"/>
      <c r="U848" s="5"/>
      <c r="V848" s="321"/>
      <c r="W848" s="978"/>
      <c r="X848" s="921"/>
      <c r="Y848" s="921"/>
      <c r="Z848" s="921"/>
      <c r="AA848" s="921"/>
      <c r="AB848" s="921"/>
      <c r="AC848" s="943"/>
      <c r="AZ848" s="203"/>
      <c r="BA848" s="203"/>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row>
    <row r="849" spans="3:185" ht="12.75" customHeight="1">
      <c r="J849" s="272" t="s">
        <v>2584</v>
      </c>
      <c r="K849" s="5"/>
      <c r="L849" s="5"/>
      <c r="M849" s="5"/>
      <c r="N849" s="5"/>
      <c r="O849" s="5"/>
      <c r="P849" s="5"/>
      <c r="Q849" s="5"/>
      <c r="R849" s="5"/>
      <c r="S849" s="5"/>
      <c r="T849" s="5"/>
      <c r="U849" s="5"/>
      <c r="V849" s="321"/>
      <c r="W849" s="978">
        <v>15000</v>
      </c>
      <c r="X849" s="921"/>
      <c r="Y849" s="921"/>
      <c r="Z849" s="921"/>
      <c r="AA849" s="921"/>
      <c r="AB849" s="921"/>
      <c r="AC849" s="943"/>
      <c r="AZ849" s="203"/>
      <c r="BA849" s="203"/>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row>
    <row r="850" spans="3:185" ht="12.75" customHeight="1">
      <c r="J850" s="272" t="s">
        <v>2588</v>
      </c>
      <c r="K850" s="5"/>
      <c r="L850" s="5"/>
      <c r="M850" s="5"/>
      <c r="N850" s="5"/>
      <c r="O850" s="5"/>
      <c r="P850" s="5"/>
      <c r="Q850" s="5"/>
      <c r="R850" s="5"/>
      <c r="S850" s="5"/>
      <c r="T850" s="5"/>
      <c r="U850" s="5"/>
      <c r="V850" s="321"/>
      <c r="W850" s="978">
        <v>10000</v>
      </c>
      <c r="X850" s="921"/>
      <c r="Y850" s="921"/>
      <c r="Z850" s="921"/>
      <c r="AA850" s="921"/>
      <c r="AB850" s="921"/>
      <c r="AC850" s="943"/>
      <c r="AZ850" s="203"/>
      <c r="BA850" s="203"/>
      <c r="BB850" s="1"/>
      <c r="BC850" s="1"/>
      <c r="BD850" s="1"/>
      <c r="BE850" s="1"/>
      <c r="BF850" s="1"/>
      <c r="BG850" s="1"/>
      <c r="BH850" s="1"/>
      <c r="BI850" s="1"/>
      <c r="BJ850" s="1"/>
      <c r="BK850" s="1"/>
      <c r="BL850" s="1"/>
    </row>
    <row r="851" spans="3:185" ht="12.75" customHeight="1">
      <c r="J851" s="272" t="s">
        <v>2589</v>
      </c>
      <c r="K851" s="5"/>
      <c r="L851" s="5"/>
      <c r="M851" s="5"/>
      <c r="N851" s="5"/>
      <c r="O851" s="5"/>
      <c r="P851" s="5"/>
      <c r="Q851" s="5"/>
      <c r="R851" s="5"/>
      <c r="S851" s="5"/>
      <c r="T851" s="5"/>
      <c r="U851" s="5"/>
      <c r="V851" s="321"/>
      <c r="W851" s="978"/>
      <c r="X851" s="921"/>
      <c r="Y851" s="921"/>
      <c r="Z851" s="921"/>
      <c r="AA851" s="921"/>
      <c r="AB851" s="921"/>
      <c r="AC851" s="943"/>
      <c r="AZ851" s="203"/>
      <c r="BA851" s="203"/>
      <c r="BB851" s="1"/>
      <c r="BC851" s="1"/>
      <c r="BD851" s="1"/>
      <c r="BE851" s="1"/>
      <c r="BF851" s="1"/>
      <c r="BG851" s="1"/>
      <c r="BH851" s="1"/>
      <c r="BI851" s="1"/>
      <c r="BJ851" s="1"/>
      <c r="BK851" s="1"/>
      <c r="BL851" s="1"/>
    </row>
    <row r="852" spans="3:185" ht="12.75" customHeight="1">
      <c r="J852" s="272" t="s">
        <v>289</v>
      </c>
      <c r="K852" s="5"/>
      <c r="L852" s="5"/>
      <c r="M852" s="998" t="s">
        <v>2590</v>
      </c>
      <c r="N852" s="921"/>
      <c r="O852" s="921"/>
      <c r="P852" s="921"/>
      <c r="Q852" s="921"/>
      <c r="R852" s="921"/>
      <c r="S852" s="921"/>
      <c r="T852" s="921"/>
      <c r="U852" s="921"/>
      <c r="V852" s="943"/>
      <c r="W852" s="978">
        <v>56125</v>
      </c>
      <c r="X852" s="921"/>
      <c r="Y852" s="921"/>
      <c r="Z852" s="921"/>
      <c r="AA852" s="921"/>
      <c r="AB852" s="921"/>
      <c r="AC852" s="943"/>
      <c r="AZ852" s="203"/>
      <c r="BA852" s="203"/>
      <c r="BB852" s="1"/>
      <c r="BC852" s="1"/>
      <c r="BD852" s="1"/>
      <c r="BE852" s="1"/>
      <c r="BF852" s="1"/>
      <c r="BG852" s="1"/>
      <c r="BH852" s="1"/>
      <c r="BI852" s="1"/>
      <c r="BJ852" s="1"/>
      <c r="BK852" s="1"/>
      <c r="BL852" s="1"/>
    </row>
    <row r="853" spans="3:185" ht="12.75" customHeight="1">
      <c r="J853" s="272"/>
      <c r="K853" s="5"/>
      <c r="L853" s="5"/>
      <c r="M853" s="5"/>
      <c r="N853" s="5"/>
      <c r="O853" s="5"/>
      <c r="P853" s="5"/>
      <c r="Q853" s="5"/>
      <c r="R853" s="5"/>
      <c r="S853" s="5"/>
      <c r="T853" s="5"/>
      <c r="U853" s="5"/>
      <c r="V853" s="372" t="s">
        <v>2591</v>
      </c>
      <c r="W853" s="1000">
        <f>SUM(W848:W852)</f>
        <v>81125</v>
      </c>
      <c r="X853" s="921"/>
      <c r="Y853" s="921"/>
      <c r="Z853" s="921"/>
      <c r="AA853" s="921"/>
      <c r="AB853" s="921"/>
      <c r="AC853" s="943"/>
      <c r="AZ853" s="203"/>
      <c r="BA853" s="203"/>
      <c r="BB853" s="1"/>
      <c r="BC853" s="1"/>
      <c r="BD853" s="1"/>
      <c r="BE853" s="1"/>
      <c r="BF853" s="1"/>
      <c r="BG853" s="1"/>
      <c r="BH853" s="1"/>
      <c r="BI853" s="1"/>
      <c r="BJ853" s="1"/>
      <c r="BK853" s="1"/>
      <c r="BL853" s="1"/>
    </row>
    <row r="854" spans="3:185" ht="12.75" customHeight="1">
      <c r="AZ854" s="203"/>
      <c r="BA854" s="203"/>
      <c r="BB854" s="1"/>
      <c r="BC854" s="1"/>
      <c r="BD854" s="1"/>
      <c r="BE854" s="1"/>
      <c r="BF854" s="1"/>
      <c r="BG854" s="981"/>
      <c r="BH854" s="893"/>
      <c r="BI854" s="893"/>
      <c r="BJ854" s="893"/>
      <c r="BK854" s="893"/>
      <c r="BL854" s="893"/>
    </row>
    <row r="855" spans="3:185" ht="12.75" customHeight="1">
      <c r="C855" s="8" t="s">
        <v>2510</v>
      </c>
      <c r="J855" s="1004" t="s">
        <v>2592</v>
      </c>
      <c r="K855" s="921"/>
      <c r="L855" s="921"/>
      <c r="M855" s="921"/>
      <c r="N855" s="921"/>
      <c r="O855" s="921"/>
      <c r="P855" s="921"/>
      <c r="Q855" s="921"/>
      <c r="R855" s="921"/>
      <c r="S855" s="921"/>
      <c r="T855" s="921"/>
      <c r="U855" s="921"/>
      <c r="V855" s="943"/>
      <c r="W855" s="978">
        <v>115876</v>
      </c>
      <c r="X855" s="921"/>
      <c r="Y855" s="921"/>
      <c r="Z855" s="921"/>
      <c r="AA855" s="921"/>
      <c r="AB855" s="921"/>
      <c r="AC855" s="943"/>
      <c r="AD855" s="803"/>
      <c r="AZ855" s="203"/>
      <c r="BA855" s="203"/>
      <c r="BB855" s="1"/>
      <c r="BC855" s="1"/>
    </row>
    <row r="856" spans="3:185" ht="12.75" customHeight="1">
      <c r="AD856" s="803"/>
      <c r="AZ856" s="203"/>
      <c r="BA856" s="203"/>
      <c r="BB856" s="1"/>
      <c r="BC856" s="1"/>
    </row>
    <row r="857" spans="3:185" ht="12.75" customHeight="1">
      <c r="C857" s="8" t="s">
        <v>286</v>
      </c>
      <c r="J857" s="272" t="s">
        <v>2596</v>
      </c>
      <c r="K857" s="5"/>
      <c r="L857" s="5"/>
      <c r="M857" s="5"/>
      <c r="N857" s="5"/>
      <c r="O857" s="5"/>
      <c r="P857" s="5"/>
      <c r="Q857" s="5"/>
      <c r="R857" s="5"/>
      <c r="S857" s="5"/>
      <c r="T857" s="5"/>
      <c r="U857" s="5"/>
      <c r="V857" s="321"/>
      <c r="W857" s="997"/>
      <c r="X857" s="921"/>
      <c r="Y857" s="921"/>
      <c r="Z857" s="921"/>
      <c r="AA857" s="921"/>
      <c r="AB857" s="921"/>
      <c r="AC857" s="943"/>
      <c r="AZ857" s="1006"/>
      <c r="BA857" s="893"/>
      <c r="BB857" s="1"/>
      <c r="BC857" s="1"/>
    </row>
    <row r="858" spans="3:185" ht="12.75" customHeight="1">
      <c r="J858" s="272" t="s">
        <v>2597</v>
      </c>
      <c r="K858" s="5"/>
      <c r="L858" s="5"/>
      <c r="M858" s="5"/>
      <c r="N858" s="5"/>
      <c r="O858" s="5"/>
      <c r="P858" s="5"/>
      <c r="Q858" s="5"/>
      <c r="R858" s="5"/>
      <c r="S858" s="5"/>
      <c r="T858" s="5"/>
      <c r="U858" s="5"/>
      <c r="V858" s="321"/>
      <c r="W858" s="997">
        <v>5480</v>
      </c>
      <c r="X858" s="921"/>
      <c r="Y858" s="921"/>
      <c r="Z858" s="921"/>
      <c r="AA858" s="921"/>
      <c r="AB858" s="921"/>
      <c r="AC858" s="943"/>
      <c r="AZ858" s="203"/>
      <c r="BA858" s="203"/>
      <c r="BB858" s="1"/>
      <c r="BC858" s="1"/>
    </row>
    <row r="859" spans="3:185" ht="12.75" customHeight="1">
      <c r="J859" s="272" t="s">
        <v>2566</v>
      </c>
      <c r="K859" s="5"/>
      <c r="L859" s="5"/>
      <c r="M859" s="5"/>
      <c r="N859" s="5"/>
      <c r="O859" s="5"/>
      <c r="P859" s="5"/>
      <c r="Q859" s="5"/>
      <c r="R859" s="5"/>
      <c r="S859" s="5"/>
      <c r="T859" s="5"/>
      <c r="U859" s="5"/>
      <c r="V859" s="321"/>
      <c r="W859" s="997">
        <v>6412</v>
      </c>
      <c r="X859" s="921"/>
      <c r="Y859" s="921"/>
      <c r="Z859" s="921"/>
      <c r="AA859" s="921"/>
      <c r="AB859" s="921"/>
      <c r="AC859" s="943"/>
      <c r="AZ859" s="203"/>
      <c r="BA859" s="203"/>
      <c r="BB859" s="1"/>
      <c r="BC859" s="1"/>
    </row>
    <row r="860" spans="3:185" ht="12.75" customHeight="1">
      <c r="J860" s="806" t="s">
        <v>2598</v>
      </c>
      <c r="K860" s="5"/>
      <c r="L860" s="5"/>
      <c r="M860" s="5"/>
      <c r="N860" s="5"/>
      <c r="O860" s="5"/>
      <c r="P860" s="5"/>
      <c r="Q860" s="5"/>
      <c r="R860" s="5"/>
      <c r="S860" s="5"/>
      <c r="T860" s="5"/>
      <c r="U860" s="5"/>
      <c r="V860" s="321"/>
      <c r="W860" s="997">
        <v>279999</v>
      </c>
      <c r="X860" s="921"/>
      <c r="Y860" s="921"/>
      <c r="Z860" s="921"/>
      <c r="AA860" s="921"/>
      <c r="AB860" s="921"/>
      <c r="AC860" s="943"/>
      <c r="AZ860" s="1"/>
      <c r="BA860" s="1"/>
      <c r="BB860" s="1"/>
      <c r="BC860" s="1"/>
    </row>
    <row r="861" spans="3:185" ht="12.75" customHeight="1">
      <c r="J861" s="807"/>
      <c r="K861" s="235"/>
      <c r="L861" s="235"/>
      <c r="M861" s="235"/>
      <c r="N861" s="235"/>
      <c r="O861" s="235"/>
      <c r="P861" s="235"/>
      <c r="Q861" s="235"/>
      <c r="R861" s="235"/>
      <c r="S861" s="235"/>
      <c r="T861" s="235"/>
      <c r="U861" s="235"/>
      <c r="V861" s="372" t="s">
        <v>2599</v>
      </c>
      <c r="W861" s="999">
        <f>SUM(W857:W860)</f>
        <v>291891</v>
      </c>
      <c r="X861" s="921"/>
      <c r="Y861" s="921"/>
      <c r="Z861" s="921"/>
      <c r="AA861" s="921"/>
      <c r="AB861" s="921"/>
      <c r="AC861" s="943"/>
      <c r="AZ861" s="1"/>
      <c r="BA861" s="1"/>
      <c r="BB861" s="1"/>
      <c r="BC861" s="1"/>
    </row>
    <row r="862" spans="3:185" ht="12.75" customHeight="1">
      <c r="AZ862" s="1"/>
      <c r="BA862" s="1"/>
      <c r="BB862" s="1"/>
      <c r="BC862" s="1"/>
    </row>
    <row r="863" spans="3:185" ht="12.75" customHeight="1">
      <c r="C863" s="8" t="s">
        <v>2600</v>
      </c>
      <c r="J863" s="272" t="s">
        <v>2601</v>
      </c>
      <c r="K863" s="5"/>
      <c r="L863" s="5"/>
      <c r="M863" s="5"/>
      <c r="N863" s="5"/>
      <c r="O863" s="5"/>
      <c r="P863" s="5"/>
      <c r="Q863" s="5"/>
      <c r="R863" s="5"/>
      <c r="S863" s="5"/>
      <c r="T863" s="5"/>
      <c r="U863" s="5"/>
      <c r="V863" s="321"/>
      <c r="W863" s="997">
        <v>100000</v>
      </c>
      <c r="X863" s="921"/>
      <c r="Y863" s="921"/>
      <c r="Z863" s="921"/>
      <c r="AA863" s="921"/>
      <c r="AB863" s="921"/>
      <c r="AC863" s="943"/>
      <c r="AD863" s="27"/>
      <c r="AZ863" s="1"/>
      <c r="BA863" s="1"/>
      <c r="BB863" s="1"/>
      <c r="BC863" s="1"/>
    </row>
    <row r="864" spans="3:185" ht="12.75" customHeight="1">
      <c r="C864" s="8" t="s">
        <v>2602</v>
      </c>
      <c r="J864" s="272" t="s">
        <v>2603</v>
      </c>
      <c r="K864" s="5"/>
      <c r="L864" s="5"/>
      <c r="M864" s="5"/>
      <c r="N864" s="5"/>
      <c r="O864" s="5"/>
      <c r="P864" s="5"/>
      <c r="Q864" s="5"/>
      <c r="R864" s="5"/>
      <c r="S864" s="5"/>
      <c r="T864" s="949">
        <v>3</v>
      </c>
      <c r="U864" s="921"/>
      <c r="V864" s="943"/>
      <c r="W864" s="325"/>
      <c r="X864" s="808"/>
      <c r="Y864" s="808"/>
      <c r="Z864" s="808"/>
      <c r="AA864" s="808"/>
      <c r="AB864" s="808"/>
      <c r="AC864" s="809"/>
      <c r="AD864" s="27"/>
      <c r="AZ864" s="1"/>
      <c r="BA864" s="1"/>
      <c r="BB864" s="1"/>
      <c r="BC864" s="1"/>
    </row>
    <row r="865" spans="3:55" ht="12.75" customHeight="1">
      <c r="C865" s="8"/>
      <c r="J865" s="272" t="s">
        <v>2604</v>
      </c>
      <c r="K865" s="5"/>
      <c r="L865" s="5"/>
      <c r="M865" s="5"/>
      <c r="N865" s="5"/>
      <c r="O865" s="5"/>
      <c r="P865" s="5"/>
      <c r="Q865" s="5"/>
      <c r="R865" s="5"/>
      <c r="S865" s="5"/>
      <c r="T865" s="5"/>
      <c r="U865" s="5"/>
      <c r="V865" s="321"/>
      <c r="W865" s="997">
        <v>100000</v>
      </c>
      <c r="X865" s="921"/>
      <c r="Y865" s="921"/>
      <c r="Z865" s="921"/>
      <c r="AA865" s="921"/>
      <c r="AB865" s="921"/>
      <c r="AC865" s="943"/>
      <c r="AD865" s="803"/>
      <c r="AZ865" s="1"/>
      <c r="BA865" s="1"/>
      <c r="BB865" s="1"/>
      <c r="BC865" s="1"/>
    </row>
    <row r="866" spans="3:55" ht="12.75" customHeight="1">
      <c r="C866" s="8"/>
      <c r="J866" s="272" t="s">
        <v>2605</v>
      </c>
      <c r="K866" s="5"/>
      <c r="L866" s="5"/>
      <c r="M866" s="5"/>
      <c r="N866" s="5"/>
      <c r="O866" s="5"/>
      <c r="P866" s="5"/>
      <c r="Q866" s="5"/>
      <c r="R866" s="5"/>
      <c r="S866" s="5"/>
      <c r="T866" s="949"/>
      <c r="U866" s="921"/>
      <c r="V866" s="943"/>
      <c r="W866" s="325"/>
      <c r="X866" s="808"/>
      <c r="Y866" s="808"/>
      <c r="Z866" s="808"/>
      <c r="AA866" s="808"/>
      <c r="AB866" s="808"/>
      <c r="AC866" s="809"/>
      <c r="AD866" s="803"/>
      <c r="AZ866" s="1"/>
      <c r="BA866" s="1"/>
      <c r="BB866" s="1"/>
      <c r="BC866" s="1"/>
    </row>
    <row r="867" spans="3:55" ht="12.75" customHeight="1">
      <c r="J867" s="272" t="s">
        <v>289</v>
      </c>
      <c r="K867" s="5"/>
      <c r="L867" s="5"/>
      <c r="M867" s="998" t="s">
        <v>2821</v>
      </c>
      <c r="N867" s="921"/>
      <c r="O867" s="921"/>
      <c r="P867" s="921"/>
      <c r="Q867" s="921"/>
      <c r="R867" s="921"/>
      <c r="S867" s="921"/>
      <c r="T867" s="921"/>
      <c r="U867" s="921"/>
      <c r="V867" s="943"/>
      <c r="W867" s="997">
        <v>81745</v>
      </c>
      <c r="X867" s="921"/>
      <c r="Y867" s="921"/>
      <c r="Z867" s="921"/>
      <c r="AA867" s="921"/>
      <c r="AB867" s="921"/>
      <c r="AC867" s="943"/>
      <c r="AD867" s="27"/>
      <c r="AU867" s="1"/>
      <c r="AZ867" s="1"/>
      <c r="BA867" s="1"/>
      <c r="BB867" s="1"/>
      <c r="BC867" s="1"/>
    </row>
    <row r="868" spans="3:55" ht="12.75" customHeight="1">
      <c r="J868" s="272"/>
      <c r="K868" s="5"/>
      <c r="L868" s="5"/>
      <c r="M868" s="5"/>
      <c r="N868" s="5"/>
      <c r="O868" s="5"/>
      <c r="P868" s="5"/>
      <c r="Q868" s="5"/>
      <c r="R868" s="5"/>
      <c r="S868" s="5"/>
      <c r="T868" s="5"/>
      <c r="U868" s="5"/>
      <c r="V868" s="372" t="s">
        <v>2607</v>
      </c>
      <c r="W868" s="999">
        <f>SUM(W863:W867)</f>
        <v>281745</v>
      </c>
      <c r="X868" s="921"/>
      <c r="Y868" s="921"/>
      <c r="Z868" s="921"/>
      <c r="AA868" s="921"/>
      <c r="AB868" s="921"/>
      <c r="AC868" s="943"/>
      <c r="AD868" s="803"/>
      <c r="AU868" s="1"/>
      <c r="AZ868" s="1"/>
      <c r="BA868" s="1"/>
      <c r="BB868" s="1"/>
      <c r="BC868" s="1"/>
    </row>
    <row r="869" spans="3:55" ht="12.75" customHeight="1">
      <c r="AU869" s="1"/>
      <c r="AZ869" s="1"/>
      <c r="BA869" s="1"/>
      <c r="BB869" s="1"/>
      <c r="BC869" s="1"/>
    </row>
    <row r="870" spans="3:55" ht="12.75" customHeight="1">
      <c r="C870" s="8" t="s">
        <v>587</v>
      </c>
      <c r="J870" s="272"/>
      <c r="K870" s="5"/>
      <c r="L870" s="5"/>
      <c r="M870" s="5"/>
      <c r="N870" s="5"/>
      <c r="O870" s="5"/>
      <c r="P870" s="5"/>
      <c r="Q870" s="5"/>
      <c r="R870" s="5"/>
      <c r="S870" s="5"/>
      <c r="T870" s="5"/>
      <c r="U870" s="5"/>
      <c r="V870" s="372" t="s">
        <v>2610</v>
      </c>
      <c r="W870" s="997">
        <v>141000</v>
      </c>
      <c r="X870" s="921"/>
      <c r="Y870" s="921"/>
      <c r="Z870" s="921"/>
      <c r="AA870" s="921"/>
      <c r="AB870" s="921"/>
      <c r="AC870" s="943"/>
      <c r="AU870" s="1"/>
      <c r="AZ870" s="1"/>
      <c r="BA870" s="1"/>
      <c r="BB870" s="1"/>
      <c r="BC870" s="1"/>
    </row>
    <row r="871" spans="3:55" ht="12.75" customHeight="1">
      <c r="J871" s="24"/>
      <c r="AU871" s="1"/>
      <c r="AZ871" s="1"/>
      <c r="BA871" s="1"/>
      <c r="BB871" s="1"/>
      <c r="BC871" s="1"/>
    </row>
    <row r="872" spans="3:55" ht="12.75" customHeight="1">
      <c r="C872" s="8" t="s">
        <v>288</v>
      </c>
      <c r="J872" s="272" t="s">
        <v>2611</v>
      </c>
      <c r="K872" s="5"/>
      <c r="L872" s="5"/>
      <c r="M872" s="5"/>
      <c r="N872" s="5"/>
      <c r="O872" s="5"/>
      <c r="P872" s="5"/>
      <c r="Q872" s="5"/>
      <c r="R872" s="5"/>
      <c r="S872" s="5"/>
      <c r="T872" s="5"/>
      <c r="U872" s="5"/>
      <c r="V872" s="321"/>
      <c r="W872" s="978">
        <v>58228</v>
      </c>
      <c r="X872" s="921"/>
      <c r="Y872" s="921"/>
      <c r="Z872" s="921"/>
      <c r="AA872" s="921"/>
      <c r="AB872" s="921"/>
      <c r="AC872" s="943"/>
      <c r="AU872" s="1"/>
      <c r="AZ872" s="1"/>
      <c r="BA872" s="1"/>
      <c r="BB872" s="1"/>
      <c r="BC872" s="1"/>
    </row>
    <row r="873" spans="3:55" ht="12.75" customHeight="1">
      <c r="J873" s="272" t="s">
        <v>2612</v>
      </c>
      <c r="K873" s="5"/>
      <c r="L873" s="5"/>
      <c r="M873" s="5"/>
      <c r="N873" s="5"/>
      <c r="O873" s="5"/>
      <c r="P873" s="5"/>
      <c r="Q873" s="5"/>
      <c r="R873" s="5"/>
      <c r="S873" s="5"/>
      <c r="T873" s="5"/>
      <c r="U873" s="5"/>
      <c r="V873" s="321"/>
      <c r="W873" s="978">
        <v>55784</v>
      </c>
      <c r="X873" s="921"/>
      <c r="Y873" s="921"/>
      <c r="Z873" s="921"/>
      <c r="AA873" s="921"/>
      <c r="AB873" s="921"/>
      <c r="AC873" s="943"/>
      <c r="AU873" s="1"/>
      <c r="AZ873" s="1"/>
      <c r="BA873" s="1"/>
      <c r="BB873" s="1"/>
      <c r="BC873" s="1"/>
    </row>
    <row r="874" spans="3:55" ht="12.75" customHeight="1">
      <c r="J874" s="272" t="s">
        <v>2614</v>
      </c>
      <c r="K874" s="5"/>
      <c r="L874" s="5"/>
      <c r="M874" s="5"/>
      <c r="N874" s="5"/>
      <c r="O874" s="5"/>
      <c r="P874" s="5"/>
      <c r="Q874" s="5"/>
      <c r="R874" s="5"/>
      <c r="S874" s="5"/>
      <c r="T874" s="5"/>
      <c r="U874" s="5"/>
      <c r="V874" s="321"/>
      <c r="W874" s="978">
        <v>121500</v>
      </c>
      <c r="X874" s="921"/>
      <c r="Y874" s="921"/>
      <c r="Z874" s="921"/>
      <c r="AA874" s="921"/>
      <c r="AB874" s="921"/>
      <c r="AC874" s="943"/>
      <c r="AU874" s="1"/>
      <c r="AZ874" s="1"/>
      <c r="BA874" s="1"/>
      <c r="BB874" s="1"/>
      <c r="BC874" s="1"/>
    </row>
    <row r="875" spans="3:55" ht="12.75" customHeight="1">
      <c r="J875" s="272" t="s">
        <v>2615</v>
      </c>
      <c r="K875" s="5"/>
      <c r="L875" s="5"/>
      <c r="M875" s="5"/>
      <c r="N875" s="5"/>
      <c r="O875" s="5"/>
      <c r="P875" s="5"/>
      <c r="Q875" s="5"/>
      <c r="R875" s="5"/>
      <c r="S875" s="5"/>
      <c r="T875" s="5"/>
      <c r="U875" s="5"/>
      <c r="V875" s="321"/>
      <c r="W875" s="978"/>
      <c r="X875" s="921"/>
      <c r="Y875" s="921"/>
      <c r="Z875" s="921"/>
      <c r="AA875" s="921"/>
      <c r="AB875" s="921"/>
      <c r="AC875" s="943"/>
      <c r="AU875" s="1"/>
      <c r="AZ875" s="1"/>
      <c r="BA875" s="1"/>
      <c r="BB875" s="1"/>
      <c r="BC875" s="1"/>
    </row>
    <row r="876" spans="3:55" ht="12.75" customHeight="1">
      <c r="J876" s="272" t="s">
        <v>2616</v>
      </c>
      <c r="K876" s="5"/>
      <c r="L876" s="5"/>
      <c r="M876" s="5"/>
      <c r="N876" s="5"/>
      <c r="O876" s="5"/>
      <c r="P876" s="5"/>
      <c r="Q876" s="5"/>
      <c r="R876" s="5"/>
      <c r="S876" s="5"/>
      <c r="T876" s="5"/>
      <c r="U876" s="5"/>
      <c r="V876" s="321"/>
      <c r="W876" s="978">
        <v>39370</v>
      </c>
      <c r="X876" s="921"/>
      <c r="Y876" s="921"/>
      <c r="Z876" s="921"/>
      <c r="AA876" s="921"/>
      <c r="AB876" s="921"/>
      <c r="AC876" s="943"/>
      <c r="AU876" s="1"/>
      <c r="AZ876" s="1"/>
      <c r="BA876" s="1"/>
      <c r="BB876" s="1"/>
      <c r="BC876" s="1"/>
    </row>
    <row r="877" spans="3:55" ht="12.75" customHeight="1">
      <c r="J877" s="272" t="s">
        <v>2617</v>
      </c>
      <c r="K877" s="5"/>
      <c r="L877" s="5"/>
      <c r="M877" s="5"/>
      <c r="N877" s="5"/>
      <c r="O877" s="5"/>
      <c r="P877" s="5"/>
      <c r="Q877" s="5"/>
      <c r="R877" s="5"/>
      <c r="S877" s="5"/>
      <c r="T877" s="5"/>
      <c r="U877" s="5"/>
      <c r="V877" s="321"/>
      <c r="W877" s="978"/>
      <c r="X877" s="921"/>
      <c r="Y877" s="921"/>
      <c r="Z877" s="921"/>
      <c r="AA877" s="921"/>
      <c r="AB877" s="921"/>
      <c r="AC877" s="943"/>
      <c r="AU877" s="1"/>
      <c r="AZ877" s="1"/>
      <c r="BA877" s="1"/>
      <c r="BB877" s="1"/>
      <c r="BC877" s="1"/>
    </row>
    <row r="878" spans="3:55" ht="12.75" customHeight="1">
      <c r="J878" s="272" t="s">
        <v>289</v>
      </c>
      <c r="K878" s="5"/>
      <c r="L878" s="5"/>
      <c r="M878" s="998" t="s">
        <v>1705</v>
      </c>
      <c r="N878" s="921"/>
      <c r="O878" s="921"/>
      <c r="P878" s="921"/>
      <c r="Q878" s="921"/>
      <c r="R878" s="921"/>
      <c r="S878" s="921"/>
      <c r="T878" s="921"/>
      <c r="U878" s="921"/>
      <c r="V878" s="943"/>
      <c r="W878" s="978"/>
      <c r="X878" s="921"/>
      <c r="Y878" s="921"/>
      <c r="Z878" s="921"/>
      <c r="AA878" s="921"/>
      <c r="AB878" s="921"/>
      <c r="AC878" s="943"/>
      <c r="AD878" s="803"/>
      <c r="AU878" s="1"/>
      <c r="AV878" s="1"/>
      <c r="AW878" s="1"/>
      <c r="AX878" s="1"/>
      <c r="AY878" s="1"/>
      <c r="AZ878" s="1"/>
      <c r="BA878" s="1"/>
      <c r="BB878" s="1"/>
      <c r="BC878" s="1"/>
    </row>
    <row r="879" spans="3:55" ht="12.75" customHeight="1">
      <c r="J879" s="272"/>
      <c r="K879" s="5"/>
      <c r="L879" s="5"/>
      <c r="M879" s="5"/>
      <c r="N879" s="5"/>
      <c r="O879" s="5"/>
      <c r="P879" s="5"/>
      <c r="Q879" s="5"/>
      <c r="R879" s="5"/>
      <c r="S879" s="5"/>
      <c r="T879" s="5"/>
      <c r="U879" s="5"/>
      <c r="V879" s="372" t="s">
        <v>2619</v>
      </c>
      <c r="W879" s="1000">
        <f>SUM(W872:W878)</f>
        <v>274882</v>
      </c>
      <c r="X879" s="921"/>
      <c r="Y879" s="921"/>
      <c r="Z879" s="921"/>
      <c r="AA879" s="921"/>
      <c r="AB879" s="921"/>
      <c r="AC879" s="943"/>
      <c r="AU879" s="1"/>
      <c r="AV879" s="1"/>
      <c r="AW879" s="1"/>
      <c r="AX879" s="1"/>
      <c r="AY879" s="1"/>
      <c r="AZ879" s="1"/>
      <c r="BA879" s="1"/>
      <c r="BB879" s="1"/>
      <c r="BC879" s="1"/>
    </row>
    <row r="880" spans="3:55" ht="12.75" customHeight="1">
      <c r="AU880" s="1"/>
      <c r="AV880" s="1"/>
      <c r="AW880" s="1"/>
      <c r="AX880" s="1"/>
      <c r="AY880" s="1"/>
      <c r="AZ880" s="1"/>
      <c r="BA880" s="1"/>
      <c r="BB880" s="1"/>
      <c r="BC880" s="1"/>
    </row>
    <row r="881" spans="3:55" ht="12.75" customHeight="1">
      <c r="C881" s="8" t="s">
        <v>2620</v>
      </c>
      <c r="J881" s="272" t="s">
        <v>289</v>
      </c>
      <c r="K881" s="5"/>
      <c r="L881" s="5"/>
      <c r="M881" s="998" t="s">
        <v>1705</v>
      </c>
      <c r="N881" s="921"/>
      <c r="O881" s="921"/>
      <c r="P881" s="921"/>
      <c r="Q881" s="921"/>
      <c r="R881" s="921"/>
      <c r="S881" s="921"/>
      <c r="T881" s="921"/>
      <c r="U881" s="921"/>
      <c r="V881" s="943"/>
      <c r="W881" s="978"/>
      <c r="X881" s="921"/>
      <c r="Y881" s="921"/>
      <c r="Z881" s="921"/>
      <c r="AA881" s="921"/>
      <c r="AB881" s="921"/>
      <c r="AC881" s="943"/>
      <c r="AD881" s="803"/>
      <c r="AV881" s="1"/>
      <c r="AW881" s="1"/>
      <c r="AX881" s="1"/>
      <c r="AY881" s="1"/>
      <c r="AZ881" s="1"/>
      <c r="BA881" s="1"/>
      <c r="BB881" s="1"/>
      <c r="BC881" s="1"/>
    </row>
    <row r="882" spans="3:55" ht="12.75" customHeight="1">
      <c r="C882" s="8" t="s">
        <v>2621</v>
      </c>
      <c r="J882" s="272" t="s">
        <v>289</v>
      </c>
      <c r="K882" s="5"/>
      <c r="L882" s="5"/>
      <c r="M882" s="998" t="s">
        <v>1705</v>
      </c>
      <c r="N882" s="921"/>
      <c r="O882" s="921"/>
      <c r="P882" s="921"/>
      <c r="Q882" s="921"/>
      <c r="R882" s="921"/>
      <c r="S882" s="921"/>
      <c r="T882" s="921"/>
      <c r="U882" s="921"/>
      <c r="V882" s="943"/>
      <c r="W882" s="978"/>
      <c r="X882" s="921"/>
      <c r="Y882" s="921"/>
      <c r="Z882" s="921"/>
      <c r="AA882" s="921"/>
      <c r="AB882" s="921"/>
      <c r="AC882" s="943"/>
      <c r="AD882" s="803"/>
      <c r="AV882" s="1"/>
      <c r="AW882" s="1"/>
      <c r="AX882" s="1"/>
      <c r="AY882" s="1"/>
      <c r="AZ882" s="1"/>
      <c r="BA882" s="1"/>
      <c r="BB882" s="1"/>
      <c r="BC882" s="1"/>
    </row>
    <row r="883" spans="3:55" ht="12.75" customHeight="1">
      <c r="J883" s="272" t="s">
        <v>289</v>
      </c>
      <c r="K883" s="5"/>
      <c r="L883" s="5"/>
      <c r="M883" s="998" t="s">
        <v>1705</v>
      </c>
      <c r="N883" s="921"/>
      <c r="O883" s="921"/>
      <c r="P883" s="921"/>
      <c r="Q883" s="921"/>
      <c r="R883" s="921"/>
      <c r="S883" s="921"/>
      <c r="T883" s="921"/>
      <c r="U883" s="921"/>
      <c r="V883" s="943"/>
      <c r="W883" s="978"/>
      <c r="X883" s="921"/>
      <c r="Y883" s="921"/>
      <c r="Z883" s="921"/>
      <c r="AA883" s="921"/>
      <c r="AB883" s="921"/>
      <c r="AC883" s="943"/>
      <c r="AL883" s="1"/>
      <c r="AM883" s="1"/>
      <c r="AN883" s="1"/>
      <c r="AO883" s="1"/>
      <c r="AP883" s="1"/>
      <c r="AQ883" s="1"/>
      <c r="AR883" s="1"/>
      <c r="AS883" s="1"/>
      <c r="AT883" s="1"/>
      <c r="AV883" s="1"/>
      <c r="AW883" s="1"/>
      <c r="AX883" s="1"/>
      <c r="AY883" s="1"/>
      <c r="AZ883" s="1"/>
      <c r="BA883" s="1"/>
      <c r="BB883" s="1"/>
      <c r="BC883" s="1"/>
    </row>
    <row r="884" spans="3:55" ht="12.75" customHeight="1">
      <c r="J884" s="272" t="s">
        <v>289</v>
      </c>
      <c r="K884" s="5"/>
      <c r="L884" s="5"/>
      <c r="M884" s="998" t="s">
        <v>1705</v>
      </c>
      <c r="N884" s="921"/>
      <c r="O884" s="921"/>
      <c r="P884" s="921"/>
      <c r="Q884" s="921"/>
      <c r="R884" s="921"/>
      <c r="S884" s="921"/>
      <c r="T884" s="921"/>
      <c r="U884" s="921"/>
      <c r="V884" s="943"/>
      <c r="W884" s="978"/>
      <c r="X884" s="921"/>
      <c r="Y884" s="921"/>
      <c r="Z884" s="921"/>
      <c r="AA884" s="921"/>
      <c r="AB884" s="921"/>
      <c r="AC884" s="943"/>
      <c r="AL884" s="1"/>
      <c r="AM884" s="1"/>
      <c r="AN884" s="1"/>
      <c r="AO884" s="1"/>
      <c r="AP884" s="1"/>
      <c r="AQ884" s="1"/>
      <c r="AR884" s="1"/>
      <c r="AS884" s="1"/>
      <c r="AT884" s="1"/>
      <c r="AV884" s="1"/>
      <c r="AW884" s="1"/>
      <c r="AX884" s="1"/>
      <c r="AY884" s="1"/>
      <c r="AZ884" s="1"/>
      <c r="BA884" s="1"/>
      <c r="BB884" s="1"/>
      <c r="BC884" s="1"/>
    </row>
    <row r="885" spans="3:55" ht="12.75" customHeight="1">
      <c r="J885" s="272" t="s">
        <v>289</v>
      </c>
      <c r="K885" s="5"/>
      <c r="L885" s="5"/>
      <c r="M885" s="998" t="s">
        <v>1705</v>
      </c>
      <c r="N885" s="921"/>
      <c r="O885" s="921"/>
      <c r="P885" s="921"/>
      <c r="Q885" s="921"/>
      <c r="R885" s="921"/>
      <c r="S885" s="921"/>
      <c r="T885" s="921"/>
      <c r="U885" s="921"/>
      <c r="V885" s="943"/>
      <c r="W885" s="978"/>
      <c r="X885" s="921"/>
      <c r="Y885" s="921"/>
      <c r="Z885" s="921"/>
      <c r="AA885" s="921"/>
      <c r="AB885" s="921"/>
      <c r="AC885" s="943"/>
      <c r="AL885" s="1"/>
      <c r="AM885" s="1"/>
      <c r="AN885" s="1"/>
      <c r="AO885" s="1"/>
      <c r="AP885" s="1"/>
      <c r="AQ885" s="1"/>
      <c r="AR885" s="1"/>
      <c r="AS885" s="1"/>
      <c r="AT885" s="1"/>
      <c r="AV885" s="1"/>
      <c r="AW885" s="1"/>
      <c r="AX885" s="1"/>
      <c r="AY885" s="1"/>
      <c r="AZ885" s="1"/>
      <c r="BA885" s="1"/>
      <c r="BB885" s="1"/>
      <c r="BC885" s="1"/>
    </row>
    <row r="886" spans="3:55" ht="12.75" customHeight="1">
      <c r="J886" s="272"/>
      <c r="K886" s="5"/>
      <c r="L886" s="5"/>
      <c r="M886" s="5"/>
      <c r="N886" s="5"/>
      <c r="O886" s="5"/>
      <c r="P886" s="5"/>
      <c r="Q886" s="5"/>
      <c r="R886" s="5"/>
      <c r="S886" s="5"/>
      <c r="T886" s="5"/>
      <c r="U886" s="5"/>
      <c r="V886" s="372" t="s">
        <v>2623</v>
      </c>
      <c r="W886" s="1000">
        <f>SUM(W881:W885)</f>
        <v>0</v>
      </c>
      <c r="X886" s="921"/>
      <c r="Y886" s="921"/>
      <c r="Z886" s="921"/>
      <c r="AA886" s="921"/>
      <c r="AB886" s="921"/>
      <c r="AC886" s="943"/>
      <c r="AL886" s="1"/>
      <c r="AM886" s="1"/>
      <c r="AN886" s="1"/>
      <c r="AO886" s="1"/>
      <c r="AP886" s="1"/>
      <c r="AQ886" s="1"/>
      <c r="AR886" s="1"/>
      <c r="AS886" s="1"/>
      <c r="AT886" s="1"/>
      <c r="AV886" s="1"/>
      <c r="AW886" s="1"/>
      <c r="AX886" s="1"/>
      <c r="AY886" s="1"/>
      <c r="AZ886" s="1"/>
      <c r="BA886" s="1"/>
      <c r="BB886" s="1"/>
      <c r="BC886" s="1"/>
    </row>
    <row r="887" spans="3:55" ht="12.75" customHeight="1">
      <c r="E887" s="24"/>
      <c r="V887" s="237"/>
      <c r="W887" s="810"/>
      <c r="X887" s="810"/>
      <c r="Y887" s="810"/>
      <c r="Z887" s="810"/>
      <c r="AA887" s="810"/>
      <c r="AB887" s="810"/>
      <c r="AL887" s="1"/>
      <c r="AM887" s="1"/>
      <c r="AN887" s="1"/>
      <c r="AO887" s="1"/>
      <c r="AP887" s="1"/>
      <c r="AQ887" s="1"/>
      <c r="AR887" s="1"/>
      <c r="AS887" s="1"/>
      <c r="AT887" s="1"/>
      <c r="AV887" s="1"/>
      <c r="AW887" s="1"/>
      <c r="AX887" s="1"/>
      <c r="AY887" s="1"/>
      <c r="AZ887" s="1"/>
      <c r="BA887" s="1"/>
      <c r="BB887" s="1"/>
      <c r="BC887" s="1"/>
    </row>
    <row r="888" spans="3:55" ht="12.75" customHeight="1">
      <c r="C888" s="8" t="s">
        <v>2541</v>
      </c>
      <c r="I888" s="803"/>
      <c r="J888" s="803"/>
      <c r="V888" s="237"/>
      <c r="W888" s="810"/>
      <c r="X888" s="810"/>
      <c r="Y888" s="810"/>
      <c r="Z888" s="810"/>
      <c r="AA888" s="810"/>
      <c r="AB888" s="810"/>
      <c r="AL888" s="1"/>
      <c r="AM888" s="1"/>
      <c r="AN888" s="1"/>
      <c r="AO888" s="1"/>
      <c r="AP888" s="1"/>
      <c r="AQ888" s="1"/>
      <c r="AR888" s="1"/>
      <c r="AS888" s="1"/>
      <c r="AT888" s="1"/>
      <c r="AV888" s="1"/>
      <c r="AW888" s="1"/>
      <c r="AX888" s="1"/>
      <c r="AY888" s="1"/>
      <c r="AZ888" s="1"/>
      <c r="BA888" s="1"/>
      <c r="BB888" s="1"/>
      <c r="BC888" s="1"/>
    </row>
    <row r="889" spans="3:55" ht="12.75" customHeight="1">
      <c r="E889" s="24"/>
      <c r="V889" s="237"/>
      <c r="W889" s="810"/>
      <c r="X889" s="810"/>
      <c r="Y889" s="810"/>
      <c r="Z889" s="810"/>
      <c r="AA889" s="810"/>
      <c r="AB889" s="810"/>
      <c r="AL889" s="1"/>
      <c r="AM889" s="1"/>
      <c r="AN889" s="1"/>
      <c r="AO889" s="1"/>
      <c r="AP889" s="1"/>
      <c r="AQ889" s="1"/>
      <c r="AR889" s="1"/>
      <c r="AS889" s="1"/>
      <c r="AT889" s="1"/>
      <c r="AV889" s="1"/>
      <c r="AW889" s="1"/>
      <c r="AX889" s="1"/>
      <c r="AY889" s="1"/>
      <c r="AZ889" s="1"/>
      <c r="BA889" s="1"/>
      <c r="BB889" s="1"/>
      <c r="BC889" s="1"/>
    </row>
    <row r="890" spans="3:55" ht="12.75" customHeight="1">
      <c r="C890" s="265"/>
      <c r="D890" s="246"/>
      <c r="E890" s="246"/>
      <c r="F890" s="246"/>
      <c r="G890" s="246"/>
      <c r="H890" s="246"/>
      <c r="I890" s="246"/>
      <c r="J890" s="246"/>
      <c r="K890" s="246"/>
      <c r="L890" s="246"/>
      <c r="M890" s="246"/>
      <c r="N890" s="246"/>
      <c r="O890" s="246"/>
      <c r="P890" s="246"/>
      <c r="Q890" s="246"/>
      <c r="R890" s="246"/>
      <c r="S890" s="246"/>
      <c r="T890" s="246"/>
      <c r="U890" s="246"/>
      <c r="V890" s="246"/>
      <c r="W890" s="246"/>
      <c r="X890" s="246"/>
      <c r="Y890" s="246"/>
      <c r="Z890" s="246"/>
      <c r="AA890" s="246"/>
      <c r="AB890" s="813" t="s">
        <v>2625</v>
      </c>
      <c r="AC890" s="1009">
        <f>W853+W861+W868+W870+W879+W886+W855</f>
        <v>1186519</v>
      </c>
      <c r="AD890" s="921"/>
      <c r="AE890" s="921"/>
      <c r="AF890" s="921"/>
      <c r="AG890" s="921"/>
      <c r="AH890" s="943"/>
      <c r="AL890" s="1"/>
      <c r="AM890" s="1"/>
      <c r="AN890" s="1"/>
      <c r="AO890" s="1"/>
      <c r="AP890" s="1"/>
      <c r="AQ890" s="1"/>
      <c r="AR890" s="1"/>
      <c r="AS890" s="1"/>
      <c r="AT890" s="1"/>
      <c r="AV890" s="1"/>
      <c r="AW890" s="1"/>
      <c r="AX890" s="1"/>
      <c r="AY890" s="1"/>
      <c r="AZ890" s="1"/>
      <c r="BA890" s="1"/>
      <c r="BB890" s="1"/>
      <c r="BC890" s="1"/>
    </row>
    <row r="891" spans="3:55" ht="12.75" customHeight="1">
      <c r="C891" s="265"/>
      <c r="D891" s="246"/>
      <c r="E891" s="246"/>
      <c r="F891" s="246"/>
      <c r="G891" s="246"/>
      <c r="H891" s="246"/>
      <c r="I891" s="246"/>
      <c r="J891" s="246"/>
      <c r="K891" s="246"/>
      <c r="L891" s="246"/>
      <c r="M891" s="246"/>
      <c r="N891" s="246"/>
      <c r="O891" s="246"/>
      <c r="P891" s="246"/>
      <c r="Q891" s="246"/>
      <c r="R891" s="246"/>
      <c r="S891" s="246"/>
      <c r="T891" s="246"/>
      <c r="U891" s="246"/>
      <c r="V891" s="246"/>
      <c r="W891" s="246"/>
      <c r="X891" s="246"/>
      <c r="Y891" s="246"/>
      <c r="Z891" s="246"/>
      <c r="AA891" s="246"/>
      <c r="AB891" s="813" t="s">
        <v>2626</v>
      </c>
      <c r="AC891" s="1010">
        <f>O803+O783+G759</f>
        <v>235</v>
      </c>
      <c r="AD891" s="921"/>
      <c r="AE891" s="921"/>
      <c r="AF891" s="921"/>
      <c r="AG891" s="921"/>
      <c r="AH891" s="943"/>
      <c r="AL891" s="1"/>
      <c r="AM891" s="1"/>
      <c r="AN891" s="1"/>
      <c r="AO891" s="1"/>
      <c r="AP891" s="1"/>
      <c r="AQ891" s="1"/>
      <c r="AR891" s="1"/>
      <c r="AS891" s="1"/>
      <c r="AT891" s="1"/>
      <c r="AZ891" s="1"/>
      <c r="BA891" s="1"/>
      <c r="BB891" s="1"/>
      <c r="BC891" s="1"/>
    </row>
    <row r="892" spans="3:55" ht="12.75" customHeight="1">
      <c r="C892" s="265"/>
      <c r="D892" s="246"/>
      <c r="E892" s="1011" t="s">
        <v>2627</v>
      </c>
      <c r="F892" s="947"/>
      <c r="G892" s="947"/>
      <c r="H892" s="947"/>
      <c r="I892" s="947"/>
      <c r="J892" s="947"/>
      <c r="K892" s="947"/>
      <c r="L892" s="947"/>
      <c r="M892" s="947"/>
      <c r="N892" s="947"/>
      <c r="O892" s="947"/>
      <c r="P892" s="947"/>
      <c r="Q892" s="947"/>
      <c r="R892" s="947"/>
      <c r="S892" s="947"/>
      <c r="T892" s="947"/>
      <c r="U892" s="947"/>
      <c r="V892" s="947"/>
      <c r="W892" s="947"/>
      <c r="X892" s="947"/>
      <c r="Y892" s="947"/>
      <c r="Z892" s="947"/>
      <c r="AA892" s="947"/>
      <c r="AB892" s="948"/>
      <c r="AC892" s="1000">
        <f>IF(ISERROR((ROUNDDOWN(AC890/AC891,0))),0,(ROUNDDOWN(AC890/AC891,0)))</f>
        <v>5049</v>
      </c>
      <c r="AD892" s="921"/>
      <c r="AE892" s="921"/>
      <c r="AF892" s="921"/>
      <c r="AG892" s="921"/>
      <c r="AH892" s="943"/>
      <c r="AL892" s="1"/>
      <c r="AM892" s="1"/>
      <c r="AN892" s="1"/>
      <c r="AO892" s="1"/>
      <c r="AP892" s="1"/>
      <c r="AQ892" s="1"/>
      <c r="AR892" s="1"/>
      <c r="AS892" s="1"/>
      <c r="AT892" s="1"/>
      <c r="AZ892" s="1"/>
      <c r="BA892" s="1"/>
      <c r="BB892" s="1"/>
      <c r="BC892" s="1"/>
    </row>
    <row r="893" spans="3:55" ht="12.75" customHeight="1">
      <c r="C893" s="272"/>
      <c r="D893" s="5"/>
      <c r="E893" s="5"/>
      <c r="F893" s="5"/>
      <c r="G893" s="5"/>
      <c r="H893" s="5"/>
      <c r="I893" s="5"/>
      <c r="J893" s="5"/>
      <c r="K893" s="5"/>
      <c r="L893" s="5"/>
      <c r="M893" s="5"/>
      <c r="N893" s="5"/>
      <c r="O893" s="5"/>
      <c r="P893" s="5"/>
      <c r="Q893" s="5"/>
      <c r="R893" s="5"/>
      <c r="S893" s="5"/>
      <c r="T893" s="5"/>
      <c r="U893" s="5"/>
      <c r="V893" s="5"/>
      <c r="W893" s="5"/>
      <c r="X893" s="5"/>
      <c r="Y893" s="5"/>
      <c r="Z893" s="5"/>
      <c r="AA893" s="5"/>
      <c r="AB893" s="372" t="s">
        <v>2629</v>
      </c>
      <c r="AC893" s="1012">
        <v>1169000</v>
      </c>
      <c r="AD893" s="968"/>
      <c r="AE893" s="968"/>
      <c r="AF893" s="968"/>
      <c r="AG893" s="968"/>
      <c r="AH893" s="980"/>
      <c r="AL893" s="1"/>
      <c r="AM893" s="1"/>
      <c r="AN893" s="1"/>
      <c r="AO893" s="1"/>
      <c r="AP893" s="1"/>
      <c r="AQ893" s="1"/>
      <c r="AR893" s="1"/>
      <c r="AS893" s="1"/>
      <c r="AT893" s="1"/>
      <c r="AZ893" s="1"/>
      <c r="BA893" s="1"/>
      <c r="BB893" s="1"/>
      <c r="BC893" s="1"/>
    </row>
    <row r="894" spans="3:55" ht="12.75" customHeight="1">
      <c r="C894" s="272"/>
      <c r="D894" s="5"/>
      <c r="E894" s="5"/>
      <c r="F894" s="5"/>
      <c r="G894" s="5"/>
      <c r="H894" s="5"/>
      <c r="I894" s="5"/>
      <c r="J894" s="5"/>
      <c r="K894" s="5"/>
      <c r="L894" s="5"/>
      <c r="M894" s="5"/>
      <c r="N894" s="5"/>
      <c r="O894" s="5"/>
      <c r="P894" s="5"/>
      <c r="Q894" s="5"/>
      <c r="R894" s="5"/>
      <c r="S894" s="5"/>
      <c r="T894" s="5"/>
      <c r="U894" s="5"/>
      <c r="V894" s="5"/>
      <c r="W894" s="5"/>
      <c r="X894" s="5"/>
      <c r="Y894" s="5"/>
      <c r="Z894" s="5"/>
      <c r="AA894" s="5"/>
      <c r="AB894" s="372" t="s">
        <v>2632</v>
      </c>
      <c r="AC894" s="1007"/>
      <c r="AD894" s="921"/>
      <c r="AE894" s="921"/>
      <c r="AF894" s="921"/>
      <c r="AG894" s="921"/>
      <c r="AH894" s="943"/>
      <c r="AL894" s="1"/>
      <c r="AM894" s="1"/>
      <c r="AN894" s="1"/>
      <c r="AO894" s="1"/>
      <c r="AP894" s="1"/>
      <c r="AQ894" s="1"/>
      <c r="AR894" s="1"/>
      <c r="AS894" s="1"/>
      <c r="AT894" s="1"/>
      <c r="AZ894" s="1"/>
      <c r="BA894" s="1"/>
      <c r="BB894" s="1"/>
      <c r="BC894" s="1"/>
    </row>
    <row r="895" spans="3:55" ht="12.75" customHeight="1">
      <c r="C895" s="272"/>
      <c r="D895" s="5"/>
      <c r="E895" s="5"/>
      <c r="F895" s="5"/>
      <c r="G895" s="5"/>
      <c r="H895" s="5"/>
      <c r="I895" s="5"/>
      <c r="J895" s="5"/>
      <c r="K895" s="5"/>
      <c r="L895" s="5"/>
      <c r="M895" s="5"/>
      <c r="N895" s="5"/>
      <c r="O895" s="5"/>
      <c r="P895" s="5"/>
      <c r="Q895" s="5"/>
      <c r="R895" s="5"/>
      <c r="S895" s="5"/>
      <c r="T895" s="5"/>
      <c r="U895" s="5"/>
      <c r="V895" s="5"/>
      <c r="W895" s="5"/>
      <c r="X895" s="5"/>
      <c r="Y895" s="5"/>
      <c r="Z895" s="5"/>
      <c r="AA895" s="5"/>
      <c r="AB895" s="372" t="s">
        <v>2634</v>
      </c>
      <c r="AC895" s="1007"/>
      <c r="AD895" s="921"/>
      <c r="AE895" s="921"/>
      <c r="AF895" s="921"/>
      <c r="AG895" s="921"/>
      <c r="AH895" s="943"/>
      <c r="AL895" s="1"/>
      <c r="AM895" s="1"/>
      <c r="AN895" s="1"/>
      <c r="AO895" s="1"/>
      <c r="AP895" s="1"/>
      <c r="AQ895" s="1"/>
      <c r="AR895" s="1"/>
      <c r="AS895" s="1"/>
      <c r="AT895" s="1"/>
      <c r="AZ895" s="1"/>
      <c r="BA895" s="1"/>
      <c r="BB895" s="1"/>
      <c r="BC895" s="1"/>
    </row>
    <row r="896" spans="3:55" ht="12.75" customHeight="1">
      <c r="C896" s="272"/>
      <c r="D896" s="5"/>
      <c r="E896" s="5"/>
      <c r="F896" s="5"/>
      <c r="G896" s="5"/>
      <c r="H896" s="5"/>
      <c r="I896" s="5"/>
      <c r="J896" s="5"/>
      <c r="K896" s="5"/>
      <c r="L896" s="5"/>
      <c r="M896" s="5"/>
      <c r="N896" s="5"/>
      <c r="O896" s="5"/>
      <c r="P896" s="5"/>
      <c r="Q896" s="5"/>
      <c r="R896" s="5"/>
      <c r="S896" s="5"/>
      <c r="T896" s="5"/>
      <c r="U896" s="5"/>
      <c r="V896" s="5"/>
      <c r="W896" s="5"/>
      <c r="X896" s="5"/>
      <c r="Y896" s="5"/>
      <c r="Z896" s="5"/>
      <c r="AA896" s="5"/>
      <c r="AB896" s="372" t="s">
        <v>2636</v>
      </c>
      <c r="AC896" s="1007">
        <v>57600</v>
      </c>
      <c r="AD896" s="921"/>
      <c r="AE896" s="921"/>
      <c r="AF896" s="921"/>
      <c r="AG896" s="921"/>
      <c r="AH896" s="943"/>
      <c r="AZ896" s="1"/>
      <c r="BA896" s="1"/>
      <c r="BB896" s="1"/>
      <c r="BC896" s="1"/>
    </row>
    <row r="897" spans="1:58" ht="12.75" customHeight="1">
      <c r="C897" s="272"/>
      <c r="D897" s="5"/>
      <c r="E897" s="5"/>
      <c r="F897" s="5"/>
      <c r="G897" s="5"/>
      <c r="H897" s="5"/>
      <c r="I897" s="5"/>
      <c r="J897" s="5"/>
      <c r="K897" s="5"/>
      <c r="L897" s="5"/>
      <c r="M897" s="5"/>
      <c r="N897" s="5"/>
      <c r="O897" s="5"/>
      <c r="P897" s="5"/>
      <c r="Q897" s="5"/>
      <c r="R897" s="5"/>
      <c r="S897" s="5"/>
      <c r="T897" s="5"/>
      <c r="U897" s="5"/>
      <c r="V897" s="5"/>
      <c r="W897" s="5"/>
      <c r="X897" s="5"/>
      <c r="Y897" s="5"/>
      <c r="Z897" s="5"/>
      <c r="AA897" s="5"/>
      <c r="AB897" s="372" t="s">
        <v>2637</v>
      </c>
      <c r="AC897" s="952"/>
      <c r="AD897" s="921"/>
      <c r="AE897" s="921"/>
      <c r="AF897" s="921"/>
      <c r="AG897" s="921"/>
      <c r="AH897" s="943"/>
      <c r="AZ897" s="1"/>
      <c r="BA897" s="1"/>
      <c r="BB897" s="1"/>
      <c r="BC897" s="1"/>
    </row>
    <row r="898" spans="1:58" ht="12.75" customHeight="1">
      <c r="C898" s="272"/>
      <c r="D898" s="5"/>
      <c r="E898" s="5"/>
      <c r="F898" s="5"/>
      <c r="G898" s="5"/>
      <c r="H898" s="5"/>
      <c r="I898" s="5"/>
      <c r="J898" s="5"/>
      <c r="K898" s="5"/>
      <c r="L898" s="5"/>
      <c r="M898" s="5"/>
      <c r="N898" s="5"/>
      <c r="O898" s="5"/>
      <c r="P898" s="5"/>
      <c r="Q898" s="5"/>
      <c r="R898" s="5"/>
      <c r="S898" s="5"/>
      <c r="T898" s="5"/>
      <c r="U898" s="5"/>
      <c r="V898" s="5"/>
      <c r="W898" s="5"/>
      <c r="X898" s="5"/>
      <c r="Y898" s="5"/>
      <c r="Z898" s="5"/>
      <c r="AA898" s="5"/>
      <c r="AB898" s="372" t="s">
        <v>2638</v>
      </c>
      <c r="AC898" s="1007">
        <v>2445</v>
      </c>
      <c r="AD898" s="921"/>
      <c r="AE898" s="921"/>
      <c r="AF898" s="921"/>
      <c r="AG898" s="921"/>
      <c r="AH898" s="943"/>
      <c r="AZ898" s="1"/>
      <c r="BA898" s="1"/>
      <c r="BB898" s="1"/>
      <c r="BC898" s="1"/>
    </row>
    <row r="899" spans="1:58" ht="12.75" hidden="1" customHeight="1">
      <c r="C899" s="1004" t="s">
        <v>2639</v>
      </c>
      <c r="D899" s="921"/>
      <c r="E899" s="921"/>
      <c r="F899" s="921"/>
      <c r="G899" s="921"/>
      <c r="H899" s="921"/>
      <c r="I899" s="921"/>
      <c r="J899" s="921"/>
      <c r="K899" s="921"/>
      <c r="L899" s="921"/>
      <c r="M899" s="921"/>
      <c r="N899" s="921"/>
      <c r="O899" s="921"/>
      <c r="P899" s="921"/>
      <c r="Q899" s="921"/>
      <c r="R899" s="921"/>
      <c r="S899" s="921"/>
      <c r="T899" s="921"/>
      <c r="U899" s="921"/>
      <c r="V899" s="921"/>
      <c r="W899" s="921"/>
      <c r="X899" s="921"/>
      <c r="Y899" s="921"/>
      <c r="Z899" s="921"/>
      <c r="AA899" s="921"/>
      <c r="AB899" s="943"/>
      <c r="AC899" s="1007"/>
      <c r="AD899" s="921"/>
      <c r="AE899" s="921"/>
      <c r="AF899" s="921"/>
      <c r="AG899" s="921"/>
      <c r="AH899" s="943"/>
      <c r="AZ899" s="1"/>
      <c r="BA899" s="1"/>
      <c r="BB899" s="1"/>
      <c r="BC899" s="1"/>
    </row>
    <row r="900" spans="1:58" ht="12.75" customHeight="1">
      <c r="C900" s="272"/>
      <c r="D900" s="5"/>
      <c r="E900" s="5"/>
      <c r="F900" s="5"/>
      <c r="G900" s="5"/>
      <c r="H900" s="5"/>
      <c r="I900" s="5"/>
      <c r="J900" s="5"/>
      <c r="K900" s="5"/>
      <c r="L900" s="5"/>
      <c r="M900" s="5"/>
      <c r="N900" s="5"/>
      <c r="O900" s="5"/>
      <c r="P900" s="5"/>
      <c r="Q900" s="5"/>
      <c r="R900" s="5"/>
      <c r="S900" s="5"/>
      <c r="T900" s="5"/>
      <c r="U900" s="5"/>
      <c r="V900" s="5"/>
      <c r="W900" s="5"/>
      <c r="X900" s="5"/>
      <c r="Y900" s="5"/>
      <c r="Z900" s="5"/>
      <c r="AA900" s="5"/>
      <c r="AB900" s="372" t="s">
        <v>2640</v>
      </c>
      <c r="AC900" s="1007"/>
      <c r="AD900" s="921"/>
      <c r="AE900" s="921"/>
      <c r="AF900" s="921"/>
      <c r="AG900" s="921"/>
      <c r="AH900" s="943"/>
      <c r="AZ900" s="1"/>
      <c r="BA900" s="1"/>
      <c r="BB900" s="1"/>
      <c r="BC900" s="1"/>
    </row>
    <row r="901" spans="1:58" ht="12.75" customHeight="1">
      <c r="C901" s="1008" t="s">
        <v>2641</v>
      </c>
      <c r="D901" s="921"/>
      <c r="E901" s="921"/>
      <c r="F901" s="921"/>
      <c r="G901" s="921"/>
      <c r="H901" s="921"/>
      <c r="I901" s="921"/>
      <c r="J901" s="921"/>
      <c r="K901" s="921"/>
      <c r="L901" s="921"/>
      <c r="M901" s="921"/>
      <c r="N901" s="921"/>
      <c r="O901" s="921"/>
      <c r="P901" s="921"/>
      <c r="Q901" s="921"/>
      <c r="R901" s="921"/>
      <c r="S901" s="921"/>
      <c r="T901" s="921"/>
      <c r="U901" s="921"/>
      <c r="V901" s="921"/>
      <c r="W901" s="921"/>
      <c r="X901" s="921"/>
      <c r="Y901" s="921"/>
      <c r="Z901" s="921"/>
      <c r="AA901" s="921"/>
      <c r="AB901" s="943"/>
      <c r="AC901" s="978"/>
      <c r="AD901" s="921"/>
      <c r="AE901" s="921"/>
      <c r="AF901" s="921"/>
      <c r="AG901" s="921"/>
      <c r="AH901" s="943"/>
      <c r="AZ901" s="1"/>
      <c r="BA901" s="1"/>
      <c r="BB901" s="1"/>
      <c r="BC901" s="1"/>
    </row>
    <row r="902" spans="1:58" ht="12.75" customHeight="1">
      <c r="C902" s="1008" t="s">
        <v>2641</v>
      </c>
      <c r="D902" s="921"/>
      <c r="E902" s="921"/>
      <c r="F902" s="921"/>
      <c r="G902" s="921"/>
      <c r="H902" s="921"/>
      <c r="I902" s="921"/>
      <c r="J902" s="921"/>
      <c r="K902" s="921"/>
      <c r="L902" s="921"/>
      <c r="M902" s="921"/>
      <c r="N902" s="921"/>
      <c r="O902" s="921"/>
      <c r="P902" s="921"/>
      <c r="Q902" s="921"/>
      <c r="R902" s="921"/>
      <c r="S902" s="921"/>
      <c r="T902" s="921"/>
      <c r="U902" s="921"/>
      <c r="V902" s="921"/>
      <c r="W902" s="921"/>
      <c r="X902" s="921"/>
      <c r="Y902" s="921"/>
      <c r="Z902" s="921"/>
      <c r="AA902" s="921"/>
      <c r="AB902" s="943"/>
      <c r="AC902" s="978"/>
      <c r="AD902" s="921"/>
      <c r="AE902" s="921"/>
      <c r="AF902" s="921"/>
      <c r="AG902" s="921"/>
      <c r="AH902" s="943"/>
      <c r="AU902" s="191"/>
      <c r="AZ902" s="1"/>
      <c r="BA902" s="1"/>
      <c r="BB902" s="1"/>
      <c r="BC902" s="1"/>
    </row>
    <row r="903" spans="1:58" ht="12.75" customHeight="1">
      <c r="E903" s="24"/>
      <c r="AB903" s="237"/>
      <c r="AC903" s="263"/>
      <c r="AD903" s="263"/>
      <c r="AE903" s="263"/>
      <c r="AF903" s="263"/>
      <c r="AG903" s="263"/>
      <c r="AH903" s="263"/>
      <c r="AU903" s="191"/>
      <c r="AZ903" s="1"/>
      <c r="BA903" s="1"/>
      <c r="BB903" s="1"/>
      <c r="BC903" s="1"/>
    </row>
    <row r="904" spans="1:58" ht="12.75" customHeight="1">
      <c r="A904" s="8" t="s">
        <v>1617</v>
      </c>
      <c r="C904" s="8" t="s">
        <v>2642</v>
      </c>
      <c r="X904" s="322"/>
      <c r="Y904" s="322"/>
      <c r="Z904" s="322"/>
      <c r="AA904" s="322"/>
      <c r="AB904" s="322"/>
      <c r="AC904" s="322"/>
      <c r="AD904" s="322"/>
      <c r="AU904" s="191"/>
      <c r="AZ904" s="1"/>
      <c r="BB904" s="203"/>
      <c r="BC904" s="203"/>
    </row>
    <row r="905" spans="1:58" ht="12.75" customHeight="1">
      <c r="X905" s="322"/>
      <c r="Y905" s="322"/>
      <c r="Z905" s="322"/>
      <c r="AA905" s="322"/>
      <c r="AB905" s="322"/>
      <c r="AC905" s="322"/>
      <c r="AD905" s="322"/>
      <c r="AF905" s="803"/>
      <c r="AG905" s="132"/>
      <c r="AH905" s="132"/>
      <c r="AI905" s="132"/>
      <c r="AU905" s="191"/>
      <c r="AZ905" s="1"/>
      <c r="BB905" s="203"/>
      <c r="BC905" s="203"/>
      <c r="BD905" s="1"/>
      <c r="BE905" s="1"/>
      <c r="BF905" s="1"/>
    </row>
    <row r="906" spans="1:58" ht="12.75" customHeight="1">
      <c r="B906" s="8"/>
      <c r="H906" s="272" t="s">
        <v>2643</v>
      </c>
      <c r="I906" s="5"/>
      <c r="J906" s="5"/>
      <c r="K906" s="5"/>
      <c r="L906" s="5"/>
      <c r="M906" s="5"/>
      <c r="N906" s="5"/>
      <c r="O906" s="5"/>
      <c r="P906" s="5"/>
      <c r="Q906" s="5"/>
      <c r="R906" s="5"/>
      <c r="S906" s="5"/>
      <c r="T906" s="5"/>
      <c r="U906" s="5"/>
      <c r="V906" s="5"/>
      <c r="W906" s="5"/>
      <c r="X906" s="5"/>
      <c r="Y906" s="321"/>
      <c r="Z906" s="978"/>
      <c r="AA906" s="921"/>
      <c r="AB906" s="921"/>
      <c r="AC906" s="921"/>
      <c r="AD906" s="921"/>
      <c r="AE906" s="943"/>
      <c r="AF906" s="803"/>
      <c r="AZ906" s="1"/>
      <c r="BB906" s="203"/>
      <c r="BC906" s="406"/>
      <c r="BD906" s="1001"/>
      <c r="BE906" s="893"/>
      <c r="BF906" s="1"/>
    </row>
    <row r="907" spans="1:58" ht="12.75" customHeight="1">
      <c r="H907" s="272" t="s">
        <v>2644</v>
      </c>
      <c r="I907" s="5"/>
      <c r="J907" s="5"/>
      <c r="K907" s="5"/>
      <c r="L907" s="5"/>
      <c r="M907" s="5"/>
      <c r="N907" s="5"/>
      <c r="O907" s="5"/>
      <c r="P907" s="5"/>
      <c r="Q907" s="5"/>
      <c r="R907" s="5"/>
      <c r="S907" s="5"/>
      <c r="T907" s="5"/>
      <c r="U907" s="5"/>
      <c r="V907" s="5"/>
      <c r="W907" s="5"/>
      <c r="X907" s="5"/>
      <c r="Y907" s="5"/>
      <c r="Z907" s="978"/>
      <c r="AA907" s="921"/>
      <c r="AB907" s="921"/>
      <c r="AC907" s="921"/>
      <c r="AD907" s="921"/>
      <c r="AE907" s="943"/>
      <c r="AZ907" s="1"/>
      <c r="BB907" s="203"/>
      <c r="BC907" s="406"/>
      <c r="BD907" s="1001"/>
      <c r="BE907" s="893"/>
      <c r="BF907" s="1"/>
    </row>
    <row r="908" spans="1:58" ht="12.75" customHeight="1">
      <c r="H908" s="272" t="s">
        <v>2645</v>
      </c>
      <c r="I908" s="5"/>
      <c r="J908" s="5"/>
      <c r="K908" s="5"/>
      <c r="L908" s="5"/>
      <c r="M908" s="5"/>
      <c r="N908" s="5"/>
      <c r="O908" s="5"/>
      <c r="P908" s="5"/>
      <c r="Q908" s="5"/>
      <c r="R908" s="5"/>
      <c r="S908" s="5"/>
      <c r="T908" s="5"/>
      <c r="U908" s="5"/>
      <c r="V908" s="5"/>
      <c r="W908" s="5"/>
      <c r="X908" s="5"/>
      <c r="Y908" s="5"/>
      <c r="Z908" s="978"/>
      <c r="AA908" s="921"/>
      <c r="AB908" s="921"/>
      <c r="AC908" s="921"/>
      <c r="AD908" s="921"/>
      <c r="AE908" s="943"/>
      <c r="AZ908" s="1"/>
      <c r="BB908" s="203"/>
      <c r="BC908" s="406"/>
      <c r="BD908" s="981"/>
      <c r="BE908" s="893"/>
      <c r="BF908" s="1"/>
    </row>
    <row r="909" spans="1:58" ht="12.75" customHeight="1">
      <c r="H909" s="272"/>
      <c r="I909" s="5"/>
      <c r="J909" s="5"/>
      <c r="K909" s="5"/>
      <c r="L909" s="5"/>
      <c r="M909" s="5"/>
      <c r="N909" s="5"/>
      <c r="O909" s="5"/>
      <c r="P909" s="5"/>
      <c r="Q909" s="5"/>
      <c r="R909" s="5"/>
      <c r="S909" s="5"/>
      <c r="T909" s="5"/>
      <c r="U909" s="5"/>
      <c r="V909" s="5"/>
      <c r="W909" s="5"/>
      <c r="X909" s="5"/>
      <c r="Y909" s="815" t="s">
        <v>2646</v>
      </c>
      <c r="Z909" s="1000">
        <f>Z906-(Z907+Z908)</f>
        <v>0</v>
      </c>
      <c r="AA909" s="921"/>
      <c r="AB909" s="921"/>
      <c r="AC909" s="921"/>
      <c r="AD909" s="921"/>
      <c r="AE909" s="943"/>
      <c r="AZ909" s="1"/>
      <c r="BB909" s="203"/>
      <c r="BC909" s="406"/>
      <c r="BD909" s="981"/>
      <c r="BE909" s="893"/>
      <c r="BF909" s="1"/>
    </row>
    <row r="910" spans="1:58" ht="12.75" customHeight="1">
      <c r="C910" s="24"/>
      <c r="D910" s="7"/>
      <c r="E910" s="132"/>
      <c r="F910" s="132"/>
      <c r="G910" s="132"/>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32"/>
      <c r="AZ910" s="1"/>
      <c r="BB910" s="203"/>
      <c r="BC910" s="406"/>
      <c r="BD910" s="981"/>
      <c r="BE910" s="893"/>
      <c r="BF910" s="1"/>
    </row>
    <row r="911" spans="1:58" ht="12.75" customHeight="1">
      <c r="C911" s="32" t="s">
        <v>2647</v>
      </c>
      <c r="D911" s="64"/>
      <c r="E911" s="132"/>
      <c r="F911" s="132"/>
      <c r="G911" s="132"/>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32"/>
      <c r="AZ911" s="1"/>
      <c r="BB911" s="203"/>
      <c r="BC911" s="406"/>
      <c r="BD911" s="1001"/>
      <c r="BE911" s="893"/>
      <c r="BF911" s="1"/>
    </row>
    <row r="912" spans="1:58" ht="12.75" customHeight="1">
      <c r="C912" s="817" t="s">
        <v>2649</v>
      </c>
      <c r="D912" s="64"/>
      <c r="E912" s="132"/>
      <c r="F912" s="132"/>
      <c r="G912" s="132"/>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32"/>
      <c r="AV912" s="191"/>
      <c r="AW912" s="191"/>
      <c r="AX912" s="191"/>
      <c r="AY912" s="191"/>
      <c r="AZ912" s="1"/>
      <c r="BB912" s="203"/>
      <c r="BC912" s="406"/>
      <c r="BD912" s="1002"/>
      <c r="BE912" s="893"/>
      <c r="BF912" s="893"/>
    </row>
    <row r="913" spans="1:58" ht="12.75" customHeight="1">
      <c r="C913" s="817" t="s">
        <v>2652</v>
      </c>
      <c r="D913" s="64"/>
      <c r="E913" s="132"/>
      <c r="F913" s="132"/>
      <c r="G913" s="132"/>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32"/>
      <c r="AV913" s="191"/>
      <c r="AW913" s="191"/>
      <c r="AX913" s="191"/>
      <c r="AY913" s="191"/>
      <c r="AZ913" s="1"/>
      <c r="BB913" s="203"/>
      <c r="BC913" s="406"/>
      <c r="BD913" s="1003"/>
      <c r="BE913" s="893"/>
      <c r="BF913" s="893"/>
    </row>
    <row r="914" spans="1:58" ht="12.75" customHeight="1">
      <c r="C914" s="1" t="s">
        <v>2658</v>
      </c>
      <c r="D914" s="64"/>
      <c r="E914" s="132"/>
      <c r="F914" s="132"/>
      <c r="G914" s="132"/>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32"/>
      <c r="AV914" s="191"/>
      <c r="AW914" s="191"/>
      <c r="AX914" s="191"/>
      <c r="AY914" s="191"/>
      <c r="AZ914" s="1"/>
      <c r="BB914" s="203"/>
      <c r="BC914" s="406"/>
      <c r="BD914" s="981"/>
      <c r="BE914" s="893"/>
      <c r="BF914" s="1"/>
    </row>
    <row r="915" spans="1:58" ht="12.75" customHeight="1">
      <c r="D915" s="6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V915" s="191"/>
      <c r="AW915" s="191"/>
      <c r="AX915" s="191"/>
      <c r="AY915" s="191"/>
      <c r="AZ915" s="1"/>
      <c r="BB915" s="203"/>
      <c r="BC915" s="406"/>
      <c r="BD915" s="1001"/>
      <c r="BE915" s="893"/>
      <c r="BF915" s="1"/>
    </row>
    <row r="916" spans="1:58" ht="12.75" customHeight="1">
      <c r="AZ916" s="1"/>
      <c r="BB916" s="203"/>
      <c r="BC916" s="406"/>
    </row>
    <row r="917" spans="1:58" ht="12.75" customHeight="1">
      <c r="A917" s="988" t="s">
        <v>2665</v>
      </c>
      <c r="B917" s="901"/>
      <c r="C917" s="901"/>
      <c r="D917" s="901"/>
      <c r="E917" s="901"/>
      <c r="F917" s="901"/>
      <c r="G917" s="901"/>
      <c r="H917" s="901"/>
      <c r="I917" s="901"/>
      <c r="J917" s="901"/>
      <c r="K917" s="901"/>
      <c r="L917" s="901"/>
      <c r="M917" s="901"/>
      <c r="N917" s="901"/>
      <c r="O917" s="901"/>
      <c r="P917" s="901"/>
      <c r="Q917" s="901"/>
      <c r="R917" s="901"/>
      <c r="S917" s="901"/>
      <c r="T917" s="901"/>
      <c r="U917" s="901"/>
      <c r="V917" s="901"/>
      <c r="W917" s="901"/>
      <c r="X917" s="901"/>
      <c r="Y917" s="901"/>
      <c r="Z917" s="901"/>
      <c r="AA917" s="901"/>
      <c r="AB917" s="901"/>
      <c r="AC917" s="901"/>
      <c r="AD917" s="901"/>
      <c r="AE917" s="901"/>
      <c r="AF917" s="901"/>
      <c r="AG917" s="901"/>
      <c r="AH917" s="901"/>
      <c r="AI917" s="901"/>
      <c r="AJ917" s="901"/>
      <c r="AK917" s="901"/>
      <c r="AL917" s="901"/>
      <c r="AM917" s="901"/>
      <c r="AN917" s="901"/>
      <c r="AO917" s="901"/>
      <c r="AP917" s="901"/>
      <c r="AQ917" s="901"/>
      <c r="AR917" s="901"/>
      <c r="AS917" s="901"/>
      <c r="AT917" s="902"/>
      <c r="AZ917" s="1"/>
      <c r="BA917" s="1"/>
      <c r="BB917" s="203"/>
      <c r="BC917" s="203"/>
      <c r="BD917" s="1001"/>
      <c r="BE917" s="893"/>
      <c r="BF917" s="829"/>
    </row>
    <row r="918" spans="1:58" ht="12.75" customHeight="1">
      <c r="A918" s="989"/>
      <c r="B918" s="990"/>
      <c r="C918" s="990"/>
      <c r="D918" s="990"/>
      <c r="E918" s="990"/>
      <c r="F918" s="990"/>
      <c r="G918" s="990"/>
      <c r="H918" s="990"/>
      <c r="I918" s="990"/>
      <c r="J918" s="990"/>
      <c r="K918" s="990"/>
      <c r="L918" s="990"/>
      <c r="M918" s="990"/>
      <c r="N918" s="990"/>
      <c r="O918" s="990"/>
      <c r="P918" s="990"/>
      <c r="Q918" s="990"/>
      <c r="R918" s="990"/>
      <c r="S918" s="990"/>
      <c r="T918" s="990"/>
      <c r="U918" s="990"/>
      <c r="V918" s="990"/>
      <c r="W918" s="990"/>
      <c r="X918" s="990"/>
      <c r="Y918" s="990"/>
      <c r="Z918" s="990"/>
      <c r="AA918" s="990"/>
      <c r="AB918" s="990"/>
      <c r="AC918" s="990"/>
      <c r="AD918" s="990"/>
      <c r="AE918" s="990"/>
      <c r="AF918" s="990"/>
      <c r="AG918" s="990"/>
      <c r="AH918" s="990"/>
      <c r="AI918" s="990"/>
      <c r="AJ918" s="990"/>
      <c r="AK918" s="990"/>
      <c r="AL918" s="990"/>
      <c r="AM918" s="990"/>
      <c r="AN918" s="990"/>
      <c r="AO918" s="990"/>
      <c r="AP918" s="990"/>
      <c r="AQ918" s="990"/>
      <c r="AR918" s="990"/>
      <c r="AS918" s="990"/>
      <c r="AT918" s="991"/>
      <c r="AZ918" s="1"/>
      <c r="BA918" s="1"/>
      <c r="BB918" s="1"/>
      <c r="BC918" s="1"/>
      <c r="BD918" s="1"/>
      <c r="BE918" s="1"/>
      <c r="BF918" s="1"/>
    </row>
    <row r="919" spans="1:58" ht="12.75" customHeight="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191"/>
      <c r="AE919" s="191"/>
      <c r="AF919" s="191"/>
      <c r="AG919" s="191"/>
      <c r="AH919" s="191"/>
      <c r="AI919" s="191"/>
      <c r="AJ919" s="191"/>
      <c r="AK919" s="191"/>
      <c r="AL919" s="191"/>
      <c r="AM919" s="191"/>
      <c r="AN919" s="191"/>
      <c r="AO919" s="191"/>
      <c r="AP919" s="191"/>
      <c r="AQ919" s="191"/>
      <c r="AR919" s="191"/>
      <c r="AS919" s="191"/>
      <c r="AT919" s="191"/>
      <c r="AZ919" s="1"/>
      <c r="BA919" s="1"/>
      <c r="BB919" s="1"/>
      <c r="BC919" s="1"/>
      <c r="BD919" s="1"/>
      <c r="BE919" s="1"/>
      <c r="BF919" s="1"/>
    </row>
    <row r="920" spans="1:58" ht="12.75" customHeight="1">
      <c r="A920" s="8" t="s">
        <v>947</v>
      </c>
      <c r="C920" s="8" t="s">
        <v>301</v>
      </c>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191"/>
      <c r="AE920" s="191"/>
      <c r="AF920" s="191"/>
      <c r="AG920" s="191"/>
      <c r="AH920" s="191"/>
      <c r="AI920" s="191"/>
      <c r="AJ920" s="191"/>
      <c r="AK920" s="191"/>
      <c r="AL920" s="191"/>
      <c r="AM920" s="191"/>
      <c r="AN920" s="191"/>
      <c r="AO920" s="191"/>
      <c r="AP920" s="191"/>
      <c r="AQ920" s="191"/>
      <c r="AR920" s="191"/>
      <c r="AS920" s="191"/>
      <c r="AT920" s="191"/>
      <c r="AZ920" s="1"/>
      <c r="BB920" s="1"/>
      <c r="BC920" s="1"/>
      <c r="BD920" s="1"/>
      <c r="BE920" s="1"/>
      <c r="BF920" s="1"/>
    </row>
    <row r="921" spans="1:58" ht="12.75" customHeight="1">
      <c r="AZ921" s="1"/>
      <c r="BA921" s="1"/>
      <c r="BB921" s="1"/>
      <c r="BC921" s="1"/>
    </row>
    <row r="922" spans="1:58" ht="12.75" customHeight="1">
      <c r="F922" s="992" t="s">
        <v>2666</v>
      </c>
      <c r="G922" s="947"/>
      <c r="H922" s="947"/>
      <c r="I922" s="947"/>
      <c r="J922" s="947"/>
      <c r="K922" s="947"/>
      <c r="L922" s="947"/>
      <c r="M922" s="947"/>
      <c r="N922" s="947"/>
      <c r="O922" s="947"/>
      <c r="P922" s="947"/>
      <c r="Q922" s="947"/>
      <c r="R922" s="947"/>
      <c r="S922" s="947"/>
      <c r="T922" s="948"/>
      <c r="U922" s="993" t="s">
        <v>2667</v>
      </c>
      <c r="V922" s="947"/>
      <c r="W922" s="947"/>
      <c r="X922" s="947"/>
      <c r="Y922" s="947"/>
      <c r="Z922" s="947"/>
      <c r="AA922" s="266"/>
      <c r="AB922" s="246"/>
      <c r="AC922" s="246"/>
      <c r="AD922" s="246"/>
      <c r="AE922" s="246"/>
      <c r="AF922" s="247"/>
      <c r="AZ922" s="1"/>
      <c r="BA922" s="1"/>
      <c r="BB922" s="1"/>
      <c r="BC922" s="1"/>
    </row>
    <row r="923" spans="1:58" ht="12.75" customHeight="1">
      <c r="B923" s="8"/>
      <c r="F923" s="994" t="s">
        <v>2668</v>
      </c>
      <c r="G923" s="893"/>
      <c r="H923" s="893"/>
      <c r="I923" s="893"/>
      <c r="J923" s="893"/>
      <c r="K923" s="893"/>
      <c r="L923" s="893"/>
      <c r="M923" s="893"/>
      <c r="N923" s="893"/>
      <c r="O923" s="893"/>
      <c r="P923" s="893"/>
      <c r="Q923" s="893"/>
      <c r="R923" s="893"/>
      <c r="S923" s="893"/>
      <c r="T923" s="959"/>
      <c r="U923" s="958"/>
      <c r="V923" s="893"/>
      <c r="W923" s="893"/>
      <c r="X923" s="893"/>
      <c r="Y923" s="893"/>
      <c r="Z923" s="893"/>
      <c r="AA923" s="830"/>
      <c r="AB923" s="1"/>
      <c r="AC923" s="1"/>
      <c r="AD923" s="1"/>
      <c r="AE923" s="1"/>
      <c r="AF923" s="249"/>
      <c r="AZ923" s="1"/>
      <c r="BA923" s="1"/>
      <c r="BB923" s="1"/>
      <c r="BC923" s="1"/>
    </row>
    <row r="924" spans="1:58" ht="12.75" customHeight="1">
      <c r="B924" s="8"/>
      <c r="F924" s="960"/>
      <c r="G924" s="961"/>
      <c r="H924" s="961"/>
      <c r="I924" s="961"/>
      <c r="J924" s="961"/>
      <c r="K924" s="961"/>
      <c r="L924" s="961"/>
      <c r="M924" s="961"/>
      <c r="N924" s="961"/>
      <c r="O924" s="961"/>
      <c r="P924" s="961"/>
      <c r="Q924" s="961"/>
      <c r="R924" s="961"/>
      <c r="S924" s="961"/>
      <c r="T924" s="962"/>
      <c r="U924" s="960"/>
      <c r="V924" s="961"/>
      <c r="W924" s="961"/>
      <c r="X924" s="961"/>
      <c r="Y924" s="961"/>
      <c r="Z924" s="961"/>
      <c r="AA924" s="268"/>
      <c r="AB924" s="995" t="s">
        <v>2669</v>
      </c>
      <c r="AC924" s="961"/>
      <c r="AD924" s="961"/>
      <c r="AE924" s="961"/>
      <c r="AF924" s="251"/>
      <c r="AZ924" s="1"/>
      <c r="BA924" s="1"/>
      <c r="BB924" s="1"/>
      <c r="BC924" s="1"/>
    </row>
    <row r="925" spans="1:58" ht="12.75" customHeight="1">
      <c r="B925" s="8"/>
      <c r="F925" s="272" t="s">
        <v>2670</v>
      </c>
      <c r="G925" s="235"/>
      <c r="H925" s="235"/>
      <c r="I925" s="235"/>
      <c r="J925" s="235"/>
      <c r="K925" s="235"/>
      <c r="L925" s="235"/>
      <c r="M925" s="235"/>
      <c r="N925" s="235"/>
      <c r="O925" s="235"/>
      <c r="P925" s="235"/>
      <c r="Q925" s="235"/>
      <c r="R925" s="235"/>
      <c r="S925" s="235"/>
      <c r="T925" s="251"/>
      <c r="U925" s="949" t="s">
        <v>901</v>
      </c>
      <c r="V925" s="921"/>
      <c r="W925" s="921"/>
      <c r="X925" s="921"/>
      <c r="Y925" s="921"/>
      <c r="Z925" s="943"/>
      <c r="AA925" s="979">
        <f>AO635</f>
        <v>28416244</v>
      </c>
      <c r="AB925" s="968"/>
      <c r="AC925" s="968"/>
      <c r="AD925" s="968"/>
      <c r="AE925" s="968"/>
      <c r="AF925" s="980"/>
      <c r="AG925" s="831" t="str">
        <f>IF(NOT(AA925=AW925),"!","")</f>
        <v/>
      </c>
      <c r="AH925" s="1"/>
      <c r="AW925" s="981">
        <f>SUMIF($M$562:$M$573,"Loan, Tax-Exempt",$AM$562:$AM$573)</f>
        <v>28416244</v>
      </c>
      <c r="AX925" s="893"/>
      <c r="AY925" s="893"/>
      <c r="AZ925" s="1" t="s">
        <v>2671</v>
      </c>
      <c r="BA925" s="1"/>
      <c r="BB925" s="1"/>
      <c r="BC925" s="1"/>
    </row>
    <row r="926" spans="1:58" ht="12.75" customHeight="1">
      <c r="B926" s="8"/>
      <c r="F926" s="272" t="s">
        <v>2672</v>
      </c>
      <c r="G926" s="235"/>
      <c r="H926" s="235"/>
      <c r="I926" s="235"/>
      <c r="J926" s="235"/>
      <c r="K926" s="235"/>
      <c r="L926" s="235"/>
      <c r="M926" s="235"/>
      <c r="N926" s="235"/>
      <c r="O926" s="235"/>
      <c r="P926" s="235"/>
      <c r="Q926" s="235"/>
      <c r="R926" s="235"/>
      <c r="S926" s="235"/>
      <c r="T926" s="251"/>
      <c r="U926" s="949" t="s">
        <v>901</v>
      </c>
      <c r="V926" s="921"/>
      <c r="W926" s="921"/>
      <c r="X926" s="921"/>
      <c r="Y926" s="921"/>
      <c r="Z926" s="943"/>
      <c r="AA926" s="979">
        <f>AO636</f>
        <v>29135756</v>
      </c>
      <c r="AB926" s="968"/>
      <c r="AC926" s="968"/>
      <c r="AD926" s="968"/>
      <c r="AE926" s="968"/>
      <c r="AF926" s="980"/>
      <c r="AZ926" s="1"/>
      <c r="BA926" s="1"/>
      <c r="BB926" s="1"/>
      <c r="BC926" s="1"/>
    </row>
    <row r="927" spans="1:58" ht="12.75" customHeight="1">
      <c r="F927" s="272" t="s">
        <v>2673</v>
      </c>
      <c r="G927" s="5"/>
      <c r="H927" s="5"/>
      <c r="I927" s="5"/>
      <c r="J927" s="5"/>
      <c r="K927" s="5"/>
      <c r="L927" s="5"/>
      <c r="M927" s="5"/>
      <c r="N927" s="5"/>
      <c r="O927" s="5"/>
      <c r="P927" s="5"/>
      <c r="Q927" s="5"/>
      <c r="R927" s="5"/>
      <c r="S927" s="5"/>
      <c r="T927" s="321"/>
      <c r="U927" s="949" t="s">
        <v>855</v>
      </c>
      <c r="V927" s="921"/>
      <c r="W927" s="921"/>
      <c r="X927" s="921"/>
      <c r="Y927" s="921"/>
      <c r="Z927" s="943"/>
      <c r="AA927" s="979"/>
      <c r="AB927" s="968"/>
      <c r="AC927" s="968"/>
      <c r="AD927" s="968"/>
      <c r="AE927" s="968"/>
      <c r="AF927" s="980"/>
      <c r="AZ927" s="1"/>
      <c r="BA927" s="1"/>
      <c r="BB927" s="1"/>
      <c r="BC927" s="1"/>
    </row>
    <row r="928" spans="1:58" ht="12.75" customHeight="1">
      <c r="F928" s="272" t="s">
        <v>2674</v>
      </c>
      <c r="G928" s="5"/>
      <c r="H928" s="5"/>
      <c r="I928" s="5"/>
      <c r="J928" s="5"/>
      <c r="K928" s="5"/>
      <c r="L928" s="5"/>
      <c r="M928" s="5"/>
      <c r="N928" s="5"/>
      <c r="O928" s="5"/>
      <c r="P928" s="5"/>
      <c r="Q928" s="5"/>
      <c r="R928" s="5"/>
      <c r="S928" s="5"/>
      <c r="T928" s="321"/>
      <c r="U928" s="949" t="s">
        <v>855</v>
      </c>
      <c r="V928" s="921"/>
      <c r="W928" s="921"/>
      <c r="X928" s="921"/>
      <c r="Y928" s="921"/>
      <c r="Z928" s="943"/>
      <c r="AA928" s="979"/>
      <c r="AB928" s="968"/>
      <c r="AC928" s="968"/>
      <c r="AD928" s="968"/>
      <c r="AE928" s="968"/>
      <c r="AF928" s="980"/>
      <c r="AZ928" s="1"/>
      <c r="BA928" s="1"/>
      <c r="BB928" s="1"/>
      <c r="BC928" s="1"/>
    </row>
    <row r="929" spans="6:55" ht="12.75" customHeight="1">
      <c r="F929" s="272" t="s">
        <v>2675</v>
      </c>
      <c r="G929" s="5"/>
      <c r="H929" s="5"/>
      <c r="I929" s="5"/>
      <c r="J929" s="5"/>
      <c r="K929" s="5"/>
      <c r="L929" s="5"/>
      <c r="M929" s="5"/>
      <c r="N929" s="5"/>
      <c r="O929" s="5"/>
      <c r="P929" s="5"/>
      <c r="Q929" s="5"/>
      <c r="R929" s="5"/>
      <c r="S929" s="5"/>
      <c r="T929" s="321"/>
      <c r="U929" s="949" t="s">
        <v>855</v>
      </c>
      <c r="V929" s="921"/>
      <c r="W929" s="921"/>
      <c r="X929" s="921"/>
      <c r="Y929" s="921"/>
      <c r="Z929" s="943"/>
      <c r="AA929" s="979"/>
      <c r="AB929" s="968"/>
      <c r="AC929" s="968"/>
      <c r="AD929" s="968"/>
      <c r="AE929" s="968"/>
      <c r="AF929" s="980"/>
      <c r="AZ929" s="1"/>
      <c r="BA929" s="1"/>
      <c r="BB929" s="1"/>
      <c r="BC929" s="1"/>
    </row>
    <row r="930" spans="6:55" ht="12.75" customHeight="1">
      <c r="F930" s="272" t="s">
        <v>2676</v>
      </c>
      <c r="G930" s="5"/>
      <c r="H930" s="5"/>
      <c r="I930" s="5"/>
      <c r="J930" s="5"/>
      <c r="K930" s="5"/>
      <c r="L930" s="5"/>
      <c r="M930" s="5"/>
      <c r="N930" s="5"/>
      <c r="O930" s="5"/>
      <c r="P930" s="5"/>
      <c r="Q930" s="5"/>
      <c r="R930" s="5"/>
      <c r="S930" s="5"/>
      <c r="T930" s="321"/>
      <c r="U930" s="949" t="s">
        <v>855</v>
      </c>
      <c r="V930" s="921"/>
      <c r="W930" s="921"/>
      <c r="X930" s="921"/>
      <c r="Y930" s="921"/>
      <c r="Z930" s="943"/>
      <c r="AA930" s="979"/>
      <c r="AB930" s="968"/>
      <c r="AC930" s="968"/>
      <c r="AD930" s="968"/>
      <c r="AE930" s="968"/>
      <c r="AF930" s="980"/>
      <c r="AZ930" s="1"/>
      <c r="BA930" s="1"/>
      <c r="BB930" s="1"/>
      <c r="BC930" s="1"/>
    </row>
    <row r="931" spans="6:55" ht="12.75" customHeight="1">
      <c r="F931" s="272" t="s">
        <v>2677</v>
      </c>
      <c r="G931" s="5"/>
      <c r="H931" s="5"/>
      <c r="I931" s="5"/>
      <c r="J931" s="5"/>
      <c r="K931" s="5"/>
      <c r="L931" s="5"/>
      <c r="M931" s="5"/>
      <c r="N931" s="5"/>
      <c r="O931" s="5"/>
      <c r="P931" s="5"/>
      <c r="Q931" s="5"/>
      <c r="R931" s="5"/>
      <c r="S931" s="5"/>
      <c r="T931" s="321"/>
      <c r="U931" s="949" t="s">
        <v>855</v>
      </c>
      <c r="V931" s="921"/>
      <c r="W931" s="921"/>
      <c r="X931" s="921"/>
      <c r="Y931" s="921"/>
      <c r="Z931" s="943"/>
      <c r="AA931" s="979"/>
      <c r="AB931" s="968"/>
      <c r="AC931" s="968"/>
      <c r="AD931" s="968"/>
      <c r="AE931" s="968"/>
      <c r="AF931" s="980"/>
      <c r="AZ931" s="1"/>
      <c r="BA931" s="1"/>
      <c r="BB931" s="1"/>
      <c r="BC931" s="1"/>
    </row>
    <row r="932" spans="6:55" ht="12.75" customHeight="1">
      <c r="F932" s="272" t="s">
        <v>2678</v>
      </c>
      <c r="G932" s="5"/>
      <c r="H932" s="5"/>
      <c r="I932" s="5"/>
      <c r="J932" s="5"/>
      <c r="K932" s="5"/>
      <c r="L932" s="5"/>
      <c r="M932" s="5"/>
      <c r="N932" s="5"/>
      <c r="O932" s="5"/>
      <c r="P932" s="5"/>
      <c r="Q932" s="5"/>
      <c r="R932" s="5"/>
      <c r="S932" s="5"/>
      <c r="T932" s="321"/>
      <c r="U932" s="949" t="s">
        <v>855</v>
      </c>
      <c r="V932" s="921"/>
      <c r="W932" s="921"/>
      <c r="X932" s="921"/>
      <c r="Y932" s="921"/>
      <c r="Z932" s="943"/>
      <c r="AA932" s="979"/>
      <c r="AB932" s="968"/>
      <c r="AC932" s="968"/>
      <c r="AD932" s="968"/>
      <c r="AE932" s="968"/>
      <c r="AF932" s="980"/>
      <c r="AZ932" s="1"/>
      <c r="BA932" s="1"/>
      <c r="BB932" s="1"/>
      <c r="BC932" s="1"/>
    </row>
    <row r="933" spans="6:55" ht="12.75" customHeight="1">
      <c r="F933" s="996" t="s">
        <v>2679</v>
      </c>
      <c r="G933" s="921"/>
      <c r="H933" s="921"/>
      <c r="I933" s="921"/>
      <c r="J933" s="921"/>
      <c r="K933" s="921"/>
      <c r="L933" s="921"/>
      <c r="M933" s="921"/>
      <c r="N933" s="921"/>
      <c r="O933" s="921"/>
      <c r="P933" s="921"/>
      <c r="Q933" s="921"/>
      <c r="R933" s="921"/>
      <c r="S933" s="921"/>
      <c r="T933" s="943"/>
      <c r="U933" s="949" t="s">
        <v>855</v>
      </c>
      <c r="V933" s="921"/>
      <c r="W933" s="921"/>
      <c r="X933" s="921"/>
      <c r="Y933" s="921"/>
      <c r="Z933" s="943"/>
      <c r="AA933" s="979"/>
      <c r="AB933" s="968"/>
      <c r="AC933" s="968"/>
      <c r="AD933" s="968"/>
      <c r="AE933" s="968"/>
      <c r="AF933" s="980"/>
      <c r="AZ933" s="1"/>
      <c r="BA933" s="1"/>
      <c r="BB933" s="1"/>
      <c r="BC933" s="1"/>
    </row>
    <row r="934" spans="6:55" ht="12.75" customHeight="1">
      <c r="F934" s="996" t="s">
        <v>2680</v>
      </c>
      <c r="G934" s="921"/>
      <c r="H934" s="921"/>
      <c r="I934" s="921"/>
      <c r="J934" s="921"/>
      <c r="K934" s="921"/>
      <c r="L934" s="921"/>
      <c r="M934" s="921"/>
      <c r="N934" s="921"/>
      <c r="O934" s="921"/>
      <c r="P934" s="921"/>
      <c r="Q934" s="921"/>
      <c r="R934" s="921"/>
      <c r="S934" s="921"/>
      <c r="T934" s="943"/>
      <c r="U934" s="949" t="s">
        <v>855</v>
      </c>
      <c r="V934" s="921"/>
      <c r="W934" s="921"/>
      <c r="X934" s="921"/>
      <c r="Y934" s="921"/>
      <c r="Z934" s="943"/>
      <c r="AA934" s="979"/>
      <c r="AB934" s="968"/>
      <c r="AC934" s="968"/>
      <c r="AD934" s="968"/>
      <c r="AE934" s="968"/>
      <c r="AF934" s="980"/>
      <c r="AU934" s="8"/>
      <c r="AZ934" s="1"/>
      <c r="BA934" s="1"/>
      <c r="BB934" s="1"/>
      <c r="BC934" s="1"/>
    </row>
    <row r="935" spans="6:55" ht="12.75" customHeight="1">
      <c r="F935" s="996" t="s">
        <v>2681</v>
      </c>
      <c r="G935" s="921"/>
      <c r="H935" s="921"/>
      <c r="I935" s="921"/>
      <c r="J935" s="921"/>
      <c r="K935" s="921"/>
      <c r="L935" s="921"/>
      <c r="M935" s="921"/>
      <c r="N935" s="921"/>
      <c r="O935" s="921"/>
      <c r="P935" s="921"/>
      <c r="Q935" s="921"/>
      <c r="R935" s="921"/>
      <c r="S935" s="921"/>
      <c r="T935" s="943"/>
      <c r="U935" s="949" t="s">
        <v>855</v>
      </c>
      <c r="V935" s="921"/>
      <c r="W935" s="921"/>
      <c r="X935" s="921"/>
      <c r="Y935" s="921"/>
      <c r="Z935" s="943"/>
      <c r="AA935" s="979"/>
      <c r="AB935" s="968"/>
      <c r="AC935" s="968"/>
      <c r="AD935" s="968"/>
      <c r="AE935" s="968"/>
      <c r="AF935" s="980"/>
      <c r="AU935" s="8"/>
      <c r="AZ935" s="1"/>
      <c r="BA935" s="1"/>
      <c r="BB935" s="1"/>
      <c r="BC935" s="1"/>
    </row>
    <row r="936" spans="6:55" ht="12.75" customHeight="1">
      <c r="F936" s="996" t="s">
        <v>2682</v>
      </c>
      <c r="G936" s="921"/>
      <c r="H936" s="921"/>
      <c r="I936" s="921"/>
      <c r="J936" s="921"/>
      <c r="K936" s="921"/>
      <c r="L936" s="921"/>
      <c r="M936" s="921"/>
      <c r="N936" s="921"/>
      <c r="O936" s="921"/>
      <c r="P936" s="921"/>
      <c r="Q936" s="921"/>
      <c r="R936" s="921"/>
      <c r="S936" s="921"/>
      <c r="T936" s="943"/>
      <c r="U936" s="949" t="s">
        <v>855</v>
      </c>
      <c r="V936" s="921"/>
      <c r="W936" s="921"/>
      <c r="X936" s="921"/>
      <c r="Y936" s="921"/>
      <c r="Z936" s="943"/>
      <c r="AA936" s="979"/>
      <c r="AB936" s="968"/>
      <c r="AC936" s="968"/>
      <c r="AD936" s="968"/>
      <c r="AE936" s="968"/>
      <c r="AF936" s="980"/>
      <c r="AU936" s="8"/>
      <c r="AZ936" s="1"/>
      <c r="BA936" s="1"/>
      <c r="BB936" s="1"/>
      <c r="BC936" s="1"/>
    </row>
    <row r="937" spans="6:55" ht="12.75" customHeight="1">
      <c r="F937" s="996" t="s">
        <v>2683</v>
      </c>
      <c r="G937" s="921"/>
      <c r="H937" s="921"/>
      <c r="I937" s="921"/>
      <c r="J937" s="921"/>
      <c r="K937" s="921"/>
      <c r="L937" s="921"/>
      <c r="M937" s="921"/>
      <c r="N937" s="921"/>
      <c r="O937" s="921"/>
      <c r="P937" s="921"/>
      <c r="Q937" s="921"/>
      <c r="R937" s="921"/>
      <c r="S937" s="921"/>
      <c r="T937" s="943"/>
      <c r="U937" s="949" t="s">
        <v>855</v>
      </c>
      <c r="V937" s="921"/>
      <c r="W937" s="921"/>
      <c r="X937" s="921"/>
      <c r="Y937" s="921"/>
      <c r="Z937" s="943"/>
      <c r="AA937" s="979"/>
      <c r="AB937" s="968"/>
      <c r="AC937" s="968"/>
      <c r="AD937" s="968"/>
      <c r="AE937" s="968"/>
      <c r="AF937" s="980"/>
      <c r="AU937" s="8"/>
      <c r="AZ937" s="1"/>
      <c r="BA937" s="1"/>
      <c r="BB937" s="1"/>
      <c r="BC937" s="1"/>
    </row>
    <row r="938" spans="6:55" ht="12.75" customHeight="1">
      <c r="F938" s="996" t="s">
        <v>2684</v>
      </c>
      <c r="G938" s="921"/>
      <c r="H938" s="921"/>
      <c r="I938" s="921"/>
      <c r="J938" s="921"/>
      <c r="K938" s="921"/>
      <c r="L938" s="921"/>
      <c r="M938" s="921"/>
      <c r="N938" s="921"/>
      <c r="O938" s="921"/>
      <c r="P938" s="921"/>
      <c r="Q938" s="921"/>
      <c r="R938" s="921"/>
      <c r="S938" s="921"/>
      <c r="T938" s="943"/>
      <c r="U938" s="949" t="s">
        <v>855</v>
      </c>
      <c r="V938" s="921"/>
      <c r="W938" s="921"/>
      <c r="X938" s="921"/>
      <c r="Y938" s="921"/>
      <c r="Z938" s="943"/>
      <c r="AA938" s="979"/>
      <c r="AB938" s="968"/>
      <c r="AC938" s="968"/>
      <c r="AD938" s="968"/>
      <c r="AE938" s="968"/>
      <c r="AF938" s="980"/>
      <c r="AU938" s="8"/>
      <c r="AZ938" s="1"/>
      <c r="BA938" s="1"/>
      <c r="BB938" s="1"/>
      <c r="BC938" s="1"/>
    </row>
    <row r="939" spans="6:55" ht="12.75" customHeight="1">
      <c r="F939" s="996" t="s">
        <v>2685</v>
      </c>
      <c r="G939" s="921"/>
      <c r="H939" s="921"/>
      <c r="I939" s="921"/>
      <c r="J939" s="921"/>
      <c r="K939" s="921"/>
      <c r="L939" s="921"/>
      <c r="M939" s="921"/>
      <c r="N939" s="921"/>
      <c r="O939" s="921"/>
      <c r="P939" s="921"/>
      <c r="Q939" s="921"/>
      <c r="R939" s="921"/>
      <c r="S939" s="921"/>
      <c r="T939" s="943"/>
      <c r="U939" s="949" t="s">
        <v>855</v>
      </c>
      <c r="V939" s="921"/>
      <c r="W939" s="921"/>
      <c r="X939" s="921"/>
      <c r="Y939" s="921"/>
      <c r="Z939" s="943"/>
      <c r="AA939" s="979"/>
      <c r="AB939" s="968"/>
      <c r="AC939" s="968"/>
      <c r="AD939" s="968"/>
      <c r="AE939" s="968"/>
      <c r="AF939" s="980"/>
      <c r="AZ939" s="203"/>
      <c r="BA939" s="203"/>
    </row>
    <row r="940" spans="6:55" ht="12.75" customHeight="1">
      <c r="F940" s="835" t="s">
        <v>2686</v>
      </c>
      <c r="G940" s="5"/>
      <c r="H940" s="5"/>
      <c r="I940" s="5"/>
      <c r="J940" s="5"/>
      <c r="K940" s="5"/>
      <c r="L940" s="5"/>
      <c r="M940" s="5"/>
      <c r="N940" s="5"/>
      <c r="O940" s="5"/>
      <c r="P940" s="5"/>
      <c r="Q940" s="5"/>
      <c r="R940" s="5"/>
      <c r="S940" s="5"/>
      <c r="T940" s="321"/>
      <c r="U940" s="949" t="s">
        <v>855</v>
      </c>
      <c r="V940" s="921"/>
      <c r="W940" s="921"/>
      <c r="X940" s="921"/>
      <c r="Y940" s="921"/>
      <c r="Z940" s="943"/>
      <c r="AA940" s="979"/>
      <c r="AB940" s="968"/>
      <c r="AC940" s="968"/>
      <c r="AD940" s="968"/>
      <c r="AE940" s="968"/>
      <c r="AF940" s="980"/>
    </row>
    <row r="941" spans="6:55" ht="12.75" customHeight="1">
      <c r="F941" s="272" t="s">
        <v>2687</v>
      </c>
      <c r="G941" s="5"/>
      <c r="H941" s="5"/>
      <c r="I941" s="5"/>
      <c r="J941" s="5"/>
      <c r="K941" s="5"/>
      <c r="L941" s="5"/>
      <c r="M941" s="5"/>
      <c r="N941" s="5"/>
      <c r="O941" s="5"/>
      <c r="P941" s="5"/>
      <c r="Q941" s="5"/>
      <c r="R941" s="5"/>
      <c r="S941" s="5"/>
      <c r="T941" s="321"/>
      <c r="U941" s="949" t="s">
        <v>855</v>
      </c>
      <c r="V941" s="921"/>
      <c r="W941" s="921"/>
      <c r="X941" s="921"/>
      <c r="Y941" s="921"/>
      <c r="Z941" s="943"/>
      <c r="AA941" s="979"/>
      <c r="AB941" s="968"/>
      <c r="AC941" s="968"/>
      <c r="AD941" s="968"/>
      <c r="AE941" s="968"/>
      <c r="AF941" s="980"/>
      <c r="AZ941" s="203"/>
      <c r="BA941" s="1"/>
    </row>
    <row r="942" spans="6:55" ht="12.75" customHeight="1">
      <c r="F942" s="272" t="s">
        <v>2688</v>
      </c>
      <c r="G942" s="5"/>
      <c r="H942" s="5"/>
      <c r="I942" s="5"/>
      <c r="J942" s="5"/>
      <c r="K942" s="5"/>
      <c r="L942" s="5"/>
      <c r="M942" s="5"/>
      <c r="N942" s="5"/>
      <c r="O942" s="5"/>
      <c r="P942" s="5"/>
      <c r="Q942" s="5"/>
      <c r="R942" s="5"/>
      <c r="S942" s="5"/>
      <c r="T942" s="321"/>
      <c r="U942" s="949" t="s">
        <v>855</v>
      </c>
      <c r="V942" s="921"/>
      <c r="W942" s="921"/>
      <c r="X942" s="921"/>
      <c r="Y942" s="921"/>
      <c r="Z942" s="943"/>
      <c r="AA942" s="979"/>
      <c r="AB942" s="968"/>
      <c r="AC942" s="968"/>
      <c r="AD942" s="968"/>
      <c r="AE942" s="968"/>
      <c r="AF942" s="980"/>
      <c r="AZ942" s="203"/>
      <c r="BA942" s="1"/>
    </row>
    <row r="943" spans="6:55" ht="12.75" customHeight="1">
      <c r="F943" s="996" t="s">
        <v>2689</v>
      </c>
      <c r="G943" s="921"/>
      <c r="H943" s="921"/>
      <c r="I943" s="921"/>
      <c r="J943" s="921"/>
      <c r="K943" s="921"/>
      <c r="L943" s="921"/>
      <c r="M943" s="921"/>
      <c r="N943" s="921"/>
      <c r="O943" s="921"/>
      <c r="P943" s="921"/>
      <c r="Q943" s="921"/>
      <c r="R943" s="921"/>
      <c r="S943" s="921"/>
      <c r="T943" s="943"/>
      <c r="U943" s="949" t="s">
        <v>855</v>
      </c>
      <c r="V943" s="921"/>
      <c r="W943" s="921"/>
      <c r="X943" s="921"/>
      <c r="Y943" s="921"/>
      <c r="Z943" s="943"/>
      <c r="AA943" s="979"/>
      <c r="AB943" s="968"/>
      <c r="AC943" s="968"/>
      <c r="AD943" s="968"/>
      <c r="AE943" s="968"/>
      <c r="AF943" s="980"/>
      <c r="AZ943" s="203"/>
      <c r="BA943" s="1"/>
    </row>
    <row r="944" spans="6:55" ht="12.75" customHeight="1">
      <c r="F944" s="996" t="s">
        <v>2690</v>
      </c>
      <c r="G944" s="921"/>
      <c r="H944" s="921"/>
      <c r="I944" s="921"/>
      <c r="J944" s="921"/>
      <c r="K944" s="921"/>
      <c r="L944" s="921"/>
      <c r="M944" s="921"/>
      <c r="N944" s="921"/>
      <c r="O944" s="921"/>
      <c r="P944" s="921"/>
      <c r="Q944" s="921"/>
      <c r="R944" s="921"/>
      <c r="S944" s="921"/>
      <c r="T944" s="943"/>
      <c r="U944" s="949" t="s">
        <v>855</v>
      </c>
      <c r="V944" s="921"/>
      <c r="W944" s="921"/>
      <c r="X944" s="921"/>
      <c r="Y944" s="921"/>
      <c r="Z944" s="943"/>
      <c r="AA944" s="979"/>
      <c r="AB944" s="968"/>
      <c r="AC944" s="968"/>
      <c r="AD944" s="968"/>
      <c r="AE944" s="968"/>
      <c r="AF944" s="980"/>
      <c r="AZ944" s="203"/>
      <c r="BA944" s="203"/>
    </row>
    <row r="945" spans="1:55" ht="12.75" customHeight="1">
      <c r="F945" s="996" t="s">
        <v>2691</v>
      </c>
      <c r="G945" s="921"/>
      <c r="H945" s="921"/>
      <c r="I945" s="921"/>
      <c r="J945" s="921"/>
      <c r="K945" s="921"/>
      <c r="L945" s="921"/>
      <c r="M945" s="921"/>
      <c r="N945" s="921"/>
      <c r="O945" s="921"/>
      <c r="P945" s="921"/>
      <c r="Q945" s="921"/>
      <c r="R945" s="921"/>
      <c r="S945" s="921"/>
      <c r="T945" s="943"/>
      <c r="U945" s="949" t="s">
        <v>855</v>
      </c>
      <c r="V945" s="921"/>
      <c r="W945" s="921"/>
      <c r="X945" s="921"/>
      <c r="Y945" s="921"/>
      <c r="Z945" s="943"/>
      <c r="AA945" s="979"/>
      <c r="AB945" s="968"/>
      <c r="AC945" s="968"/>
      <c r="AD945" s="968"/>
      <c r="AE945" s="968"/>
      <c r="AF945" s="980"/>
      <c r="AZ945" s="203"/>
      <c r="BA945" s="203"/>
    </row>
    <row r="946" spans="1:55" ht="12.75" customHeight="1">
      <c r="F946" s="996" t="s">
        <v>2692</v>
      </c>
      <c r="G946" s="921"/>
      <c r="H946" s="921"/>
      <c r="I946" s="921"/>
      <c r="J946" s="921"/>
      <c r="K946" s="921"/>
      <c r="L946" s="921"/>
      <c r="M946" s="921"/>
      <c r="N946" s="921"/>
      <c r="O946" s="921"/>
      <c r="P946" s="921"/>
      <c r="Q946" s="921"/>
      <c r="R946" s="921"/>
      <c r="S946" s="921"/>
      <c r="T946" s="943"/>
      <c r="U946" s="949" t="s">
        <v>855</v>
      </c>
      <c r="V946" s="921"/>
      <c r="W946" s="921"/>
      <c r="X946" s="921"/>
      <c r="Y946" s="921"/>
      <c r="Z946" s="943"/>
      <c r="AA946" s="979"/>
      <c r="AB946" s="968"/>
      <c r="AC946" s="968"/>
      <c r="AD946" s="968"/>
      <c r="AE946" s="968"/>
      <c r="AF946" s="980"/>
      <c r="AZ946" s="203"/>
      <c r="BA946" s="203"/>
    </row>
    <row r="947" spans="1:55" ht="12.75" customHeight="1">
      <c r="F947" s="996" t="s">
        <v>2693</v>
      </c>
      <c r="G947" s="921"/>
      <c r="H947" s="921"/>
      <c r="I947" s="921"/>
      <c r="J947" s="921"/>
      <c r="K947" s="921"/>
      <c r="L947" s="921"/>
      <c r="M947" s="921"/>
      <c r="N947" s="921"/>
      <c r="O947" s="921"/>
      <c r="P947" s="921"/>
      <c r="Q947" s="921"/>
      <c r="R947" s="921"/>
      <c r="S947" s="921"/>
      <c r="T947" s="943"/>
      <c r="U947" s="949" t="s">
        <v>855</v>
      </c>
      <c r="V947" s="921"/>
      <c r="W947" s="921"/>
      <c r="X947" s="921"/>
      <c r="Y947" s="921"/>
      <c r="Z947" s="943"/>
      <c r="AA947" s="979"/>
      <c r="AB947" s="968"/>
      <c r="AC947" s="968"/>
      <c r="AD947" s="968"/>
      <c r="AE947" s="968"/>
      <c r="AF947" s="980"/>
      <c r="AZ947" s="1"/>
      <c r="BA947" s="1"/>
      <c r="BB947" s="1"/>
      <c r="BC947" s="1"/>
    </row>
    <row r="948" spans="1:55" ht="12.75" customHeight="1">
      <c r="F948" s="272" t="s">
        <v>2694</v>
      </c>
      <c r="G948" s="5"/>
      <c r="H948" s="5"/>
      <c r="I948" s="5"/>
      <c r="J948" s="5"/>
      <c r="K948" s="5"/>
      <c r="L948" s="5"/>
      <c r="M948" s="5"/>
      <c r="N948" s="5"/>
      <c r="O948" s="5"/>
      <c r="P948" s="5"/>
      <c r="Q948" s="5"/>
      <c r="R948" s="5"/>
      <c r="S948" s="5"/>
      <c r="T948" s="321"/>
      <c r="U948" s="949" t="s">
        <v>855</v>
      </c>
      <c r="V948" s="921"/>
      <c r="W948" s="921"/>
      <c r="X948" s="921"/>
      <c r="Y948" s="921"/>
      <c r="Z948" s="943"/>
      <c r="AA948" s="979"/>
      <c r="AB948" s="968"/>
      <c r="AC948" s="968"/>
      <c r="AD948" s="968"/>
      <c r="AE948" s="968"/>
      <c r="AF948" s="980"/>
      <c r="AZ948" s="1"/>
      <c r="BA948" s="1"/>
      <c r="BB948" s="1"/>
      <c r="BC948" s="1"/>
    </row>
    <row r="949" spans="1:55" ht="12.75" customHeight="1">
      <c r="F949" s="996" t="s">
        <v>2695</v>
      </c>
      <c r="G949" s="921"/>
      <c r="H949" s="921"/>
      <c r="I949" s="921"/>
      <c r="J949" s="921"/>
      <c r="K949" s="921"/>
      <c r="L949" s="921"/>
      <c r="M949" s="921"/>
      <c r="N949" s="921"/>
      <c r="O949" s="921"/>
      <c r="P949" s="921"/>
      <c r="Q949" s="921"/>
      <c r="R949" s="921"/>
      <c r="S949" s="921"/>
      <c r="T949" s="943"/>
      <c r="U949" s="949" t="s">
        <v>855</v>
      </c>
      <c r="V949" s="921"/>
      <c r="W949" s="921"/>
      <c r="X949" s="921"/>
      <c r="Y949" s="921"/>
      <c r="Z949" s="943"/>
      <c r="AA949" s="979"/>
      <c r="AB949" s="968"/>
      <c r="AC949" s="968"/>
      <c r="AD949" s="968"/>
      <c r="AE949" s="968"/>
      <c r="AF949" s="980"/>
      <c r="AZ949" s="1"/>
      <c r="BA949" s="1"/>
      <c r="BB949" s="1"/>
      <c r="BC949" s="1"/>
    </row>
    <row r="950" spans="1:55" ht="12.75" customHeight="1">
      <c r="F950" s="272" t="s">
        <v>2696</v>
      </c>
      <c r="G950" s="5"/>
      <c r="H950" s="5"/>
      <c r="I950" s="5"/>
      <c r="J950" s="5"/>
      <c r="K950" s="5"/>
      <c r="L950" s="5"/>
      <c r="M950" s="5"/>
      <c r="N950" s="5"/>
      <c r="O950" s="5"/>
      <c r="P950" s="5"/>
      <c r="Q950" s="5"/>
      <c r="R950" s="5"/>
      <c r="S950" s="5"/>
      <c r="T950" s="321"/>
      <c r="U950" s="949" t="s">
        <v>855</v>
      </c>
      <c r="V950" s="921"/>
      <c r="W950" s="921"/>
      <c r="X950" s="921"/>
      <c r="Y950" s="921"/>
      <c r="Z950" s="943"/>
      <c r="AA950" s="979"/>
      <c r="AB950" s="968"/>
      <c r="AC950" s="968"/>
      <c r="AD950" s="968"/>
      <c r="AE950" s="968"/>
      <c r="AF950" s="980"/>
      <c r="AZ950" s="1"/>
      <c r="BA950" s="1"/>
      <c r="BB950" s="1"/>
      <c r="BC950" s="1"/>
    </row>
    <row r="951" spans="1:55" ht="12.75" customHeight="1">
      <c r="F951" s="996" t="s">
        <v>2697</v>
      </c>
      <c r="G951" s="921"/>
      <c r="H951" s="921"/>
      <c r="I951" s="921"/>
      <c r="J951" s="921"/>
      <c r="K951" s="921"/>
      <c r="L951" s="921"/>
      <c r="M951" s="921"/>
      <c r="N951" s="921"/>
      <c r="O951" s="921"/>
      <c r="P951" s="921"/>
      <c r="Q951" s="921"/>
      <c r="R951" s="921"/>
      <c r="S951" s="921"/>
      <c r="T951" s="943"/>
      <c r="U951" s="949" t="s">
        <v>855</v>
      </c>
      <c r="V951" s="921"/>
      <c r="W951" s="921"/>
      <c r="X951" s="921"/>
      <c r="Y951" s="921"/>
      <c r="Z951" s="943"/>
      <c r="AA951" s="979"/>
      <c r="AB951" s="968"/>
      <c r="AC951" s="968"/>
      <c r="AD951" s="968"/>
      <c r="AE951" s="968"/>
      <c r="AF951" s="980"/>
      <c r="AZ951" s="1"/>
      <c r="BA951" s="1"/>
      <c r="BB951" s="1"/>
      <c r="BC951" s="1"/>
    </row>
    <row r="952" spans="1:55" ht="12.75" customHeight="1">
      <c r="F952" s="272" t="s">
        <v>2698</v>
      </c>
      <c r="G952" s="5"/>
      <c r="H952" s="5"/>
      <c r="I952" s="5"/>
      <c r="J952" s="5"/>
      <c r="K952" s="5"/>
      <c r="L952" s="5"/>
      <c r="M952" s="5"/>
      <c r="N952" s="5"/>
      <c r="O952" s="5"/>
      <c r="P952" s="949" t="s">
        <v>460</v>
      </c>
      <c r="Q952" s="921"/>
      <c r="R952" s="921"/>
      <c r="S952" s="921"/>
      <c r="T952" s="943"/>
      <c r="U952" s="949" t="s">
        <v>855</v>
      </c>
      <c r="V952" s="921"/>
      <c r="W952" s="921"/>
      <c r="X952" s="921"/>
      <c r="Y952" s="921"/>
      <c r="Z952" s="943"/>
      <c r="AA952" s="979"/>
      <c r="AB952" s="968"/>
      <c r="AC952" s="968"/>
      <c r="AD952" s="968"/>
      <c r="AE952" s="968"/>
      <c r="AF952" s="980"/>
      <c r="AZ952" s="1"/>
      <c r="BA952" s="1"/>
      <c r="BB952" s="1"/>
      <c r="BC952" s="1"/>
    </row>
    <row r="953" spans="1:55" ht="12.75" customHeight="1">
      <c r="F953" s="996" t="s">
        <v>2699</v>
      </c>
      <c r="G953" s="921"/>
      <c r="H953" s="943"/>
      <c r="I953" s="998" t="s">
        <v>1705</v>
      </c>
      <c r="J953" s="921"/>
      <c r="K953" s="921"/>
      <c r="L953" s="921"/>
      <c r="M953" s="921"/>
      <c r="N953" s="921"/>
      <c r="O953" s="921"/>
      <c r="P953" s="921"/>
      <c r="Q953" s="921"/>
      <c r="R953" s="921"/>
      <c r="S953" s="921"/>
      <c r="T953" s="943"/>
      <c r="U953" s="949" t="s">
        <v>855</v>
      </c>
      <c r="V953" s="921"/>
      <c r="W953" s="921"/>
      <c r="X953" s="921"/>
      <c r="Y953" s="921"/>
      <c r="Z953" s="943"/>
      <c r="AA953" s="979"/>
      <c r="AB953" s="968"/>
      <c r="AC953" s="968"/>
      <c r="AD953" s="968"/>
      <c r="AE953" s="968"/>
      <c r="AF953" s="980"/>
      <c r="AZ953" s="1"/>
      <c r="BA953" s="1"/>
      <c r="BB953" s="1"/>
      <c r="BC953" s="1"/>
    </row>
    <row r="954" spans="1:55" ht="12.75" customHeight="1">
      <c r="F954" s="272" t="s">
        <v>1257</v>
      </c>
      <c r="G954" s="235"/>
      <c r="H954" s="235"/>
      <c r="I954" s="998" t="s">
        <v>1705</v>
      </c>
      <c r="J954" s="921"/>
      <c r="K954" s="921"/>
      <c r="L954" s="921"/>
      <c r="M954" s="921"/>
      <c r="N954" s="921"/>
      <c r="O954" s="921"/>
      <c r="P954" s="921"/>
      <c r="Q954" s="921"/>
      <c r="R954" s="921"/>
      <c r="S954" s="921"/>
      <c r="T954" s="943"/>
      <c r="U954" s="949" t="s">
        <v>855</v>
      </c>
      <c r="V954" s="921"/>
      <c r="W954" s="921"/>
      <c r="X954" s="921"/>
      <c r="Y954" s="921"/>
      <c r="Z954" s="943"/>
      <c r="AA954" s="979"/>
      <c r="AB954" s="968"/>
      <c r="AC954" s="968"/>
      <c r="AD954" s="968"/>
      <c r="AE954" s="968"/>
      <c r="AF954" s="980"/>
      <c r="AZ954" s="1"/>
      <c r="BA954" s="1"/>
      <c r="BB954" s="1"/>
      <c r="BC954" s="1"/>
    </row>
    <row r="955" spans="1:55" ht="12.75" customHeight="1">
      <c r="F955" s="272" t="s">
        <v>2701</v>
      </c>
      <c r="G955" s="235"/>
      <c r="H955" s="235"/>
      <c r="I955" s="998" t="s">
        <v>1705</v>
      </c>
      <c r="J955" s="921"/>
      <c r="K955" s="921"/>
      <c r="L955" s="921"/>
      <c r="M955" s="921"/>
      <c r="N955" s="921"/>
      <c r="O955" s="921"/>
      <c r="P955" s="921"/>
      <c r="Q955" s="921"/>
      <c r="R955" s="921"/>
      <c r="S955" s="921"/>
      <c r="T955" s="943"/>
      <c r="U955" s="949" t="s">
        <v>855</v>
      </c>
      <c r="V955" s="921"/>
      <c r="W955" s="921"/>
      <c r="X955" s="921"/>
      <c r="Y955" s="921"/>
      <c r="Z955" s="943"/>
      <c r="AA955" s="979"/>
      <c r="AB955" s="968"/>
      <c r="AC955" s="968"/>
      <c r="AD955" s="968"/>
      <c r="AE955" s="968"/>
      <c r="AF955" s="980"/>
      <c r="AV955" s="8"/>
      <c r="AW955" s="8"/>
      <c r="AX955" s="8"/>
      <c r="AY955" s="8"/>
      <c r="AZ955" s="1"/>
      <c r="BA955" s="1"/>
      <c r="BB955" s="1"/>
      <c r="BC955" s="1"/>
    </row>
    <row r="956" spans="1:55" ht="12.75" customHeight="1">
      <c r="F956" s="268" t="s">
        <v>289</v>
      </c>
      <c r="G956" s="235"/>
      <c r="H956" s="235"/>
      <c r="I956" s="998" t="s">
        <v>1705</v>
      </c>
      <c r="J956" s="921"/>
      <c r="K956" s="921"/>
      <c r="L956" s="921"/>
      <c r="M956" s="921"/>
      <c r="N956" s="921"/>
      <c r="O956" s="921"/>
      <c r="P956" s="921"/>
      <c r="Q956" s="921"/>
      <c r="R956" s="921"/>
      <c r="S956" s="921"/>
      <c r="T956" s="943"/>
      <c r="U956" s="949" t="s">
        <v>855</v>
      </c>
      <c r="V956" s="921"/>
      <c r="W956" s="921"/>
      <c r="X956" s="921"/>
      <c r="Y956" s="921"/>
      <c r="Z956" s="943"/>
      <c r="AA956" s="979"/>
      <c r="AB956" s="968"/>
      <c r="AC956" s="968"/>
      <c r="AD956" s="968"/>
      <c r="AE956" s="968"/>
      <c r="AF956" s="980"/>
      <c r="AU956" s="8"/>
      <c r="AZ956" s="1"/>
      <c r="BA956" s="1"/>
      <c r="BB956" s="1"/>
      <c r="BC956" s="1"/>
    </row>
    <row r="957" spans="1:55" ht="12.75" customHeight="1">
      <c r="F957" s="268" t="s">
        <v>289</v>
      </c>
      <c r="G957" s="235"/>
      <c r="H957" s="235"/>
      <c r="I957" s="998" t="s">
        <v>1705</v>
      </c>
      <c r="J957" s="921"/>
      <c r="K957" s="921"/>
      <c r="L957" s="921"/>
      <c r="M957" s="921"/>
      <c r="N957" s="921"/>
      <c r="O957" s="921"/>
      <c r="P957" s="921"/>
      <c r="Q957" s="921"/>
      <c r="R957" s="921"/>
      <c r="S957" s="921"/>
      <c r="T957" s="943"/>
      <c r="U957" s="949" t="s">
        <v>855</v>
      </c>
      <c r="V957" s="921"/>
      <c r="W957" s="921"/>
      <c r="X957" s="921"/>
      <c r="Y957" s="921"/>
      <c r="Z957" s="943"/>
      <c r="AA957" s="979"/>
      <c r="AB957" s="968"/>
      <c r="AC957" s="968"/>
      <c r="AD957" s="968"/>
      <c r="AE957" s="968"/>
      <c r="AF957" s="980"/>
      <c r="AU957" s="8"/>
      <c r="AZ957" s="1"/>
      <c r="BA957" s="1"/>
      <c r="BB957" s="1"/>
      <c r="BC957" s="1"/>
    </row>
    <row r="958" spans="1:55" ht="12.75" customHeight="1">
      <c r="AU958" s="8"/>
      <c r="AZ958" s="1"/>
      <c r="BA958" s="1"/>
      <c r="BB958" s="1"/>
      <c r="BC958" s="1"/>
    </row>
    <row r="959" spans="1:55" ht="12.75" customHeight="1">
      <c r="A959" s="8" t="s">
        <v>1003</v>
      </c>
      <c r="C959" s="8" t="s">
        <v>307</v>
      </c>
      <c r="AZ959" s="1"/>
      <c r="BA959" s="1"/>
      <c r="BB959" s="1"/>
      <c r="BC959" s="1"/>
    </row>
    <row r="960" spans="1:55" ht="12.75" customHeight="1">
      <c r="B960" s="8"/>
      <c r="C960" s="117" t="s">
        <v>2702</v>
      </c>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Z960" s="1"/>
      <c r="BA960" s="1"/>
      <c r="BB960" s="1"/>
      <c r="BC960" s="1"/>
    </row>
    <row r="961" spans="1:185" ht="12.75" customHeight="1">
      <c r="AZ961" s="1"/>
      <c r="BA961" s="1"/>
      <c r="BB961" s="1"/>
      <c r="BC961" s="1"/>
    </row>
    <row r="962" spans="1:185" ht="12.75" customHeight="1">
      <c r="C962" s="272" t="s">
        <v>2703</v>
      </c>
      <c r="D962" s="5"/>
      <c r="E962" s="5"/>
      <c r="F962" s="5"/>
      <c r="G962" s="5"/>
      <c r="H962" s="5"/>
      <c r="I962" s="5"/>
      <c r="J962" s="5"/>
      <c r="K962" s="5"/>
      <c r="L962" s="321"/>
      <c r="M962" s="982"/>
      <c r="N962" s="921"/>
      <c r="O962" s="921"/>
      <c r="P962" s="921"/>
      <c r="Q962" s="921"/>
      <c r="R962" s="921"/>
      <c r="S962" s="943"/>
      <c r="U962" s="272" t="s">
        <v>2703</v>
      </c>
      <c r="V962" s="5"/>
      <c r="W962" s="5"/>
      <c r="X962" s="5"/>
      <c r="Y962" s="5"/>
      <c r="Z962" s="5"/>
      <c r="AA962" s="5"/>
      <c r="AB962" s="5"/>
      <c r="AC962" s="5"/>
      <c r="AD962" s="321"/>
      <c r="AE962" s="982"/>
      <c r="AF962" s="921"/>
      <c r="AG962" s="921"/>
      <c r="AH962" s="921"/>
      <c r="AI962" s="921"/>
      <c r="AJ962" s="921"/>
      <c r="AK962" s="943"/>
      <c r="AZ962" s="1"/>
      <c r="BA962" s="1"/>
      <c r="BB962" s="1"/>
      <c r="BC962" s="1"/>
    </row>
    <row r="963" spans="1:185" ht="12.75" customHeight="1">
      <c r="C963" s="272" t="s">
        <v>2704</v>
      </c>
      <c r="D963" s="5"/>
      <c r="E963" s="5"/>
      <c r="F963" s="5"/>
      <c r="G963" s="5"/>
      <c r="H963" s="5"/>
      <c r="I963" s="5"/>
      <c r="J963" s="5"/>
      <c r="K963" s="5"/>
      <c r="L963" s="321"/>
      <c r="M963" s="983"/>
      <c r="N963" s="921"/>
      <c r="O963" s="921"/>
      <c r="P963" s="921"/>
      <c r="Q963" s="921"/>
      <c r="R963" s="921"/>
      <c r="S963" s="943"/>
      <c r="U963" s="272" t="s">
        <v>2704</v>
      </c>
      <c r="V963" s="5"/>
      <c r="W963" s="5"/>
      <c r="X963" s="5"/>
      <c r="Y963" s="5"/>
      <c r="Z963" s="5"/>
      <c r="AA963" s="5"/>
      <c r="AB963" s="5"/>
      <c r="AC963" s="5"/>
      <c r="AD963" s="321"/>
      <c r="AE963" s="983"/>
      <c r="AF963" s="921"/>
      <c r="AG963" s="921"/>
      <c r="AH963" s="921"/>
      <c r="AI963" s="921"/>
      <c r="AJ963" s="921"/>
      <c r="AK963" s="943"/>
      <c r="AZ963" s="1"/>
      <c r="BA963" s="1"/>
      <c r="BB963" s="1"/>
      <c r="BC963" s="1"/>
    </row>
    <row r="964" spans="1:185" ht="12.75" customHeight="1">
      <c r="C964" s="272" t="s">
        <v>2705</v>
      </c>
      <c r="D964" s="5"/>
      <c r="E964" s="5"/>
      <c r="J964" s="984" t="s">
        <v>27</v>
      </c>
      <c r="K964" s="921"/>
      <c r="L964" s="921"/>
      <c r="M964" s="921"/>
      <c r="N964" s="921"/>
      <c r="O964" s="921"/>
      <c r="P964" s="921"/>
      <c r="Q964" s="921"/>
      <c r="R964" s="921"/>
      <c r="S964" s="943"/>
      <c r="U964" s="272" t="s">
        <v>2705</v>
      </c>
      <c r="V964" s="5"/>
      <c r="W964" s="5"/>
      <c r="AB964" s="984" t="s">
        <v>27</v>
      </c>
      <c r="AC964" s="921"/>
      <c r="AD964" s="921"/>
      <c r="AE964" s="921"/>
      <c r="AF964" s="921"/>
      <c r="AG964" s="921"/>
      <c r="AH964" s="921"/>
      <c r="AI964" s="921"/>
      <c r="AJ964" s="921"/>
      <c r="AK964" s="943"/>
      <c r="AZ964" s="1"/>
      <c r="BA964" s="1"/>
      <c r="BB964" s="1"/>
      <c r="BC964" s="1"/>
    </row>
    <row r="965" spans="1:185" ht="12.75" customHeight="1">
      <c r="C965" s="272" t="s">
        <v>2065</v>
      </c>
      <c r="D965" s="5"/>
      <c r="E965" s="5"/>
      <c r="F965" s="5"/>
      <c r="G965" s="5"/>
      <c r="H965" s="5"/>
      <c r="I965" s="5"/>
      <c r="J965" s="5"/>
      <c r="K965" s="5"/>
      <c r="L965" s="321"/>
      <c r="M965" s="985"/>
      <c r="N965" s="921"/>
      <c r="O965" s="921"/>
      <c r="P965" s="921"/>
      <c r="Q965" s="921"/>
      <c r="R965" s="921"/>
      <c r="S965" s="943"/>
      <c r="U965" s="272" t="s">
        <v>2065</v>
      </c>
      <c r="V965" s="5"/>
      <c r="W965" s="5"/>
      <c r="X965" s="5"/>
      <c r="Y965" s="5"/>
      <c r="Z965" s="5"/>
      <c r="AA965" s="5"/>
      <c r="AB965" s="5"/>
      <c r="AC965" s="5"/>
      <c r="AD965" s="321"/>
      <c r="AE965" s="985"/>
      <c r="AF965" s="921"/>
      <c r="AG965" s="921"/>
      <c r="AH965" s="921"/>
      <c r="AI965" s="921"/>
      <c r="AJ965" s="921"/>
      <c r="AK965" s="943"/>
      <c r="AZ965" s="1"/>
      <c r="BA965" s="1"/>
      <c r="BB965" s="1"/>
      <c r="BC965" s="1"/>
    </row>
    <row r="966" spans="1:185" ht="12.75" customHeight="1">
      <c r="C966" s="272" t="s">
        <v>2706</v>
      </c>
      <c r="D966" s="5"/>
      <c r="E966" s="5"/>
      <c r="F966" s="5"/>
      <c r="G966" s="5"/>
      <c r="H966" s="5"/>
      <c r="I966" s="5"/>
      <c r="J966" s="5"/>
      <c r="K966" s="5"/>
      <c r="L966" s="321"/>
      <c r="M966" s="986"/>
      <c r="N966" s="921"/>
      <c r="O966" s="921"/>
      <c r="P966" s="921"/>
      <c r="Q966" s="921"/>
      <c r="R966" s="921"/>
      <c r="S966" s="943"/>
      <c r="U966" s="272" t="s">
        <v>2706</v>
      </c>
      <c r="V966" s="5"/>
      <c r="W966" s="5"/>
      <c r="X966" s="5"/>
      <c r="Y966" s="5"/>
      <c r="Z966" s="5"/>
      <c r="AA966" s="5"/>
      <c r="AB966" s="5"/>
      <c r="AC966" s="5"/>
      <c r="AD966" s="321"/>
      <c r="AE966" s="986"/>
      <c r="AF966" s="921"/>
      <c r="AG966" s="921"/>
      <c r="AH966" s="921"/>
      <c r="AI966" s="921"/>
      <c r="AJ966" s="921"/>
      <c r="AK966" s="943"/>
      <c r="AV966" s="8"/>
      <c r="AW966" s="8"/>
      <c r="AX966" s="8"/>
      <c r="AY966" s="8"/>
      <c r="AZ966" s="1"/>
      <c r="BA966" s="1"/>
      <c r="BB966" s="1"/>
      <c r="BC966" s="1"/>
    </row>
    <row r="967" spans="1:185" ht="12.75" customHeight="1">
      <c r="C967" s="272" t="s">
        <v>2708</v>
      </c>
      <c r="D967" s="5"/>
      <c r="E967" s="5"/>
      <c r="F967" s="5"/>
      <c r="G967" s="5"/>
      <c r="H967" s="5"/>
      <c r="I967" s="5"/>
      <c r="J967" s="5"/>
      <c r="K967" s="5"/>
      <c r="L967" s="321"/>
      <c r="M967" s="979"/>
      <c r="N967" s="968"/>
      <c r="O967" s="968"/>
      <c r="P967" s="968"/>
      <c r="Q967" s="968"/>
      <c r="R967" s="968"/>
      <c r="S967" s="980"/>
      <c r="U967" s="272" t="s">
        <v>2708</v>
      </c>
      <c r="V967" s="5"/>
      <c r="W967" s="5"/>
      <c r="X967" s="5"/>
      <c r="Y967" s="5"/>
      <c r="Z967" s="5"/>
      <c r="AA967" s="5"/>
      <c r="AB967" s="5"/>
      <c r="AC967" s="5"/>
      <c r="AD967" s="321"/>
      <c r="AE967" s="979"/>
      <c r="AF967" s="968"/>
      <c r="AG967" s="968"/>
      <c r="AH967" s="968"/>
      <c r="AI967" s="968"/>
      <c r="AJ967" s="968"/>
      <c r="AK967" s="980"/>
      <c r="AV967" s="8"/>
      <c r="AW967" s="8"/>
      <c r="AX967" s="8"/>
      <c r="AY967" s="8"/>
      <c r="AZ967" s="1"/>
      <c r="BA967" s="1"/>
      <c r="BB967" s="1"/>
      <c r="BC967" s="1"/>
    </row>
    <row r="968" spans="1:185" ht="12.75" customHeight="1">
      <c r="C968" s="272" t="s">
        <v>2709</v>
      </c>
      <c r="D968" s="5"/>
      <c r="E968" s="5"/>
      <c r="F968" s="5"/>
      <c r="G968" s="5"/>
      <c r="H968" s="5"/>
      <c r="I968" s="5"/>
      <c r="J968" s="5"/>
      <c r="K968" s="5"/>
      <c r="L968" s="321"/>
      <c r="M968" s="979"/>
      <c r="N968" s="968"/>
      <c r="O968" s="968"/>
      <c r="P968" s="968"/>
      <c r="Q968" s="968"/>
      <c r="R968" s="968"/>
      <c r="S968" s="980"/>
      <c r="U968" s="272" t="s">
        <v>2709</v>
      </c>
      <c r="V968" s="5"/>
      <c r="W968" s="5"/>
      <c r="X968" s="5"/>
      <c r="Y968" s="5"/>
      <c r="Z968" s="5"/>
      <c r="AA968" s="5"/>
      <c r="AB968" s="5"/>
      <c r="AC968" s="5"/>
      <c r="AD968" s="321"/>
      <c r="AE968" s="979"/>
      <c r="AF968" s="968"/>
      <c r="AG968" s="968"/>
      <c r="AH968" s="968"/>
      <c r="AI968" s="968"/>
      <c r="AJ968" s="968"/>
      <c r="AK968" s="980"/>
      <c r="AV968" s="8"/>
      <c r="AW968" s="8"/>
      <c r="AX968" s="8"/>
      <c r="AY968" s="8"/>
      <c r="AZ968" s="1"/>
      <c r="BB968" s="1"/>
      <c r="BC968" s="1"/>
    </row>
    <row r="969" spans="1:185" ht="12.75" customHeight="1">
      <c r="C969" s="272" t="s">
        <v>1512</v>
      </c>
      <c r="D969" s="5"/>
      <c r="E969" s="5"/>
      <c r="F969" s="5"/>
      <c r="G969" s="5"/>
      <c r="H969" s="5"/>
      <c r="I969" s="5"/>
      <c r="J969" s="5"/>
      <c r="K969" s="5"/>
      <c r="L969" s="321"/>
      <c r="M969" s="987"/>
      <c r="N969" s="921"/>
      <c r="O969" s="921"/>
      <c r="P969" s="921"/>
      <c r="Q969" s="921"/>
      <c r="R969" s="921"/>
      <c r="S969" s="943"/>
      <c r="U969" s="272" t="s">
        <v>1512</v>
      </c>
      <c r="V969" s="5"/>
      <c r="W969" s="5"/>
      <c r="X969" s="5"/>
      <c r="Y969" s="5"/>
      <c r="Z969" s="5"/>
      <c r="AA969" s="5"/>
      <c r="AB969" s="5"/>
      <c r="AC969" s="5"/>
      <c r="AD969" s="321"/>
      <c r="AE969" s="987"/>
      <c r="AF969" s="921"/>
      <c r="AG969" s="921"/>
      <c r="AH969" s="921"/>
      <c r="AI969" s="921"/>
      <c r="AJ969" s="921"/>
      <c r="AK969" s="943"/>
      <c r="AZ969" s="1"/>
      <c r="BB969" s="1"/>
      <c r="BC969" s="1"/>
      <c r="BD969" s="1"/>
      <c r="BE969" s="1"/>
      <c r="BF969" s="1"/>
      <c r="BG969" s="1"/>
      <c r="BH969" s="1"/>
      <c r="BI969" s="1"/>
      <c r="BJ969" s="1"/>
      <c r="BK969" s="1"/>
      <c r="BL969" s="1"/>
    </row>
    <row r="970" spans="1:185" ht="12.75" customHeight="1">
      <c r="AZ970" s="1"/>
      <c r="BB970" s="1"/>
      <c r="BC970" s="1"/>
      <c r="BD970" s="1"/>
      <c r="BE970" s="1"/>
      <c r="BF970" s="1"/>
      <c r="BG970" s="1"/>
      <c r="BH970" s="1"/>
      <c r="BI970" s="1"/>
      <c r="BJ970" s="1"/>
      <c r="BK970" s="1"/>
      <c r="BL970" s="1"/>
    </row>
    <row r="971" spans="1:185" ht="12.75" customHeight="1">
      <c r="A971" s="8" t="s">
        <v>1119</v>
      </c>
      <c r="C971" s="8" t="s">
        <v>2710</v>
      </c>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191"/>
      <c r="AZ971" s="1"/>
      <c r="BB971" s="1"/>
      <c r="BC971" s="1"/>
      <c r="BD971" s="1"/>
      <c r="BE971" s="1"/>
      <c r="BF971" s="1"/>
      <c r="BG971" s="1"/>
      <c r="BH971" s="1"/>
      <c r="BI971" s="1"/>
      <c r="BJ971" s="1"/>
      <c r="BK971" s="1"/>
      <c r="BL971" s="1"/>
    </row>
    <row r="972" spans="1:185" ht="12.75" customHeight="1">
      <c r="B972" s="8"/>
      <c r="C972" s="117" t="s">
        <v>2711</v>
      </c>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191"/>
      <c r="AZ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row>
    <row r="973" spans="1:185" ht="12.75" customHeight="1">
      <c r="B973" s="8"/>
      <c r="C973" s="117"/>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194"/>
      <c r="AZ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row>
    <row r="974" spans="1:185" ht="12.75" customHeight="1">
      <c r="F974" s="272" t="s">
        <v>2712</v>
      </c>
      <c r="G974" s="5"/>
      <c r="H974" s="5"/>
      <c r="I974" s="5"/>
      <c r="J974" s="5"/>
      <c r="K974" s="5"/>
      <c r="L974" s="321"/>
      <c r="M974" s="978"/>
      <c r="N974" s="921"/>
      <c r="O974" s="921"/>
      <c r="P974" s="921"/>
      <c r="Q974" s="921"/>
      <c r="R974" s="921"/>
      <c r="S974" s="943"/>
      <c r="T974" s="272" t="s">
        <v>2713</v>
      </c>
      <c r="U974" s="5"/>
      <c r="V974" s="5"/>
      <c r="W974" s="5"/>
      <c r="X974" s="5"/>
      <c r="Y974" s="5"/>
      <c r="Z974" s="321"/>
      <c r="AA974" s="978"/>
      <c r="AB974" s="921"/>
      <c r="AC974" s="921"/>
      <c r="AD974" s="921"/>
      <c r="AE974" s="921"/>
      <c r="AF974" s="921"/>
      <c r="AG974" s="943"/>
      <c r="AU974" s="194"/>
      <c r="AZ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row>
    <row r="975" spans="1:185" ht="12.75" customHeight="1">
      <c r="F975" s="272" t="s">
        <v>2714</v>
      </c>
      <c r="G975" s="5"/>
      <c r="H975" s="5"/>
      <c r="I975" s="5"/>
      <c r="J975" s="5"/>
      <c r="K975" s="5"/>
      <c r="L975" s="321"/>
      <c r="M975" s="978"/>
      <c r="N975" s="921"/>
      <c r="O975" s="921"/>
      <c r="P975" s="921"/>
      <c r="Q975" s="921"/>
      <c r="R975" s="921"/>
      <c r="S975" s="943"/>
      <c r="T975" s="272" t="s">
        <v>2715</v>
      </c>
      <c r="U975" s="5"/>
      <c r="V975" s="5"/>
      <c r="W975" s="5"/>
      <c r="X975" s="5"/>
      <c r="Y975" s="5"/>
      <c r="Z975" s="321"/>
      <c r="AA975" s="978"/>
      <c r="AB975" s="921"/>
      <c r="AC975" s="921"/>
      <c r="AD975" s="921"/>
      <c r="AE975" s="921"/>
      <c r="AF975" s="921"/>
      <c r="AG975" s="943"/>
      <c r="AU975" s="194"/>
      <c r="AZ975" s="1"/>
      <c r="BB975" s="1"/>
      <c r="BC975" s="1"/>
      <c r="BD975" s="1"/>
      <c r="BE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row>
    <row r="976" spans="1:185" ht="12.75" customHeight="1">
      <c r="F976" s="272" t="s">
        <v>2716</v>
      </c>
      <c r="G976" s="5"/>
      <c r="H976" s="5"/>
      <c r="I976" s="5"/>
      <c r="J976" s="5"/>
      <c r="K976" s="5"/>
      <c r="L976" s="321"/>
      <c r="M976" s="1050" t="s">
        <v>855</v>
      </c>
      <c r="N976" s="921"/>
      <c r="O976" s="921"/>
      <c r="P976" s="921"/>
      <c r="Q976" s="921"/>
      <c r="R976" s="921"/>
      <c r="S976" s="943"/>
      <c r="T976" s="272" t="s">
        <v>2717</v>
      </c>
      <c r="U976" s="5"/>
      <c r="V976" s="5"/>
      <c r="W976" s="5"/>
      <c r="X976" s="5"/>
      <c r="Y976" s="5"/>
      <c r="Z976" s="321"/>
      <c r="AA976" s="978"/>
      <c r="AB976" s="921"/>
      <c r="AC976" s="921"/>
      <c r="AD976" s="921"/>
      <c r="AE976" s="921"/>
      <c r="AF976" s="921"/>
      <c r="AG976" s="943"/>
      <c r="AU976" s="194"/>
      <c r="AZ976" s="1"/>
      <c r="BB976" s="1"/>
      <c r="BC976" s="1"/>
      <c r="BD976" s="1"/>
      <c r="BE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row>
    <row r="977" spans="1:185" ht="12.75" customHeight="1">
      <c r="F977" s="272" t="s">
        <v>2718</v>
      </c>
      <c r="G977" s="5"/>
      <c r="H977" s="5"/>
      <c r="I977" s="5"/>
      <c r="J977" s="5"/>
      <c r="K977" s="5"/>
      <c r="L977" s="321"/>
      <c r="M977" s="978"/>
      <c r="N977" s="921"/>
      <c r="O977" s="921"/>
      <c r="P977" s="921"/>
      <c r="Q977" s="921"/>
      <c r="R977" s="921"/>
      <c r="S977" s="943"/>
      <c r="T977" s="272" t="s">
        <v>2719</v>
      </c>
      <c r="U977" s="5"/>
      <c r="V977" s="5"/>
      <c r="W977" s="5"/>
      <c r="X977" s="5"/>
      <c r="Y977" s="5"/>
      <c r="Z977" s="321"/>
      <c r="AA977" s="978"/>
      <c r="AB977" s="921"/>
      <c r="AC977" s="921"/>
      <c r="AD977" s="921"/>
      <c r="AE977" s="921"/>
      <c r="AF977" s="921"/>
      <c r="AG977" s="943"/>
      <c r="AU977" s="194"/>
      <c r="AZ977" s="1"/>
      <c r="BB977" s="1"/>
      <c r="BC977" s="1"/>
      <c r="BD977" s="1"/>
      <c r="BE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row>
    <row r="978" spans="1:185" ht="12.75" customHeight="1">
      <c r="F978" s="272" t="s">
        <v>2720</v>
      </c>
      <c r="G978" s="5"/>
      <c r="H978" s="5"/>
      <c r="I978" s="5"/>
      <c r="J978" s="5"/>
      <c r="K978" s="5"/>
      <c r="L978" s="321"/>
      <c r="M978" s="978"/>
      <c r="N978" s="921"/>
      <c r="O978" s="921"/>
      <c r="P978" s="921"/>
      <c r="Q978" s="921"/>
      <c r="R978" s="921"/>
      <c r="S978" s="943"/>
      <c r="T978" s="272" t="s">
        <v>2721</v>
      </c>
      <c r="U978" s="5"/>
      <c r="V978" s="5"/>
      <c r="W978" s="5"/>
      <c r="X978" s="5"/>
      <c r="Y978" s="5"/>
      <c r="Z978" s="321"/>
      <c r="AA978" s="978"/>
      <c r="AB978" s="921"/>
      <c r="AC978" s="921"/>
      <c r="AD978" s="921"/>
      <c r="AE978" s="921"/>
      <c r="AF978" s="921"/>
      <c r="AG978" s="943"/>
      <c r="AU978" s="194"/>
      <c r="AZ978" s="1"/>
      <c r="BB978" s="1"/>
      <c r="BC978" s="1"/>
      <c r="BD978" s="1"/>
      <c r="BE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row>
    <row r="979" spans="1:185" ht="12.75" customHeight="1">
      <c r="F979" s="265" t="s">
        <v>2705</v>
      </c>
      <c r="G979" s="246"/>
      <c r="H979" s="246"/>
      <c r="I979" s="246"/>
      <c r="J979" s="246"/>
      <c r="K979" s="246"/>
      <c r="L979" s="247"/>
      <c r="M979" s="984" t="s">
        <v>27</v>
      </c>
      <c r="N979" s="921"/>
      <c r="O979" s="921"/>
      <c r="P979" s="921"/>
      <c r="Q979" s="921"/>
      <c r="R979" s="921"/>
      <c r="S979" s="943"/>
      <c r="T979" s="1013"/>
      <c r="U979" s="921"/>
      <c r="V979" s="921"/>
      <c r="W979" s="921"/>
      <c r="X979" s="921"/>
      <c r="Y979" s="921"/>
      <c r="Z979" s="943"/>
      <c r="AA979" s="978"/>
      <c r="AB979" s="921"/>
      <c r="AC979" s="921"/>
      <c r="AD979" s="921"/>
      <c r="AE979" s="921"/>
      <c r="AF979" s="921"/>
      <c r="AG979" s="943"/>
      <c r="AU979" s="194"/>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row>
    <row r="980" spans="1:185" ht="12.75" customHeight="1">
      <c r="F980" s="265" t="s">
        <v>2722</v>
      </c>
      <c r="G980" s="246"/>
      <c r="H980" s="246"/>
      <c r="I980" s="246"/>
      <c r="J980" s="246"/>
      <c r="K980" s="246"/>
      <c r="L980" s="247"/>
      <c r="M980" s="978"/>
      <c r="N980" s="921"/>
      <c r="O980" s="921"/>
      <c r="P980" s="921"/>
      <c r="Q980" s="921"/>
      <c r="R980" s="921"/>
      <c r="S980" s="943"/>
      <c r="T980" s="1013"/>
      <c r="U980" s="921"/>
      <c r="V980" s="921"/>
      <c r="W980" s="921"/>
      <c r="X980" s="921"/>
      <c r="Y980" s="921"/>
      <c r="Z980" s="943"/>
      <c r="AA980" s="978"/>
      <c r="AB980" s="921"/>
      <c r="AC980" s="921"/>
      <c r="AD980" s="921"/>
      <c r="AE980" s="921"/>
      <c r="AF980" s="921"/>
      <c r="AG980" s="943"/>
      <c r="AU980" s="194"/>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row>
    <row r="981" spans="1:185" ht="12.75" customHeight="1">
      <c r="F981" s="265" t="s">
        <v>2723</v>
      </c>
      <c r="G981" s="246"/>
      <c r="H981" s="246"/>
      <c r="I981" s="246"/>
      <c r="J981" s="246"/>
      <c r="K981" s="246"/>
      <c r="L981" s="246"/>
      <c r="M981" s="246"/>
      <c r="N981" s="246"/>
      <c r="O981" s="983" t="s">
        <v>460</v>
      </c>
      <c r="P981" s="943"/>
      <c r="Q981" s="840"/>
      <c r="R981" s="840"/>
      <c r="S981" s="841"/>
      <c r="T981" s="265" t="s">
        <v>289</v>
      </c>
      <c r="U981" s="246"/>
      <c r="V981" s="246"/>
      <c r="W981" s="1047" t="s">
        <v>1705</v>
      </c>
      <c r="X981" s="921"/>
      <c r="Y981" s="921"/>
      <c r="Z981" s="921"/>
      <c r="AA981" s="921"/>
      <c r="AB981" s="921"/>
      <c r="AC981" s="921"/>
      <c r="AD981" s="921"/>
      <c r="AE981" s="921"/>
      <c r="AF981" s="921"/>
      <c r="AG981" s="943"/>
      <c r="AU981" s="194"/>
      <c r="AV981" s="191"/>
      <c r="AW981" s="191"/>
      <c r="AX981" s="191"/>
      <c r="AY981" s="191"/>
      <c r="AZ981" s="1"/>
      <c r="BB981" s="1"/>
      <c r="BC981" s="1"/>
      <c r="BD981" s="1"/>
      <c r="BE981" s="1"/>
      <c r="BF981" s="1"/>
      <c r="BG981" s="1"/>
      <c r="BH981" s="1"/>
      <c r="BI981" s="1"/>
      <c r="BJ981" s="1"/>
      <c r="BK981" s="1"/>
      <c r="BL981" s="1"/>
    </row>
    <row r="982" spans="1:185" ht="12.75" customHeight="1">
      <c r="F982" s="1045" t="s">
        <v>2724</v>
      </c>
      <c r="G982" s="961"/>
      <c r="H982" s="961"/>
      <c r="I982" s="961"/>
      <c r="J982" s="961"/>
      <c r="K982" s="961"/>
      <c r="L982" s="961"/>
      <c r="M982" s="978"/>
      <c r="N982" s="921"/>
      <c r="O982" s="921"/>
      <c r="P982" s="921"/>
      <c r="Q982" s="921"/>
      <c r="R982" s="921"/>
      <c r="S982" s="943"/>
      <c r="T982" s="268"/>
      <c r="U982" s="235"/>
      <c r="V982" s="235"/>
      <c r="W982" s="235"/>
      <c r="X982" s="235"/>
      <c r="Y982" s="235"/>
      <c r="Z982" s="461" t="s">
        <v>2725</v>
      </c>
      <c r="AA982" s="979"/>
      <c r="AB982" s="968"/>
      <c r="AC982" s="968"/>
      <c r="AD982" s="968"/>
      <c r="AE982" s="968"/>
      <c r="AF982" s="968"/>
      <c r="AG982" s="980"/>
      <c r="AU982" s="194"/>
      <c r="AV982" s="191"/>
      <c r="AW982" s="191"/>
      <c r="AX982" s="191"/>
      <c r="AY982" s="191"/>
      <c r="AZ982" s="1"/>
      <c r="BA982" s="1"/>
      <c r="BB982" s="1"/>
      <c r="BC982" s="1"/>
      <c r="BD982" s="1"/>
      <c r="BE982" s="1"/>
      <c r="BF982" s="1"/>
      <c r="BG982" s="1"/>
      <c r="BH982" s="1"/>
      <c r="BI982" s="1"/>
      <c r="BJ982" s="1"/>
      <c r="BK982" s="1"/>
      <c r="BL982" s="1"/>
    </row>
    <row r="983" spans="1:185" ht="12.75" customHeight="1">
      <c r="AU983" s="194"/>
      <c r="AV983" s="194"/>
      <c r="AW983" s="194"/>
      <c r="AX983" s="194"/>
      <c r="AY983" s="194"/>
      <c r="AZ983" s="1"/>
      <c r="BA983" s="1"/>
      <c r="BB983" s="1"/>
      <c r="BC983" s="1"/>
      <c r="BD983" s="1"/>
      <c r="BE983" s="1"/>
      <c r="BF983" s="1"/>
      <c r="BG983" s="981"/>
      <c r="BH983" s="893"/>
      <c r="BI983" s="893"/>
      <c r="BJ983" s="893"/>
      <c r="BK983" s="893"/>
      <c r="BL983" s="893"/>
    </row>
    <row r="984" spans="1:185" ht="12.75" customHeight="1">
      <c r="AU984" s="194"/>
      <c r="AV984" s="194"/>
      <c r="AW984" s="194"/>
      <c r="AX984" s="194"/>
      <c r="AY984" s="194"/>
      <c r="AZ984" s="1"/>
      <c r="BA984" s="1"/>
      <c r="BB984" s="842"/>
      <c r="BC984" s="842"/>
      <c r="BD984" s="1"/>
      <c r="BE984" s="1"/>
      <c r="BF984" s="1"/>
      <c r="BG984" s="1"/>
      <c r="BH984" s="1"/>
      <c r="BI984" s="1"/>
      <c r="BJ984" s="1"/>
      <c r="BK984" s="1"/>
      <c r="BL984" s="1"/>
    </row>
    <row r="985" spans="1:185" ht="12.75" customHeight="1">
      <c r="AU985" s="194"/>
      <c r="AV985" s="194"/>
      <c r="AW985" s="194"/>
      <c r="AX985" s="194"/>
      <c r="AY985" s="194"/>
      <c r="AZ985" s="1"/>
      <c r="BA985" s="1"/>
      <c r="BB985" s="842"/>
      <c r="BC985" s="842"/>
    </row>
    <row r="986" spans="1:185" ht="12.75" customHeight="1">
      <c r="A986" s="988" t="s">
        <v>2726</v>
      </c>
      <c r="B986" s="901"/>
      <c r="C986" s="901"/>
      <c r="D986" s="901"/>
      <c r="E986" s="901"/>
      <c r="F986" s="901"/>
      <c r="G986" s="901"/>
      <c r="H986" s="901"/>
      <c r="I986" s="901"/>
      <c r="J986" s="901"/>
      <c r="K986" s="901"/>
      <c r="L986" s="901"/>
      <c r="M986" s="901"/>
      <c r="N986" s="901"/>
      <c r="O986" s="901"/>
      <c r="P986" s="901"/>
      <c r="Q986" s="901"/>
      <c r="R986" s="901"/>
      <c r="S986" s="901"/>
      <c r="T986" s="901"/>
      <c r="U986" s="901"/>
      <c r="V986" s="901"/>
      <c r="W986" s="901"/>
      <c r="X986" s="901"/>
      <c r="Y986" s="901"/>
      <c r="Z986" s="901"/>
      <c r="AA986" s="901"/>
      <c r="AB986" s="901"/>
      <c r="AC986" s="901"/>
      <c r="AD986" s="901"/>
      <c r="AE986" s="901"/>
      <c r="AF986" s="901"/>
      <c r="AG986" s="901"/>
      <c r="AH986" s="901"/>
      <c r="AI986" s="901"/>
      <c r="AJ986" s="901"/>
      <c r="AK986" s="901"/>
      <c r="AL986" s="901"/>
      <c r="AM986" s="901"/>
      <c r="AN986" s="901"/>
      <c r="AO986" s="901"/>
      <c r="AP986" s="901"/>
      <c r="AQ986" s="901"/>
      <c r="AR986" s="901"/>
      <c r="AS986" s="901"/>
      <c r="AT986" s="902"/>
      <c r="AU986" s="194"/>
      <c r="AV986" s="194"/>
      <c r="AW986" s="194"/>
      <c r="AX986" s="194"/>
      <c r="AY986" s="194"/>
      <c r="AZ986" s="1"/>
      <c r="BA986" s="1"/>
      <c r="BB986" s="842"/>
      <c r="BC986" s="842"/>
    </row>
    <row r="987" spans="1:185" ht="12.75" customHeight="1">
      <c r="A987" s="1048"/>
      <c r="B987" s="893"/>
      <c r="C987" s="893"/>
      <c r="D987" s="893"/>
      <c r="E987" s="893"/>
      <c r="F987" s="893"/>
      <c r="G987" s="893"/>
      <c r="H987" s="893"/>
      <c r="I987" s="893"/>
      <c r="J987" s="893"/>
      <c r="K987" s="893"/>
      <c r="L987" s="893"/>
      <c r="M987" s="893"/>
      <c r="N987" s="893"/>
      <c r="O987" s="893"/>
      <c r="P987" s="893"/>
      <c r="Q987" s="893"/>
      <c r="R987" s="893"/>
      <c r="S987" s="893"/>
      <c r="T987" s="893"/>
      <c r="U987" s="893"/>
      <c r="V987" s="893"/>
      <c r="W987" s="893"/>
      <c r="X987" s="893"/>
      <c r="Y987" s="893"/>
      <c r="Z987" s="893"/>
      <c r="AA987" s="893"/>
      <c r="AB987" s="893"/>
      <c r="AC987" s="893"/>
      <c r="AD987" s="893"/>
      <c r="AE987" s="893"/>
      <c r="AF987" s="893"/>
      <c r="AG987" s="893"/>
      <c r="AH987" s="893"/>
      <c r="AI987" s="893"/>
      <c r="AJ987" s="893"/>
      <c r="AK987" s="893"/>
      <c r="AL987" s="893"/>
      <c r="AM987" s="893"/>
      <c r="AN987" s="893"/>
      <c r="AO987" s="893"/>
      <c r="AP987" s="893"/>
      <c r="AQ987" s="893"/>
      <c r="AR987" s="893"/>
      <c r="AS987" s="893"/>
      <c r="AT987" s="1049"/>
      <c r="AU987" s="194"/>
      <c r="AV987" s="194"/>
      <c r="AW987" s="194"/>
      <c r="AX987" s="194"/>
      <c r="AY987" s="194"/>
      <c r="AZ987" s="203"/>
      <c r="BA987" s="1"/>
      <c r="BB987" s="1"/>
      <c r="BC987" s="1"/>
    </row>
    <row r="988" spans="1:185" ht="12.75" customHeight="1">
      <c r="A988" s="989"/>
      <c r="B988" s="990"/>
      <c r="C988" s="990"/>
      <c r="D988" s="990"/>
      <c r="E988" s="990"/>
      <c r="F988" s="990"/>
      <c r="G988" s="990"/>
      <c r="H988" s="990"/>
      <c r="I988" s="990"/>
      <c r="J988" s="990"/>
      <c r="K988" s="990"/>
      <c r="L988" s="990"/>
      <c r="M988" s="990"/>
      <c r="N988" s="990"/>
      <c r="O988" s="990"/>
      <c r="P988" s="990"/>
      <c r="Q988" s="990"/>
      <c r="R988" s="990"/>
      <c r="S988" s="990"/>
      <c r="T988" s="990"/>
      <c r="U988" s="990"/>
      <c r="V988" s="990"/>
      <c r="W988" s="990"/>
      <c r="X988" s="990"/>
      <c r="Y988" s="990"/>
      <c r="Z988" s="990"/>
      <c r="AA988" s="990"/>
      <c r="AB988" s="990"/>
      <c r="AC988" s="990"/>
      <c r="AD988" s="990"/>
      <c r="AE988" s="990"/>
      <c r="AF988" s="990"/>
      <c r="AG988" s="990"/>
      <c r="AH988" s="990"/>
      <c r="AI988" s="990"/>
      <c r="AJ988" s="990"/>
      <c r="AK988" s="990"/>
      <c r="AL988" s="990"/>
      <c r="AM988" s="990"/>
      <c r="AN988" s="990"/>
      <c r="AO988" s="990"/>
      <c r="AP988" s="990"/>
      <c r="AQ988" s="990"/>
      <c r="AR988" s="990"/>
      <c r="AS988" s="990"/>
      <c r="AT988" s="991"/>
      <c r="AU988" s="194"/>
      <c r="AV988" s="194"/>
      <c r="AW988" s="194"/>
      <c r="AX988" s="194"/>
      <c r="AY988" s="194"/>
      <c r="AZ988" s="203"/>
      <c r="BA988" s="1"/>
      <c r="BB988" s="1"/>
      <c r="BC988" s="1"/>
    </row>
    <row r="989" spans="1:185" ht="12.75" customHeight="1">
      <c r="A989" s="1"/>
      <c r="B989" s="1"/>
      <c r="C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94"/>
      <c r="AM989" s="194"/>
      <c r="AN989" s="194"/>
      <c r="AO989" s="194"/>
      <c r="AP989" s="194"/>
      <c r="AQ989" s="194"/>
      <c r="AR989" s="194"/>
      <c r="AS989" s="194"/>
      <c r="AT989" s="194"/>
      <c r="AU989" s="194"/>
      <c r="AV989" s="194"/>
      <c r="AW989" s="194"/>
      <c r="AX989" s="194"/>
      <c r="AY989" s="194"/>
      <c r="AZ989" s="1"/>
      <c r="BA989" s="1"/>
      <c r="BB989" s="1"/>
      <c r="BC989" s="1"/>
    </row>
    <row r="990" spans="1:185" ht="12.75" customHeight="1">
      <c r="A990" s="8" t="s">
        <v>947</v>
      </c>
      <c r="C990" s="8" t="s">
        <v>314</v>
      </c>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94"/>
      <c r="AM990" s="194"/>
      <c r="AN990" s="194"/>
      <c r="AO990" s="194"/>
      <c r="AP990" s="194"/>
      <c r="AQ990" s="194"/>
      <c r="AR990" s="194"/>
      <c r="AS990" s="194"/>
      <c r="AT990" s="194"/>
      <c r="AU990" s="194"/>
      <c r="AV990" s="194"/>
      <c r="AW990" s="194"/>
      <c r="AX990" s="194"/>
      <c r="AY990" s="194"/>
      <c r="AZ990" s="1"/>
      <c r="BA990" s="1"/>
      <c r="BB990" s="1"/>
      <c r="BC990" s="1"/>
    </row>
    <row r="991" spans="1:185" ht="12.75" customHeight="1">
      <c r="A991" s="8"/>
      <c r="C991" s="8"/>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94"/>
      <c r="AM991" s="194"/>
      <c r="AN991" s="194"/>
      <c r="AO991" s="194"/>
      <c r="AP991" s="194"/>
      <c r="AQ991" s="194"/>
      <c r="AR991" s="194"/>
      <c r="AS991" s="194"/>
      <c r="AT991" s="194"/>
      <c r="AU991" s="194"/>
      <c r="AV991" s="194"/>
      <c r="AW991" s="194"/>
      <c r="AX991" s="194"/>
      <c r="AY991" s="194"/>
      <c r="AZ991" s="1"/>
      <c r="BA991" s="1"/>
      <c r="BB991" s="1"/>
      <c r="BC991" s="1"/>
    </row>
    <row r="992" spans="1:185" ht="12.75" customHeight="1">
      <c r="A992" s="1"/>
      <c r="B992" s="265"/>
      <c r="C992" s="843"/>
      <c r="D992" s="1046" t="s">
        <v>2727</v>
      </c>
      <c r="E992" s="921"/>
      <c r="F992" s="921"/>
      <c r="G992" s="921"/>
      <c r="H992" s="921"/>
      <c r="I992" s="921"/>
      <c r="J992" s="921"/>
      <c r="K992" s="921"/>
      <c r="L992" s="921"/>
      <c r="M992" s="921"/>
      <c r="N992" s="921"/>
      <c r="O992" s="921"/>
      <c r="P992" s="921"/>
      <c r="Q992" s="943"/>
      <c r="R992" s="1046" t="s">
        <v>2728</v>
      </c>
      <c r="S992" s="921"/>
      <c r="T992" s="921"/>
      <c r="U992" s="921"/>
      <c r="V992" s="921"/>
      <c r="W992" s="921"/>
      <c r="X992" s="921"/>
      <c r="Y992" s="921"/>
      <c r="Z992" s="921"/>
      <c r="AA992" s="943"/>
      <c r="AB992" s="1046" t="s">
        <v>2729</v>
      </c>
      <c r="AC992" s="921"/>
      <c r="AD992" s="921"/>
      <c r="AE992" s="921"/>
      <c r="AF992" s="921"/>
      <c r="AG992" s="921"/>
      <c r="AH992" s="921"/>
      <c r="AI992" s="943"/>
      <c r="AJ992" s="1046" t="s">
        <v>2730</v>
      </c>
      <c r="AK992" s="921"/>
      <c r="AL992" s="921"/>
      <c r="AM992" s="921"/>
      <c r="AN992" s="921"/>
      <c r="AO992" s="921"/>
      <c r="AP992" s="921"/>
      <c r="AQ992" s="943"/>
      <c r="AR992" s="194"/>
      <c r="AS992" s="194"/>
      <c r="AT992" s="194"/>
      <c r="AU992" s="194"/>
      <c r="AV992" s="194"/>
      <c r="AW992" s="194"/>
      <c r="AX992" s="194"/>
      <c r="AY992" s="194"/>
      <c r="AZ992" s="203"/>
      <c r="BB992" s="1"/>
      <c r="BC992" s="1"/>
    </row>
    <row r="993" spans="1:55" ht="12.75" customHeight="1">
      <c r="A993" s="1"/>
      <c r="B993" s="267"/>
      <c r="C993" s="249"/>
      <c r="D993" s="945" t="s">
        <v>888</v>
      </c>
      <c r="E993" s="921"/>
      <c r="F993" s="921"/>
      <c r="G993" s="921"/>
      <c r="H993" s="921"/>
      <c r="I993" s="921"/>
      <c r="J993" s="921"/>
      <c r="K993" s="921"/>
      <c r="L993" s="921"/>
      <c r="M993" s="921"/>
      <c r="N993" s="921"/>
      <c r="O993" s="921"/>
      <c r="P993" s="921"/>
      <c r="Q993" s="943"/>
      <c r="R993" s="953">
        <f t="shared" ref="R993:R997" si="70">IF(ISNA(IF($CU$122="4%",(INDEX($CS$160:$CW$217,MATCH($DG$122,$CR$160:$CR$217,0),MATCH(D993,$CS$159:$CW$159,0))),(INDEX($CZ$160:$DD$217,MATCH($DG$122,$CY$160:$CY$217,0),MATCH(D993,$CZ$159:$DD$159,0))))),0,IF($CU$122="4%",(INDEX($CS$160:$CW$217,MATCH($DG$122,$CR$160:$CR$217,0),MATCH(D993,$CS$159:$CW$159,0))),(INDEX($CZ$160:$DD$217,MATCH($DG$122,$CY$160:$CY$217,0),MATCH(D993,$CZ$159:$DD$159,0)))))</f>
        <v>392286</v>
      </c>
      <c r="S993" s="921"/>
      <c r="T993" s="921"/>
      <c r="U993" s="921"/>
      <c r="V993" s="921"/>
      <c r="W993" s="921"/>
      <c r="X993" s="921"/>
      <c r="Y993" s="921"/>
      <c r="Z993" s="921"/>
      <c r="AA993" s="943"/>
      <c r="AB993" s="956">
        <f>CP808</f>
        <v>0</v>
      </c>
      <c r="AC993" s="921"/>
      <c r="AD993" s="921"/>
      <c r="AE993" s="921"/>
      <c r="AF993" s="921"/>
      <c r="AG993" s="921"/>
      <c r="AH993" s="921"/>
      <c r="AI993" s="943"/>
      <c r="AJ993" s="1032">
        <f t="shared" ref="AJ993:AJ997" si="71">IF(ISERROR((R993*AB993)),0,(R993*AB993))</f>
        <v>0</v>
      </c>
      <c r="AK993" s="921"/>
      <c r="AL993" s="921"/>
      <c r="AM993" s="921"/>
      <c r="AN993" s="921"/>
      <c r="AO993" s="921"/>
      <c r="AP993" s="921"/>
      <c r="AQ993" s="943"/>
      <c r="AR993" s="194"/>
      <c r="AS993" s="194"/>
      <c r="AT993" s="194"/>
      <c r="AU993" s="194"/>
      <c r="AV993" s="194"/>
      <c r="AW993" s="194"/>
      <c r="AX993" s="194"/>
      <c r="AY993" s="194"/>
      <c r="AZ993" s="203"/>
      <c r="BB993" s="1"/>
      <c r="BC993" s="1"/>
    </row>
    <row r="994" spans="1:55" ht="12.75" customHeight="1">
      <c r="A994" s="1"/>
      <c r="B994" s="267"/>
      <c r="C994" s="249"/>
      <c r="D994" s="945" t="s">
        <v>883</v>
      </c>
      <c r="E994" s="921"/>
      <c r="F994" s="921"/>
      <c r="G994" s="921"/>
      <c r="H994" s="921"/>
      <c r="I994" s="921"/>
      <c r="J994" s="921"/>
      <c r="K994" s="921"/>
      <c r="L994" s="921"/>
      <c r="M994" s="921"/>
      <c r="N994" s="921"/>
      <c r="O994" s="921"/>
      <c r="P994" s="921"/>
      <c r="Q994" s="943"/>
      <c r="R994" s="953">
        <f t="shared" si="70"/>
        <v>452302</v>
      </c>
      <c r="S994" s="921"/>
      <c r="T994" s="921"/>
      <c r="U994" s="921"/>
      <c r="V994" s="921"/>
      <c r="W994" s="921"/>
      <c r="X994" s="921"/>
      <c r="Y994" s="921"/>
      <c r="Z994" s="921"/>
      <c r="AA994" s="943"/>
      <c r="AB994" s="956">
        <f>CU808</f>
        <v>121</v>
      </c>
      <c r="AC994" s="921"/>
      <c r="AD994" s="921"/>
      <c r="AE994" s="921"/>
      <c r="AF994" s="921"/>
      <c r="AG994" s="921"/>
      <c r="AH994" s="921"/>
      <c r="AI994" s="943"/>
      <c r="AJ994" s="1032">
        <f t="shared" si="71"/>
        <v>54728542</v>
      </c>
      <c r="AK994" s="921"/>
      <c r="AL994" s="921"/>
      <c r="AM994" s="921"/>
      <c r="AN994" s="921"/>
      <c r="AO994" s="921"/>
      <c r="AP994" s="921"/>
      <c r="AQ994" s="943"/>
      <c r="AR994" s="194"/>
      <c r="AS994" s="194"/>
      <c r="AT994" s="194"/>
      <c r="AU994" s="194"/>
      <c r="AV994" s="194"/>
      <c r="AW994" s="194"/>
      <c r="AX994" s="194"/>
      <c r="AY994" s="194"/>
      <c r="AZ994" s="203"/>
      <c r="BB994" s="1"/>
      <c r="BC994" s="1"/>
    </row>
    <row r="995" spans="1:55" ht="12.75" customHeight="1">
      <c r="A995" s="1"/>
      <c r="B995" s="267"/>
      <c r="C995" s="249"/>
      <c r="D995" s="945" t="s">
        <v>884</v>
      </c>
      <c r="E995" s="921"/>
      <c r="F995" s="921"/>
      <c r="G995" s="921"/>
      <c r="H995" s="921"/>
      <c r="I995" s="921"/>
      <c r="J995" s="921"/>
      <c r="K995" s="921"/>
      <c r="L995" s="921"/>
      <c r="M995" s="921"/>
      <c r="N995" s="921"/>
      <c r="O995" s="921"/>
      <c r="P995" s="921"/>
      <c r="Q995" s="943"/>
      <c r="R995" s="953">
        <f t="shared" si="70"/>
        <v>545600</v>
      </c>
      <c r="S995" s="921"/>
      <c r="T995" s="921"/>
      <c r="U995" s="921"/>
      <c r="V995" s="921"/>
      <c r="W995" s="921"/>
      <c r="X995" s="921"/>
      <c r="Y995" s="921"/>
      <c r="Z995" s="921"/>
      <c r="AA995" s="943"/>
      <c r="AB995" s="956">
        <f>CZ808</f>
        <v>68</v>
      </c>
      <c r="AC995" s="921"/>
      <c r="AD995" s="921"/>
      <c r="AE995" s="921"/>
      <c r="AF995" s="921"/>
      <c r="AG995" s="921"/>
      <c r="AH995" s="921"/>
      <c r="AI995" s="943"/>
      <c r="AJ995" s="1032">
        <f t="shared" si="71"/>
        <v>37100800</v>
      </c>
      <c r="AK995" s="921"/>
      <c r="AL995" s="921"/>
      <c r="AM995" s="921"/>
      <c r="AN995" s="921"/>
      <c r="AO995" s="921"/>
      <c r="AP995" s="921"/>
      <c r="AQ995" s="943"/>
      <c r="AR995" s="194"/>
      <c r="AS995" s="194"/>
      <c r="AT995" s="194"/>
      <c r="AU995" s="194"/>
      <c r="AV995" s="194"/>
      <c r="AW995" s="194"/>
      <c r="AX995" s="194"/>
      <c r="AY995" s="194"/>
      <c r="AZ995" s="203"/>
      <c r="BB995" s="1"/>
      <c r="BC995" s="1"/>
    </row>
    <row r="996" spans="1:55" ht="12.75" customHeight="1">
      <c r="A996" s="1"/>
      <c r="B996" s="267"/>
      <c r="C996" s="249"/>
      <c r="D996" s="945" t="s">
        <v>885</v>
      </c>
      <c r="E996" s="921"/>
      <c r="F996" s="921"/>
      <c r="G996" s="921"/>
      <c r="H996" s="921"/>
      <c r="I996" s="921"/>
      <c r="J996" s="921"/>
      <c r="K996" s="921"/>
      <c r="L996" s="921"/>
      <c r="M996" s="921"/>
      <c r="N996" s="921"/>
      <c r="O996" s="921"/>
      <c r="P996" s="921"/>
      <c r="Q996" s="943"/>
      <c r="R996" s="953">
        <f t="shared" si="70"/>
        <v>698368</v>
      </c>
      <c r="S996" s="921"/>
      <c r="T996" s="921"/>
      <c r="U996" s="921"/>
      <c r="V996" s="921"/>
      <c r="W996" s="921"/>
      <c r="X996" s="921"/>
      <c r="Y996" s="921"/>
      <c r="Z996" s="921"/>
      <c r="AA996" s="943"/>
      <c r="AB996" s="956">
        <f>DE808</f>
        <v>46</v>
      </c>
      <c r="AC996" s="921"/>
      <c r="AD996" s="921"/>
      <c r="AE996" s="921"/>
      <c r="AF996" s="921"/>
      <c r="AG996" s="921"/>
      <c r="AH996" s="921"/>
      <c r="AI996" s="943"/>
      <c r="AJ996" s="1032">
        <f t="shared" si="71"/>
        <v>32124928</v>
      </c>
      <c r="AK996" s="921"/>
      <c r="AL996" s="921"/>
      <c r="AM996" s="921"/>
      <c r="AN996" s="921"/>
      <c r="AO996" s="921"/>
      <c r="AP996" s="921"/>
      <c r="AQ996" s="943"/>
      <c r="AR996" s="194"/>
      <c r="AS996" s="194"/>
      <c r="AT996" s="194"/>
      <c r="AU996" s="194"/>
      <c r="AV996" s="194"/>
      <c r="AW996" s="194"/>
      <c r="AX996" s="194"/>
      <c r="AY996" s="194"/>
      <c r="AZ996" s="203"/>
      <c r="BA996" s="1"/>
      <c r="BB996" s="1"/>
      <c r="BC996" s="1"/>
    </row>
    <row r="997" spans="1:55" ht="12.75" customHeight="1">
      <c r="A997" s="1"/>
      <c r="B997" s="268"/>
      <c r="C997" s="251"/>
      <c r="D997" s="945" t="s">
        <v>890</v>
      </c>
      <c r="E997" s="921"/>
      <c r="F997" s="921"/>
      <c r="G997" s="921"/>
      <c r="H997" s="921"/>
      <c r="I997" s="921"/>
      <c r="J997" s="921"/>
      <c r="K997" s="921"/>
      <c r="L997" s="921"/>
      <c r="M997" s="921"/>
      <c r="N997" s="921"/>
      <c r="O997" s="921"/>
      <c r="P997" s="921"/>
      <c r="Q997" s="943"/>
      <c r="R997" s="953">
        <f t="shared" si="70"/>
        <v>778026</v>
      </c>
      <c r="S997" s="921"/>
      <c r="T997" s="921"/>
      <c r="U997" s="921"/>
      <c r="V997" s="921"/>
      <c r="W997" s="921"/>
      <c r="X997" s="921"/>
      <c r="Y997" s="921"/>
      <c r="Z997" s="921"/>
      <c r="AA997" s="943"/>
      <c r="AB997" s="956">
        <f>DO808+DJ808</f>
        <v>0</v>
      </c>
      <c r="AC997" s="921"/>
      <c r="AD997" s="921"/>
      <c r="AE997" s="921"/>
      <c r="AF997" s="921"/>
      <c r="AG997" s="921"/>
      <c r="AH997" s="921"/>
      <c r="AI997" s="943"/>
      <c r="AJ997" s="1032">
        <f t="shared" si="71"/>
        <v>0</v>
      </c>
      <c r="AK997" s="921"/>
      <c r="AL997" s="921"/>
      <c r="AM997" s="921"/>
      <c r="AN997" s="921"/>
      <c r="AO997" s="921"/>
      <c r="AP997" s="921"/>
      <c r="AQ997" s="943"/>
      <c r="AR997" s="194"/>
      <c r="AS997" s="194"/>
      <c r="AT997" s="194"/>
      <c r="AU997" s="194"/>
      <c r="AV997" s="194"/>
      <c r="AW997" s="194"/>
      <c r="AX997" s="194"/>
      <c r="AY997" s="194"/>
      <c r="AZ997" s="203"/>
      <c r="BB997" s="1"/>
      <c r="BC997" s="1"/>
    </row>
    <row r="998" spans="1:55" ht="12.75" customHeight="1">
      <c r="A998" s="1"/>
      <c r="B998" s="1004" t="s">
        <v>2731</v>
      </c>
      <c r="C998" s="921"/>
      <c r="D998" s="921"/>
      <c r="E998" s="921"/>
      <c r="F998" s="921"/>
      <c r="G998" s="921"/>
      <c r="H998" s="921"/>
      <c r="I998" s="921"/>
      <c r="J998" s="921"/>
      <c r="K998" s="921"/>
      <c r="L998" s="921"/>
      <c r="M998" s="921"/>
      <c r="N998" s="921"/>
      <c r="O998" s="921"/>
      <c r="P998" s="921"/>
      <c r="Q998" s="921"/>
      <c r="R998" s="921"/>
      <c r="S998" s="921"/>
      <c r="T998" s="921"/>
      <c r="U998" s="921"/>
      <c r="V998" s="921"/>
      <c r="W998" s="921"/>
      <c r="X998" s="921"/>
      <c r="Y998" s="921"/>
      <c r="Z998" s="921"/>
      <c r="AA998" s="943"/>
      <c r="AB998" s="956">
        <f>SUM(AB993:AI997)</f>
        <v>235</v>
      </c>
      <c r="AC998" s="921"/>
      <c r="AD998" s="921"/>
      <c r="AE998" s="921"/>
      <c r="AF998" s="921"/>
      <c r="AG998" s="921"/>
      <c r="AH998" s="921"/>
      <c r="AI998" s="943"/>
      <c r="AJ998" s="1032"/>
      <c r="AK998" s="921"/>
      <c r="AL998" s="921"/>
      <c r="AM998" s="921"/>
      <c r="AN998" s="921"/>
      <c r="AO998" s="921"/>
      <c r="AP998" s="921"/>
      <c r="AQ998" s="943"/>
      <c r="AR998" s="194"/>
      <c r="AS998" s="194"/>
      <c r="AT998" s="194"/>
      <c r="AU998" s="194"/>
      <c r="AV998" s="194"/>
      <c r="AW998" s="194"/>
      <c r="AX998" s="194"/>
      <c r="AY998" s="194"/>
      <c r="AZ998" s="1"/>
      <c r="BA998" s="1"/>
      <c r="BB998" s="1"/>
      <c r="BC998" s="1"/>
    </row>
    <row r="999" spans="1:55" ht="12.75" customHeight="1">
      <c r="A999" s="1"/>
      <c r="B999" s="1033" t="s">
        <v>2732</v>
      </c>
      <c r="C999" s="947"/>
      <c r="D999" s="947"/>
      <c r="E999" s="947"/>
      <c r="F999" s="947"/>
      <c r="G999" s="947"/>
      <c r="H999" s="947"/>
      <c r="I999" s="947"/>
      <c r="J999" s="947"/>
      <c r="K999" s="947"/>
      <c r="L999" s="947"/>
      <c r="M999" s="947"/>
      <c r="N999" s="947"/>
      <c r="O999" s="947"/>
      <c r="P999" s="947"/>
      <c r="Q999" s="947"/>
      <c r="R999" s="947"/>
      <c r="S999" s="947"/>
      <c r="T999" s="947"/>
      <c r="U999" s="947"/>
      <c r="V999" s="947"/>
      <c r="W999" s="947"/>
      <c r="X999" s="947"/>
      <c r="Y999" s="947"/>
      <c r="Z999" s="947"/>
      <c r="AA999" s="947"/>
      <c r="AB999" s="947"/>
      <c r="AC999" s="947"/>
      <c r="AD999" s="947"/>
      <c r="AE999" s="947"/>
      <c r="AF999" s="947"/>
      <c r="AG999" s="947"/>
      <c r="AH999" s="947"/>
      <c r="AI999" s="948"/>
      <c r="AJ999" s="1032">
        <f>SUM(AJ993:AQ997)</f>
        <v>123954270</v>
      </c>
      <c r="AK999" s="921"/>
      <c r="AL999" s="921"/>
      <c r="AM999" s="921"/>
      <c r="AN999" s="921"/>
      <c r="AO999" s="921"/>
      <c r="AP999" s="921"/>
      <c r="AQ999" s="943"/>
      <c r="AR999" s="194"/>
      <c r="AS999" s="194"/>
      <c r="AT999" s="194"/>
      <c r="AU999" s="194"/>
      <c r="AV999" s="194"/>
      <c r="AW999" s="194"/>
      <c r="AX999" s="194"/>
      <c r="AY999" s="194"/>
      <c r="AZ999" s="1"/>
      <c r="BB999" s="1"/>
      <c r="BC999" s="1"/>
    </row>
    <row r="1000" spans="1:55" ht="12.75" customHeight="1">
      <c r="A1000" s="1"/>
      <c r="B1000" s="944"/>
      <c r="C1000" s="921"/>
      <c r="D1000" s="921"/>
      <c r="E1000" s="921"/>
      <c r="F1000" s="921"/>
      <c r="G1000" s="921"/>
      <c r="H1000" s="921"/>
      <c r="I1000" s="921"/>
      <c r="J1000" s="921"/>
      <c r="K1000" s="921"/>
      <c r="L1000" s="921"/>
      <c r="M1000" s="921"/>
      <c r="N1000" s="921"/>
      <c r="O1000" s="921"/>
      <c r="P1000" s="921"/>
      <c r="Q1000" s="921"/>
      <c r="R1000" s="921"/>
      <c r="S1000" s="921"/>
      <c r="T1000" s="921"/>
      <c r="U1000" s="921"/>
      <c r="V1000" s="921"/>
      <c r="W1000" s="921"/>
      <c r="X1000" s="921"/>
      <c r="Y1000" s="921"/>
      <c r="Z1000" s="921"/>
      <c r="AA1000" s="921"/>
      <c r="AB1000" s="921"/>
      <c r="AC1000" s="921"/>
      <c r="AD1000" s="921"/>
      <c r="AE1000" s="943"/>
      <c r="AF1000" s="1034" t="s">
        <v>2733</v>
      </c>
      <c r="AG1000" s="921"/>
      <c r="AH1000" s="921"/>
      <c r="AI1000" s="943"/>
      <c r="AJ1000" s="944"/>
      <c r="AK1000" s="921"/>
      <c r="AL1000" s="921"/>
      <c r="AM1000" s="921"/>
      <c r="AN1000" s="921"/>
      <c r="AO1000" s="921"/>
      <c r="AP1000" s="921"/>
      <c r="AQ1000" s="943"/>
      <c r="AR1000" s="194"/>
      <c r="AS1000" s="194"/>
      <c r="AT1000" s="194"/>
      <c r="AU1000" s="194"/>
      <c r="AV1000" s="194"/>
      <c r="AW1000" s="194"/>
      <c r="AX1000" s="194"/>
      <c r="AY1000" s="194"/>
      <c r="AZ1000" s="1"/>
      <c r="BA1000" s="1"/>
      <c r="BB1000" s="1"/>
      <c r="BC1000" s="1"/>
    </row>
    <row r="1001" spans="1:55" ht="12.75" customHeight="1">
      <c r="A1001" s="1"/>
      <c r="B1001" s="267"/>
      <c r="C1001" s="844" t="s">
        <v>2734</v>
      </c>
      <c r="D1001" s="1021" t="s">
        <v>2735</v>
      </c>
      <c r="E1001" s="947"/>
      <c r="F1001" s="947"/>
      <c r="G1001" s="947"/>
      <c r="H1001" s="947"/>
      <c r="I1001" s="947"/>
      <c r="J1001" s="947"/>
      <c r="K1001" s="947"/>
      <c r="L1001" s="947"/>
      <c r="M1001" s="947"/>
      <c r="N1001" s="947"/>
      <c r="O1001" s="947"/>
      <c r="P1001" s="947"/>
      <c r="Q1001" s="947"/>
      <c r="R1001" s="947"/>
      <c r="S1001" s="947"/>
      <c r="T1001" s="947"/>
      <c r="U1001" s="947"/>
      <c r="V1001" s="947"/>
      <c r="W1001" s="947"/>
      <c r="X1001" s="947"/>
      <c r="Y1001" s="947"/>
      <c r="Z1001" s="947"/>
      <c r="AA1001" s="947"/>
      <c r="AB1001" s="947"/>
      <c r="AC1001" s="947"/>
      <c r="AD1001" s="947"/>
      <c r="AE1001" s="948"/>
      <c r="AF1001" s="265"/>
      <c r="AG1001" s="1035" t="s">
        <v>460</v>
      </c>
      <c r="AH1001" s="943"/>
      <c r="AI1001" s="247"/>
      <c r="AJ1001" s="1027">
        <f>ROUND(IF(AND(AG1001="yes",D1007&gt;0),AJ999*0.2,0),0)</f>
        <v>0</v>
      </c>
      <c r="AK1001" s="947"/>
      <c r="AL1001" s="947"/>
      <c r="AM1001" s="947"/>
      <c r="AN1001" s="947"/>
      <c r="AO1001" s="947"/>
      <c r="AP1001" s="947"/>
      <c r="AQ1001" s="948"/>
      <c r="AR1001" s="194"/>
      <c r="AS1001" s="194"/>
      <c r="AT1001" s="194"/>
      <c r="AU1001" s="194"/>
      <c r="AV1001" s="194"/>
      <c r="AW1001" s="194"/>
      <c r="AX1001" s="194"/>
      <c r="AY1001" s="194"/>
      <c r="AZ1001" s="1"/>
      <c r="BA1001" s="1"/>
      <c r="BB1001" s="1"/>
      <c r="BC1001" s="1"/>
    </row>
    <row r="1002" spans="1:55" ht="12.75" customHeight="1">
      <c r="A1002" s="1"/>
      <c r="B1002" s="845"/>
      <c r="C1002" s="846"/>
      <c r="D1002" s="1036" t="s">
        <v>2736</v>
      </c>
      <c r="E1002" s="893"/>
      <c r="F1002" s="893"/>
      <c r="G1002" s="893"/>
      <c r="H1002" s="893"/>
      <c r="I1002" s="893"/>
      <c r="J1002" s="893"/>
      <c r="K1002" s="893"/>
      <c r="L1002" s="893"/>
      <c r="M1002" s="893"/>
      <c r="N1002" s="893"/>
      <c r="O1002" s="893"/>
      <c r="P1002" s="893"/>
      <c r="Q1002" s="893"/>
      <c r="R1002" s="893"/>
      <c r="S1002" s="893"/>
      <c r="T1002" s="893"/>
      <c r="U1002" s="893"/>
      <c r="V1002" s="893"/>
      <c r="W1002" s="893"/>
      <c r="X1002" s="893"/>
      <c r="Y1002" s="893"/>
      <c r="Z1002" s="893"/>
      <c r="AA1002" s="893"/>
      <c r="AB1002" s="893"/>
      <c r="AC1002" s="893"/>
      <c r="AD1002" s="893"/>
      <c r="AE1002" s="959"/>
      <c r="AF1002" s="267"/>
      <c r="AG1002" s="1"/>
      <c r="AH1002" s="1"/>
      <c r="AI1002" s="249"/>
      <c r="AJ1002" s="958"/>
      <c r="AK1002" s="893"/>
      <c r="AL1002" s="893"/>
      <c r="AM1002" s="893"/>
      <c r="AN1002" s="893"/>
      <c r="AO1002" s="893"/>
      <c r="AP1002" s="893"/>
      <c r="AQ1002" s="959"/>
      <c r="AR1002" s="194"/>
      <c r="AS1002" s="194"/>
      <c r="AT1002" s="194"/>
      <c r="AU1002" s="194"/>
      <c r="AV1002" s="194"/>
      <c r="AW1002" s="194"/>
      <c r="AX1002" s="194"/>
      <c r="AY1002" s="194"/>
      <c r="AZ1002" s="1"/>
      <c r="BA1002" s="1"/>
      <c r="BB1002" s="1"/>
      <c r="BC1002" s="1"/>
    </row>
    <row r="1003" spans="1:55" ht="12.75" customHeight="1">
      <c r="A1003" s="1"/>
      <c r="B1003" s="845"/>
      <c r="C1003" s="846"/>
      <c r="D1003" s="958"/>
      <c r="E1003" s="893"/>
      <c r="F1003" s="893"/>
      <c r="G1003" s="893"/>
      <c r="H1003" s="893"/>
      <c r="I1003" s="893"/>
      <c r="J1003" s="893"/>
      <c r="K1003" s="893"/>
      <c r="L1003" s="893"/>
      <c r="M1003" s="893"/>
      <c r="N1003" s="893"/>
      <c r="O1003" s="893"/>
      <c r="P1003" s="893"/>
      <c r="Q1003" s="893"/>
      <c r="R1003" s="893"/>
      <c r="S1003" s="893"/>
      <c r="T1003" s="893"/>
      <c r="U1003" s="893"/>
      <c r="V1003" s="893"/>
      <c r="W1003" s="893"/>
      <c r="X1003" s="893"/>
      <c r="Y1003" s="893"/>
      <c r="Z1003" s="893"/>
      <c r="AA1003" s="893"/>
      <c r="AB1003" s="893"/>
      <c r="AC1003" s="893"/>
      <c r="AD1003" s="893"/>
      <c r="AE1003" s="959"/>
      <c r="AF1003" s="267"/>
      <c r="AG1003" s="1"/>
      <c r="AH1003" s="1"/>
      <c r="AI1003" s="249"/>
      <c r="AJ1003" s="958"/>
      <c r="AK1003" s="893"/>
      <c r="AL1003" s="893"/>
      <c r="AM1003" s="893"/>
      <c r="AN1003" s="893"/>
      <c r="AO1003" s="893"/>
      <c r="AP1003" s="893"/>
      <c r="AQ1003" s="959"/>
      <c r="AR1003" s="194"/>
      <c r="AS1003" s="194"/>
      <c r="AT1003" s="194"/>
      <c r="AU1003" s="194"/>
      <c r="AV1003" s="194"/>
      <c r="AW1003" s="194"/>
      <c r="AX1003" s="194"/>
      <c r="AY1003" s="194"/>
      <c r="AZ1003" s="1"/>
      <c r="BA1003" s="1"/>
      <c r="BB1003" s="1"/>
      <c r="BC1003" s="1"/>
    </row>
    <row r="1004" spans="1:55" ht="12.75" customHeight="1">
      <c r="A1004" s="1"/>
      <c r="B1004" s="845"/>
      <c r="C1004" s="846"/>
      <c r="D1004" s="958"/>
      <c r="E1004" s="893"/>
      <c r="F1004" s="893"/>
      <c r="G1004" s="893"/>
      <c r="H1004" s="893"/>
      <c r="I1004" s="893"/>
      <c r="J1004" s="893"/>
      <c r="K1004" s="893"/>
      <c r="L1004" s="893"/>
      <c r="M1004" s="893"/>
      <c r="N1004" s="893"/>
      <c r="O1004" s="893"/>
      <c r="P1004" s="893"/>
      <c r="Q1004" s="893"/>
      <c r="R1004" s="893"/>
      <c r="S1004" s="893"/>
      <c r="T1004" s="893"/>
      <c r="U1004" s="893"/>
      <c r="V1004" s="893"/>
      <c r="W1004" s="893"/>
      <c r="X1004" s="893"/>
      <c r="Y1004" s="893"/>
      <c r="Z1004" s="893"/>
      <c r="AA1004" s="893"/>
      <c r="AB1004" s="893"/>
      <c r="AC1004" s="893"/>
      <c r="AD1004" s="893"/>
      <c r="AE1004" s="959"/>
      <c r="AF1004" s="267"/>
      <c r="AG1004" s="1"/>
      <c r="AH1004" s="1"/>
      <c r="AI1004" s="249"/>
      <c r="AJ1004" s="958"/>
      <c r="AK1004" s="893"/>
      <c r="AL1004" s="893"/>
      <c r="AM1004" s="893"/>
      <c r="AN1004" s="893"/>
      <c r="AO1004" s="893"/>
      <c r="AP1004" s="893"/>
      <c r="AQ1004" s="959"/>
      <c r="AR1004" s="194"/>
      <c r="AS1004" s="194"/>
      <c r="AT1004" s="194"/>
      <c r="AU1004" s="194"/>
      <c r="AV1004" s="194"/>
      <c r="AW1004" s="194"/>
      <c r="AX1004" s="194"/>
      <c r="AY1004" s="194"/>
      <c r="AZ1004" s="1"/>
      <c r="BA1004" s="1"/>
      <c r="BB1004" s="1"/>
      <c r="BC1004" s="1"/>
    </row>
    <row r="1005" spans="1:55" ht="12.75" customHeight="1">
      <c r="A1005" s="1"/>
      <c r="B1005" s="845"/>
      <c r="C1005" s="846"/>
      <c r="D1005" s="958"/>
      <c r="E1005" s="893"/>
      <c r="F1005" s="893"/>
      <c r="G1005" s="893"/>
      <c r="H1005" s="893"/>
      <c r="I1005" s="893"/>
      <c r="J1005" s="893"/>
      <c r="K1005" s="893"/>
      <c r="L1005" s="893"/>
      <c r="M1005" s="893"/>
      <c r="N1005" s="893"/>
      <c r="O1005" s="893"/>
      <c r="P1005" s="893"/>
      <c r="Q1005" s="893"/>
      <c r="R1005" s="893"/>
      <c r="S1005" s="893"/>
      <c r="T1005" s="893"/>
      <c r="U1005" s="893"/>
      <c r="V1005" s="893"/>
      <c r="W1005" s="893"/>
      <c r="X1005" s="893"/>
      <c r="Y1005" s="893"/>
      <c r="Z1005" s="893"/>
      <c r="AA1005" s="893"/>
      <c r="AB1005" s="893"/>
      <c r="AC1005" s="893"/>
      <c r="AD1005" s="893"/>
      <c r="AE1005" s="959"/>
      <c r="AF1005" s="267"/>
      <c r="AG1005" s="1"/>
      <c r="AH1005" s="1"/>
      <c r="AI1005" s="249"/>
      <c r="AJ1005" s="958"/>
      <c r="AK1005" s="893"/>
      <c r="AL1005" s="893"/>
      <c r="AM1005" s="893"/>
      <c r="AN1005" s="893"/>
      <c r="AO1005" s="893"/>
      <c r="AP1005" s="893"/>
      <c r="AQ1005" s="959"/>
      <c r="AR1005" s="194"/>
      <c r="AS1005" s="194"/>
      <c r="AT1005" s="194"/>
      <c r="AU1005" s="194"/>
      <c r="AV1005" s="194"/>
      <c r="AW1005" s="194"/>
      <c r="AX1005" s="194"/>
      <c r="AY1005" s="194"/>
      <c r="AZ1005" s="1"/>
      <c r="BA1005" s="1"/>
      <c r="BB1005" s="1"/>
      <c r="BC1005" s="1"/>
    </row>
    <row r="1006" spans="1:55" ht="12.75" customHeight="1">
      <c r="A1006" s="1"/>
      <c r="B1006" s="845"/>
      <c r="C1006" s="846"/>
      <c r="D1006" s="1037" t="s">
        <v>2737</v>
      </c>
      <c r="E1006" s="961"/>
      <c r="F1006" s="961"/>
      <c r="G1006" s="961"/>
      <c r="H1006" s="961"/>
      <c r="I1006" s="961"/>
      <c r="J1006" s="961"/>
      <c r="K1006" s="961"/>
      <c r="L1006" s="961"/>
      <c r="M1006" s="961"/>
      <c r="N1006" s="961"/>
      <c r="O1006" s="961"/>
      <c r="P1006" s="961"/>
      <c r="Q1006" s="961"/>
      <c r="R1006" s="961"/>
      <c r="S1006" s="961"/>
      <c r="T1006" s="961"/>
      <c r="U1006" s="961"/>
      <c r="V1006" s="961"/>
      <c r="W1006" s="961"/>
      <c r="X1006" s="961"/>
      <c r="Y1006" s="961"/>
      <c r="Z1006" s="961"/>
      <c r="AA1006" s="961"/>
      <c r="AB1006" s="961"/>
      <c r="AC1006" s="961"/>
      <c r="AD1006" s="961"/>
      <c r="AE1006" s="962"/>
      <c r="AF1006" s="267"/>
      <c r="AG1006" s="1"/>
      <c r="AH1006" s="1"/>
      <c r="AI1006" s="249"/>
      <c r="AJ1006" s="958"/>
      <c r="AK1006" s="893"/>
      <c r="AL1006" s="893"/>
      <c r="AM1006" s="893"/>
      <c r="AN1006" s="893"/>
      <c r="AO1006" s="893"/>
      <c r="AP1006" s="893"/>
      <c r="AQ1006" s="959"/>
      <c r="AR1006" s="194"/>
      <c r="AS1006" s="194"/>
      <c r="AT1006" s="194"/>
      <c r="AU1006" s="194"/>
      <c r="AV1006" s="194"/>
      <c r="AW1006" s="194"/>
      <c r="AX1006" s="194"/>
      <c r="AY1006" s="194"/>
      <c r="AZ1006" s="1"/>
      <c r="BA1006" s="1"/>
      <c r="BB1006" s="1"/>
      <c r="BC1006" s="1"/>
    </row>
    <row r="1007" spans="1:55" ht="12.75" customHeight="1">
      <c r="A1007" s="1"/>
      <c r="B1007" s="845"/>
      <c r="C1007" s="846"/>
      <c r="D1007" s="1038"/>
      <c r="E1007" s="921"/>
      <c r="F1007" s="921"/>
      <c r="G1007" s="921"/>
      <c r="H1007" s="921"/>
      <c r="I1007" s="921"/>
      <c r="J1007" s="921"/>
      <c r="K1007" s="921"/>
      <c r="L1007" s="921"/>
      <c r="M1007" s="921"/>
      <c r="N1007" s="921"/>
      <c r="O1007" s="921"/>
      <c r="P1007" s="921"/>
      <c r="Q1007" s="921"/>
      <c r="R1007" s="921"/>
      <c r="S1007" s="921"/>
      <c r="T1007" s="921"/>
      <c r="U1007" s="921"/>
      <c r="V1007" s="921"/>
      <c r="W1007" s="921"/>
      <c r="X1007" s="921"/>
      <c r="Y1007" s="921"/>
      <c r="Z1007" s="921"/>
      <c r="AA1007" s="921"/>
      <c r="AB1007" s="921"/>
      <c r="AC1007" s="921"/>
      <c r="AD1007" s="921"/>
      <c r="AE1007" s="943"/>
      <c r="AF1007" s="268"/>
      <c r="AG1007" s="235"/>
      <c r="AH1007" s="235"/>
      <c r="AI1007" s="251"/>
      <c r="AJ1007" s="960"/>
      <c r="AK1007" s="961"/>
      <c r="AL1007" s="961"/>
      <c r="AM1007" s="961"/>
      <c r="AN1007" s="961"/>
      <c r="AO1007" s="961"/>
      <c r="AP1007" s="961"/>
      <c r="AQ1007" s="962"/>
      <c r="AR1007" s="194"/>
      <c r="AS1007" s="194"/>
      <c r="AT1007" s="194"/>
      <c r="AU1007" s="194"/>
      <c r="AV1007" s="194"/>
      <c r="AW1007" s="194"/>
      <c r="AX1007" s="194"/>
      <c r="AY1007" s="194"/>
      <c r="AZ1007" s="1"/>
      <c r="BA1007" s="1"/>
      <c r="BB1007" s="1"/>
      <c r="BC1007" s="1"/>
    </row>
    <row r="1008" spans="1:55" ht="12.75" customHeight="1">
      <c r="A1008" s="1"/>
      <c r="B1008" s="847"/>
      <c r="C1008" s="848"/>
      <c r="D1008" s="1028" t="s">
        <v>2738</v>
      </c>
      <c r="E1008" s="893"/>
      <c r="F1008" s="893"/>
      <c r="G1008" s="893"/>
      <c r="H1008" s="893"/>
      <c r="I1008" s="893"/>
      <c r="J1008" s="893"/>
      <c r="K1008" s="893"/>
      <c r="L1008" s="893"/>
      <c r="M1008" s="893"/>
      <c r="N1008" s="893"/>
      <c r="O1008" s="893"/>
      <c r="P1008" s="893"/>
      <c r="Q1008" s="893"/>
      <c r="R1008" s="893"/>
      <c r="S1008" s="893"/>
      <c r="T1008" s="893"/>
      <c r="U1008" s="893"/>
      <c r="V1008" s="893"/>
      <c r="W1008" s="893"/>
      <c r="X1008" s="893"/>
      <c r="Y1008" s="893"/>
      <c r="Z1008" s="893"/>
      <c r="AA1008" s="893"/>
      <c r="AB1008" s="893"/>
      <c r="AC1008" s="893"/>
      <c r="AD1008" s="893"/>
      <c r="AE1008" s="959"/>
      <c r="AF1008" s="265"/>
      <c r="AG1008" s="1029" t="s">
        <v>460</v>
      </c>
      <c r="AH1008" s="943"/>
      <c r="AI1008" s="247"/>
      <c r="AJ1008" s="1027">
        <f>ROUND(IF(AG1008="yes",AJ999*0.05,0),0)</f>
        <v>0</v>
      </c>
      <c r="AK1008" s="947"/>
      <c r="AL1008" s="947"/>
      <c r="AM1008" s="947"/>
      <c r="AN1008" s="947"/>
      <c r="AO1008" s="947"/>
      <c r="AP1008" s="947"/>
      <c r="AQ1008" s="948"/>
      <c r="AR1008" s="194"/>
      <c r="AS1008" s="194"/>
      <c r="AT1008" s="194"/>
      <c r="AU1008" s="194"/>
      <c r="AV1008" s="194"/>
      <c r="AW1008" s="194"/>
      <c r="AX1008" s="194"/>
      <c r="AY1008" s="194"/>
      <c r="AZ1008" s="1"/>
      <c r="BA1008" s="1"/>
      <c r="BB1008" s="1"/>
      <c r="BC1008" s="1"/>
    </row>
    <row r="1009" spans="1:54" ht="12.75" customHeight="1">
      <c r="A1009" s="1"/>
      <c r="B1009" s="845"/>
      <c r="C1009" s="849"/>
      <c r="D1009" s="1036" t="s">
        <v>2739</v>
      </c>
      <c r="E1009" s="893"/>
      <c r="F1009" s="893"/>
      <c r="G1009" s="893"/>
      <c r="H1009" s="893"/>
      <c r="I1009" s="893"/>
      <c r="J1009" s="893"/>
      <c r="K1009" s="893"/>
      <c r="L1009" s="893"/>
      <c r="M1009" s="893"/>
      <c r="N1009" s="893"/>
      <c r="O1009" s="893"/>
      <c r="P1009" s="893"/>
      <c r="Q1009" s="893"/>
      <c r="R1009" s="893"/>
      <c r="S1009" s="893"/>
      <c r="T1009" s="893"/>
      <c r="U1009" s="893"/>
      <c r="V1009" s="893"/>
      <c r="W1009" s="893"/>
      <c r="X1009" s="893"/>
      <c r="Y1009" s="893"/>
      <c r="Z1009" s="893"/>
      <c r="AA1009" s="893"/>
      <c r="AB1009" s="893"/>
      <c r="AC1009" s="893"/>
      <c r="AD1009" s="893"/>
      <c r="AE1009" s="959"/>
      <c r="AF1009" s="267"/>
      <c r="AG1009" s="1"/>
      <c r="AH1009" s="1"/>
      <c r="AI1009" s="249"/>
      <c r="AJ1009" s="958"/>
      <c r="AK1009" s="893"/>
      <c r="AL1009" s="893"/>
      <c r="AM1009" s="893"/>
      <c r="AN1009" s="893"/>
      <c r="AO1009" s="893"/>
      <c r="AP1009" s="893"/>
      <c r="AQ1009" s="959"/>
      <c r="AR1009" s="194"/>
      <c r="AS1009" s="194"/>
      <c r="AT1009" s="194"/>
      <c r="AU1009" s="194"/>
      <c r="AV1009" s="194"/>
      <c r="AW1009" s="194"/>
      <c r="AX1009" s="194"/>
      <c r="AY1009" s="1"/>
      <c r="AZ1009" s="1"/>
      <c r="BB1009" s="1"/>
    </row>
    <row r="1010" spans="1:54" ht="12.75" customHeight="1">
      <c r="A1010" s="1"/>
      <c r="B1010" s="845"/>
      <c r="C1010" s="849"/>
      <c r="D1010" s="958"/>
      <c r="E1010" s="893"/>
      <c r="F1010" s="893"/>
      <c r="G1010" s="893"/>
      <c r="H1010" s="893"/>
      <c r="I1010" s="893"/>
      <c r="J1010" s="893"/>
      <c r="K1010" s="893"/>
      <c r="L1010" s="893"/>
      <c r="M1010" s="893"/>
      <c r="N1010" s="893"/>
      <c r="O1010" s="893"/>
      <c r="P1010" s="893"/>
      <c r="Q1010" s="893"/>
      <c r="R1010" s="893"/>
      <c r="S1010" s="893"/>
      <c r="T1010" s="893"/>
      <c r="U1010" s="893"/>
      <c r="V1010" s="893"/>
      <c r="W1010" s="893"/>
      <c r="X1010" s="893"/>
      <c r="Y1010" s="893"/>
      <c r="Z1010" s="893"/>
      <c r="AA1010" s="893"/>
      <c r="AB1010" s="893"/>
      <c r="AC1010" s="893"/>
      <c r="AD1010" s="893"/>
      <c r="AE1010" s="959"/>
      <c r="AF1010" s="267"/>
      <c r="AG1010" s="1"/>
      <c r="AH1010" s="1"/>
      <c r="AI1010" s="249"/>
      <c r="AJ1010" s="958"/>
      <c r="AK1010" s="893"/>
      <c r="AL1010" s="893"/>
      <c r="AM1010" s="893"/>
      <c r="AN1010" s="893"/>
      <c r="AO1010" s="893"/>
      <c r="AP1010" s="893"/>
      <c r="AQ1010" s="959"/>
      <c r="AR1010" s="194"/>
      <c r="AS1010" s="194"/>
      <c r="AT1010" s="194"/>
      <c r="AU1010" s="194"/>
      <c r="AV1010" s="194"/>
      <c r="AW1010" s="194"/>
      <c r="AX1010" s="194"/>
      <c r="AY1010" s="850">
        <f>G759+O803</f>
        <v>232</v>
      </c>
      <c r="AZ1010" s="1"/>
      <c r="BB1010" s="1"/>
    </row>
    <row r="1011" spans="1:54" ht="12.75" customHeight="1">
      <c r="A1011" s="1"/>
      <c r="B1011" s="845"/>
      <c r="C1011" s="849"/>
      <c r="D1011" s="958"/>
      <c r="E1011" s="893"/>
      <c r="F1011" s="893"/>
      <c r="G1011" s="893"/>
      <c r="H1011" s="893"/>
      <c r="I1011" s="893"/>
      <c r="J1011" s="893"/>
      <c r="K1011" s="893"/>
      <c r="L1011" s="893"/>
      <c r="M1011" s="893"/>
      <c r="N1011" s="893"/>
      <c r="O1011" s="893"/>
      <c r="P1011" s="893"/>
      <c r="Q1011" s="893"/>
      <c r="R1011" s="893"/>
      <c r="S1011" s="893"/>
      <c r="T1011" s="893"/>
      <c r="U1011" s="893"/>
      <c r="V1011" s="893"/>
      <c r="W1011" s="893"/>
      <c r="X1011" s="893"/>
      <c r="Y1011" s="893"/>
      <c r="Z1011" s="893"/>
      <c r="AA1011" s="893"/>
      <c r="AB1011" s="893"/>
      <c r="AC1011" s="893"/>
      <c r="AD1011" s="893"/>
      <c r="AE1011" s="959"/>
      <c r="AF1011" s="267"/>
      <c r="AG1011" s="1"/>
      <c r="AH1011" s="1"/>
      <c r="AI1011" s="249"/>
      <c r="AJ1011" s="958"/>
      <c r="AK1011" s="893"/>
      <c r="AL1011" s="893"/>
      <c r="AM1011" s="893"/>
      <c r="AN1011" s="893"/>
      <c r="AO1011" s="893"/>
      <c r="AP1011" s="893"/>
      <c r="AQ1011" s="959"/>
      <c r="AR1011" s="194"/>
      <c r="AS1011" s="194"/>
      <c r="AT1011" s="194"/>
      <c r="AU1011" s="194"/>
      <c r="AV1011" s="194"/>
      <c r="AW1011" s="194"/>
      <c r="AX1011" s="194"/>
      <c r="AY1011" s="1"/>
      <c r="AZ1011" s="1"/>
      <c r="BB1011" s="1"/>
    </row>
    <row r="1012" spans="1:54" ht="12.75" customHeight="1">
      <c r="A1012" s="1"/>
      <c r="B1012" s="845"/>
      <c r="C1012" s="849"/>
      <c r="D1012" s="958"/>
      <c r="E1012" s="893"/>
      <c r="F1012" s="893"/>
      <c r="G1012" s="893"/>
      <c r="H1012" s="893"/>
      <c r="I1012" s="893"/>
      <c r="J1012" s="893"/>
      <c r="K1012" s="893"/>
      <c r="L1012" s="893"/>
      <c r="M1012" s="893"/>
      <c r="N1012" s="893"/>
      <c r="O1012" s="893"/>
      <c r="P1012" s="893"/>
      <c r="Q1012" s="893"/>
      <c r="R1012" s="893"/>
      <c r="S1012" s="893"/>
      <c r="T1012" s="893"/>
      <c r="U1012" s="893"/>
      <c r="V1012" s="893"/>
      <c r="W1012" s="893"/>
      <c r="X1012" s="893"/>
      <c r="Y1012" s="893"/>
      <c r="Z1012" s="893"/>
      <c r="AA1012" s="893"/>
      <c r="AB1012" s="893"/>
      <c r="AC1012" s="893"/>
      <c r="AD1012" s="893"/>
      <c r="AE1012" s="959"/>
      <c r="AF1012" s="267"/>
      <c r="AG1012" s="1"/>
      <c r="AH1012" s="1"/>
      <c r="AI1012" s="249"/>
      <c r="AJ1012" s="958"/>
      <c r="AK1012" s="893"/>
      <c r="AL1012" s="893"/>
      <c r="AM1012" s="893"/>
      <c r="AN1012" s="893"/>
      <c r="AO1012" s="893"/>
      <c r="AP1012" s="893"/>
      <c r="AQ1012" s="959"/>
      <c r="AR1012" s="194"/>
      <c r="AS1012" s="194"/>
      <c r="AT1012" s="194"/>
      <c r="AU1012" s="194"/>
      <c r="AV1012" s="194"/>
      <c r="AW1012" s="194"/>
      <c r="AX1012" s="194"/>
      <c r="AY1012" s="851">
        <f>ROUNDDOWN(X1055/I1055,2)</f>
        <v>0.11</v>
      </c>
      <c r="AZ1012" s="1"/>
      <c r="BB1012" s="1"/>
    </row>
    <row r="1013" spans="1:54" ht="12.75" customHeight="1">
      <c r="A1013" s="1"/>
      <c r="B1013" s="852"/>
      <c r="C1013" s="853"/>
      <c r="D1013" s="960"/>
      <c r="E1013" s="961"/>
      <c r="F1013" s="961"/>
      <c r="G1013" s="961"/>
      <c r="H1013" s="961"/>
      <c r="I1013" s="961"/>
      <c r="J1013" s="961"/>
      <c r="K1013" s="961"/>
      <c r="L1013" s="961"/>
      <c r="M1013" s="961"/>
      <c r="N1013" s="961"/>
      <c r="O1013" s="961"/>
      <c r="P1013" s="961"/>
      <c r="Q1013" s="961"/>
      <c r="R1013" s="961"/>
      <c r="S1013" s="961"/>
      <c r="T1013" s="961"/>
      <c r="U1013" s="961"/>
      <c r="V1013" s="961"/>
      <c r="W1013" s="961"/>
      <c r="X1013" s="961"/>
      <c r="Y1013" s="961"/>
      <c r="Z1013" s="961"/>
      <c r="AA1013" s="961"/>
      <c r="AB1013" s="961"/>
      <c r="AC1013" s="961"/>
      <c r="AD1013" s="961"/>
      <c r="AE1013" s="962"/>
      <c r="AF1013" s="268"/>
      <c r="AG1013" s="235"/>
      <c r="AH1013" s="235"/>
      <c r="AI1013" s="251"/>
      <c r="AJ1013" s="960"/>
      <c r="AK1013" s="961"/>
      <c r="AL1013" s="961"/>
      <c r="AM1013" s="961"/>
      <c r="AN1013" s="961"/>
      <c r="AO1013" s="961"/>
      <c r="AP1013" s="961"/>
      <c r="AQ1013" s="962"/>
      <c r="AR1013" s="194"/>
      <c r="AS1013" s="194"/>
      <c r="AT1013" s="194"/>
      <c r="AU1013" s="194"/>
      <c r="AV1013" s="194"/>
      <c r="AW1013" s="194"/>
      <c r="AX1013" s="194"/>
      <c r="AY1013" s="851">
        <f>ROUNDDOWN(X1059/I1059,2)</f>
        <v>0.11</v>
      </c>
      <c r="AZ1013" s="1"/>
      <c r="BB1013" s="1"/>
    </row>
    <row r="1014" spans="1:54" ht="12.75" customHeight="1">
      <c r="A1014" s="1"/>
      <c r="B1014" s="847"/>
      <c r="C1014" s="341" t="s">
        <v>2740</v>
      </c>
      <c r="D1014" s="1028" t="s">
        <v>2741</v>
      </c>
      <c r="E1014" s="893"/>
      <c r="F1014" s="893"/>
      <c r="G1014" s="893"/>
      <c r="H1014" s="893"/>
      <c r="I1014" s="893"/>
      <c r="J1014" s="893"/>
      <c r="K1014" s="893"/>
      <c r="L1014" s="893"/>
      <c r="M1014" s="893"/>
      <c r="N1014" s="893"/>
      <c r="O1014" s="893"/>
      <c r="P1014" s="893"/>
      <c r="Q1014" s="893"/>
      <c r="R1014" s="893"/>
      <c r="S1014" s="893"/>
      <c r="T1014" s="893"/>
      <c r="U1014" s="893"/>
      <c r="V1014" s="893"/>
      <c r="W1014" s="893"/>
      <c r="X1014" s="893"/>
      <c r="Y1014" s="893"/>
      <c r="Z1014" s="893"/>
      <c r="AA1014" s="893"/>
      <c r="AB1014" s="893"/>
      <c r="AC1014" s="893"/>
      <c r="AD1014" s="893"/>
      <c r="AE1014" s="959"/>
      <c r="AF1014" s="246"/>
      <c r="AG1014" s="1029" t="s">
        <v>460</v>
      </c>
      <c r="AH1014" s="943"/>
      <c r="AI1014" s="247"/>
      <c r="AJ1014" s="1027">
        <f>ROUND(IF(AG1014="yes",AJ999*0.1,0),0)</f>
        <v>0</v>
      </c>
      <c r="AK1014" s="947"/>
      <c r="AL1014" s="947"/>
      <c r="AM1014" s="947"/>
      <c r="AN1014" s="947"/>
      <c r="AO1014" s="947"/>
      <c r="AP1014" s="947"/>
      <c r="AQ1014" s="948"/>
      <c r="AR1014" s="194"/>
      <c r="AS1014" s="194"/>
      <c r="AT1014" s="194"/>
      <c r="AU1014" s="194"/>
      <c r="AV1014" s="194"/>
      <c r="AW1014" s="194"/>
      <c r="AX1014" s="194"/>
      <c r="BB1014" s="1"/>
    </row>
    <row r="1015" spans="1:54" ht="12.75" customHeight="1">
      <c r="A1015" s="1"/>
      <c r="B1015" s="267"/>
      <c r="C1015" s="10"/>
      <c r="D1015" s="1030" t="s">
        <v>2742</v>
      </c>
      <c r="E1015" s="893"/>
      <c r="F1015" s="893"/>
      <c r="G1015" s="893"/>
      <c r="H1015" s="893"/>
      <c r="I1015" s="893"/>
      <c r="J1015" s="893"/>
      <c r="K1015" s="893"/>
      <c r="L1015" s="893"/>
      <c r="M1015" s="893"/>
      <c r="N1015" s="893"/>
      <c r="O1015" s="893"/>
      <c r="P1015" s="893"/>
      <c r="Q1015" s="893"/>
      <c r="R1015" s="893"/>
      <c r="S1015" s="893"/>
      <c r="T1015" s="893"/>
      <c r="U1015" s="893"/>
      <c r="V1015" s="893"/>
      <c r="W1015" s="893"/>
      <c r="X1015" s="893"/>
      <c r="Y1015" s="893"/>
      <c r="Z1015" s="893"/>
      <c r="AA1015" s="893"/>
      <c r="AB1015" s="893"/>
      <c r="AC1015" s="893"/>
      <c r="AD1015" s="893"/>
      <c r="AE1015" s="959"/>
      <c r="AF1015" s="267"/>
      <c r="AI1015" s="249"/>
      <c r="AJ1015" s="958"/>
      <c r="AK1015" s="893"/>
      <c r="AL1015" s="893"/>
      <c r="AM1015" s="893"/>
      <c r="AN1015" s="893"/>
      <c r="AO1015" s="893"/>
      <c r="AP1015" s="893"/>
      <c r="AQ1015" s="959"/>
      <c r="AR1015" s="194"/>
      <c r="AS1015" s="194"/>
      <c r="AT1015" s="194"/>
      <c r="AU1015" s="194"/>
      <c r="AV1015" s="194"/>
      <c r="AW1015" s="194"/>
      <c r="AX1015" s="194"/>
    </row>
    <row r="1016" spans="1:54" ht="12.75" customHeight="1">
      <c r="A1016" s="1"/>
      <c r="B1016" s="267"/>
      <c r="C1016" s="10"/>
      <c r="D1016" s="958"/>
      <c r="E1016" s="893"/>
      <c r="F1016" s="893"/>
      <c r="G1016" s="893"/>
      <c r="H1016" s="893"/>
      <c r="I1016" s="893"/>
      <c r="J1016" s="893"/>
      <c r="K1016" s="893"/>
      <c r="L1016" s="893"/>
      <c r="M1016" s="893"/>
      <c r="N1016" s="893"/>
      <c r="O1016" s="893"/>
      <c r="P1016" s="893"/>
      <c r="Q1016" s="893"/>
      <c r="R1016" s="893"/>
      <c r="S1016" s="893"/>
      <c r="T1016" s="893"/>
      <c r="U1016" s="893"/>
      <c r="V1016" s="893"/>
      <c r="W1016" s="893"/>
      <c r="X1016" s="893"/>
      <c r="Y1016" s="893"/>
      <c r="Z1016" s="893"/>
      <c r="AA1016" s="893"/>
      <c r="AB1016" s="893"/>
      <c r="AC1016" s="893"/>
      <c r="AD1016" s="893"/>
      <c r="AE1016" s="959"/>
      <c r="AF1016" s="267"/>
      <c r="AG1016" s="1"/>
      <c r="AH1016" s="1"/>
      <c r="AI1016" s="249"/>
      <c r="AJ1016" s="958"/>
      <c r="AK1016" s="893"/>
      <c r="AL1016" s="893"/>
      <c r="AM1016" s="893"/>
      <c r="AN1016" s="893"/>
      <c r="AO1016" s="893"/>
      <c r="AP1016" s="893"/>
      <c r="AQ1016" s="959"/>
      <c r="AR1016" s="194"/>
      <c r="AS1016" s="194"/>
      <c r="AT1016" s="194"/>
      <c r="AU1016" s="194"/>
      <c r="AV1016" s="194"/>
      <c r="AW1016" s="194"/>
      <c r="AX1016" s="194"/>
    </row>
    <row r="1017" spans="1:54" ht="12.75" customHeight="1">
      <c r="A1017" s="1"/>
      <c r="B1017" s="854"/>
      <c r="C1017" s="853"/>
      <c r="D1017" s="960"/>
      <c r="E1017" s="961"/>
      <c r="F1017" s="961"/>
      <c r="G1017" s="961"/>
      <c r="H1017" s="961"/>
      <c r="I1017" s="961"/>
      <c r="J1017" s="961"/>
      <c r="K1017" s="961"/>
      <c r="L1017" s="961"/>
      <c r="M1017" s="961"/>
      <c r="N1017" s="961"/>
      <c r="O1017" s="961"/>
      <c r="P1017" s="961"/>
      <c r="Q1017" s="961"/>
      <c r="R1017" s="961"/>
      <c r="S1017" s="961"/>
      <c r="T1017" s="961"/>
      <c r="U1017" s="961"/>
      <c r="V1017" s="961"/>
      <c r="W1017" s="961"/>
      <c r="X1017" s="961"/>
      <c r="Y1017" s="961"/>
      <c r="Z1017" s="961"/>
      <c r="AA1017" s="961"/>
      <c r="AB1017" s="961"/>
      <c r="AC1017" s="961"/>
      <c r="AD1017" s="961"/>
      <c r="AE1017" s="962"/>
      <c r="AF1017" s="268"/>
      <c r="AG1017" s="235"/>
      <c r="AH1017" s="235"/>
      <c r="AI1017" s="251"/>
      <c r="AJ1017" s="960"/>
      <c r="AK1017" s="961"/>
      <c r="AL1017" s="961"/>
      <c r="AM1017" s="961"/>
      <c r="AN1017" s="961"/>
      <c r="AO1017" s="961"/>
      <c r="AP1017" s="961"/>
      <c r="AQ1017" s="962"/>
      <c r="AR1017" s="194"/>
      <c r="AS1017" s="194"/>
      <c r="AT1017" s="194"/>
      <c r="AU1017" s="194"/>
      <c r="AV1017" s="194"/>
      <c r="AW1017" s="194"/>
      <c r="AX1017" s="194"/>
    </row>
    <row r="1018" spans="1:54" ht="12.75" customHeight="1">
      <c r="A1018" s="1"/>
      <c r="B1018" s="265"/>
      <c r="C1018" s="341" t="s">
        <v>2743</v>
      </c>
      <c r="D1018" s="1028" t="s">
        <v>2744</v>
      </c>
      <c r="E1018" s="893"/>
      <c r="F1018" s="893"/>
      <c r="G1018" s="893"/>
      <c r="H1018" s="893"/>
      <c r="I1018" s="893"/>
      <c r="J1018" s="893"/>
      <c r="K1018" s="893"/>
      <c r="L1018" s="893"/>
      <c r="M1018" s="893"/>
      <c r="N1018" s="893"/>
      <c r="O1018" s="893"/>
      <c r="P1018" s="893"/>
      <c r="Q1018" s="893"/>
      <c r="R1018" s="893"/>
      <c r="S1018" s="893"/>
      <c r="T1018" s="893"/>
      <c r="U1018" s="893"/>
      <c r="V1018" s="893"/>
      <c r="W1018" s="893"/>
      <c r="X1018" s="893"/>
      <c r="Y1018" s="893"/>
      <c r="Z1018" s="893"/>
      <c r="AA1018" s="893"/>
      <c r="AB1018" s="893"/>
      <c r="AC1018" s="893"/>
      <c r="AD1018" s="893"/>
      <c r="AE1018" s="959"/>
      <c r="AF1018" s="265"/>
      <c r="AG1018" s="1029" t="s">
        <v>460</v>
      </c>
      <c r="AH1018" s="943"/>
      <c r="AI1018" s="247"/>
      <c r="AJ1018" s="1027">
        <f>ROUND(IF(AG1018="yes",AJ999*0.02,0),0)</f>
        <v>0</v>
      </c>
      <c r="AK1018" s="947"/>
      <c r="AL1018" s="947"/>
      <c r="AM1018" s="947"/>
      <c r="AN1018" s="947"/>
      <c r="AO1018" s="947"/>
      <c r="AP1018" s="947"/>
      <c r="AQ1018" s="948"/>
      <c r="AR1018" s="194"/>
      <c r="AS1018" s="194"/>
      <c r="AT1018" s="194"/>
      <c r="AU1018" s="194"/>
      <c r="AV1018" s="194"/>
      <c r="AW1018" s="194"/>
      <c r="AX1018" s="194"/>
    </row>
    <row r="1019" spans="1:54" ht="14.25" customHeight="1">
      <c r="A1019" s="1"/>
      <c r="B1019" s="267"/>
      <c r="C1019" s="10"/>
      <c r="D1019" s="1043" t="s">
        <v>2745</v>
      </c>
      <c r="E1019" s="961"/>
      <c r="F1019" s="961"/>
      <c r="G1019" s="961"/>
      <c r="H1019" s="961"/>
      <c r="I1019" s="961"/>
      <c r="J1019" s="961"/>
      <c r="K1019" s="961"/>
      <c r="L1019" s="961"/>
      <c r="M1019" s="961"/>
      <c r="N1019" s="961"/>
      <c r="O1019" s="961"/>
      <c r="P1019" s="961"/>
      <c r="Q1019" s="961"/>
      <c r="R1019" s="961"/>
      <c r="S1019" s="961"/>
      <c r="T1019" s="961"/>
      <c r="U1019" s="961"/>
      <c r="V1019" s="961"/>
      <c r="W1019" s="961"/>
      <c r="X1019" s="961"/>
      <c r="Y1019" s="961"/>
      <c r="Z1019" s="961"/>
      <c r="AA1019" s="961"/>
      <c r="AB1019" s="961"/>
      <c r="AC1019" s="961"/>
      <c r="AD1019" s="961"/>
      <c r="AE1019" s="962"/>
      <c r="AF1019" s="268"/>
      <c r="AG1019" s="235"/>
      <c r="AH1019" s="235"/>
      <c r="AI1019" s="251"/>
      <c r="AJ1019" s="960"/>
      <c r="AK1019" s="961"/>
      <c r="AL1019" s="961"/>
      <c r="AM1019" s="961"/>
      <c r="AN1019" s="961"/>
      <c r="AO1019" s="961"/>
      <c r="AP1019" s="961"/>
      <c r="AQ1019" s="962"/>
      <c r="AR1019" s="194"/>
      <c r="AS1019" s="194"/>
      <c r="AT1019" s="194"/>
      <c r="AU1019" s="194"/>
      <c r="AV1019" s="194"/>
      <c r="AW1019" s="194"/>
      <c r="AX1019" s="1" t="s">
        <v>1912</v>
      </c>
      <c r="AZ1019" s="1" t="s">
        <v>2746</v>
      </c>
    </row>
    <row r="1020" spans="1:54" ht="12.75" customHeight="1">
      <c r="A1020" s="1"/>
      <c r="B1020" s="265"/>
      <c r="C1020" s="341" t="s">
        <v>2747</v>
      </c>
      <c r="D1020" s="1028" t="s">
        <v>2748</v>
      </c>
      <c r="E1020" s="893"/>
      <c r="F1020" s="893"/>
      <c r="G1020" s="893"/>
      <c r="H1020" s="893"/>
      <c r="I1020" s="893"/>
      <c r="J1020" s="893"/>
      <c r="K1020" s="893"/>
      <c r="L1020" s="893"/>
      <c r="M1020" s="893"/>
      <c r="N1020" s="893"/>
      <c r="O1020" s="893"/>
      <c r="P1020" s="893"/>
      <c r="Q1020" s="893"/>
      <c r="R1020" s="893"/>
      <c r="S1020" s="893"/>
      <c r="T1020" s="893"/>
      <c r="U1020" s="893"/>
      <c r="V1020" s="893"/>
      <c r="W1020" s="893"/>
      <c r="X1020" s="893"/>
      <c r="Y1020" s="893"/>
      <c r="Z1020" s="893"/>
      <c r="AA1020" s="893"/>
      <c r="AB1020" s="893"/>
      <c r="AC1020" s="893"/>
      <c r="AD1020" s="893"/>
      <c r="AE1020" s="959"/>
      <c r="AF1020" s="265"/>
      <c r="AG1020" s="1029" t="s">
        <v>460</v>
      </c>
      <c r="AH1020" s="943"/>
      <c r="AI1020" s="265"/>
      <c r="AJ1020" s="1027">
        <f>ROUND(IF(AG1020="yes",AJ999*0.02,0),0)</f>
        <v>0</v>
      </c>
      <c r="AK1020" s="947"/>
      <c r="AL1020" s="947"/>
      <c r="AM1020" s="947"/>
      <c r="AN1020" s="947"/>
      <c r="AO1020" s="947"/>
      <c r="AP1020" s="947"/>
      <c r="AQ1020" s="948"/>
      <c r="AR1020" s="194"/>
      <c r="AS1020" s="194"/>
      <c r="AT1020" s="194"/>
      <c r="AU1020" s="194"/>
      <c r="AV1020" s="194"/>
      <c r="AW1020" s="194"/>
      <c r="AX1020" s="1">
        <v>1</v>
      </c>
      <c r="AY1020" s="855">
        <f t="shared" ref="AY1020:AY1030" si="72">IF((_xlfn.XLOOKUP(AX1020,$C$1072:$C$1110,$A$1072:$A$1110,"",0,1))="Yes",AZ1020,0)</f>
        <v>0</v>
      </c>
      <c r="AZ1020" s="405">
        <v>0.2</v>
      </c>
    </row>
    <row r="1021" spans="1:54" ht="12.75" customHeight="1">
      <c r="A1021" s="1"/>
      <c r="B1021" s="267"/>
      <c r="C1021" s="10"/>
      <c r="D1021" s="1030" t="s">
        <v>2749</v>
      </c>
      <c r="E1021" s="893"/>
      <c r="F1021" s="893"/>
      <c r="G1021" s="893"/>
      <c r="H1021" s="893"/>
      <c r="I1021" s="893"/>
      <c r="J1021" s="893"/>
      <c r="K1021" s="893"/>
      <c r="L1021" s="893"/>
      <c r="M1021" s="893"/>
      <c r="N1021" s="893"/>
      <c r="O1021" s="893"/>
      <c r="P1021" s="893"/>
      <c r="Q1021" s="893"/>
      <c r="R1021" s="893"/>
      <c r="S1021" s="893"/>
      <c r="T1021" s="893"/>
      <c r="U1021" s="893"/>
      <c r="V1021" s="893"/>
      <c r="W1021" s="893"/>
      <c r="X1021" s="893"/>
      <c r="Y1021" s="893"/>
      <c r="Z1021" s="893"/>
      <c r="AA1021" s="893"/>
      <c r="AB1021" s="893"/>
      <c r="AC1021" s="893"/>
      <c r="AD1021" s="893"/>
      <c r="AE1021" s="959"/>
      <c r="AF1021" s="1044" t="str">
        <f>IF(AND(AG1020="yes",T212&lt;&gt;1),"The project may not be eligible for this boost","")</f>
        <v/>
      </c>
      <c r="AG1021" s="893"/>
      <c r="AH1021" s="893"/>
      <c r="AI1021" s="959"/>
      <c r="AJ1021" s="958"/>
      <c r="AK1021" s="893"/>
      <c r="AL1021" s="893"/>
      <c r="AM1021" s="893"/>
      <c r="AN1021" s="893"/>
      <c r="AO1021" s="893"/>
      <c r="AP1021" s="893"/>
      <c r="AQ1021" s="959"/>
      <c r="AR1021" s="194"/>
      <c r="AS1021" s="194"/>
      <c r="AT1021" s="194"/>
      <c r="AU1021" s="194"/>
      <c r="AV1021" s="194"/>
      <c r="AW1021" s="194"/>
      <c r="AX1021" s="1">
        <v>2</v>
      </c>
      <c r="AY1021" s="855">
        <f t="shared" si="72"/>
        <v>0</v>
      </c>
      <c r="AZ1021" s="405">
        <v>0.15</v>
      </c>
    </row>
    <row r="1022" spans="1:54" ht="12.75" customHeight="1">
      <c r="A1022" s="1"/>
      <c r="B1022" s="852"/>
      <c r="C1022" s="853"/>
      <c r="D1022" s="960"/>
      <c r="E1022" s="961"/>
      <c r="F1022" s="961"/>
      <c r="G1022" s="961"/>
      <c r="H1022" s="961"/>
      <c r="I1022" s="961"/>
      <c r="J1022" s="961"/>
      <c r="K1022" s="961"/>
      <c r="L1022" s="961"/>
      <c r="M1022" s="961"/>
      <c r="N1022" s="961"/>
      <c r="O1022" s="961"/>
      <c r="P1022" s="961"/>
      <c r="Q1022" s="961"/>
      <c r="R1022" s="961"/>
      <c r="S1022" s="961"/>
      <c r="T1022" s="961"/>
      <c r="U1022" s="961"/>
      <c r="V1022" s="961"/>
      <c r="W1022" s="961"/>
      <c r="X1022" s="961"/>
      <c r="Y1022" s="961"/>
      <c r="Z1022" s="961"/>
      <c r="AA1022" s="961"/>
      <c r="AB1022" s="961"/>
      <c r="AC1022" s="961"/>
      <c r="AD1022" s="961"/>
      <c r="AE1022" s="962"/>
      <c r="AF1022" s="960"/>
      <c r="AG1022" s="961"/>
      <c r="AH1022" s="961"/>
      <c r="AI1022" s="962"/>
      <c r="AJ1022" s="960"/>
      <c r="AK1022" s="961"/>
      <c r="AL1022" s="961"/>
      <c r="AM1022" s="961"/>
      <c r="AN1022" s="961"/>
      <c r="AO1022" s="961"/>
      <c r="AP1022" s="961"/>
      <c r="AQ1022" s="962"/>
      <c r="AR1022" s="194"/>
      <c r="AS1022" s="194"/>
      <c r="AT1022" s="194"/>
      <c r="AU1022" s="194"/>
      <c r="AV1022" s="194"/>
      <c r="AW1022" s="194"/>
      <c r="AX1022" s="1">
        <v>3</v>
      </c>
      <c r="AY1022" s="855">
        <f t="shared" si="72"/>
        <v>0</v>
      </c>
      <c r="AZ1022" s="405">
        <v>0.05</v>
      </c>
    </row>
    <row r="1023" spans="1:54" ht="12.75" customHeight="1">
      <c r="A1023" s="1"/>
      <c r="B1023" s="265"/>
      <c r="C1023" s="341" t="s">
        <v>2750</v>
      </c>
      <c r="D1023" s="1021" t="s">
        <v>2751</v>
      </c>
      <c r="E1023" s="947"/>
      <c r="F1023" s="947"/>
      <c r="G1023" s="947"/>
      <c r="H1023" s="947"/>
      <c r="I1023" s="947"/>
      <c r="J1023" s="947"/>
      <c r="K1023" s="947"/>
      <c r="L1023" s="947"/>
      <c r="M1023" s="947"/>
      <c r="N1023" s="947"/>
      <c r="O1023" s="947"/>
      <c r="P1023" s="947"/>
      <c r="Q1023" s="947"/>
      <c r="R1023" s="947"/>
      <c r="S1023" s="947"/>
      <c r="T1023" s="947"/>
      <c r="U1023" s="947"/>
      <c r="V1023" s="947"/>
      <c r="W1023" s="947"/>
      <c r="X1023" s="947"/>
      <c r="Y1023" s="947"/>
      <c r="Z1023" s="947"/>
      <c r="AA1023" s="947"/>
      <c r="AB1023" s="947"/>
      <c r="AC1023" s="947"/>
      <c r="AD1023" s="947"/>
      <c r="AE1023" s="948"/>
      <c r="AF1023" s="265"/>
      <c r="AG1023" s="1029" t="s">
        <v>460</v>
      </c>
      <c r="AH1023" s="943"/>
      <c r="AI1023" s="247"/>
      <c r="AJ1023" s="1027">
        <f>IF(AG1023="yes",AJ999*AY1031,0)</f>
        <v>0</v>
      </c>
      <c r="AK1023" s="947"/>
      <c r="AL1023" s="947"/>
      <c r="AM1023" s="947"/>
      <c r="AN1023" s="947"/>
      <c r="AO1023" s="947"/>
      <c r="AP1023" s="947"/>
      <c r="AQ1023" s="948"/>
      <c r="AR1023" s="194"/>
      <c r="AS1023" s="194"/>
      <c r="AT1023" s="194"/>
      <c r="AU1023" s="194"/>
      <c r="AV1023" s="194"/>
      <c r="AW1023" s="194"/>
      <c r="AX1023" s="1">
        <v>4</v>
      </c>
      <c r="AY1023" s="855">
        <f t="shared" si="72"/>
        <v>0</v>
      </c>
      <c r="AZ1023" s="405">
        <v>0.02</v>
      </c>
    </row>
    <row r="1024" spans="1:54" ht="12.75" customHeight="1">
      <c r="A1024" s="1"/>
      <c r="B1024" s="267"/>
      <c r="C1024" s="10"/>
      <c r="D1024" s="1030" t="s">
        <v>2752</v>
      </c>
      <c r="E1024" s="893"/>
      <c r="F1024" s="893"/>
      <c r="G1024" s="893"/>
      <c r="H1024" s="893"/>
      <c r="I1024" s="893"/>
      <c r="J1024" s="893"/>
      <c r="K1024" s="893"/>
      <c r="L1024" s="893"/>
      <c r="M1024" s="893"/>
      <c r="N1024" s="893"/>
      <c r="O1024" s="893"/>
      <c r="P1024" s="893"/>
      <c r="Q1024" s="893"/>
      <c r="R1024" s="893"/>
      <c r="S1024" s="893"/>
      <c r="T1024" s="893"/>
      <c r="U1024" s="893"/>
      <c r="V1024" s="893"/>
      <c r="W1024" s="893"/>
      <c r="X1024" s="893"/>
      <c r="Y1024" s="893"/>
      <c r="Z1024" s="893"/>
      <c r="AA1024" s="893"/>
      <c r="AB1024" s="893"/>
      <c r="AC1024" s="893"/>
      <c r="AD1024" s="893"/>
      <c r="AE1024" s="959"/>
      <c r="AF1024" s="1040" t="str">
        <f>IF(AND(AG1023="Yes",AY1031=0),AY1034,"")</f>
        <v/>
      </c>
      <c r="AG1024" s="893"/>
      <c r="AH1024" s="893"/>
      <c r="AI1024" s="959"/>
      <c r="AJ1024" s="958"/>
      <c r="AK1024" s="893"/>
      <c r="AL1024" s="893"/>
      <c r="AM1024" s="893"/>
      <c r="AN1024" s="893"/>
      <c r="AO1024" s="893"/>
      <c r="AP1024" s="893"/>
      <c r="AQ1024" s="959"/>
      <c r="AR1024" s="194"/>
      <c r="AS1024" s="194"/>
      <c r="AT1024" s="194"/>
      <c r="AU1024" s="194"/>
      <c r="AV1024" s="194"/>
      <c r="AW1024" s="194"/>
      <c r="AX1024" s="1">
        <v>5</v>
      </c>
      <c r="AY1024" s="855">
        <f t="shared" si="72"/>
        <v>0</v>
      </c>
      <c r="AZ1024" s="405">
        <v>0.04</v>
      </c>
    </row>
    <row r="1025" spans="1:52" ht="12.75" customHeight="1">
      <c r="A1025" s="1"/>
      <c r="B1025" s="267"/>
      <c r="C1025" s="10"/>
      <c r="D1025" s="958"/>
      <c r="E1025" s="893"/>
      <c r="F1025" s="893"/>
      <c r="G1025" s="893"/>
      <c r="H1025" s="893"/>
      <c r="I1025" s="893"/>
      <c r="J1025" s="893"/>
      <c r="K1025" s="893"/>
      <c r="L1025" s="893"/>
      <c r="M1025" s="893"/>
      <c r="N1025" s="893"/>
      <c r="O1025" s="893"/>
      <c r="P1025" s="893"/>
      <c r="Q1025" s="893"/>
      <c r="R1025" s="893"/>
      <c r="S1025" s="893"/>
      <c r="T1025" s="893"/>
      <c r="U1025" s="893"/>
      <c r="V1025" s="893"/>
      <c r="W1025" s="893"/>
      <c r="X1025" s="893"/>
      <c r="Y1025" s="893"/>
      <c r="Z1025" s="893"/>
      <c r="AA1025" s="893"/>
      <c r="AB1025" s="893"/>
      <c r="AC1025" s="893"/>
      <c r="AD1025" s="893"/>
      <c r="AE1025" s="959"/>
      <c r="AF1025" s="958"/>
      <c r="AG1025" s="893"/>
      <c r="AH1025" s="893"/>
      <c r="AI1025" s="959"/>
      <c r="AJ1025" s="958"/>
      <c r="AK1025" s="893"/>
      <c r="AL1025" s="893"/>
      <c r="AM1025" s="893"/>
      <c r="AN1025" s="893"/>
      <c r="AO1025" s="893"/>
      <c r="AP1025" s="893"/>
      <c r="AQ1025" s="959"/>
      <c r="AR1025" s="194"/>
      <c r="AS1025" s="194"/>
      <c r="AT1025" s="194"/>
      <c r="AU1025" s="194"/>
      <c r="AV1025" s="194"/>
      <c r="AW1025" s="194"/>
      <c r="AX1025" s="1">
        <v>6</v>
      </c>
      <c r="AY1025" s="855">
        <f t="shared" si="72"/>
        <v>0</v>
      </c>
      <c r="AZ1025" s="405">
        <v>0.04</v>
      </c>
    </row>
    <row r="1026" spans="1:52" ht="12.75" customHeight="1">
      <c r="A1026" s="1"/>
      <c r="B1026" s="856"/>
      <c r="C1026" s="849"/>
      <c r="D1026" s="960"/>
      <c r="E1026" s="961"/>
      <c r="F1026" s="961"/>
      <c r="G1026" s="961"/>
      <c r="H1026" s="961"/>
      <c r="I1026" s="961"/>
      <c r="J1026" s="961"/>
      <c r="K1026" s="961"/>
      <c r="L1026" s="961"/>
      <c r="M1026" s="961"/>
      <c r="N1026" s="961"/>
      <c r="O1026" s="961"/>
      <c r="P1026" s="961"/>
      <c r="Q1026" s="961"/>
      <c r="R1026" s="961"/>
      <c r="S1026" s="961"/>
      <c r="T1026" s="961"/>
      <c r="U1026" s="961"/>
      <c r="V1026" s="961"/>
      <c r="W1026" s="961"/>
      <c r="X1026" s="961"/>
      <c r="Y1026" s="961"/>
      <c r="Z1026" s="961"/>
      <c r="AA1026" s="961"/>
      <c r="AB1026" s="961"/>
      <c r="AC1026" s="961"/>
      <c r="AD1026" s="961"/>
      <c r="AE1026" s="962"/>
      <c r="AF1026" s="960"/>
      <c r="AG1026" s="961"/>
      <c r="AH1026" s="961"/>
      <c r="AI1026" s="962"/>
      <c r="AJ1026" s="960"/>
      <c r="AK1026" s="961"/>
      <c r="AL1026" s="961"/>
      <c r="AM1026" s="961"/>
      <c r="AN1026" s="961"/>
      <c r="AO1026" s="961"/>
      <c r="AP1026" s="961"/>
      <c r="AQ1026" s="962"/>
      <c r="AR1026" s="194"/>
      <c r="AS1026" s="194"/>
      <c r="AT1026" s="194"/>
      <c r="AU1026" s="194"/>
      <c r="AV1026" s="194"/>
      <c r="AW1026" s="194"/>
      <c r="AX1026" s="1">
        <v>7</v>
      </c>
      <c r="AY1026" s="855">
        <f t="shared" si="72"/>
        <v>0</v>
      </c>
      <c r="AZ1026" s="405">
        <v>0.01</v>
      </c>
    </row>
    <row r="1027" spans="1:52" ht="12.75" customHeight="1">
      <c r="A1027" s="1"/>
      <c r="B1027" s="265"/>
      <c r="C1027" s="341" t="s">
        <v>2753</v>
      </c>
      <c r="D1027" s="1031" t="s">
        <v>2754</v>
      </c>
      <c r="E1027" s="947"/>
      <c r="F1027" s="947"/>
      <c r="G1027" s="947"/>
      <c r="H1027" s="947"/>
      <c r="I1027" s="947"/>
      <c r="J1027" s="947"/>
      <c r="K1027" s="947"/>
      <c r="L1027" s="947"/>
      <c r="M1027" s="947"/>
      <c r="N1027" s="947"/>
      <c r="O1027" s="947"/>
      <c r="P1027" s="947"/>
      <c r="Q1027" s="947"/>
      <c r="R1027" s="947"/>
      <c r="S1027" s="947"/>
      <c r="T1027" s="947"/>
      <c r="U1027" s="947"/>
      <c r="V1027" s="947"/>
      <c r="W1027" s="947"/>
      <c r="X1027" s="947"/>
      <c r="Y1027" s="947"/>
      <c r="Z1027" s="947"/>
      <c r="AA1027" s="947"/>
      <c r="AB1027" s="947"/>
      <c r="AC1027" s="947"/>
      <c r="AD1027" s="947"/>
      <c r="AE1027" s="948"/>
      <c r="AF1027" s="265"/>
      <c r="AG1027" s="1029" t="s">
        <v>460</v>
      </c>
      <c r="AH1027" s="943"/>
      <c r="AI1027" s="247"/>
      <c r="AJ1027" s="1027">
        <f>ROUND(IF(AND(AG1027="Yes",J1031&lt;&gt;"N/A",AF1030&lt;&gt;""),MIN(AF1030,(0.15*AJ999)),0),0)</f>
        <v>0</v>
      </c>
      <c r="AK1027" s="947"/>
      <c r="AL1027" s="947"/>
      <c r="AM1027" s="947"/>
      <c r="AN1027" s="947"/>
      <c r="AO1027" s="947"/>
      <c r="AP1027" s="947"/>
      <c r="AQ1027" s="948"/>
      <c r="AR1027" s="194"/>
      <c r="AS1027" s="194"/>
      <c r="AT1027" s="194"/>
      <c r="AU1027" s="194"/>
      <c r="AV1027" s="194"/>
      <c r="AW1027" s="194"/>
      <c r="AX1027" s="1">
        <v>8</v>
      </c>
      <c r="AY1027" s="855">
        <f t="shared" si="72"/>
        <v>0</v>
      </c>
      <c r="AZ1027" s="405">
        <v>0.01</v>
      </c>
    </row>
    <row r="1028" spans="1:52" ht="12.75" customHeight="1">
      <c r="A1028" s="1"/>
      <c r="B1028" s="856"/>
      <c r="C1028" s="857"/>
      <c r="D1028" s="958"/>
      <c r="E1028" s="893"/>
      <c r="F1028" s="893"/>
      <c r="G1028" s="893"/>
      <c r="H1028" s="893"/>
      <c r="I1028" s="893"/>
      <c r="J1028" s="893"/>
      <c r="K1028" s="893"/>
      <c r="L1028" s="893"/>
      <c r="M1028" s="893"/>
      <c r="N1028" s="893"/>
      <c r="O1028" s="893"/>
      <c r="P1028" s="893"/>
      <c r="Q1028" s="893"/>
      <c r="R1028" s="893"/>
      <c r="S1028" s="893"/>
      <c r="T1028" s="893"/>
      <c r="U1028" s="893"/>
      <c r="V1028" s="893"/>
      <c r="W1028" s="893"/>
      <c r="X1028" s="893"/>
      <c r="Y1028" s="893"/>
      <c r="Z1028" s="893"/>
      <c r="AA1028" s="893"/>
      <c r="AB1028" s="893"/>
      <c r="AC1028" s="893"/>
      <c r="AD1028" s="893"/>
      <c r="AE1028" s="959"/>
      <c r="AF1028" s="1041" t="str">
        <f>IF(AG1027="yes","Please Select Type and Enter Amount:","")</f>
        <v/>
      </c>
      <c r="AG1028" s="893"/>
      <c r="AH1028" s="893"/>
      <c r="AI1028" s="959"/>
      <c r="AJ1028" s="958"/>
      <c r="AK1028" s="893"/>
      <c r="AL1028" s="893"/>
      <c r="AM1028" s="893"/>
      <c r="AN1028" s="893"/>
      <c r="AO1028" s="893"/>
      <c r="AP1028" s="893"/>
      <c r="AQ1028" s="959"/>
      <c r="AR1028" s="194"/>
      <c r="AS1028" s="194"/>
      <c r="AT1028" s="194"/>
      <c r="AU1028" s="194"/>
      <c r="AV1028" s="194"/>
      <c r="AW1028" s="194"/>
      <c r="AX1028" s="1">
        <v>9</v>
      </c>
      <c r="AY1028" s="855">
        <f t="shared" si="72"/>
        <v>0</v>
      </c>
      <c r="AZ1028" s="405">
        <v>0.01</v>
      </c>
    </row>
    <row r="1029" spans="1:52" ht="12.75" customHeight="1">
      <c r="A1029" s="1"/>
      <c r="B1029" s="856"/>
      <c r="C1029" s="857"/>
      <c r="D1029" s="1030" t="s">
        <v>2755</v>
      </c>
      <c r="E1029" s="893"/>
      <c r="F1029" s="893"/>
      <c r="G1029" s="893"/>
      <c r="H1029" s="893"/>
      <c r="I1029" s="893"/>
      <c r="J1029" s="893"/>
      <c r="K1029" s="893"/>
      <c r="L1029" s="893"/>
      <c r="M1029" s="893"/>
      <c r="N1029" s="893"/>
      <c r="O1029" s="893"/>
      <c r="P1029" s="893"/>
      <c r="Q1029" s="893"/>
      <c r="R1029" s="893"/>
      <c r="S1029" s="893"/>
      <c r="T1029" s="893"/>
      <c r="U1029" s="893"/>
      <c r="V1029" s="893"/>
      <c r="W1029" s="893"/>
      <c r="X1029" s="893"/>
      <c r="Y1029" s="893"/>
      <c r="Z1029" s="893"/>
      <c r="AA1029" s="893"/>
      <c r="AB1029" s="893"/>
      <c r="AC1029" s="893"/>
      <c r="AD1029" s="893"/>
      <c r="AE1029" s="959"/>
      <c r="AF1029" s="958"/>
      <c r="AG1029" s="893"/>
      <c r="AH1029" s="893"/>
      <c r="AI1029" s="959"/>
      <c r="AJ1029" s="958"/>
      <c r="AK1029" s="893"/>
      <c r="AL1029" s="893"/>
      <c r="AM1029" s="893"/>
      <c r="AN1029" s="893"/>
      <c r="AO1029" s="893"/>
      <c r="AP1029" s="893"/>
      <c r="AQ1029" s="959"/>
      <c r="AR1029" s="194"/>
      <c r="AS1029" s="194"/>
      <c r="AT1029" s="194"/>
      <c r="AU1029" s="194"/>
      <c r="AV1029" s="194"/>
      <c r="AW1029" s="194"/>
      <c r="AX1029" s="1">
        <v>10</v>
      </c>
      <c r="AY1029" s="855">
        <f t="shared" si="72"/>
        <v>0</v>
      </c>
      <c r="AZ1029" s="405">
        <v>0.02</v>
      </c>
    </row>
    <row r="1030" spans="1:52" ht="12.75" customHeight="1">
      <c r="A1030" s="1"/>
      <c r="B1030" s="856"/>
      <c r="C1030" s="857"/>
      <c r="D1030" s="958"/>
      <c r="E1030" s="893"/>
      <c r="F1030" s="893"/>
      <c r="G1030" s="893"/>
      <c r="H1030" s="893"/>
      <c r="I1030" s="893"/>
      <c r="J1030" s="893"/>
      <c r="K1030" s="893"/>
      <c r="L1030" s="893"/>
      <c r="M1030" s="893"/>
      <c r="N1030" s="893"/>
      <c r="O1030" s="893"/>
      <c r="P1030" s="893"/>
      <c r="Q1030" s="893"/>
      <c r="R1030" s="893"/>
      <c r="S1030" s="893"/>
      <c r="T1030" s="893"/>
      <c r="U1030" s="893"/>
      <c r="V1030" s="893"/>
      <c r="W1030" s="893"/>
      <c r="X1030" s="893"/>
      <c r="Y1030" s="893"/>
      <c r="Z1030" s="893"/>
      <c r="AA1030" s="893"/>
      <c r="AB1030" s="893"/>
      <c r="AC1030" s="893"/>
      <c r="AD1030" s="893"/>
      <c r="AE1030" s="959"/>
      <c r="AF1030" s="1042"/>
      <c r="AG1030" s="947"/>
      <c r="AH1030" s="947"/>
      <c r="AI1030" s="948"/>
      <c r="AJ1030" s="958"/>
      <c r="AK1030" s="893"/>
      <c r="AL1030" s="893"/>
      <c r="AM1030" s="893"/>
      <c r="AN1030" s="893"/>
      <c r="AO1030" s="893"/>
      <c r="AP1030" s="893"/>
      <c r="AQ1030" s="959"/>
      <c r="AR1030" s="194"/>
      <c r="AS1030" s="194"/>
      <c r="AT1030" s="194"/>
      <c r="AU1030" s="194"/>
      <c r="AV1030" s="194"/>
      <c r="AW1030" s="194"/>
      <c r="AX1030" s="1">
        <v>11</v>
      </c>
      <c r="AY1030" s="855">
        <f t="shared" si="72"/>
        <v>0</v>
      </c>
      <c r="AZ1030" s="405">
        <v>0.02</v>
      </c>
    </row>
    <row r="1031" spans="1:52" ht="12.75" customHeight="1">
      <c r="A1031" s="1"/>
      <c r="B1031" s="856"/>
      <c r="C1031" s="857"/>
      <c r="D1031" s="858" t="s">
        <v>2756</v>
      </c>
      <c r="E1031" s="859"/>
      <c r="F1031" s="859"/>
      <c r="G1031" s="235"/>
      <c r="H1031" s="235"/>
      <c r="I1031" s="251"/>
      <c r="J1031" s="1039" t="s">
        <v>855</v>
      </c>
      <c r="K1031" s="921"/>
      <c r="L1031" s="921"/>
      <c r="M1031" s="921"/>
      <c r="N1031" s="921"/>
      <c r="O1031" s="921"/>
      <c r="P1031" s="921"/>
      <c r="Q1031" s="921"/>
      <c r="R1031" s="921"/>
      <c r="S1031" s="921"/>
      <c r="T1031" s="921"/>
      <c r="U1031" s="921"/>
      <c r="V1031" s="921"/>
      <c r="W1031" s="921"/>
      <c r="X1031" s="921"/>
      <c r="Y1031" s="921"/>
      <c r="Z1031" s="921"/>
      <c r="AA1031" s="921"/>
      <c r="AB1031" s="921"/>
      <c r="AC1031" s="921"/>
      <c r="AD1031" s="921"/>
      <c r="AE1031" s="943"/>
      <c r="AF1031" s="960"/>
      <c r="AG1031" s="961"/>
      <c r="AH1031" s="961"/>
      <c r="AI1031" s="962"/>
      <c r="AJ1031" s="960"/>
      <c r="AK1031" s="961"/>
      <c r="AL1031" s="961"/>
      <c r="AM1031" s="961"/>
      <c r="AN1031" s="961"/>
      <c r="AO1031" s="961"/>
      <c r="AP1031" s="961"/>
      <c r="AQ1031" s="962"/>
      <c r="AR1031" s="194"/>
      <c r="AS1031" s="194"/>
      <c r="AT1031" s="194"/>
      <c r="AU1031" s="194"/>
      <c r="AV1031" s="194"/>
      <c r="AW1031" s="194"/>
      <c r="AX1031" s="33" t="s">
        <v>2757</v>
      </c>
      <c r="AY1031" s="860">
        <f>IF(SUM(AY1020:AY1030)&lt;=0.2,SUM(AY1020:AY1030),0.2)</f>
        <v>0</v>
      </c>
    </row>
    <row r="1032" spans="1:52" ht="12.75" customHeight="1">
      <c r="A1032" s="1"/>
      <c r="B1032" s="265"/>
      <c r="C1032" s="341" t="s">
        <v>2758</v>
      </c>
      <c r="D1032" s="1028" t="s">
        <v>2759</v>
      </c>
      <c r="E1032" s="893"/>
      <c r="F1032" s="893"/>
      <c r="G1032" s="893"/>
      <c r="H1032" s="893"/>
      <c r="I1032" s="893"/>
      <c r="J1032" s="893"/>
      <c r="K1032" s="893"/>
      <c r="L1032" s="893"/>
      <c r="M1032" s="893"/>
      <c r="N1032" s="893"/>
      <c r="O1032" s="893"/>
      <c r="P1032" s="893"/>
      <c r="Q1032" s="893"/>
      <c r="R1032" s="893"/>
      <c r="S1032" s="893"/>
      <c r="T1032" s="893"/>
      <c r="U1032" s="893"/>
      <c r="V1032" s="893"/>
      <c r="W1032" s="893"/>
      <c r="X1032" s="893"/>
      <c r="Y1032" s="893"/>
      <c r="Z1032" s="893"/>
      <c r="AA1032" s="893"/>
      <c r="AB1032" s="893"/>
      <c r="AC1032" s="893"/>
      <c r="AD1032" s="893"/>
      <c r="AE1032" s="959"/>
      <c r="AF1032" s="265"/>
      <c r="AG1032" s="1029" t="s">
        <v>460</v>
      </c>
      <c r="AH1032" s="943"/>
      <c r="AI1032" s="247"/>
      <c r="AJ1032" s="1027">
        <f>ROUND(IF(AG1032="Yes",AF1034,0),0)</f>
        <v>0</v>
      </c>
      <c r="AK1032" s="947"/>
      <c r="AL1032" s="947"/>
      <c r="AM1032" s="947"/>
      <c r="AN1032" s="947"/>
      <c r="AO1032" s="947"/>
      <c r="AP1032" s="947"/>
      <c r="AQ1032" s="948"/>
      <c r="AR1032" s="194"/>
      <c r="AS1032" s="194"/>
      <c r="AT1032" s="194"/>
      <c r="AU1032" s="194"/>
      <c r="AV1032" s="194"/>
      <c r="AW1032" s="194"/>
      <c r="AX1032" s="194"/>
      <c r="AY1032" s="194"/>
    </row>
    <row r="1033" spans="1:52" ht="12.75" customHeight="1">
      <c r="A1033" s="1"/>
      <c r="B1033" s="267"/>
      <c r="C1033" s="10"/>
      <c r="D1033" s="1030" t="s">
        <v>2760</v>
      </c>
      <c r="E1033" s="893"/>
      <c r="F1033" s="893"/>
      <c r="G1033" s="893"/>
      <c r="H1033" s="893"/>
      <c r="I1033" s="893"/>
      <c r="J1033" s="893"/>
      <c r="K1033" s="893"/>
      <c r="L1033" s="893"/>
      <c r="M1033" s="893"/>
      <c r="N1033" s="893"/>
      <c r="O1033" s="893"/>
      <c r="P1033" s="893"/>
      <c r="Q1033" s="893"/>
      <c r="R1033" s="893"/>
      <c r="S1033" s="893"/>
      <c r="T1033" s="893"/>
      <c r="U1033" s="893"/>
      <c r="V1033" s="893"/>
      <c r="W1033" s="893"/>
      <c r="X1033" s="893"/>
      <c r="Y1033" s="893"/>
      <c r="Z1033" s="893"/>
      <c r="AA1033" s="893"/>
      <c r="AB1033" s="893"/>
      <c r="AC1033" s="893"/>
      <c r="AD1033" s="893"/>
      <c r="AE1033" s="959"/>
      <c r="AF1033" s="1041" t="str">
        <f>IF(AG1032="yes","Enter Amount:","")</f>
        <v/>
      </c>
      <c r="AG1033" s="893"/>
      <c r="AH1033" s="893"/>
      <c r="AI1033" s="959"/>
      <c r="AJ1033" s="958"/>
      <c r="AK1033" s="893"/>
      <c r="AL1033" s="893"/>
      <c r="AM1033" s="893"/>
      <c r="AN1033" s="893"/>
      <c r="AO1033" s="893"/>
      <c r="AP1033" s="893"/>
      <c r="AQ1033" s="959"/>
      <c r="AR1033" s="194"/>
      <c r="AS1033" s="194"/>
      <c r="AT1033" s="194"/>
      <c r="AU1033" s="194"/>
      <c r="AV1033" s="194"/>
      <c r="AW1033" s="194"/>
      <c r="AX1033" s="194"/>
      <c r="AY1033" s="194"/>
    </row>
    <row r="1034" spans="1:52" ht="12.75" customHeight="1">
      <c r="A1034" s="1"/>
      <c r="B1034" s="267"/>
      <c r="C1034" s="10"/>
      <c r="D1034" s="958"/>
      <c r="E1034" s="893"/>
      <c r="F1034" s="893"/>
      <c r="G1034" s="893"/>
      <c r="H1034" s="893"/>
      <c r="I1034" s="893"/>
      <c r="J1034" s="893"/>
      <c r="K1034" s="893"/>
      <c r="L1034" s="893"/>
      <c r="M1034" s="893"/>
      <c r="N1034" s="893"/>
      <c r="O1034" s="893"/>
      <c r="P1034" s="893"/>
      <c r="Q1034" s="893"/>
      <c r="R1034" s="893"/>
      <c r="S1034" s="893"/>
      <c r="T1034" s="893"/>
      <c r="U1034" s="893"/>
      <c r="V1034" s="893"/>
      <c r="W1034" s="893"/>
      <c r="X1034" s="893"/>
      <c r="Y1034" s="893"/>
      <c r="Z1034" s="893"/>
      <c r="AA1034" s="893"/>
      <c r="AB1034" s="893"/>
      <c r="AC1034" s="893"/>
      <c r="AD1034" s="893"/>
      <c r="AE1034" s="959"/>
      <c r="AF1034" s="1042"/>
      <c r="AG1034" s="947"/>
      <c r="AH1034" s="947"/>
      <c r="AI1034" s="948"/>
      <c r="AJ1034" s="958"/>
      <c r="AK1034" s="893"/>
      <c r="AL1034" s="893"/>
      <c r="AM1034" s="893"/>
      <c r="AN1034" s="893"/>
      <c r="AO1034" s="893"/>
      <c r="AP1034" s="893"/>
      <c r="AQ1034" s="959"/>
      <c r="AR1034" s="194"/>
      <c r="AS1034" s="194"/>
      <c r="AT1034" s="194"/>
      <c r="AU1034" s="194"/>
      <c r="AV1034" s="194"/>
      <c r="AW1034" s="194"/>
      <c r="AX1034" s="194"/>
      <c r="AY1034" s="1" t="str">
        <f>"Select items beginning on row #"&amp;TEXT(ROW(A1068),"#")&amp;" to claim this boost"</f>
        <v>Select items beginning on row #1068 to claim this boost</v>
      </c>
    </row>
    <row r="1035" spans="1:52" ht="12.75" customHeight="1">
      <c r="A1035" s="1"/>
      <c r="B1035" s="854"/>
      <c r="C1035" s="857"/>
      <c r="D1035" s="960"/>
      <c r="E1035" s="961"/>
      <c r="F1035" s="961"/>
      <c r="G1035" s="961"/>
      <c r="H1035" s="961"/>
      <c r="I1035" s="961"/>
      <c r="J1035" s="961"/>
      <c r="K1035" s="961"/>
      <c r="L1035" s="961"/>
      <c r="M1035" s="961"/>
      <c r="N1035" s="961"/>
      <c r="O1035" s="961"/>
      <c r="P1035" s="961"/>
      <c r="Q1035" s="961"/>
      <c r="R1035" s="961"/>
      <c r="S1035" s="961"/>
      <c r="T1035" s="961"/>
      <c r="U1035" s="961"/>
      <c r="V1035" s="961"/>
      <c r="W1035" s="961"/>
      <c r="X1035" s="961"/>
      <c r="Y1035" s="961"/>
      <c r="Z1035" s="961"/>
      <c r="AA1035" s="961"/>
      <c r="AB1035" s="961"/>
      <c r="AC1035" s="961"/>
      <c r="AD1035" s="961"/>
      <c r="AE1035" s="962"/>
      <c r="AF1035" s="960"/>
      <c r="AG1035" s="961"/>
      <c r="AH1035" s="961"/>
      <c r="AI1035" s="962"/>
      <c r="AJ1035" s="960"/>
      <c r="AK1035" s="961"/>
      <c r="AL1035" s="961"/>
      <c r="AM1035" s="961"/>
      <c r="AN1035" s="961"/>
      <c r="AO1035" s="961"/>
      <c r="AP1035" s="961"/>
      <c r="AQ1035" s="962"/>
      <c r="AR1035" s="194"/>
      <c r="AS1035" s="194"/>
      <c r="AT1035" s="194"/>
      <c r="AU1035" s="194"/>
      <c r="AV1035" s="194"/>
      <c r="AW1035" s="194"/>
      <c r="AX1035" s="194"/>
      <c r="AY1035" s="194"/>
    </row>
    <row r="1036" spans="1:52" ht="12.75" customHeight="1">
      <c r="A1036" s="1"/>
      <c r="B1036" s="265"/>
      <c r="C1036" s="341" t="s">
        <v>2761</v>
      </c>
      <c r="D1036" s="1021" t="s">
        <v>2762</v>
      </c>
      <c r="E1036" s="947"/>
      <c r="F1036" s="947"/>
      <c r="G1036" s="947"/>
      <c r="H1036" s="947"/>
      <c r="I1036" s="947"/>
      <c r="J1036" s="947"/>
      <c r="K1036" s="947"/>
      <c r="L1036" s="947"/>
      <c r="M1036" s="947"/>
      <c r="N1036" s="947"/>
      <c r="O1036" s="947"/>
      <c r="P1036" s="947"/>
      <c r="Q1036" s="947"/>
      <c r="R1036" s="947"/>
      <c r="S1036" s="947"/>
      <c r="T1036" s="947"/>
      <c r="U1036" s="947"/>
      <c r="V1036" s="947"/>
      <c r="W1036" s="947"/>
      <c r="X1036" s="947"/>
      <c r="Y1036" s="947"/>
      <c r="Z1036" s="947"/>
      <c r="AA1036" s="947"/>
      <c r="AB1036" s="947"/>
      <c r="AC1036" s="947"/>
      <c r="AD1036" s="947"/>
      <c r="AE1036" s="948"/>
      <c r="AF1036" s="265"/>
      <c r="AG1036" s="1029" t="s">
        <v>460</v>
      </c>
      <c r="AH1036" s="943"/>
      <c r="AI1036" s="247"/>
      <c r="AJ1036" s="1027">
        <f>ROUND(IF(AG1036="yes",(AJ999*0.1),0),0)</f>
        <v>0</v>
      </c>
      <c r="AK1036" s="947"/>
      <c r="AL1036" s="947"/>
      <c r="AM1036" s="947"/>
      <c r="AN1036" s="947"/>
      <c r="AO1036" s="947"/>
      <c r="AP1036" s="947"/>
      <c r="AQ1036" s="948"/>
      <c r="AR1036" s="194"/>
      <c r="AS1036" s="194"/>
      <c r="AT1036" s="194"/>
      <c r="AU1036" s="194"/>
      <c r="AV1036" s="194"/>
      <c r="AW1036" s="194"/>
      <c r="AX1036" s="194"/>
      <c r="AY1036" s="194"/>
    </row>
    <row r="1037" spans="1:52" ht="12.75" customHeight="1">
      <c r="A1037" s="1"/>
      <c r="B1037" s="267"/>
      <c r="C1037" s="10"/>
      <c r="D1037" s="1030" t="s">
        <v>2763</v>
      </c>
      <c r="E1037" s="893"/>
      <c r="F1037" s="893"/>
      <c r="G1037" s="893"/>
      <c r="H1037" s="893"/>
      <c r="I1037" s="893"/>
      <c r="J1037" s="893"/>
      <c r="K1037" s="893"/>
      <c r="L1037" s="893"/>
      <c r="M1037" s="893"/>
      <c r="N1037" s="893"/>
      <c r="O1037" s="893"/>
      <c r="P1037" s="893"/>
      <c r="Q1037" s="893"/>
      <c r="R1037" s="893"/>
      <c r="S1037" s="893"/>
      <c r="T1037" s="893"/>
      <c r="U1037" s="893"/>
      <c r="V1037" s="893"/>
      <c r="W1037" s="893"/>
      <c r="X1037" s="893"/>
      <c r="Y1037" s="893"/>
      <c r="Z1037" s="893"/>
      <c r="AA1037" s="893"/>
      <c r="AB1037" s="893"/>
      <c r="AC1037" s="893"/>
      <c r="AD1037" s="893"/>
      <c r="AE1037" s="959"/>
      <c r="AF1037" s="267"/>
      <c r="AG1037" s="1"/>
      <c r="AH1037" s="1"/>
      <c r="AI1037" s="249"/>
      <c r="AJ1037" s="958"/>
      <c r="AK1037" s="893"/>
      <c r="AL1037" s="893"/>
      <c r="AM1037" s="893"/>
      <c r="AN1037" s="893"/>
      <c r="AO1037" s="893"/>
      <c r="AP1037" s="893"/>
      <c r="AQ1037" s="959"/>
      <c r="AR1037" s="194"/>
      <c r="AS1037" s="194"/>
      <c r="AT1037" s="194"/>
      <c r="AU1037" s="194"/>
      <c r="AV1037" s="194"/>
      <c r="AW1037" s="194"/>
      <c r="AX1037" s="194"/>
      <c r="AY1037" s="194"/>
    </row>
    <row r="1038" spans="1:52" ht="12.75" customHeight="1">
      <c r="A1038" s="1"/>
      <c r="B1038" s="268"/>
      <c r="C1038" s="10"/>
      <c r="D1038" s="960"/>
      <c r="E1038" s="961"/>
      <c r="F1038" s="961"/>
      <c r="G1038" s="961"/>
      <c r="H1038" s="961"/>
      <c r="I1038" s="961"/>
      <c r="J1038" s="961"/>
      <c r="K1038" s="961"/>
      <c r="L1038" s="961"/>
      <c r="M1038" s="961"/>
      <c r="N1038" s="961"/>
      <c r="O1038" s="961"/>
      <c r="P1038" s="961"/>
      <c r="Q1038" s="961"/>
      <c r="R1038" s="961"/>
      <c r="S1038" s="961"/>
      <c r="T1038" s="961"/>
      <c r="U1038" s="961"/>
      <c r="V1038" s="961"/>
      <c r="W1038" s="961"/>
      <c r="X1038" s="961"/>
      <c r="Y1038" s="961"/>
      <c r="Z1038" s="961"/>
      <c r="AA1038" s="961"/>
      <c r="AB1038" s="961"/>
      <c r="AC1038" s="961"/>
      <c r="AD1038" s="961"/>
      <c r="AE1038" s="962"/>
      <c r="AF1038" s="267"/>
      <c r="AG1038" s="1"/>
      <c r="AH1038" s="1"/>
      <c r="AI1038" s="249"/>
      <c r="AJ1038" s="960"/>
      <c r="AK1038" s="961"/>
      <c r="AL1038" s="961"/>
      <c r="AM1038" s="961"/>
      <c r="AN1038" s="961"/>
      <c r="AO1038" s="961"/>
      <c r="AP1038" s="961"/>
      <c r="AQ1038" s="962"/>
      <c r="AR1038" s="194"/>
      <c r="AS1038" s="194"/>
      <c r="AT1038" s="194"/>
      <c r="AU1038" s="194"/>
      <c r="AV1038" s="194"/>
      <c r="AW1038" s="194"/>
      <c r="AX1038" s="194"/>
      <c r="AY1038" s="194"/>
    </row>
    <row r="1039" spans="1:52" ht="12.75" customHeight="1">
      <c r="A1039" s="1"/>
      <c r="B1039" s="267"/>
      <c r="C1039" s="341" t="s">
        <v>44</v>
      </c>
      <c r="D1039" s="1028" t="s">
        <v>2764</v>
      </c>
      <c r="E1039" s="893"/>
      <c r="F1039" s="893"/>
      <c r="G1039" s="893"/>
      <c r="H1039" s="893"/>
      <c r="I1039" s="893"/>
      <c r="J1039" s="893"/>
      <c r="K1039" s="893"/>
      <c r="L1039" s="893"/>
      <c r="M1039" s="893"/>
      <c r="N1039" s="893"/>
      <c r="O1039" s="893"/>
      <c r="P1039" s="893"/>
      <c r="Q1039" s="893"/>
      <c r="R1039" s="893"/>
      <c r="S1039" s="893"/>
      <c r="T1039" s="893"/>
      <c r="U1039" s="893"/>
      <c r="V1039" s="893"/>
      <c r="W1039" s="893"/>
      <c r="X1039" s="893"/>
      <c r="Y1039" s="893"/>
      <c r="Z1039" s="893"/>
      <c r="AA1039" s="893"/>
      <c r="AB1039" s="893"/>
      <c r="AC1039" s="893"/>
      <c r="AD1039" s="893"/>
      <c r="AE1039" s="959"/>
      <c r="AF1039" s="265"/>
      <c r="AG1039" s="1029" t="s">
        <v>460</v>
      </c>
      <c r="AH1039" s="943"/>
      <c r="AI1039" s="247"/>
      <c r="AJ1039" s="1027">
        <f>ROUND(IF(AG1039="yes",(AJ999*0.15),0),0)</f>
        <v>0</v>
      </c>
      <c r="AK1039" s="947"/>
      <c r="AL1039" s="947"/>
      <c r="AM1039" s="947"/>
      <c r="AN1039" s="947"/>
      <c r="AO1039" s="947"/>
      <c r="AP1039" s="947"/>
      <c r="AQ1039" s="948"/>
      <c r="AR1039" s="194"/>
      <c r="AS1039" s="194"/>
      <c r="AT1039" s="194"/>
      <c r="AU1039" s="194"/>
      <c r="AV1039" s="194"/>
      <c r="AW1039" s="194"/>
      <c r="AX1039" s="194"/>
      <c r="AY1039" s="194"/>
    </row>
    <row r="1040" spans="1:52" ht="12.75" customHeight="1">
      <c r="A1040" s="1"/>
      <c r="B1040" s="267"/>
      <c r="C1040" s="10"/>
      <c r="D1040" s="1023" t="s">
        <v>2765</v>
      </c>
      <c r="E1040" s="893"/>
      <c r="F1040" s="893"/>
      <c r="G1040" s="893"/>
      <c r="H1040" s="893"/>
      <c r="I1040" s="893"/>
      <c r="J1040" s="893"/>
      <c r="K1040" s="893"/>
      <c r="L1040" s="893"/>
      <c r="M1040" s="893"/>
      <c r="N1040" s="893"/>
      <c r="O1040" s="893"/>
      <c r="P1040" s="893"/>
      <c r="Q1040" s="893"/>
      <c r="R1040" s="893"/>
      <c r="S1040" s="893"/>
      <c r="T1040" s="893"/>
      <c r="U1040" s="893"/>
      <c r="V1040" s="893"/>
      <c r="W1040" s="893"/>
      <c r="X1040" s="893"/>
      <c r="Y1040" s="893"/>
      <c r="Z1040" s="893"/>
      <c r="AA1040" s="893"/>
      <c r="AB1040" s="893"/>
      <c r="AC1040" s="893"/>
      <c r="AD1040" s="893"/>
      <c r="AE1040" s="959"/>
      <c r="AF1040" s="861"/>
      <c r="AG1040" s="862"/>
      <c r="AH1040" s="862"/>
      <c r="AI1040" s="863"/>
      <c r="AJ1040" s="958"/>
      <c r="AK1040" s="893"/>
      <c r="AL1040" s="893"/>
      <c r="AM1040" s="893"/>
      <c r="AN1040" s="893"/>
      <c r="AO1040" s="893"/>
      <c r="AP1040" s="893"/>
      <c r="AQ1040" s="959"/>
      <c r="AR1040" s="194"/>
      <c r="AS1040" s="194"/>
      <c r="AT1040" s="194"/>
      <c r="AU1040" s="194"/>
      <c r="AV1040" s="194"/>
      <c r="AW1040" s="194"/>
      <c r="AX1040" s="194"/>
      <c r="AY1040" s="194"/>
    </row>
    <row r="1041" spans="1:57" ht="12.75" customHeight="1">
      <c r="A1041" s="1"/>
      <c r="B1041" s="267"/>
      <c r="C1041" s="10"/>
      <c r="D1041" s="958"/>
      <c r="E1041" s="893"/>
      <c r="F1041" s="893"/>
      <c r="G1041" s="893"/>
      <c r="H1041" s="893"/>
      <c r="I1041" s="893"/>
      <c r="J1041" s="893"/>
      <c r="K1041" s="893"/>
      <c r="L1041" s="893"/>
      <c r="M1041" s="893"/>
      <c r="N1041" s="893"/>
      <c r="O1041" s="893"/>
      <c r="P1041" s="893"/>
      <c r="Q1041" s="893"/>
      <c r="R1041" s="893"/>
      <c r="S1041" s="893"/>
      <c r="T1041" s="893"/>
      <c r="U1041" s="893"/>
      <c r="V1041" s="893"/>
      <c r="W1041" s="893"/>
      <c r="X1041" s="893"/>
      <c r="Y1041" s="893"/>
      <c r="Z1041" s="893"/>
      <c r="AA1041" s="893"/>
      <c r="AB1041" s="893"/>
      <c r="AC1041" s="893"/>
      <c r="AD1041" s="893"/>
      <c r="AE1041" s="959"/>
      <c r="AF1041" s="861"/>
      <c r="AG1041" s="862"/>
      <c r="AH1041" s="862"/>
      <c r="AI1041" s="863"/>
      <c r="AJ1041" s="958"/>
      <c r="AK1041" s="893"/>
      <c r="AL1041" s="893"/>
      <c r="AM1041" s="893"/>
      <c r="AN1041" s="893"/>
      <c r="AO1041" s="893"/>
      <c r="AP1041" s="893"/>
      <c r="AQ1041" s="959"/>
      <c r="AR1041" s="194"/>
      <c r="AS1041" s="194"/>
      <c r="AT1041" s="194"/>
      <c r="AU1041" s="194"/>
      <c r="AV1041" s="194"/>
      <c r="AW1041" s="194"/>
      <c r="AX1041" s="194"/>
      <c r="AY1041" s="194"/>
    </row>
    <row r="1042" spans="1:57" ht="12.75" customHeight="1">
      <c r="A1042" s="1"/>
      <c r="B1042" s="267"/>
      <c r="C1042" s="10"/>
      <c r="D1042" s="960"/>
      <c r="E1042" s="961"/>
      <c r="F1042" s="961"/>
      <c r="G1042" s="961"/>
      <c r="H1042" s="961"/>
      <c r="I1042" s="961"/>
      <c r="J1042" s="961"/>
      <c r="K1042" s="961"/>
      <c r="L1042" s="961"/>
      <c r="M1042" s="961"/>
      <c r="N1042" s="961"/>
      <c r="O1042" s="961"/>
      <c r="P1042" s="961"/>
      <c r="Q1042" s="961"/>
      <c r="R1042" s="961"/>
      <c r="S1042" s="961"/>
      <c r="T1042" s="961"/>
      <c r="U1042" s="961"/>
      <c r="V1042" s="961"/>
      <c r="W1042" s="961"/>
      <c r="X1042" s="961"/>
      <c r="Y1042" s="961"/>
      <c r="Z1042" s="961"/>
      <c r="AA1042" s="961"/>
      <c r="AB1042" s="961"/>
      <c r="AC1042" s="961"/>
      <c r="AD1042" s="961"/>
      <c r="AE1042" s="962"/>
      <c r="AF1042" s="864"/>
      <c r="AG1042" s="865"/>
      <c r="AH1042" s="865"/>
      <c r="AI1042" s="866"/>
      <c r="AJ1042" s="960"/>
      <c r="AK1042" s="961"/>
      <c r="AL1042" s="961"/>
      <c r="AM1042" s="961"/>
      <c r="AN1042" s="961"/>
      <c r="AO1042" s="961"/>
      <c r="AP1042" s="961"/>
      <c r="AQ1042" s="962"/>
      <c r="AR1042" s="194"/>
      <c r="AS1042" s="194"/>
      <c r="AT1042" s="194"/>
      <c r="AU1042" s="194"/>
      <c r="AV1042" s="194"/>
      <c r="AW1042" s="194"/>
      <c r="AX1042" s="194"/>
      <c r="AY1042" s="194"/>
    </row>
    <row r="1043" spans="1:57" ht="12.75" customHeight="1">
      <c r="A1043" s="1"/>
      <c r="B1043" s="267"/>
      <c r="C1043" s="341" t="s">
        <v>44</v>
      </c>
      <c r="D1043" s="1021" t="s">
        <v>2766</v>
      </c>
      <c r="E1043" s="947"/>
      <c r="F1043" s="947"/>
      <c r="G1043" s="947"/>
      <c r="H1043" s="947"/>
      <c r="I1043" s="947"/>
      <c r="J1043" s="947"/>
      <c r="K1043" s="947"/>
      <c r="L1043" s="947"/>
      <c r="M1043" s="947"/>
      <c r="N1043" s="947"/>
      <c r="O1043" s="947"/>
      <c r="P1043" s="947"/>
      <c r="Q1043" s="947"/>
      <c r="R1043" s="947"/>
      <c r="S1043" s="947"/>
      <c r="T1043" s="947"/>
      <c r="U1043" s="947"/>
      <c r="V1043" s="947"/>
      <c r="W1043" s="947"/>
      <c r="X1043" s="947"/>
      <c r="Y1043" s="947"/>
      <c r="Z1043" s="947"/>
      <c r="AA1043" s="947"/>
      <c r="AB1043" s="947"/>
      <c r="AC1043" s="947"/>
      <c r="AD1043" s="947"/>
      <c r="AE1043" s="948"/>
      <c r="AF1043" s="267"/>
      <c r="AG1043" s="1022" t="s">
        <v>460</v>
      </c>
      <c r="AH1043" s="980"/>
      <c r="AI1043" s="249"/>
      <c r="AJ1043" s="1027">
        <f>ROUND(IF(AND(AG1043="yes",AJ1039=0),(AJ999*0.1),0),0)</f>
        <v>0</v>
      </c>
      <c r="AK1043" s="947"/>
      <c r="AL1043" s="947"/>
      <c r="AM1043" s="947"/>
      <c r="AN1043" s="947"/>
      <c r="AO1043" s="947"/>
      <c r="AP1043" s="947"/>
      <c r="AQ1043" s="948"/>
      <c r="AR1043" s="194"/>
      <c r="AS1043" s="194"/>
      <c r="AT1043" s="194"/>
      <c r="AU1043" s="194"/>
      <c r="AV1043" s="194"/>
      <c r="AW1043" s="194"/>
      <c r="AX1043" s="194"/>
      <c r="AY1043" s="194"/>
    </row>
    <row r="1044" spans="1:57" ht="12.75" customHeight="1">
      <c r="A1044" s="1"/>
      <c r="B1044" s="267"/>
      <c r="C1044" s="10"/>
      <c r="D1044" s="1023" t="s">
        <v>2767</v>
      </c>
      <c r="E1044" s="893"/>
      <c r="F1044" s="893"/>
      <c r="G1044" s="893"/>
      <c r="H1044" s="893"/>
      <c r="I1044" s="893"/>
      <c r="J1044" s="893"/>
      <c r="K1044" s="893"/>
      <c r="L1044" s="893"/>
      <c r="M1044" s="893"/>
      <c r="N1044" s="893"/>
      <c r="O1044" s="893"/>
      <c r="P1044" s="893"/>
      <c r="Q1044" s="893"/>
      <c r="R1044" s="893"/>
      <c r="S1044" s="893"/>
      <c r="T1044" s="893"/>
      <c r="U1044" s="893"/>
      <c r="V1044" s="893"/>
      <c r="W1044" s="893"/>
      <c r="X1044" s="893"/>
      <c r="Y1044" s="893"/>
      <c r="Z1044" s="893"/>
      <c r="AA1044" s="893"/>
      <c r="AB1044" s="893"/>
      <c r="AC1044" s="893"/>
      <c r="AD1044" s="893"/>
      <c r="AE1044" s="959"/>
      <c r="AF1044" s="267"/>
      <c r="AG1044" s="1"/>
      <c r="AH1044" s="1"/>
      <c r="AI1044" s="249"/>
      <c r="AJ1044" s="958"/>
      <c r="AK1044" s="893"/>
      <c r="AL1044" s="893"/>
      <c r="AM1044" s="893"/>
      <c r="AN1044" s="893"/>
      <c r="AO1044" s="893"/>
      <c r="AP1044" s="893"/>
      <c r="AQ1044" s="959"/>
      <c r="AR1044" s="194"/>
      <c r="AS1044" s="194"/>
      <c r="AT1044" s="194"/>
      <c r="AU1044" s="194"/>
      <c r="AV1044" s="194"/>
      <c r="AW1044" s="194"/>
      <c r="AX1044" s="194"/>
      <c r="AY1044" s="194"/>
    </row>
    <row r="1045" spans="1:57" ht="12.75" customHeight="1">
      <c r="A1045" s="1"/>
      <c r="B1045" s="267"/>
      <c r="C1045" s="10"/>
      <c r="D1045" s="958"/>
      <c r="E1045" s="893"/>
      <c r="F1045" s="893"/>
      <c r="G1045" s="893"/>
      <c r="H1045" s="893"/>
      <c r="I1045" s="893"/>
      <c r="J1045" s="893"/>
      <c r="K1045" s="893"/>
      <c r="L1045" s="893"/>
      <c r="M1045" s="893"/>
      <c r="N1045" s="893"/>
      <c r="O1045" s="893"/>
      <c r="P1045" s="893"/>
      <c r="Q1045" s="893"/>
      <c r="R1045" s="893"/>
      <c r="S1045" s="893"/>
      <c r="T1045" s="893"/>
      <c r="U1045" s="893"/>
      <c r="V1045" s="893"/>
      <c r="W1045" s="893"/>
      <c r="X1045" s="893"/>
      <c r="Y1045" s="893"/>
      <c r="Z1045" s="893"/>
      <c r="AA1045" s="893"/>
      <c r="AB1045" s="893"/>
      <c r="AC1045" s="893"/>
      <c r="AD1045" s="893"/>
      <c r="AE1045" s="959"/>
      <c r="AF1045" s="267"/>
      <c r="AG1045" s="1"/>
      <c r="AH1045" s="1"/>
      <c r="AI1045" s="249"/>
      <c r="AJ1045" s="958"/>
      <c r="AK1045" s="893"/>
      <c r="AL1045" s="893"/>
      <c r="AM1045" s="893"/>
      <c r="AN1045" s="893"/>
      <c r="AO1045" s="893"/>
      <c r="AP1045" s="893"/>
      <c r="AQ1045" s="959"/>
      <c r="AR1045" s="194"/>
      <c r="AS1045" s="194"/>
      <c r="AT1045" s="194"/>
      <c r="AU1045" s="194"/>
      <c r="AV1045" s="194"/>
      <c r="AW1045" s="194"/>
      <c r="AX1045" s="194"/>
      <c r="AY1045" s="194"/>
      <c r="BA1045" s="867">
        <f>IFERROR(('Sources and Uses Budget'!$C$17+'Sources and Uses Budget'!$C$18+'Sources and Uses Budget'!$C$22)/$AG$446,0)</f>
        <v>60000</v>
      </c>
      <c r="BB1045" s="867" t="s">
        <v>2768</v>
      </c>
      <c r="BC1045" s="867"/>
      <c r="BD1045" s="867"/>
      <c r="BE1045" s="867"/>
    </row>
    <row r="1046" spans="1:57" ht="12.75" customHeight="1">
      <c r="A1046" s="1"/>
      <c r="B1046" s="267"/>
      <c r="C1046" s="10"/>
      <c r="D1046" s="958"/>
      <c r="E1046" s="893"/>
      <c r="F1046" s="893"/>
      <c r="G1046" s="893"/>
      <c r="H1046" s="893"/>
      <c r="I1046" s="893"/>
      <c r="J1046" s="893"/>
      <c r="K1046" s="893"/>
      <c r="L1046" s="893"/>
      <c r="M1046" s="893"/>
      <c r="N1046" s="893"/>
      <c r="O1046" s="893"/>
      <c r="P1046" s="893"/>
      <c r="Q1046" s="893"/>
      <c r="R1046" s="893"/>
      <c r="S1046" s="893"/>
      <c r="T1046" s="893"/>
      <c r="U1046" s="893"/>
      <c r="V1046" s="893"/>
      <c r="W1046" s="893"/>
      <c r="X1046" s="893"/>
      <c r="Y1046" s="893"/>
      <c r="Z1046" s="893"/>
      <c r="AA1046" s="893"/>
      <c r="AB1046" s="893"/>
      <c r="AC1046" s="893"/>
      <c r="AD1046" s="893"/>
      <c r="AE1046" s="959"/>
      <c r="AF1046" s="267"/>
      <c r="AG1046" s="1"/>
      <c r="AH1046" s="1"/>
      <c r="AI1046" s="249"/>
      <c r="AJ1046" s="958"/>
      <c r="AK1046" s="893"/>
      <c r="AL1046" s="893"/>
      <c r="AM1046" s="893"/>
      <c r="AN1046" s="893"/>
      <c r="AO1046" s="893"/>
      <c r="AP1046" s="893"/>
      <c r="AQ1046" s="959"/>
      <c r="AR1046" s="194"/>
      <c r="AS1046" s="194"/>
      <c r="AT1046" s="194"/>
      <c r="AU1046" s="194"/>
      <c r="AV1046" s="194"/>
      <c r="AW1046" s="194"/>
      <c r="AX1046" s="194"/>
      <c r="AY1046" s="194"/>
      <c r="BA1046" s="32">
        <f>IFERROR((($CI$759+$CM$759)/$AG$449),0)</f>
        <v>0.22413793103448276</v>
      </c>
      <c r="BB1046" s="1" t="s">
        <v>2769</v>
      </c>
    </row>
    <row r="1047" spans="1:57" ht="12.75" customHeight="1">
      <c r="A1047" s="1"/>
      <c r="B1047" s="267"/>
      <c r="C1047" s="10"/>
      <c r="D1047" s="960"/>
      <c r="E1047" s="961"/>
      <c r="F1047" s="961"/>
      <c r="G1047" s="961"/>
      <c r="H1047" s="961"/>
      <c r="I1047" s="961"/>
      <c r="J1047" s="961"/>
      <c r="K1047" s="961"/>
      <c r="L1047" s="961"/>
      <c r="M1047" s="961"/>
      <c r="N1047" s="961"/>
      <c r="O1047" s="961"/>
      <c r="P1047" s="961"/>
      <c r="Q1047" s="961"/>
      <c r="R1047" s="961"/>
      <c r="S1047" s="961"/>
      <c r="T1047" s="961"/>
      <c r="U1047" s="961"/>
      <c r="V1047" s="961"/>
      <c r="W1047" s="961"/>
      <c r="X1047" s="961"/>
      <c r="Y1047" s="961"/>
      <c r="Z1047" s="961"/>
      <c r="AA1047" s="961"/>
      <c r="AB1047" s="961"/>
      <c r="AC1047" s="961"/>
      <c r="AD1047" s="961"/>
      <c r="AE1047" s="962"/>
      <c r="AF1047" s="267"/>
      <c r="AG1047" s="1"/>
      <c r="AH1047" s="1"/>
      <c r="AI1047" s="249"/>
      <c r="AJ1047" s="958"/>
      <c r="AK1047" s="893"/>
      <c r="AL1047" s="893"/>
      <c r="AM1047" s="893"/>
      <c r="AN1047" s="893"/>
      <c r="AO1047" s="893"/>
      <c r="AP1047" s="893"/>
      <c r="AQ1047" s="959"/>
      <c r="AR1047" s="194"/>
      <c r="AS1047" s="194"/>
      <c r="AT1047" s="194"/>
      <c r="AU1047" s="194"/>
      <c r="AV1047" s="194"/>
      <c r="AW1047" s="194"/>
      <c r="AX1047" s="194"/>
      <c r="AY1047" s="194"/>
      <c r="BA1047" s="32" t="b">
        <f>'Points System'!AJ163="Yes"</f>
        <v>0</v>
      </c>
      <c r="BB1047" s="1" t="s">
        <v>2770</v>
      </c>
    </row>
    <row r="1048" spans="1:57" ht="12.75" customHeight="1">
      <c r="A1048" s="1"/>
      <c r="B1048" s="265"/>
      <c r="C1048" s="813" t="s">
        <v>2771</v>
      </c>
      <c r="D1048" s="1028" t="s">
        <v>2772</v>
      </c>
      <c r="E1048" s="893"/>
      <c r="F1048" s="893"/>
      <c r="G1048" s="893"/>
      <c r="H1048" s="893"/>
      <c r="I1048" s="893"/>
      <c r="J1048" s="893"/>
      <c r="K1048" s="893"/>
      <c r="L1048" s="893"/>
      <c r="M1048" s="893"/>
      <c r="N1048" s="893"/>
      <c r="O1048" s="893"/>
      <c r="P1048" s="893"/>
      <c r="Q1048" s="893"/>
      <c r="R1048" s="893"/>
      <c r="S1048" s="893"/>
      <c r="T1048" s="893"/>
      <c r="U1048" s="893"/>
      <c r="V1048" s="893"/>
      <c r="W1048" s="893"/>
      <c r="X1048" s="893"/>
      <c r="Y1048" s="893"/>
      <c r="Z1048" s="893"/>
      <c r="AA1048" s="893"/>
      <c r="AB1048" s="893"/>
      <c r="AC1048" s="893"/>
      <c r="AD1048" s="893"/>
      <c r="AE1048" s="959"/>
      <c r="AF1048" s="265"/>
      <c r="AG1048" s="1029" t="s">
        <v>460</v>
      </c>
      <c r="AH1048" s="943"/>
      <c r="AI1048" s="247"/>
      <c r="AJ1048" s="1027">
        <f>ROUND(IF(AG1048="yes",(AJ999*0.1),0),0)</f>
        <v>0</v>
      </c>
      <c r="AK1048" s="947"/>
      <c r="AL1048" s="947"/>
      <c r="AM1048" s="947"/>
      <c r="AN1048" s="947"/>
      <c r="AO1048" s="947"/>
      <c r="AP1048" s="947"/>
      <c r="AQ1048" s="948"/>
      <c r="AR1048" s="194"/>
      <c r="AS1048" s="194"/>
      <c r="AT1048" s="194"/>
      <c r="AU1048" s="194"/>
      <c r="AV1048" s="194"/>
      <c r="AW1048" s="194"/>
      <c r="AX1048" s="194"/>
      <c r="AY1048" s="194"/>
      <c r="BA1048" s="32">
        <f>Q212</f>
        <v>0</v>
      </c>
      <c r="BB1048" s="1" t="s">
        <v>2773</v>
      </c>
    </row>
    <row r="1049" spans="1:57" ht="12.75" customHeight="1">
      <c r="A1049" s="1"/>
      <c r="B1049" s="267"/>
      <c r="C1049" s="10"/>
      <c r="D1049" s="1030" t="s">
        <v>2774</v>
      </c>
      <c r="E1049" s="893"/>
      <c r="F1049" s="893"/>
      <c r="G1049" s="893"/>
      <c r="H1049" s="893"/>
      <c r="I1049" s="893"/>
      <c r="J1049" s="893"/>
      <c r="K1049" s="893"/>
      <c r="L1049" s="893"/>
      <c r="M1049" s="893"/>
      <c r="N1049" s="893"/>
      <c r="O1049" s="893"/>
      <c r="P1049" s="893"/>
      <c r="Q1049" s="893"/>
      <c r="R1049" s="893"/>
      <c r="S1049" s="893"/>
      <c r="T1049" s="893"/>
      <c r="U1049" s="893"/>
      <c r="V1049" s="893"/>
      <c r="W1049" s="893"/>
      <c r="X1049" s="893"/>
      <c r="Y1049" s="893"/>
      <c r="Z1049" s="893"/>
      <c r="AA1049" s="893"/>
      <c r="AB1049" s="893"/>
      <c r="AC1049" s="893"/>
      <c r="AD1049" s="893"/>
      <c r="AE1049" s="959"/>
      <c r="AF1049" s="267"/>
      <c r="AG1049" s="1"/>
      <c r="AH1049" s="1"/>
      <c r="AI1049" s="249"/>
      <c r="AJ1049" s="958"/>
      <c r="AK1049" s="893"/>
      <c r="AL1049" s="893"/>
      <c r="AM1049" s="893"/>
      <c r="AN1049" s="893"/>
      <c r="AO1049" s="893"/>
      <c r="AP1049" s="893"/>
      <c r="AQ1049" s="959"/>
      <c r="AR1049" s="194"/>
      <c r="AS1049" s="194"/>
      <c r="AT1049" s="194"/>
      <c r="AU1049" s="194"/>
      <c r="AV1049" s="194"/>
      <c r="AW1049" s="194"/>
      <c r="AX1049" s="194"/>
      <c r="AY1049" s="194"/>
      <c r="BA1049" s="405">
        <f>T212</f>
        <v>0</v>
      </c>
      <c r="BB1049" s="1" t="s">
        <v>2775</v>
      </c>
    </row>
    <row r="1050" spans="1:57" ht="12.75" customHeight="1">
      <c r="A1050" s="1"/>
      <c r="B1050" s="267"/>
      <c r="C1050" s="10"/>
      <c r="D1050" s="958"/>
      <c r="E1050" s="893"/>
      <c r="F1050" s="893"/>
      <c r="G1050" s="893"/>
      <c r="H1050" s="893"/>
      <c r="I1050" s="893"/>
      <c r="J1050" s="893"/>
      <c r="K1050" s="893"/>
      <c r="L1050" s="893"/>
      <c r="M1050" s="893"/>
      <c r="N1050" s="893"/>
      <c r="O1050" s="893"/>
      <c r="P1050" s="893"/>
      <c r="Q1050" s="893"/>
      <c r="R1050" s="893"/>
      <c r="S1050" s="893"/>
      <c r="T1050" s="893"/>
      <c r="U1050" s="893"/>
      <c r="V1050" s="893"/>
      <c r="W1050" s="893"/>
      <c r="X1050" s="893"/>
      <c r="Y1050" s="893"/>
      <c r="Z1050" s="893"/>
      <c r="AA1050" s="893"/>
      <c r="AB1050" s="893"/>
      <c r="AC1050" s="893"/>
      <c r="AD1050" s="893"/>
      <c r="AE1050" s="959"/>
      <c r="AF1050" s="267"/>
      <c r="AG1050" s="1"/>
      <c r="AH1050" s="1"/>
      <c r="AI1050" s="249"/>
      <c r="AJ1050" s="958"/>
      <c r="AK1050" s="893"/>
      <c r="AL1050" s="893"/>
      <c r="AM1050" s="893"/>
      <c r="AN1050" s="893"/>
      <c r="AO1050" s="893"/>
      <c r="AP1050" s="893"/>
      <c r="AQ1050" s="959"/>
      <c r="AR1050" s="194"/>
      <c r="AS1050" s="194"/>
      <c r="AT1050" s="194"/>
      <c r="AU1050" s="194"/>
      <c r="AV1050" s="194"/>
      <c r="AW1050" s="194"/>
      <c r="AX1050" s="194"/>
      <c r="AY1050" s="194"/>
    </row>
    <row r="1051" spans="1:57" ht="12.75" customHeight="1">
      <c r="A1051" s="1"/>
      <c r="B1051" s="267"/>
      <c r="C1051" s="10"/>
      <c r="D1051" s="960"/>
      <c r="E1051" s="961"/>
      <c r="F1051" s="961"/>
      <c r="G1051" s="961"/>
      <c r="H1051" s="961"/>
      <c r="I1051" s="961"/>
      <c r="J1051" s="961"/>
      <c r="K1051" s="961"/>
      <c r="L1051" s="961"/>
      <c r="M1051" s="961"/>
      <c r="N1051" s="961"/>
      <c r="O1051" s="961"/>
      <c r="P1051" s="961"/>
      <c r="Q1051" s="961"/>
      <c r="R1051" s="961"/>
      <c r="S1051" s="961"/>
      <c r="T1051" s="961"/>
      <c r="U1051" s="961"/>
      <c r="V1051" s="961"/>
      <c r="W1051" s="961"/>
      <c r="X1051" s="961"/>
      <c r="Y1051" s="961"/>
      <c r="Z1051" s="961"/>
      <c r="AA1051" s="961"/>
      <c r="AB1051" s="961"/>
      <c r="AC1051" s="961"/>
      <c r="AD1051" s="961"/>
      <c r="AE1051" s="962"/>
      <c r="AF1051" s="267"/>
      <c r="AG1051" s="1"/>
      <c r="AH1051" s="1"/>
      <c r="AI1051" s="249"/>
      <c r="AJ1051" s="960"/>
      <c r="AK1051" s="961"/>
      <c r="AL1051" s="961"/>
      <c r="AM1051" s="961"/>
      <c r="AN1051" s="961"/>
      <c r="AO1051" s="961"/>
      <c r="AP1051" s="961"/>
      <c r="AQ1051" s="962"/>
      <c r="AR1051" s="194"/>
      <c r="AS1051" s="194"/>
      <c r="AT1051" s="194"/>
      <c r="AU1051" s="194"/>
      <c r="AV1051" s="194"/>
      <c r="AW1051" s="194"/>
      <c r="AX1051" s="194"/>
      <c r="AY1051" s="194"/>
    </row>
    <row r="1052" spans="1:57" ht="12.75" customHeight="1">
      <c r="A1052" s="1"/>
      <c r="B1052" s="265"/>
      <c r="C1052" s="813" t="s">
        <v>2776</v>
      </c>
      <c r="D1052" s="1021" t="s">
        <v>2333</v>
      </c>
      <c r="E1052" s="947"/>
      <c r="F1052" s="947"/>
      <c r="G1052" s="947"/>
      <c r="H1052" s="947"/>
      <c r="I1052" s="947"/>
      <c r="J1052" s="947"/>
      <c r="K1052" s="947"/>
      <c r="L1052" s="947"/>
      <c r="M1052" s="947"/>
      <c r="N1052" s="947"/>
      <c r="O1052" s="947"/>
      <c r="P1052" s="947"/>
      <c r="Q1052" s="947"/>
      <c r="R1052" s="947"/>
      <c r="S1052" s="947"/>
      <c r="T1052" s="947"/>
      <c r="U1052" s="947"/>
      <c r="V1052" s="947"/>
      <c r="W1052" s="947"/>
      <c r="X1052" s="947"/>
      <c r="Y1052" s="947"/>
      <c r="Z1052" s="947"/>
      <c r="AA1052" s="947"/>
      <c r="AB1052" s="947"/>
      <c r="AC1052" s="947"/>
      <c r="AD1052" s="947"/>
      <c r="AE1052" s="948"/>
      <c r="AF1052" s="265"/>
      <c r="AG1052" s="1014" t="str">
        <f>IF(X1055&gt;0,"Yes","No")</f>
        <v>Yes</v>
      </c>
      <c r="AH1052" s="943"/>
      <c r="AI1052" s="247"/>
      <c r="AJ1052" s="1027">
        <f>IF((X1055=0),0,AY1012*AJ999)</f>
        <v>13634969.699999999</v>
      </c>
      <c r="AK1052" s="947"/>
      <c r="AL1052" s="947"/>
      <c r="AM1052" s="947"/>
      <c r="AN1052" s="947"/>
      <c r="AO1052" s="947"/>
      <c r="AP1052" s="947"/>
      <c r="AQ1052" s="948"/>
      <c r="AR1052" s="194"/>
      <c r="AS1052" s="194"/>
      <c r="AT1052" s="194"/>
      <c r="AU1052" s="194"/>
      <c r="AV1052" s="194"/>
      <c r="AW1052" s="194"/>
      <c r="AX1052" s="194"/>
      <c r="AY1052" s="194"/>
      <c r="AZ1052" s="8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2" s="1" t="s">
        <v>2777</v>
      </c>
      <c r="BB1052" s="1"/>
      <c r="BC1052" s="1"/>
      <c r="BD1052" s="1"/>
    </row>
    <row r="1053" spans="1:57" ht="12.75" customHeight="1">
      <c r="A1053" s="1"/>
      <c r="B1053" s="267"/>
      <c r="C1053" s="869"/>
      <c r="D1053" s="1030" t="s">
        <v>2778</v>
      </c>
      <c r="E1053" s="893"/>
      <c r="F1053" s="893"/>
      <c r="G1053" s="893"/>
      <c r="H1053" s="893"/>
      <c r="I1053" s="893"/>
      <c r="J1053" s="893"/>
      <c r="K1053" s="893"/>
      <c r="L1053" s="893"/>
      <c r="M1053" s="893"/>
      <c r="N1053" s="893"/>
      <c r="O1053" s="893"/>
      <c r="P1053" s="893"/>
      <c r="Q1053" s="893"/>
      <c r="R1053" s="893"/>
      <c r="S1053" s="893"/>
      <c r="T1053" s="893"/>
      <c r="U1053" s="893"/>
      <c r="V1053" s="893"/>
      <c r="W1053" s="893"/>
      <c r="X1053" s="893"/>
      <c r="Y1053" s="893"/>
      <c r="Z1053" s="893"/>
      <c r="AA1053" s="893"/>
      <c r="AB1053" s="893"/>
      <c r="AC1053" s="893"/>
      <c r="AD1053" s="893"/>
      <c r="AE1053" s="959"/>
      <c r="AF1053" s="267"/>
      <c r="AG1053" s="63"/>
      <c r="AH1053" s="63"/>
      <c r="AI1053" s="249"/>
      <c r="AJ1053" s="958"/>
      <c r="AK1053" s="893"/>
      <c r="AL1053" s="893"/>
      <c r="AM1053" s="893"/>
      <c r="AN1053" s="893"/>
      <c r="AO1053" s="893"/>
      <c r="AP1053" s="893"/>
      <c r="AQ1053" s="959"/>
      <c r="AR1053" s="194"/>
      <c r="AS1053" s="194"/>
      <c r="AT1053" s="194"/>
      <c r="AU1053" s="10"/>
      <c r="AV1053" s="194"/>
      <c r="AW1053" s="194"/>
      <c r="AX1053" s="194"/>
      <c r="AY1053" s="194"/>
      <c r="AZ1053" s="126">
        <f>'Sources and Uses Budget'!S97*BA1053</f>
        <v>4073964.4499999997</v>
      </c>
      <c r="BA1053" s="405">
        <f>IF(BA1047,20%,15%)</f>
        <v>0.15</v>
      </c>
      <c r="BB1053" s="1" t="s">
        <v>2779</v>
      </c>
      <c r="BC1053" s="1" t="s">
        <v>2780</v>
      </c>
      <c r="BD1053" s="1"/>
    </row>
    <row r="1054" spans="1:57" ht="12.75" customHeight="1">
      <c r="A1054" s="1"/>
      <c r="B1054" s="267"/>
      <c r="C1054" s="869"/>
      <c r="D1054" s="958"/>
      <c r="E1054" s="893"/>
      <c r="F1054" s="893"/>
      <c r="G1054" s="893"/>
      <c r="H1054" s="893"/>
      <c r="I1054" s="893"/>
      <c r="J1054" s="893"/>
      <c r="K1054" s="893"/>
      <c r="L1054" s="893"/>
      <c r="M1054" s="893"/>
      <c r="N1054" s="893"/>
      <c r="O1054" s="893"/>
      <c r="P1054" s="893"/>
      <c r="Q1054" s="893"/>
      <c r="R1054" s="893"/>
      <c r="S1054" s="893"/>
      <c r="T1054" s="893"/>
      <c r="U1054" s="893"/>
      <c r="V1054" s="893"/>
      <c r="W1054" s="893"/>
      <c r="X1054" s="893"/>
      <c r="Y1054" s="893"/>
      <c r="Z1054" s="893"/>
      <c r="AA1054" s="893"/>
      <c r="AB1054" s="893"/>
      <c r="AC1054" s="893"/>
      <c r="AD1054" s="893"/>
      <c r="AE1054" s="959"/>
      <c r="AF1054" s="267"/>
      <c r="AG1054" s="63"/>
      <c r="AH1054" s="63"/>
      <c r="AI1054" s="249"/>
      <c r="AJ1054" s="958"/>
      <c r="AK1054" s="893"/>
      <c r="AL1054" s="893"/>
      <c r="AM1054" s="893"/>
      <c r="AN1054" s="893"/>
      <c r="AO1054" s="893"/>
      <c r="AP1054" s="893"/>
      <c r="AQ1054" s="959"/>
      <c r="AR1054" s="194"/>
      <c r="AS1054" s="194"/>
      <c r="AT1054" s="194"/>
      <c r="AU1054" s="10"/>
      <c r="AV1054" s="194"/>
      <c r="AW1054" s="194"/>
      <c r="AX1054" s="194"/>
      <c r="AY1054" s="194"/>
      <c r="AZ1054" s="126">
        <f>IF(M365="N/A",0,'Sources and Uses Budget'!T97*BA1054)</f>
        <v>0</v>
      </c>
      <c r="BA1054" s="405">
        <v>0.15</v>
      </c>
      <c r="BB1054" s="1" t="s">
        <v>2779</v>
      </c>
      <c r="BC1054" s="1" t="s">
        <v>2781</v>
      </c>
      <c r="BD1054" s="1"/>
    </row>
    <row r="1055" spans="1:57" ht="12.75" customHeight="1">
      <c r="A1055" s="1"/>
      <c r="B1055" s="268"/>
      <c r="C1055" s="251"/>
      <c r="D1055" s="571" t="s">
        <v>2782</v>
      </c>
      <c r="E1055" s="235"/>
      <c r="F1055" s="235"/>
      <c r="G1055" s="235"/>
      <c r="H1055" s="235"/>
      <c r="I1055" s="1024">
        <f>AY1010</f>
        <v>232</v>
      </c>
      <c r="J1055" s="943"/>
      <c r="K1055" s="235"/>
      <c r="L1055" s="235"/>
      <c r="M1055" s="235"/>
      <c r="N1055" s="235"/>
      <c r="O1055" s="235"/>
      <c r="P1055" s="235"/>
      <c r="Q1055" s="235"/>
      <c r="R1055" s="235"/>
      <c r="S1055" s="235"/>
      <c r="T1055" s="235"/>
      <c r="U1055" s="235"/>
      <c r="V1055" s="466" t="s">
        <v>2783</v>
      </c>
      <c r="W1055" s="235"/>
      <c r="X1055" s="1024">
        <f>CI759</f>
        <v>26</v>
      </c>
      <c r="Y1055" s="943"/>
      <c r="Z1055" s="235"/>
      <c r="AA1055" s="235"/>
      <c r="AB1055" s="235"/>
      <c r="AC1055" s="235"/>
      <c r="AD1055" s="235"/>
      <c r="AE1055" s="251"/>
      <c r="AF1055" s="870"/>
      <c r="AG1055" s="871"/>
      <c r="AH1055" s="871"/>
      <c r="AI1055" s="872"/>
      <c r="AJ1055" s="960"/>
      <c r="AK1055" s="961"/>
      <c r="AL1055" s="961"/>
      <c r="AM1055" s="961"/>
      <c r="AN1055" s="961"/>
      <c r="AO1055" s="961"/>
      <c r="AP1055" s="961"/>
      <c r="AQ1055" s="962"/>
      <c r="AR1055" s="194"/>
      <c r="AS1055" s="194"/>
      <c r="AT1055" s="194"/>
      <c r="AU1055" s="1"/>
      <c r="AV1055" s="194"/>
      <c r="AW1055" s="194"/>
      <c r="AX1055" s="194"/>
      <c r="AY1055" s="194"/>
      <c r="AZ1055" s="126" t="e">
        <f ca="1">IF(M367="N/A",0,'Sources and Uses Budget'!T97*BA1055)</f>
        <v>#NAME?</v>
      </c>
      <c r="BA1055" s="405" t="e">
        <f t="array" aca="1" ref="BA1055" ca="1">_xludf.IFS(X180="Yes",5%,$BA$1045&gt;50000,15%,BA1046&gt;=30%,15%,TRUE,5%)</f>
        <v>#NAME?</v>
      </c>
      <c r="BB1055" s="1" t="s">
        <v>2779</v>
      </c>
      <c r="BC1055" s="1" t="s">
        <v>2784</v>
      </c>
      <c r="BD1055" s="1"/>
    </row>
    <row r="1056" spans="1:57" ht="12.75" customHeight="1">
      <c r="A1056" s="1"/>
      <c r="B1056" s="265"/>
      <c r="C1056" s="813" t="s">
        <v>2785</v>
      </c>
      <c r="D1056" s="1028" t="s">
        <v>2334</v>
      </c>
      <c r="E1056" s="893"/>
      <c r="F1056" s="893"/>
      <c r="G1056" s="893"/>
      <c r="H1056" s="893"/>
      <c r="I1056" s="893"/>
      <c r="J1056" s="893"/>
      <c r="K1056" s="893"/>
      <c r="L1056" s="893"/>
      <c r="M1056" s="893"/>
      <c r="N1056" s="893"/>
      <c r="O1056" s="893"/>
      <c r="P1056" s="893"/>
      <c r="Q1056" s="893"/>
      <c r="R1056" s="893"/>
      <c r="S1056" s="893"/>
      <c r="T1056" s="893"/>
      <c r="U1056" s="893"/>
      <c r="V1056" s="893"/>
      <c r="W1056" s="893"/>
      <c r="X1056" s="893"/>
      <c r="Y1056" s="893"/>
      <c r="Z1056" s="893"/>
      <c r="AA1056" s="893"/>
      <c r="AB1056" s="893"/>
      <c r="AC1056" s="893"/>
      <c r="AD1056" s="893"/>
      <c r="AE1056" s="959"/>
      <c r="AF1056" s="267"/>
      <c r="AG1056" s="1014" t="str">
        <f>IF(X1059&gt;0,"Yes","No")</f>
        <v>Yes</v>
      </c>
      <c r="AH1056" s="943"/>
      <c r="AI1056" s="249"/>
      <c r="AJ1056" s="1027">
        <f>IF((X1059=0),0,(2*AY1013)*AJ999)</f>
        <v>27269939.399999999</v>
      </c>
      <c r="AK1056" s="947"/>
      <c r="AL1056" s="947"/>
      <c r="AM1056" s="947"/>
      <c r="AN1056" s="947"/>
      <c r="AO1056" s="947"/>
      <c r="AP1056" s="947"/>
      <c r="AQ1056" s="948"/>
      <c r="AR1056" s="194"/>
      <c r="AS1056" s="194"/>
      <c r="AT1056" s="194"/>
      <c r="AU1056" s="1"/>
      <c r="AV1056" s="194"/>
      <c r="AW1056" s="194"/>
      <c r="AX1056" s="194"/>
      <c r="AY1056" s="194"/>
      <c r="AZ1056" s="126">
        <f>AZ1052*BA1056</f>
        <v>0</v>
      </c>
      <c r="BA1056" s="405">
        <v>0.15</v>
      </c>
      <c r="BB1056" s="1" t="s">
        <v>2779</v>
      </c>
      <c r="BC1056" s="1" t="s">
        <v>2786</v>
      </c>
      <c r="BD1056" s="1"/>
    </row>
    <row r="1057" spans="1:56" ht="12.75" customHeight="1">
      <c r="A1057" s="1"/>
      <c r="B1057" s="267"/>
      <c r="C1057" s="869"/>
      <c r="D1057" s="1030" t="s">
        <v>2787</v>
      </c>
      <c r="E1057" s="893"/>
      <c r="F1057" s="893"/>
      <c r="G1057" s="893"/>
      <c r="H1057" s="893"/>
      <c r="I1057" s="893"/>
      <c r="J1057" s="893"/>
      <c r="K1057" s="893"/>
      <c r="L1057" s="893"/>
      <c r="M1057" s="893"/>
      <c r="N1057" s="893"/>
      <c r="O1057" s="893"/>
      <c r="P1057" s="893"/>
      <c r="Q1057" s="893"/>
      <c r="R1057" s="893"/>
      <c r="S1057" s="893"/>
      <c r="T1057" s="893"/>
      <c r="U1057" s="893"/>
      <c r="V1057" s="893"/>
      <c r="W1057" s="893"/>
      <c r="X1057" s="893"/>
      <c r="Y1057" s="893"/>
      <c r="Z1057" s="893"/>
      <c r="AA1057" s="893"/>
      <c r="AB1057" s="893"/>
      <c r="AC1057" s="893"/>
      <c r="AD1057" s="893"/>
      <c r="AE1057" s="959"/>
      <c r="AF1057" s="267"/>
      <c r="AG1057" s="63"/>
      <c r="AH1057" s="63"/>
      <c r="AI1057" s="249"/>
      <c r="AJ1057" s="958"/>
      <c r="AK1057" s="893"/>
      <c r="AL1057" s="893"/>
      <c r="AM1057" s="893"/>
      <c r="AN1057" s="893"/>
      <c r="AO1057" s="893"/>
      <c r="AP1057" s="893"/>
      <c r="AQ1057" s="959"/>
      <c r="AR1057" s="194"/>
      <c r="AS1057" s="194"/>
      <c r="AT1057" s="194"/>
      <c r="AU1057" s="194"/>
      <c r="AV1057" s="194"/>
      <c r="AW1057" s="194"/>
      <c r="AX1057" s="194"/>
      <c r="AY1057" s="194"/>
      <c r="AZ1057" s="126"/>
      <c r="BA1057" s="1"/>
      <c r="BB1057" s="1"/>
      <c r="BC1057" s="1"/>
      <c r="BD1057" s="1"/>
    </row>
    <row r="1058" spans="1:56" ht="12.75" customHeight="1">
      <c r="A1058" s="1"/>
      <c r="B1058" s="267"/>
      <c r="C1058" s="249"/>
      <c r="D1058" s="958"/>
      <c r="E1058" s="893"/>
      <c r="F1058" s="893"/>
      <c r="G1058" s="893"/>
      <c r="H1058" s="893"/>
      <c r="I1058" s="893"/>
      <c r="J1058" s="893"/>
      <c r="K1058" s="893"/>
      <c r="L1058" s="893"/>
      <c r="M1058" s="893"/>
      <c r="N1058" s="893"/>
      <c r="O1058" s="893"/>
      <c r="P1058" s="893"/>
      <c r="Q1058" s="893"/>
      <c r="R1058" s="893"/>
      <c r="S1058" s="893"/>
      <c r="T1058" s="893"/>
      <c r="U1058" s="893"/>
      <c r="V1058" s="893"/>
      <c r="W1058" s="893"/>
      <c r="X1058" s="893"/>
      <c r="Y1058" s="893"/>
      <c r="Z1058" s="893"/>
      <c r="AA1058" s="893"/>
      <c r="AB1058" s="893"/>
      <c r="AC1058" s="893"/>
      <c r="AD1058" s="893"/>
      <c r="AE1058" s="959"/>
      <c r="AF1058" s="873"/>
      <c r="AG1058" s="874"/>
      <c r="AH1058" s="874"/>
      <c r="AI1058" s="875"/>
      <c r="AJ1058" s="958"/>
      <c r="AK1058" s="893"/>
      <c r="AL1058" s="893"/>
      <c r="AM1058" s="893"/>
      <c r="AN1058" s="893"/>
      <c r="AO1058" s="893"/>
      <c r="AP1058" s="893"/>
      <c r="AQ1058" s="959"/>
      <c r="AR1058" s="194"/>
      <c r="AS1058" s="194"/>
      <c r="AT1058" s="194"/>
      <c r="AU1058" s="194"/>
      <c r="AV1058" s="194"/>
      <c r="AW1058" s="194"/>
      <c r="AX1058" s="194"/>
      <c r="AY1058" s="194"/>
      <c r="AZ1058" s="126" t="e">
        <f ca="1">ROUNDDOWN(MIN(SUM(AZ1053,AZ1054,AZ1055,AZ1056),BD1058),0)</f>
        <v>#NAME?</v>
      </c>
      <c r="BA1058" s="1" t="s">
        <v>2788</v>
      </c>
      <c r="BB1058" s="1"/>
      <c r="BC1058" s="1"/>
      <c r="BD1058" s="1" t="e">
        <f t="array" aca="1" ref="BD1058" ca="1">_xludf.IFS(BA1047,3000000,AND(BA1048&gt;=25%,BA1049&gt;=15),2800000,TRUE,2500000)</f>
        <v>#NAME?</v>
      </c>
    </row>
    <row r="1059" spans="1:56" ht="12.75" customHeight="1">
      <c r="A1059" s="1"/>
      <c r="B1059" s="268"/>
      <c r="C1059" s="251"/>
      <c r="D1059" s="571" t="s">
        <v>2782</v>
      </c>
      <c r="E1059" s="235"/>
      <c r="F1059" s="235"/>
      <c r="G1059" s="235"/>
      <c r="H1059" s="235"/>
      <c r="I1059" s="1024">
        <f>AY1010</f>
        <v>232</v>
      </c>
      <c r="J1059" s="943"/>
      <c r="K1059" s="1"/>
      <c r="L1059" s="235"/>
      <c r="M1059" s="235"/>
      <c r="N1059" s="235"/>
      <c r="O1059" s="235"/>
      <c r="P1059" s="235"/>
      <c r="Q1059" s="235"/>
      <c r="R1059" s="235"/>
      <c r="S1059" s="235"/>
      <c r="T1059" s="235"/>
      <c r="U1059" s="235"/>
      <c r="V1059" s="466" t="s">
        <v>2789</v>
      </c>
      <c r="X1059" s="1014">
        <f>CM759</f>
        <v>26</v>
      </c>
      <c r="Y1059" s="943"/>
      <c r="AF1059" s="870"/>
      <c r="AG1059" s="871"/>
      <c r="AH1059" s="871"/>
      <c r="AI1059" s="872"/>
      <c r="AJ1059" s="960"/>
      <c r="AK1059" s="961"/>
      <c r="AL1059" s="961"/>
      <c r="AM1059" s="961"/>
      <c r="AN1059" s="961"/>
      <c r="AO1059" s="961"/>
      <c r="AP1059" s="961"/>
      <c r="AQ1059" s="962"/>
      <c r="AR1059" s="194"/>
      <c r="AS1059" s="194"/>
      <c r="AT1059" s="194"/>
      <c r="AU1059" s="194"/>
      <c r="AV1059" s="194"/>
      <c r="AW1059" s="194"/>
      <c r="AX1059" s="194"/>
      <c r="AY1059" s="194"/>
      <c r="AZ1059" s="126">
        <f>ROUNDDOWN(MAX(0,BA1059*(SUM(AG1100,AL1100,AZ1052)-BD1059))+BF1059,0)</f>
        <v>0</v>
      </c>
      <c r="BA1059" s="405">
        <f>IF(L1049,7%,5%)</f>
        <v>0.05</v>
      </c>
      <c r="BB1059" s="1" t="s">
        <v>2790</v>
      </c>
      <c r="BC1059" s="1"/>
      <c r="BD1059" s="1">
        <v>6666667</v>
      </c>
    </row>
    <row r="1060" spans="1:56" ht="12.75" customHeight="1">
      <c r="A1060" s="1"/>
      <c r="B1060" s="272"/>
      <c r="C1060" s="876"/>
      <c r="D1060" s="1025" t="s">
        <v>2791</v>
      </c>
      <c r="E1060" s="921"/>
      <c r="F1060" s="921"/>
      <c r="G1060" s="921"/>
      <c r="H1060" s="921"/>
      <c r="I1060" s="921"/>
      <c r="J1060" s="921"/>
      <c r="K1060" s="921"/>
      <c r="L1060" s="921"/>
      <c r="M1060" s="921"/>
      <c r="N1060" s="921"/>
      <c r="O1060" s="921"/>
      <c r="P1060" s="921"/>
      <c r="Q1060" s="921"/>
      <c r="R1060" s="921"/>
      <c r="S1060" s="921"/>
      <c r="T1060" s="921"/>
      <c r="U1060" s="921"/>
      <c r="V1060" s="921"/>
      <c r="W1060" s="921"/>
      <c r="X1060" s="921"/>
      <c r="Y1060" s="921"/>
      <c r="Z1060" s="921"/>
      <c r="AA1060" s="921"/>
      <c r="AB1060" s="921"/>
      <c r="AC1060" s="921"/>
      <c r="AD1060" s="921"/>
      <c r="AE1060" s="921"/>
      <c r="AF1060" s="921"/>
      <c r="AG1060" s="921"/>
      <c r="AH1060" s="921"/>
      <c r="AI1060" s="943"/>
      <c r="AJ1060" s="1026">
        <f>SUM(AJ999:AQ1059)</f>
        <v>164859179.09999999</v>
      </c>
      <c r="AK1060" s="921"/>
      <c r="AL1060" s="921"/>
      <c r="AM1060" s="921"/>
      <c r="AN1060" s="921"/>
      <c r="AO1060" s="921"/>
      <c r="AP1060" s="921"/>
      <c r="AQ1060" s="943"/>
      <c r="AR1060" s="194"/>
      <c r="AS1060" s="194"/>
      <c r="AT1060" s="194"/>
      <c r="AU1060" s="194"/>
      <c r="AV1060" s="194"/>
      <c r="AW1060" s="194"/>
      <c r="AX1060" s="194"/>
      <c r="AY1060" s="194"/>
      <c r="AZ1060" s="868">
        <v>6000000</v>
      </c>
      <c r="BA1060" s="1" t="s">
        <v>2792</v>
      </c>
      <c r="BB1060" s="1"/>
      <c r="BC1060" s="1"/>
      <c r="BD1060" s="1"/>
    </row>
    <row r="1061" spans="1:56" ht="12.75" customHeight="1">
      <c r="A1061" s="1"/>
      <c r="B1061" s="1"/>
      <c r="C1061" s="877"/>
      <c r="D1061" s="878"/>
      <c r="E1061" s="878"/>
      <c r="F1061" s="878"/>
      <c r="G1061" s="878"/>
      <c r="H1061" s="878"/>
      <c r="I1061" s="878"/>
      <c r="J1061" s="878"/>
      <c r="K1061" s="878"/>
      <c r="L1061" s="878"/>
      <c r="M1061" s="878"/>
      <c r="N1061" s="878"/>
      <c r="O1061" s="878"/>
      <c r="P1061" s="878"/>
      <c r="Q1061" s="878"/>
      <c r="R1061" s="878"/>
      <c r="S1061" s="878"/>
      <c r="T1061" s="879"/>
      <c r="U1061" s="879"/>
      <c r="V1061" s="879"/>
      <c r="W1061" s="879"/>
      <c r="X1061" s="879"/>
      <c r="Y1061" s="879"/>
      <c r="Z1061" s="879"/>
      <c r="AA1061" s="879"/>
      <c r="AB1061" s="879"/>
      <c r="AC1061" s="879"/>
      <c r="AD1061" s="880"/>
      <c r="AE1061" s="880"/>
      <c r="AF1061" s="880"/>
      <c r="AG1061" s="880"/>
      <c r="AH1061" s="880"/>
      <c r="AI1061" s="880"/>
      <c r="AJ1061" s="880"/>
      <c r="AK1061" s="880"/>
      <c r="AL1061" s="194"/>
      <c r="AM1061" s="194"/>
      <c r="AN1061" s="194"/>
      <c r="AO1061" s="194"/>
      <c r="AP1061" s="194"/>
      <c r="AQ1061" s="194"/>
      <c r="AR1061" s="194"/>
      <c r="AS1061" s="194"/>
      <c r="AT1061" s="194"/>
      <c r="AU1061" s="194"/>
      <c r="AV1061" s="194"/>
      <c r="AW1061" s="194"/>
      <c r="AX1061" s="194"/>
      <c r="AY1061" s="194"/>
      <c r="AZ1061" s="1"/>
      <c r="BA1061" s="1"/>
      <c r="BB1061" s="1"/>
      <c r="BC1061" s="1"/>
      <c r="BD1061" s="1"/>
    </row>
    <row r="1062" spans="1:56" ht="12.75" customHeight="1">
      <c r="A1062" s="1"/>
      <c r="B1062" s="194"/>
      <c r="C1062" s="194"/>
      <c r="D1062" s="194"/>
      <c r="E1062" s="194"/>
      <c r="F1062" s="194"/>
      <c r="G1062" s="881" t="s">
        <v>2793</v>
      </c>
      <c r="H1062" s="882"/>
      <c r="I1062" s="882"/>
      <c r="J1062" s="882"/>
      <c r="K1062" s="882"/>
      <c r="L1062" s="882"/>
      <c r="M1062" s="882"/>
      <c r="N1062" s="882"/>
      <c r="O1062" s="882"/>
      <c r="P1062" s="882"/>
      <c r="Q1062" s="882"/>
      <c r="R1062" s="882"/>
      <c r="S1062" s="882"/>
      <c r="T1062" s="882"/>
      <c r="U1062" s="882"/>
      <c r="V1062" s="882"/>
      <c r="W1062" s="882"/>
      <c r="X1062" s="882"/>
      <c r="Y1062" s="882"/>
      <c r="Z1062" s="882"/>
      <c r="AA1062" s="882"/>
      <c r="AB1062" s="882"/>
      <c r="AC1062" s="882"/>
      <c r="AD1062" s="882"/>
      <c r="AE1062" s="882"/>
      <c r="AF1062" s="882"/>
      <c r="AG1062" s="883"/>
      <c r="AH1062" s="883"/>
      <c r="AI1062" s="883"/>
      <c r="AJ1062" s="883"/>
      <c r="AK1062" s="883"/>
      <c r="AL1062" s="883"/>
      <c r="AM1062" s="883"/>
      <c r="AN1062" s="883"/>
      <c r="AO1062" s="194"/>
      <c r="AP1062" s="194"/>
      <c r="AQ1062" s="194"/>
      <c r="AR1062" s="194"/>
      <c r="AS1062" s="194"/>
      <c r="AT1062" s="194"/>
      <c r="AU1062" s="194"/>
      <c r="AV1062" s="194"/>
      <c r="AW1062" s="194"/>
      <c r="AX1062" s="194"/>
      <c r="AY1062" s="194"/>
      <c r="AZ1062" s="1"/>
      <c r="BA1062" s="126" t="e">
        <f ca="1">MIN(MIN(MAX(AZ1058,AZ1059),AZ1060),BA1063)</f>
        <v>#NAME?</v>
      </c>
      <c r="BB1062" s="1" t="s">
        <v>2794</v>
      </c>
      <c r="BC1062" s="1"/>
      <c r="BD1062" s="1"/>
    </row>
    <row r="1063" spans="1:56" ht="12.75" customHeight="1">
      <c r="A1063" s="1"/>
      <c r="B1063" s="194"/>
      <c r="C1063" s="194"/>
      <c r="D1063" s="194"/>
      <c r="E1063" s="194"/>
      <c r="F1063" s="194"/>
      <c r="G1063" s="884" t="s">
        <v>2795</v>
      </c>
      <c r="H1063" s="885"/>
      <c r="I1063" s="885"/>
      <c r="J1063" s="885"/>
      <c r="K1063" s="885"/>
      <c r="L1063" s="885"/>
      <c r="M1063" s="885"/>
      <c r="N1063" s="885"/>
      <c r="O1063" s="885"/>
      <c r="P1063" s="885"/>
      <c r="Q1063" s="885"/>
      <c r="R1063" s="885"/>
      <c r="S1063" s="885"/>
      <c r="T1063" s="885"/>
      <c r="U1063" s="885"/>
      <c r="V1063" s="885"/>
      <c r="W1063" s="885"/>
      <c r="X1063" s="885"/>
      <c r="Y1063" s="885"/>
      <c r="Z1063" s="885"/>
      <c r="AA1063" s="1015">
        <f>'Sources and Uses Budget'!S107+'Sources and Uses Budget'!T107</f>
        <v>88541784</v>
      </c>
      <c r="AB1063" s="1016"/>
      <c r="AC1063" s="1016"/>
      <c r="AD1063" s="1016"/>
      <c r="AE1063" s="1016"/>
      <c r="AF1063" s="1016"/>
      <c r="AG1063" s="883"/>
      <c r="AH1063" s="883"/>
      <c r="AI1063" s="883"/>
      <c r="AJ1063" s="883"/>
      <c r="AK1063" s="883"/>
      <c r="AL1063" s="883"/>
      <c r="AM1063" s="883"/>
      <c r="AN1063" s="883"/>
      <c r="AO1063" s="194"/>
      <c r="AP1063" s="194"/>
      <c r="AQ1063" s="194"/>
      <c r="AR1063" s="194"/>
      <c r="AS1063" s="194"/>
      <c r="AT1063" s="194"/>
      <c r="AU1063" s="194"/>
      <c r="AV1063" s="10"/>
      <c r="AW1063" s="10"/>
      <c r="AX1063" s="10"/>
      <c r="AY1063" s="10"/>
      <c r="AZ1063" s="1"/>
      <c r="BA1063" s="126" t="e">
        <f ca="1">SUM(AZ1053:AZ1056)</f>
        <v>#NAME?</v>
      </c>
      <c r="BB1063" s="1" t="s">
        <v>2796</v>
      </c>
      <c r="BC1063" s="1"/>
      <c r="BD1063" s="1"/>
    </row>
    <row r="1064" spans="1:56" ht="12.75" customHeight="1">
      <c r="A1064" s="1"/>
      <c r="B1064" s="194"/>
      <c r="C1064" s="194"/>
      <c r="D1064" s="194"/>
      <c r="E1064" s="194"/>
      <c r="F1064" s="194"/>
      <c r="G1064" s="884"/>
      <c r="H1064" s="884" t="s">
        <v>2797</v>
      </c>
      <c r="I1064" s="885"/>
      <c r="J1064" s="885"/>
      <c r="K1064" s="885"/>
      <c r="L1064" s="885"/>
      <c r="M1064" s="885"/>
      <c r="N1064" s="885"/>
      <c r="O1064" s="885"/>
      <c r="P1064" s="885"/>
      <c r="Q1064" s="885"/>
      <c r="R1064" s="885"/>
      <c r="S1064" s="885"/>
      <c r="T1064" s="885"/>
      <c r="U1064" s="885"/>
      <c r="V1064" s="885"/>
      <c r="W1064" s="885"/>
      <c r="X1064" s="885"/>
      <c r="Y1064" s="885"/>
      <c r="Z1064" s="886"/>
      <c r="AA1064" s="1017" t="str">
        <f ca="1">IFERROR((AA1063-BA1066)/(AJ1060-AJ1052-AJ1056),"")</f>
        <v/>
      </c>
      <c r="AB1064" s="1018"/>
      <c r="AC1064" s="1018"/>
      <c r="AD1064" s="1018"/>
      <c r="AE1064" s="1018"/>
      <c r="AF1064" s="1019"/>
      <c r="AG1064" s="887"/>
      <c r="AH1064" s="883"/>
      <c r="AI1064" s="883"/>
      <c r="AJ1064" s="883"/>
      <c r="AK1064" s="883"/>
      <c r="AL1064" s="883"/>
      <c r="AM1064" s="883"/>
      <c r="AN1064" s="883"/>
      <c r="AO1064" s="194"/>
      <c r="AP1064" s="194"/>
      <c r="AQ1064" s="194"/>
      <c r="AR1064" s="194"/>
      <c r="AS1064" s="194"/>
      <c r="AT1064" s="194"/>
      <c r="AU1064" s="194"/>
      <c r="AV1064" s="10"/>
      <c r="AW1064" s="10"/>
      <c r="AX1064" s="10"/>
      <c r="AY1064" s="10"/>
    </row>
    <row r="1065" spans="1:56" ht="12.75" customHeight="1">
      <c r="A1065" s="1"/>
      <c r="B1065" s="194"/>
      <c r="C1065" s="194"/>
      <c r="D1065" s="194"/>
      <c r="E1065" s="194"/>
      <c r="F1065" s="194"/>
      <c r="G1065" s="1020" t="str">
        <f ca="1">IFERROR(IF(AA1064="","",IF(AA1064&gt;=1.3,"Based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
      </c>
      <c r="H1065" s="893"/>
      <c r="I1065" s="893"/>
      <c r="J1065" s="893"/>
      <c r="K1065" s="893"/>
      <c r="L1065" s="893"/>
      <c r="M1065" s="893"/>
      <c r="N1065" s="893"/>
      <c r="O1065" s="893"/>
      <c r="P1065" s="893"/>
      <c r="Q1065" s="893"/>
      <c r="R1065" s="893"/>
      <c r="S1065" s="893"/>
      <c r="T1065" s="893"/>
      <c r="U1065" s="893"/>
      <c r="V1065" s="893"/>
      <c r="W1065" s="893"/>
      <c r="X1065" s="893"/>
      <c r="Y1065" s="893"/>
      <c r="Z1065" s="893"/>
      <c r="AA1065" s="893"/>
      <c r="AB1065" s="893"/>
      <c r="AC1065" s="893"/>
      <c r="AD1065" s="893"/>
      <c r="AE1065" s="893"/>
      <c r="AF1065" s="893"/>
      <c r="AG1065" s="893"/>
      <c r="AH1065" s="893"/>
      <c r="AI1065" s="893"/>
      <c r="AJ1065" s="893"/>
      <c r="AK1065" s="893"/>
      <c r="AL1065" s="893"/>
      <c r="AM1065" s="893"/>
      <c r="AN1065" s="893"/>
      <c r="AO1065" s="194"/>
      <c r="AP1065" s="194"/>
      <c r="AQ1065" s="194"/>
      <c r="AR1065" s="194"/>
      <c r="AS1065" s="194"/>
      <c r="AT1065" s="194"/>
      <c r="AU1065" s="194"/>
      <c r="AV1065" s="1"/>
      <c r="AW1065" s="1"/>
      <c r="AX1065" s="1"/>
      <c r="AY1065" s="1"/>
      <c r="BA1065" s="888">
        <f>'Sources and Uses Budget'!$S$104+'Sources and Uses Budget'!$T$104</f>
        <v>6802919</v>
      </c>
      <c r="BB1065" s="1" t="s">
        <v>2798</v>
      </c>
    </row>
    <row r="1066" spans="1:56" ht="12.75" customHeight="1">
      <c r="A1066" s="1"/>
      <c r="B1066" s="1"/>
      <c r="C1066" s="877"/>
      <c r="D1066" s="889"/>
      <c r="E1066" s="889"/>
      <c r="F1066" s="889"/>
      <c r="G1066" s="893"/>
      <c r="H1066" s="893"/>
      <c r="I1066" s="893"/>
      <c r="J1066" s="893"/>
      <c r="K1066" s="893"/>
      <c r="L1066" s="893"/>
      <c r="M1066" s="893"/>
      <c r="N1066" s="893"/>
      <c r="O1066" s="893"/>
      <c r="P1066" s="893"/>
      <c r="Q1066" s="893"/>
      <c r="R1066" s="893"/>
      <c r="S1066" s="893"/>
      <c r="T1066" s="893"/>
      <c r="U1066" s="893"/>
      <c r="V1066" s="893"/>
      <c r="W1066" s="893"/>
      <c r="X1066" s="893"/>
      <c r="Y1066" s="893"/>
      <c r="Z1066" s="893"/>
      <c r="AA1066" s="893"/>
      <c r="AB1066" s="893"/>
      <c r="AC1066" s="893"/>
      <c r="AD1066" s="893"/>
      <c r="AE1066" s="893"/>
      <c r="AF1066" s="893"/>
      <c r="AG1066" s="893"/>
      <c r="AH1066" s="893"/>
      <c r="AI1066" s="893"/>
      <c r="AJ1066" s="893"/>
      <c r="AK1066" s="893"/>
      <c r="AL1066" s="893"/>
      <c r="AM1066" s="893"/>
      <c r="AN1066" s="893"/>
      <c r="AO1066" s="194"/>
      <c r="AP1066" s="194"/>
      <c r="AQ1066" s="194"/>
      <c r="AR1066" s="194"/>
      <c r="AS1066" s="194"/>
      <c r="AT1066" s="194"/>
      <c r="AU1066" s="194"/>
      <c r="AV1066" s="1"/>
      <c r="AW1066" s="1"/>
      <c r="AX1066" s="1"/>
      <c r="AY1066" s="1"/>
      <c r="BA1066" s="890" t="e">
        <f ca="1">MAX($BA$1065-$BA$1062,0)</f>
        <v>#NAME?</v>
      </c>
      <c r="BB1066" s="1" t="s">
        <v>2799</v>
      </c>
    </row>
    <row r="1067" spans="1:56" ht="12.75" customHeight="1">
      <c r="A1067" s="117"/>
      <c r="B1067" s="891"/>
      <c r="C1067" s="891"/>
      <c r="D1067" s="891"/>
      <c r="E1067" s="891"/>
      <c r="F1067" s="891"/>
      <c r="G1067" s="893"/>
      <c r="H1067" s="893"/>
      <c r="I1067" s="893"/>
      <c r="J1067" s="893"/>
      <c r="K1067" s="893"/>
      <c r="L1067" s="893"/>
      <c r="M1067" s="893"/>
      <c r="N1067" s="893"/>
      <c r="O1067" s="893"/>
      <c r="P1067" s="893"/>
      <c r="Q1067" s="893"/>
      <c r="R1067" s="893"/>
      <c r="S1067" s="893"/>
      <c r="T1067" s="893"/>
      <c r="U1067" s="893"/>
      <c r="V1067" s="893"/>
      <c r="W1067" s="893"/>
      <c r="X1067" s="893"/>
      <c r="Y1067" s="893"/>
      <c r="Z1067" s="893"/>
      <c r="AA1067" s="893"/>
      <c r="AB1067" s="893"/>
      <c r="AC1067" s="893"/>
      <c r="AD1067" s="893"/>
      <c r="AE1067" s="893"/>
      <c r="AF1067" s="893"/>
      <c r="AG1067" s="893"/>
      <c r="AH1067" s="893"/>
      <c r="AI1067" s="893"/>
      <c r="AJ1067" s="893"/>
      <c r="AK1067" s="893"/>
      <c r="AL1067" s="893"/>
      <c r="AM1067" s="893"/>
      <c r="AN1067" s="893"/>
      <c r="AO1067" s="891"/>
      <c r="AP1067" s="891"/>
      <c r="AQ1067" s="194"/>
      <c r="AR1067" s="194"/>
      <c r="AS1067" s="194"/>
      <c r="AT1067" s="194"/>
      <c r="AU1067" s="194"/>
      <c r="AV1067" s="194"/>
      <c r="AW1067" s="194"/>
      <c r="AX1067" s="194"/>
      <c r="AY1067" s="194"/>
    </row>
    <row r="1068" spans="1:56" ht="12.75" customHeight="1">
      <c r="A1068" s="939" t="s">
        <v>2800</v>
      </c>
      <c r="B1068" s="893"/>
      <c r="C1068" s="893"/>
      <c r="D1068" s="893"/>
      <c r="E1068" s="893"/>
      <c r="F1068" s="893"/>
      <c r="G1068" s="893"/>
      <c r="H1068" s="893"/>
      <c r="I1068" s="893"/>
      <c r="J1068" s="893"/>
      <c r="K1068" s="893"/>
      <c r="L1068" s="893"/>
      <c r="M1068" s="893"/>
      <c r="N1068" s="893"/>
      <c r="O1068" s="893"/>
      <c r="P1068" s="893"/>
      <c r="Q1068" s="893"/>
      <c r="R1068" s="893"/>
      <c r="S1068" s="893"/>
      <c r="T1068" s="893"/>
      <c r="U1068" s="893"/>
      <c r="V1068" s="893"/>
      <c r="W1068" s="893"/>
      <c r="X1068" s="893"/>
      <c r="Y1068" s="893"/>
      <c r="Z1068" s="893"/>
      <c r="AA1068" s="893"/>
      <c r="AB1068" s="893"/>
      <c r="AC1068" s="893"/>
      <c r="AD1068" s="893"/>
      <c r="AE1068" s="893"/>
      <c r="AF1068" s="893"/>
      <c r="AG1068" s="893"/>
      <c r="AH1068" s="893"/>
      <c r="AI1068" s="893"/>
      <c r="AJ1068" s="893"/>
      <c r="AK1068" s="893"/>
      <c r="AL1068" s="893"/>
      <c r="AM1068" s="893"/>
      <c r="AN1068" s="893"/>
      <c r="AO1068" s="893"/>
      <c r="AP1068" s="893"/>
      <c r="AQ1068" s="893"/>
      <c r="AR1068" s="10"/>
      <c r="AS1068" s="10"/>
      <c r="AT1068" s="10"/>
      <c r="AV1068" s="194"/>
      <c r="AW1068" s="194"/>
      <c r="AX1068" s="194"/>
      <c r="AY1068" s="194"/>
    </row>
    <row r="1069" spans="1:56" ht="12.75" customHeight="1">
      <c r="A1069" s="1"/>
      <c r="B1069" s="1"/>
      <c r="C1069" s="1"/>
      <c r="D1069" s="1"/>
      <c r="E1069" s="1"/>
      <c r="F1069" s="1"/>
      <c r="G1069" s="1"/>
      <c r="H1069" s="1"/>
      <c r="I1069" s="1"/>
      <c r="J1069" s="1"/>
      <c r="K1069" s="1"/>
      <c r="L1069" s="1"/>
      <c r="M1069" s="1"/>
      <c r="N1069" s="1"/>
      <c r="O1069" s="1"/>
      <c r="P1069" s="1"/>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V1069" s="194"/>
      <c r="AW1069" s="194"/>
      <c r="AX1069" s="194"/>
      <c r="AY1069" s="194"/>
    </row>
    <row r="1070" spans="1:56" ht="12.75" customHeight="1">
      <c r="A1070" s="62" t="s">
        <v>2801</v>
      </c>
      <c r="B1070" s="10"/>
      <c r="C1070" s="10"/>
      <c r="D1070" s="10"/>
      <c r="E1070" s="10"/>
      <c r="F1070" s="10"/>
      <c r="G1070" s="10"/>
      <c r="H1070" s="10"/>
      <c r="I1070" s="10"/>
      <c r="J1070" s="10"/>
      <c r="K1070" s="10"/>
      <c r="L1070" s="10"/>
      <c r="M1070" s="10"/>
      <c r="N1070" s="10"/>
      <c r="O1070" s="10"/>
      <c r="P1070" s="10"/>
      <c r="Q1070" s="10"/>
      <c r="R1070" s="10"/>
      <c r="S1070" s="10"/>
      <c r="T1070" s="10"/>
      <c r="U1070" s="10"/>
      <c r="V1070" s="10"/>
      <c r="W1070" s="10"/>
      <c r="X1070" s="10"/>
      <c r="AJ1070" s="1"/>
      <c r="AK1070" s="1"/>
      <c r="AL1070" s="1"/>
      <c r="AM1070" s="1"/>
      <c r="AN1070" s="1"/>
      <c r="AO1070" s="1"/>
      <c r="AP1070" s="1"/>
      <c r="AQ1070" s="1"/>
      <c r="AR1070" s="1"/>
      <c r="AS1070" s="1"/>
      <c r="AT1070" s="1"/>
      <c r="AV1070" s="194"/>
      <c r="AW1070" s="194"/>
      <c r="AX1070" s="194"/>
      <c r="AY1070" s="194"/>
    </row>
    <row r="1071" spans="1:56" ht="12.75" customHeight="1">
      <c r="A1071" s="8" t="s">
        <v>2802</v>
      </c>
      <c r="B1071" s="1"/>
      <c r="C1071" s="1"/>
      <c r="D1071" s="1"/>
      <c r="E1071" s="1"/>
      <c r="F1071" s="1"/>
      <c r="G1071" s="1"/>
      <c r="H1071" s="1"/>
      <c r="I1071" s="1"/>
      <c r="J1071" s="1"/>
      <c r="K1071" s="1"/>
      <c r="L1071" s="1"/>
      <c r="M1071" s="1"/>
      <c r="N1071" s="1"/>
      <c r="O1071" s="1"/>
      <c r="P1071" s="1"/>
      <c r="Q1071" s="10"/>
      <c r="R1071" s="10"/>
      <c r="S1071" s="10"/>
      <c r="T1071" s="10"/>
      <c r="U1071" s="10"/>
      <c r="V1071" s="10"/>
      <c r="W1071" s="10"/>
      <c r="X1071" s="10"/>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V1071" s="194"/>
      <c r="AW1071" s="194"/>
      <c r="AX1071" s="194"/>
      <c r="AY1071" s="194"/>
    </row>
    <row r="1072" spans="1:56" ht="12.75" customHeight="1">
      <c r="A1072" s="973" t="s">
        <v>855</v>
      </c>
      <c r="B1072" s="969"/>
      <c r="C1072" s="981">
        <v>1</v>
      </c>
      <c r="D1072" s="893"/>
      <c r="E1072" s="1" t="s">
        <v>2803</v>
      </c>
      <c r="F1072" s="1"/>
      <c r="G1072" s="1"/>
      <c r="H1072" s="1"/>
      <c r="I1072" s="1"/>
      <c r="J1072" s="1"/>
      <c r="K1072" s="1"/>
      <c r="L1072" s="1"/>
      <c r="M1072" s="1"/>
      <c r="N1072" s="1"/>
      <c r="O1072" s="1"/>
      <c r="P1072" s="1"/>
      <c r="Q1072" s="10"/>
      <c r="R1072" s="10"/>
      <c r="S1072" s="10"/>
      <c r="T1072" s="10"/>
      <c r="U1072" s="10"/>
      <c r="V1072" s="10"/>
      <c r="W1072" s="10"/>
      <c r="X1072" s="10"/>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V1072" s="194"/>
      <c r="AW1072" s="194"/>
      <c r="AX1072" s="194"/>
      <c r="AY1072" s="194"/>
    </row>
    <row r="1073" spans="1:51" ht="12.75" customHeight="1">
      <c r="A1073" s="8"/>
      <c r="B1073" s="1"/>
      <c r="C1073" s="981"/>
      <c r="D1073" s="893"/>
      <c r="E1073" s="1"/>
      <c r="F1073" s="1"/>
      <c r="G1073" s="1"/>
      <c r="H1073" s="1"/>
      <c r="I1073" s="1"/>
      <c r="J1073" s="1"/>
      <c r="K1073" s="1"/>
      <c r="L1073" s="1"/>
      <c r="M1073" s="1"/>
      <c r="N1073" s="1"/>
      <c r="O1073" s="1"/>
      <c r="P1073" s="1"/>
      <c r="Q1073" s="10"/>
      <c r="R1073" s="10"/>
      <c r="S1073" s="10"/>
      <c r="T1073" s="10"/>
      <c r="U1073" s="10"/>
      <c r="V1073" s="10"/>
      <c r="W1073" s="10"/>
      <c r="X1073" s="10"/>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V1073" s="194"/>
      <c r="AW1073" s="194"/>
      <c r="AX1073" s="194"/>
      <c r="AY1073" s="194"/>
    </row>
    <row r="1074" spans="1:51" ht="12.75" customHeight="1">
      <c r="A1074" s="973" t="s">
        <v>855</v>
      </c>
      <c r="B1074" s="969"/>
      <c r="C1074" s="981">
        <v>2</v>
      </c>
      <c r="D1074" s="893"/>
      <c r="E1074" s="909" t="s">
        <v>2804</v>
      </c>
      <c r="F1074" s="893"/>
      <c r="G1074" s="893"/>
      <c r="H1074" s="893"/>
      <c r="I1074" s="893"/>
      <c r="J1074" s="893"/>
      <c r="K1074" s="893"/>
      <c r="L1074" s="893"/>
      <c r="M1074" s="893"/>
      <c r="N1074" s="893"/>
      <c r="O1074" s="893"/>
      <c r="P1074" s="893"/>
      <c r="Q1074" s="893"/>
      <c r="R1074" s="893"/>
      <c r="S1074" s="893"/>
      <c r="T1074" s="893"/>
      <c r="U1074" s="893"/>
      <c r="V1074" s="893"/>
      <c r="W1074" s="893"/>
      <c r="X1074" s="893"/>
      <c r="Y1074" s="893"/>
      <c r="Z1074" s="893"/>
      <c r="AA1074" s="893"/>
      <c r="AB1074" s="893"/>
      <c r="AC1074" s="893"/>
      <c r="AD1074" s="893"/>
      <c r="AE1074" s="893"/>
      <c r="AF1074" s="893"/>
      <c r="AG1074" s="893"/>
      <c r="AH1074" s="893"/>
      <c r="AI1074" s="893"/>
      <c r="AJ1074" s="893"/>
      <c r="AK1074" s="893"/>
      <c r="AL1074" s="893"/>
      <c r="AM1074" s="893"/>
      <c r="AN1074" s="893"/>
      <c r="AO1074" s="893"/>
      <c r="AP1074" s="893"/>
      <c r="AQ1074" s="893"/>
      <c r="AR1074" s="893"/>
      <c r="AS1074" s="1"/>
      <c r="AT1074" s="1"/>
      <c r="AV1074" s="194"/>
      <c r="AW1074" s="194"/>
      <c r="AX1074" s="194"/>
      <c r="AY1074" s="194"/>
    </row>
    <row r="1075" spans="1:51" ht="12.75" customHeight="1">
      <c r="A1075" s="8"/>
      <c r="B1075" s="1"/>
      <c r="C1075" s="981"/>
      <c r="D1075" s="893"/>
      <c r="E1075" s="893"/>
      <c r="F1075" s="893"/>
      <c r="G1075" s="893"/>
      <c r="H1075" s="893"/>
      <c r="I1075" s="893"/>
      <c r="J1075" s="893"/>
      <c r="K1075" s="893"/>
      <c r="L1075" s="893"/>
      <c r="M1075" s="893"/>
      <c r="N1075" s="893"/>
      <c r="O1075" s="893"/>
      <c r="P1075" s="893"/>
      <c r="Q1075" s="893"/>
      <c r="R1075" s="893"/>
      <c r="S1075" s="893"/>
      <c r="T1075" s="893"/>
      <c r="U1075" s="893"/>
      <c r="V1075" s="893"/>
      <c r="W1075" s="893"/>
      <c r="X1075" s="893"/>
      <c r="Y1075" s="893"/>
      <c r="Z1075" s="893"/>
      <c r="AA1075" s="893"/>
      <c r="AB1075" s="893"/>
      <c r="AC1075" s="893"/>
      <c r="AD1075" s="893"/>
      <c r="AE1075" s="893"/>
      <c r="AF1075" s="893"/>
      <c r="AG1075" s="893"/>
      <c r="AH1075" s="893"/>
      <c r="AI1075" s="893"/>
      <c r="AJ1075" s="893"/>
      <c r="AK1075" s="893"/>
      <c r="AL1075" s="893"/>
      <c r="AM1075" s="893"/>
      <c r="AN1075" s="893"/>
      <c r="AO1075" s="893"/>
      <c r="AP1075" s="893"/>
      <c r="AQ1075" s="893"/>
      <c r="AR1075" s="893"/>
      <c r="AS1075" s="1"/>
      <c r="AT1075" s="1"/>
      <c r="AV1075" s="194"/>
      <c r="AW1075" s="194"/>
      <c r="AX1075" s="194"/>
      <c r="AY1075" s="194"/>
    </row>
    <row r="1076" spans="1:51" ht="12.75" customHeight="1">
      <c r="A1076" s="8"/>
      <c r="B1076" s="1"/>
      <c r="C1076" s="981"/>
      <c r="D1076" s="893"/>
      <c r="E1076" s="1"/>
      <c r="F1076" s="1"/>
      <c r="G1076" s="1"/>
      <c r="H1076" s="1"/>
      <c r="I1076" s="1"/>
      <c r="J1076" s="1"/>
      <c r="K1076" s="1"/>
      <c r="L1076" s="1"/>
      <c r="M1076" s="1"/>
      <c r="N1076" s="1"/>
      <c r="O1076" s="1"/>
      <c r="P1076" s="1"/>
      <c r="Q1076" s="10"/>
      <c r="R1076" s="10"/>
      <c r="S1076" s="10"/>
      <c r="T1076" s="10"/>
      <c r="U1076" s="10"/>
      <c r="V1076" s="10"/>
      <c r="W1076" s="10"/>
      <c r="X1076" s="10"/>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V1076" s="194"/>
      <c r="AW1076" s="194"/>
      <c r="AX1076" s="194"/>
      <c r="AY1076" s="194"/>
    </row>
    <row r="1077" spans="1:51" ht="12.75" customHeight="1">
      <c r="A1077" s="973" t="s">
        <v>855</v>
      </c>
      <c r="B1077" s="969"/>
      <c r="C1077" s="981">
        <v>3</v>
      </c>
      <c r="D1077" s="893"/>
      <c r="E1077" s="910" t="s">
        <v>2805</v>
      </c>
      <c r="F1077" s="893"/>
      <c r="G1077" s="893"/>
      <c r="H1077" s="893"/>
      <c r="I1077" s="893"/>
      <c r="J1077" s="893"/>
      <c r="K1077" s="893"/>
      <c r="L1077" s="893"/>
      <c r="M1077" s="893"/>
      <c r="N1077" s="893"/>
      <c r="O1077" s="893"/>
      <c r="P1077" s="893"/>
      <c r="Q1077" s="893"/>
      <c r="R1077" s="893"/>
      <c r="S1077" s="893"/>
      <c r="T1077" s="893"/>
      <c r="U1077" s="893"/>
      <c r="V1077" s="893"/>
      <c r="W1077" s="893"/>
      <c r="X1077" s="893"/>
      <c r="Y1077" s="893"/>
      <c r="Z1077" s="893"/>
      <c r="AA1077" s="893"/>
      <c r="AB1077" s="893"/>
      <c r="AC1077" s="893"/>
      <c r="AD1077" s="893"/>
      <c r="AE1077" s="893"/>
      <c r="AF1077" s="893"/>
      <c r="AG1077" s="893"/>
      <c r="AH1077" s="893"/>
      <c r="AI1077" s="893"/>
      <c r="AJ1077" s="893"/>
      <c r="AK1077" s="893"/>
      <c r="AL1077" s="893"/>
      <c r="AM1077" s="893"/>
      <c r="AN1077" s="893"/>
      <c r="AO1077" s="893"/>
      <c r="AP1077" s="893"/>
      <c r="AQ1077" s="893"/>
      <c r="AR1077" s="893"/>
      <c r="AS1077" s="1"/>
      <c r="AT1077" s="194"/>
      <c r="AV1077" s="194"/>
      <c r="AW1077" s="194"/>
      <c r="AX1077" s="194"/>
      <c r="AY1077" s="194"/>
    </row>
    <row r="1078" spans="1:51" ht="12.75" customHeight="1">
      <c r="A1078" s="7"/>
      <c r="B1078" s="7"/>
      <c r="C1078" s="981"/>
      <c r="D1078" s="893"/>
      <c r="E1078" s="893"/>
      <c r="F1078" s="893"/>
      <c r="G1078" s="893"/>
      <c r="H1078" s="893"/>
      <c r="I1078" s="893"/>
      <c r="J1078" s="893"/>
      <c r="K1078" s="893"/>
      <c r="L1078" s="893"/>
      <c r="M1078" s="893"/>
      <c r="N1078" s="893"/>
      <c r="O1078" s="893"/>
      <c r="P1078" s="893"/>
      <c r="Q1078" s="893"/>
      <c r="R1078" s="893"/>
      <c r="S1078" s="893"/>
      <c r="T1078" s="893"/>
      <c r="U1078" s="893"/>
      <c r="V1078" s="893"/>
      <c r="W1078" s="893"/>
      <c r="X1078" s="893"/>
      <c r="Y1078" s="893"/>
      <c r="Z1078" s="893"/>
      <c r="AA1078" s="893"/>
      <c r="AB1078" s="893"/>
      <c r="AC1078" s="893"/>
      <c r="AD1078" s="893"/>
      <c r="AE1078" s="893"/>
      <c r="AF1078" s="893"/>
      <c r="AG1078" s="893"/>
      <c r="AH1078" s="893"/>
      <c r="AI1078" s="893"/>
      <c r="AJ1078" s="893"/>
      <c r="AK1078" s="893"/>
      <c r="AL1078" s="893"/>
      <c r="AM1078" s="893"/>
      <c r="AN1078" s="893"/>
      <c r="AO1078" s="893"/>
      <c r="AP1078" s="893"/>
      <c r="AQ1078" s="893"/>
      <c r="AR1078" s="893"/>
      <c r="AS1078" s="1"/>
      <c r="AT1078" s="194"/>
      <c r="AV1078" s="194"/>
      <c r="AW1078" s="194"/>
      <c r="AX1078" s="194"/>
      <c r="AY1078" s="194"/>
    </row>
    <row r="1079" spans="1:51" ht="12.75" customHeight="1">
      <c r="A1079" s="7"/>
      <c r="B1079" s="7"/>
      <c r="C1079" s="981"/>
      <c r="D1079" s="893"/>
      <c r="E1079" s="893"/>
      <c r="F1079" s="893"/>
      <c r="G1079" s="893"/>
      <c r="H1079" s="893"/>
      <c r="I1079" s="893"/>
      <c r="J1079" s="893"/>
      <c r="K1079" s="893"/>
      <c r="L1079" s="893"/>
      <c r="M1079" s="893"/>
      <c r="N1079" s="893"/>
      <c r="O1079" s="893"/>
      <c r="P1079" s="893"/>
      <c r="Q1079" s="893"/>
      <c r="R1079" s="893"/>
      <c r="S1079" s="893"/>
      <c r="T1079" s="893"/>
      <c r="U1079" s="893"/>
      <c r="V1079" s="893"/>
      <c r="W1079" s="893"/>
      <c r="X1079" s="893"/>
      <c r="Y1079" s="893"/>
      <c r="Z1079" s="893"/>
      <c r="AA1079" s="893"/>
      <c r="AB1079" s="893"/>
      <c r="AC1079" s="893"/>
      <c r="AD1079" s="893"/>
      <c r="AE1079" s="893"/>
      <c r="AF1079" s="893"/>
      <c r="AG1079" s="893"/>
      <c r="AH1079" s="893"/>
      <c r="AI1079" s="893"/>
      <c r="AJ1079" s="893"/>
      <c r="AK1079" s="893"/>
      <c r="AL1079" s="893"/>
      <c r="AM1079" s="893"/>
      <c r="AN1079" s="893"/>
      <c r="AO1079" s="893"/>
      <c r="AP1079" s="893"/>
      <c r="AQ1079" s="893"/>
      <c r="AR1079" s="893"/>
      <c r="AS1079" s="1"/>
      <c r="AT1079" s="194"/>
      <c r="AV1079" s="194"/>
      <c r="AW1079" s="194"/>
      <c r="AX1079" s="194"/>
      <c r="AY1079" s="194"/>
    </row>
    <row r="1080" spans="1:51" ht="12.75" customHeight="1">
      <c r="A1080" s="7"/>
      <c r="B1080" s="7"/>
      <c r="C1080" s="981"/>
      <c r="D1080" s="893"/>
      <c r="E1080" s="893"/>
      <c r="F1080" s="893"/>
      <c r="G1080" s="893"/>
      <c r="H1080" s="893"/>
      <c r="I1080" s="893"/>
      <c r="J1080" s="893"/>
      <c r="K1080" s="893"/>
      <c r="L1080" s="893"/>
      <c r="M1080" s="893"/>
      <c r="N1080" s="893"/>
      <c r="O1080" s="893"/>
      <c r="P1080" s="893"/>
      <c r="Q1080" s="893"/>
      <c r="R1080" s="893"/>
      <c r="S1080" s="893"/>
      <c r="T1080" s="893"/>
      <c r="U1080" s="893"/>
      <c r="V1080" s="893"/>
      <c r="W1080" s="893"/>
      <c r="X1080" s="893"/>
      <c r="Y1080" s="893"/>
      <c r="Z1080" s="893"/>
      <c r="AA1080" s="893"/>
      <c r="AB1080" s="893"/>
      <c r="AC1080" s="893"/>
      <c r="AD1080" s="893"/>
      <c r="AE1080" s="893"/>
      <c r="AF1080" s="893"/>
      <c r="AG1080" s="893"/>
      <c r="AH1080" s="893"/>
      <c r="AI1080" s="893"/>
      <c r="AJ1080" s="893"/>
      <c r="AK1080" s="893"/>
      <c r="AL1080" s="893"/>
      <c r="AM1080" s="893"/>
      <c r="AN1080" s="893"/>
      <c r="AO1080" s="893"/>
      <c r="AP1080" s="893"/>
      <c r="AQ1080" s="893"/>
      <c r="AR1080" s="893"/>
      <c r="AS1080" s="1"/>
      <c r="AT1080" s="194"/>
      <c r="AV1080" s="194"/>
      <c r="AW1080" s="194"/>
      <c r="AX1080" s="194"/>
      <c r="AY1080" s="194"/>
    </row>
    <row r="1081" spans="1:51" ht="12.75" customHeight="1">
      <c r="A1081" s="8"/>
      <c r="B1081" s="194"/>
      <c r="C1081" s="981"/>
      <c r="D1081" s="893"/>
      <c r="E1081" s="4"/>
      <c r="F1081" s="4"/>
      <c r="G1081" s="4"/>
      <c r="H1081" s="4"/>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c r="AG1081" s="4"/>
      <c r="AH1081" s="4"/>
      <c r="AI1081" s="4"/>
      <c r="AJ1081" s="4"/>
      <c r="AK1081" s="4"/>
      <c r="AL1081" s="194"/>
      <c r="AM1081" s="194"/>
      <c r="AN1081" s="194"/>
      <c r="AO1081" s="194"/>
      <c r="AP1081" s="194"/>
      <c r="AQ1081" s="194"/>
      <c r="AR1081" s="194"/>
      <c r="AS1081" s="1"/>
      <c r="AT1081" s="194"/>
      <c r="AV1081" s="194"/>
      <c r="AW1081" s="194"/>
      <c r="AX1081" s="194"/>
      <c r="AY1081" s="194"/>
    </row>
    <row r="1082" spans="1:51" ht="12.75" customHeight="1">
      <c r="A1082" s="973" t="s">
        <v>855</v>
      </c>
      <c r="B1082" s="969"/>
      <c r="C1082" s="981">
        <v>4</v>
      </c>
      <c r="D1082" s="893"/>
      <c r="E1082" s="910" t="s">
        <v>2806</v>
      </c>
      <c r="F1082" s="893"/>
      <c r="G1082" s="893"/>
      <c r="H1082" s="893"/>
      <c r="I1082" s="893"/>
      <c r="J1082" s="893"/>
      <c r="K1082" s="893"/>
      <c r="L1082" s="893"/>
      <c r="M1082" s="893"/>
      <c r="N1082" s="893"/>
      <c r="O1082" s="893"/>
      <c r="P1082" s="893"/>
      <c r="Q1082" s="893"/>
      <c r="R1082" s="893"/>
      <c r="S1082" s="893"/>
      <c r="T1082" s="893"/>
      <c r="U1082" s="893"/>
      <c r="V1082" s="893"/>
      <c r="W1082" s="893"/>
      <c r="X1082" s="893"/>
      <c r="Y1082" s="893"/>
      <c r="Z1082" s="893"/>
      <c r="AA1082" s="893"/>
      <c r="AB1082" s="893"/>
      <c r="AC1082" s="893"/>
      <c r="AD1082" s="893"/>
      <c r="AE1082" s="893"/>
      <c r="AF1082" s="893"/>
      <c r="AG1082" s="893"/>
      <c r="AH1082" s="893"/>
      <c r="AI1082" s="893"/>
      <c r="AJ1082" s="893"/>
      <c r="AK1082" s="893"/>
      <c r="AL1082" s="893"/>
      <c r="AM1082" s="893"/>
      <c r="AN1082" s="893"/>
      <c r="AO1082" s="893"/>
      <c r="AP1082" s="893"/>
      <c r="AQ1082" s="893"/>
      <c r="AR1082" s="893"/>
      <c r="AS1082" s="1"/>
      <c r="AT1082" s="194"/>
    </row>
    <row r="1083" spans="1:51" ht="12.75" customHeight="1">
      <c r="A1083" s="7"/>
      <c r="B1083" s="7"/>
      <c r="C1083" s="981"/>
      <c r="D1083" s="893"/>
      <c r="E1083" s="893"/>
      <c r="F1083" s="893"/>
      <c r="G1083" s="893"/>
      <c r="H1083" s="893"/>
      <c r="I1083" s="893"/>
      <c r="J1083" s="893"/>
      <c r="K1083" s="893"/>
      <c r="L1083" s="893"/>
      <c r="M1083" s="893"/>
      <c r="N1083" s="893"/>
      <c r="O1083" s="893"/>
      <c r="P1083" s="893"/>
      <c r="Q1083" s="893"/>
      <c r="R1083" s="893"/>
      <c r="S1083" s="893"/>
      <c r="T1083" s="893"/>
      <c r="U1083" s="893"/>
      <c r="V1083" s="893"/>
      <c r="W1083" s="893"/>
      <c r="X1083" s="893"/>
      <c r="Y1083" s="893"/>
      <c r="Z1083" s="893"/>
      <c r="AA1083" s="893"/>
      <c r="AB1083" s="893"/>
      <c r="AC1083" s="893"/>
      <c r="AD1083" s="893"/>
      <c r="AE1083" s="893"/>
      <c r="AF1083" s="893"/>
      <c r="AG1083" s="893"/>
      <c r="AH1083" s="893"/>
      <c r="AI1083" s="893"/>
      <c r="AJ1083" s="893"/>
      <c r="AK1083" s="893"/>
      <c r="AL1083" s="893"/>
      <c r="AM1083" s="893"/>
      <c r="AN1083" s="893"/>
      <c r="AO1083" s="893"/>
      <c r="AP1083" s="893"/>
      <c r="AQ1083" s="893"/>
      <c r="AR1083" s="893"/>
      <c r="AS1083" s="1"/>
      <c r="AT1083" s="194"/>
    </row>
    <row r="1084" spans="1:51" ht="12.75" customHeight="1">
      <c r="A1084" s="7"/>
      <c r="B1084" s="7"/>
      <c r="C1084" s="981"/>
      <c r="D1084" s="893"/>
      <c r="E1084" s="893"/>
      <c r="F1084" s="893"/>
      <c r="G1084" s="893"/>
      <c r="H1084" s="893"/>
      <c r="I1084" s="893"/>
      <c r="J1084" s="893"/>
      <c r="K1084" s="893"/>
      <c r="L1084" s="893"/>
      <c r="M1084" s="893"/>
      <c r="N1084" s="893"/>
      <c r="O1084" s="893"/>
      <c r="P1084" s="893"/>
      <c r="Q1084" s="893"/>
      <c r="R1084" s="893"/>
      <c r="S1084" s="893"/>
      <c r="T1084" s="893"/>
      <c r="U1084" s="893"/>
      <c r="V1084" s="893"/>
      <c r="W1084" s="893"/>
      <c r="X1084" s="893"/>
      <c r="Y1084" s="893"/>
      <c r="Z1084" s="893"/>
      <c r="AA1084" s="893"/>
      <c r="AB1084" s="893"/>
      <c r="AC1084" s="893"/>
      <c r="AD1084" s="893"/>
      <c r="AE1084" s="893"/>
      <c r="AF1084" s="893"/>
      <c r="AG1084" s="893"/>
      <c r="AH1084" s="893"/>
      <c r="AI1084" s="893"/>
      <c r="AJ1084" s="893"/>
      <c r="AK1084" s="893"/>
      <c r="AL1084" s="893"/>
      <c r="AM1084" s="893"/>
      <c r="AN1084" s="893"/>
      <c r="AO1084" s="893"/>
      <c r="AP1084" s="893"/>
      <c r="AQ1084" s="893"/>
      <c r="AR1084" s="893"/>
      <c r="AS1084" s="1"/>
      <c r="AT1084" s="194"/>
    </row>
    <row r="1085" spans="1:51" ht="12.75" customHeight="1">
      <c r="A1085" s="7"/>
      <c r="B1085" s="7"/>
      <c r="C1085" s="981"/>
      <c r="D1085" s="893"/>
      <c r="E1085" s="893"/>
      <c r="F1085" s="893"/>
      <c r="G1085" s="893"/>
      <c r="H1085" s="893"/>
      <c r="I1085" s="893"/>
      <c r="J1085" s="893"/>
      <c r="K1085" s="893"/>
      <c r="L1085" s="893"/>
      <c r="M1085" s="893"/>
      <c r="N1085" s="893"/>
      <c r="O1085" s="893"/>
      <c r="P1085" s="893"/>
      <c r="Q1085" s="893"/>
      <c r="R1085" s="893"/>
      <c r="S1085" s="893"/>
      <c r="T1085" s="893"/>
      <c r="U1085" s="893"/>
      <c r="V1085" s="893"/>
      <c r="W1085" s="893"/>
      <c r="X1085" s="893"/>
      <c r="Y1085" s="893"/>
      <c r="Z1085" s="893"/>
      <c r="AA1085" s="893"/>
      <c r="AB1085" s="893"/>
      <c r="AC1085" s="893"/>
      <c r="AD1085" s="893"/>
      <c r="AE1085" s="893"/>
      <c r="AF1085" s="893"/>
      <c r="AG1085" s="893"/>
      <c r="AH1085" s="893"/>
      <c r="AI1085" s="893"/>
      <c r="AJ1085" s="893"/>
      <c r="AK1085" s="893"/>
      <c r="AL1085" s="893"/>
      <c r="AM1085" s="893"/>
      <c r="AN1085" s="893"/>
      <c r="AO1085" s="893"/>
      <c r="AP1085" s="893"/>
      <c r="AQ1085" s="893"/>
      <c r="AR1085" s="893"/>
      <c r="AS1085" s="1"/>
      <c r="AT1085" s="194"/>
    </row>
    <row r="1086" spans="1:51" ht="12.75" customHeight="1">
      <c r="A1086" s="7"/>
      <c r="B1086" s="7"/>
      <c r="C1086" s="981"/>
      <c r="D1086" s="893"/>
      <c r="E1086" s="893"/>
      <c r="F1086" s="893"/>
      <c r="G1086" s="893"/>
      <c r="H1086" s="893"/>
      <c r="I1086" s="893"/>
      <c r="J1086" s="893"/>
      <c r="K1086" s="893"/>
      <c r="L1086" s="893"/>
      <c r="M1086" s="893"/>
      <c r="N1086" s="893"/>
      <c r="O1086" s="893"/>
      <c r="P1086" s="893"/>
      <c r="Q1086" s="893"/>
      <c r="R1086" s="893"/>
      <c r="S1086" s="893"/>
      <c r="T1086" s="893"/>
      <c r="U1086" s="893"/>
      <c r="V1086" s="893"/>
      <c r="W1086" s="893"/>
      <c r="X1086" s="893"/>
      <c r="Y1086" s="893"/>
      <c r="Z1086" s="893"/>
      <c r="AA1086" s="893"/>
      <c r="AB1086" s="893"/>
      <c r="AC1086" s="893"/>
      <c r="AD1086" s="893"/>
      <c r="AE1086" s="893"/>
      <c r="AF1086" s="893"/>
      <c r="AG1086" s="893"/>
      <c r="AH1086" s="893"/>
      <c r="AI1086" s="893"/>
      <c r="AJ1086" s="893"/>
      <c r="AK1086" s="893"/>
      <c r="AL1086" s="893"/>
      <c r="AM1086" s="893"/>
      <c r="AN1086" s="893"/>
      <c r="AO1086" s="893"/>
      <c r="AP1086" s="893"/>
      <c r="AQ1086" s="893"/>
      <c r="AR1086" s="893"/>
      <c r="AS1086" s="1"/>
      <c r="AT1086" s="194"/>
    </row>
    <row r="1087" spans="1:51" ht="12.75" customHeight="1">
      <c r="A1087" s="7"/>
      <c r="B1087" s="7"/>
      <c r="C1087" s="981"/>
      <c r="D1087" s="893"/>
      <c r="E1087" s="4"/>
      <c r="F1087" s="4"/>
      <c r="G1087" s="4"/>
      <c r="H1087" s="4"/>
      <c r="I1087" s="4"/>
      <c r="J1087" s="4"/>
      <c r="K1087" s="4"/>
      <c r="L1087" s="4"/>
      <c r="M1087" s="4"/>
      <c r="N1087" s="4"/>
      <c r="O1087" s="4"/>
      <c r="P1087" s="4"/>
      <c r="Q1087" s="4"/>
      <c r="R1087" s="4"/>
      <c r="S1087" s="4"/>
      <c r="T1087" s="4"/>
      <c r="U1087" s="4"/>
      <c r="V1087" s="4"/>
      <c r="W1087" s="4"/>
      <c r="X1087" s="4"/>
      <c r="Y1087" s="4"/>
      <c r="Z1087" s="4"/>
      <c r="AA1087" s="4"/>
      <c r="AB1087" s="4"/>
      <c r="AC1087" s="4"/>
      <c r="AD1087" s="4"/>
      <c r="AE1087" s="4"/>
      <c r="AF1087" s="4"/>
      <c r="AG1087" s="4"/>
      <c r="AH1087" s="4"/>
      <c r="AI1087" s="4"/>
      <c r="AJ1087" s="4"/>
      <c r="AK1087" s="4"/>
      <c r="AS1087" s="1"/>
    </row>
    <row r="1088" spans="1:51" ht="12.75" customHeight="1">
      <c r="A1088" s="973" t="s">
        <v>855</v>
      </c>
      <c r="B1088" s="969"/>
      <c r="C1088" s="981">
        <v>5</v>
      </c>
      <c r="D1088" s="893"/>
      <c r="E1088" s="910" t="s">
        <v>2807</v>
      </c>
      <c r="F1088" s="893"/>
      <c r="G1088" s="893"/>
      <c r="H1088" s="893"/>
      <c r="I1088" s="893"/>
      <c r="J1088" s="893"/>
      <c r="K1088" s="893"/>
      <c r="L1088" s="893"/>
      <c r="M1088" s="893"/>
      <c r="N1088" s="893"/>
      <c r="O1088" s="893"/>
      <c r="P1088" s="893"/>
      <c r="Q1088" s="893"/>
      <c r="R1088" s="893"/>
      <c r="S1088" s="893"/>
      <c r="T1088" s="893"/>
      <c r="U1088" s="893"/>
      <c r="V1088" s="893"/>
      <c r="W1088" s="893"/>
      <c r="X1088" s="893"/>
      <c r="Y1088" s="893"/>
      <c r="Z1088" s="893"/>
      <c r="AA1088" s="893"/>
      <c r="AB1088" s="893"/>
      <c r="AC1088" s="893"/>
      <c r="AD1088" s="893"/>
      <c r="AE1088" s="893"/>
      <c r="AF1088" s="893"/>
      <c r="AG1088" s="893"/>
      <c r="AH1088" s="893"/>
      <c r="AI1088" s="893"/>
      <c r="AJ1088" s="893"/>
      <c r="AK1088" s="893"/>
      <c r="AL1088" s="893"/>
      <c r="AM1088" s="893"/>
      <c r="AN1088" s="893"/>
      <c r="AO1088" s="893"/>
      <c r="AP1088" s="893"/>
      <c r="AQ1088" s="893"/>
      <c r="AR1088" s="893"/>
      <c r="AS1088" s="1"/>
    </row>
    <row r="1089" spans="1:45" ht="12.75" customHeight="1">
      <c r="A1089" s="1"/>
      <c r="B1089" s="1"/>
      <c r="C1089" s="981"/>
      <c r="D1089" s="893"/>
      <c r="E1089" s="893"/>
      <c r="F1089" s="893"/>
      <c r="G1089" s="893"/>
      <c r="H1089" s="893"/>
      <c r="I1089" s="893"/>
      <c r="J1089" s="893"/>
      <c r="K1089" s="893"/>
      <c r="L1089" s="893"/>
      <c r="M1089" s="893"/>
      <c r="N1089" s="893"/>
      <c r="O1089" s="893"/>
      <c r="P1089" s="893"/>
      <c r="Q1089" s="893"/>
      <c r="R1089" s="893"/>
      <c r="S1089" s="893"/>
      <c r="T1089" s="893"/>
      <c r="U1089" s="893"/>
      <c r="V1089" s="893"/>
      <c r="W1089" s="893"/>
      <c r="X1089" s="893"/>
      <c r="Y1089" s="893"/>
      <c r="Z1089" s="893"/>
      <c r="AA1089" s="893"/>
      <c r="AB1089" s="893"/>
      <c r="AC1089" s="893"/>
      <c r="AD1089" s="893"/>
      <c r="AE1089" s="893"/>
      <c r="AF1089" s="893"/>
      <c r="AG1089" s="893"/>
      <c r="AH1089" s="893"/>
      <c r="AI1089" s="893"/>
      <c r="AJ1089" s="893"/>
      <c r="AK1089" s="893"/>
      <c r="AL1089" s="893"/>
      <c r="AM1089" s="893"/>
      <c r="AN1089" s="893"/>
      <c r="AO1089" s="893"/>
      <c r="AP1089" s="893"/>
      <c r="AQ1089" s="893"/>
      <c r="AR1089" s="893"/>
      <c r="AS1089" s="1"/>
    </row>
    <row r="1090" spans="1:45" ht="12.75" customHeight="1">
      <c r="A1090" s="1"/>
      <c r="B1090" s="1"/>
      <c r="C1090" s="981"/>
      <c r="D1090" s="893"/>
      <c r="E1090" s="893"/>
      <c r="F1090" s="893"/>
      <c r="G1090" s="893"/>
      <c r="H1090" s="893"/>
      <c r="I1090" s="893"/>
      <c r="J1090" s="893"/>
      <c r="K1090" s="893"/>
      <c r="L1090" s="893"/>
      <c r="M1090" s="893"/>
      <c r="N1090" s="893"/>
      <c r="O1090" s="893"/>
      <c r="P1090" s="893"/>
      <c r="Q1090" s="893"/>
      <c r="R1090" s="893"/>
      <c r="S1090" s="893"/>
      <c r="T1090" s="893"/>
      <c r="U1090" s="893"/>
      <c r="V1090" s="893"/>
      <c r="W1090" s="893"/>
      <c r="X1090" s="893"/>
      <c r="Y1090" s="893"/>
      <c r="Z1090" s="893"/>
      <c r="AA1090" s="893"/>
      <c r="AB1090" s="893"/>
      <c r="AC1090" s="893"/>
      <c r="AD1090" s="893"/>
      <c r="AE1090" s="893"/>
      <c r="AF1090" s="893"/>
      <c r="AG1090" s="893"/>
      <c r="AH1090" s="893"/>
      <c r="AI1090" s="893"/>
      <c r="AJ1090" s="893"/>
      <c r="AK1090" s="893"/>
      <c r="AL1090" s="893"/>
      <c r="AM1090" s="893"/>
      <c r="AN1090" s="893"/>
      <c r="AO1090" s="893"/>
      <c r="AP1090" s="893"/>
      <c r="AQ1090" s="893"/>
      <c r="AR1090" s="893"/>
      <c r="AS1090" s="1"/>
    </row>
    <row r="1091" spans="1:45" ht="12.75" customHeight="1">
      <c r="A1091" s="17"/>
      <c r="B1091" s="194"/>
      <c r="C1091" s="981"/>
      <c r="D1091" s="893"/>
      <c r="E1091" s="4"/>
      <c r="F1091" s="4"/>
      <c r="G1091" s="4"/>
      <c r="H1091" s="4"/>
      <c r="I1091" s="4"/>
      <c r="J1091" s="4"/>
      <c r="K1091" s="4"/>
      <c r="L1091" s="4"/>
      <c r="M1091" s="4"/>
      <c r="N1091" s="4"/>
      <c r="O1091" s="4"/>
      <c r="P1091" s="4"/>
      <c r="Q1091" s="4"/>
      <c r="R1091" s="4"/>
      <c r="S1091" s="4"/>
      <c r="T1091" s="4"/>
      <c r="U1091" s="4"/>
      <c r="V1091" s="4"/>
      <c r="W1091" s="4"/>
      <c r="X1091" s="4"/>
      <c r="Y1091" s="4"/>
      <c r="Z1091" s="4"/>
      <c r="AA1091" s="4"/>
      <c r="AB1091" s="4"/>
      <c r="AC1091" s="4"/>
      <c r="AD1091" s="4"/>
      <c r="AE1091" s="4"/>
      <c r="AF1091" s="4"/>
      <c r="AG1091" s="4"/>
      <c r="AH1091" s="4"/>
      <c r="AI1091" s="4"/>
      <c r="AJ1091" s="4"/>
      <c r="AK1091" s="4"/>
      <c r="AS1091" s="1"/>
    </row>
    <row r="1092" spans="1:45" ht="12.75" customHeight="1">
      <c r="A1092" s="973" t="s">
        <v>855</v>
      </c>
      <c r="B1092" s="969"/>
      <c r="C1092" s="981">
        <v>6</v>
      </c>
      <c r="D1092" s="893"/>
      <c r="E1092" s="910" t="s">
        <v>2808</v>
      </c>
      <c r="F1092" s="893"/>
      <c r="G1092" s="893"/>
      <c r="H1092" s="893"/>
      <c r="I1092" s="893"/>
      <c r="J1092" s="893"/>
      <c r="K1092" s="893"/>
      <c r="L1092" s="893"/>
      <c r="M1092" s="893"/>
      <c r="N1092" s="893"/>
      <c r="O1092" s="893"/>
      <c r="P1092" s="893"/>
      <c r="Q1092" s="893"/>
      <c r="R1092" s="893"/>
      <c r="S1092" s="893"/>
      <c r="T1092" s="893"/>
      <c r="U1092" s="893"/>
      <c r="V1092" s="893"/>
      <c r="W1092" s="893"/>
      <c r="X1092" s="893"/>
      <c r="Y1092" s="893"/>
      <c r="Z1092" s="893"/>
      <c r="AA1092" s="893"/>
      <c r="AB1092" s="893"/>
      <c r="AC1092" s="893"/>
      <c r="AD1092" s="893"/>
      <c r="AE1092" s="893"/>
      <c r="AF1092" s="893"/>
      <c r="AG1092" s="893"/>
      <c r="AH1092" s="893"/>
      <c r="AI1092" s="893"/>
      <c r="AJ1092" s="893"/>
      <c r="AK1092" s="893"/>
      <c r="AL1092" s="893"/>
      <c r="AM1092" s="893"/>
      <c r="AN1092" s="893"/>
      <c r="AO1092" s="893"/>
      <c r="AP1092" s="893"/>
      <c r="AQ1092" s="893"/>
      <c r="AR1092" s="893"/>
      <c r="AS1092" s="1"/>
    </row>
    <row r="1093" spans="1:45" ht="12.75" customHeight="1">
      <c r="A1093" s="7"/>
      <c r="B1093" s="7"/>
      <c r="C1093" s="7"/>
      <c r="D1093" s="7"/>
      <c r="E1093" s="893"/>
      <c r="F1093" s="893"/>
      <c r="G1093" s="893"/>
      <c r="H1093" s="893"/>
      <c r="I1093" s="893"/>
      <c r="J1093" s="893"/>
      <c r="K1093" s="893"/>
      <c r="L1093" s="893"/>
      <c r="M1093" s="893"/>
      <c r="N1093" s="893"/>
      <c r="O1093" s="893"/>
      <c r="P1093" s="893"/>
      <c r="Q1093" s="893"/>
      <c r="R1093" s="893"/>
      <c r="S1093" s="893"/>
      <c r="T1093" s="893"/>
      <c r="U1093" s="893"/>
      <c r="V1093" s="893"/>
      <c r="W1093" s="893"/>
      <c r="X1093" s="893"/>
      <c r="Y1093" s="893"/>
      <c r="Z1093" s="893"/>
      <c r="AA1093" s="893"/>
      <c r="AB1093" s="893"/>
      <c r="AC1093" s="893"/>
      <c r="AD1093" s="893"/>
      <c r="AE1093" s="893"/>
      <c r="AF1093" s="893"/>
      <c r="AG1093" s="893"/>
      <c r="AH1093" s="893"/>
      <c r="AI1093" s="893"/>
      <c r="AJ1093" s="893"/>
      <c r="AK1093" s="893"/>
      <c r="AL1093" s="893"/>
      <c r="AM1093" s="893"/>
      <c r="AN1093" s="893"/>
      <c r="AO1093" s="893"/>
      <c r="AP1093" s="893"/>
      <c r="AQ1093" s="893"/>
      <c r="AR1093" s="893"/>
      <c r="AS1093" s="1"/>
    </row>
    <row r="1094" spans="1:45" ht="12.75" customHeight="1">
      <c r="A1094" s="7"/>
      <c r="B1094" s="7"/>
      <c r="C1094" s="981"/>
      <c r="D1094" s="893"/>
      <c r="E1094" s="893"/>
      <c r="F1094" s="893"/>
      <c r="G1094" s="893"/>
      <c r="H1094" s="893"/>
      <c r="I1094" s="893"/>
      <c r="J1094" s="893"/>
      <c r="K1094" s="893"/>
      <c r="L1094" s="893"/>
      <c r="M1094" s="893"/>
      <c r="N1094" s="893"/>
      <c r="O1094" s="893"/>
      <c r="P1094" s="893"/>
      <c r="Q1094" s="893"/>
      <c r="R1094" s="893"/>
      <c r="S1094" s="893"/>
      <c r="T1094" s="893"/>
      <c r="U1094" s="893"/>
      <c r="V1094" s="893"/>
      <c r="W1094" s="893"/>
      <c r="X1094" s="893"/>
      <c r="Y1094" s="893"/>
      <c r="Z1094" s="893"/>
      <c r="AA1094" s="893"/>
      <c r="AB1094" s="893"/>
      <c r="AC1094" s="893"/>
      <c r="AD1094" s="893"/>
      <c r="AE1094" s="893"/>
      <c r="AF1094" s="893"/>
      <c r="AG1094" s="893"/>
      <c r="AH1094" s="893"/>
      <c r="AI1094" s="893"/>
      <c r="AJ1094" s="893"/>
      <c r="AK1094" s="893"/>
      <c r="AL1094" s="893"/>
      <c r="AM1094" s="893"/>
      <c r="AN1094" s="893"/>
      <c r="AO1094" s="893"/>
      <c r="AP1094" s="893"/>
      <c r="AQ1094" s="893"/>
      <c r="AR1094" s="893"/>
      <c r="AS1094" s="1"/>
    </row>
    <row r="1095" spans="1:45" ht="12.75" customHeight="1">
      <c r="A1095" s="17"/>
      <c r="B1095" s="194"/>
      <c r="C1095" s="981"/>
      <c r="D1095" s="893"/>
      <c r="E1095" s="4"/>
      <c r="F1095" s="4"/>
      <c r="G1095" s="4"/>
      <c r="H1095" s="4"/>
      <c r="I1095" s="4"/>
      <c r="J1095" s="4"/>
      <c r="K1095" s="4"/>
      <c r="L1095" s="4"/>
      <c r="M1095" s="4"/>
      <c r="N1095" s="4"/>
      <c r="O1095" s="4"/>
      <c r="P1095" s="4"/>
      <c r="Q1095" s="4"/>
      <c r="R1095" s="4"/>
      <c r="S1095" s="4"/>
      <c r="T1095" s="4"/>
      <c r="U1095" s="4"/>
      <c r="V1095" s="4"/>
      <c r="W1095" s="4"/>
      <c r="X1095" s="4"/>
      <c r="Y1095" s="4"/>
      <c r="Z1095" s="4"/>
      <c r="AA1095" s="4"/>
      <c r="AB1095" s="4"/>
      <c r="AC1095" s="4"/>
      <c r="AD1095" s="4"/>
      <c r="AE1095" s="4"/>
      <c r="AF1095" s="4"/>
      <c r="AG1095" s="4"/>
      <c r="AH1095" s="4"/>
      <c r="AI1095" s="4"/>
      <c r="AJ1095" s="4"/>
      <c r="AK1095" s="4"/>
      <c r="AS1095" s="1"/>
    </row>
    <row r="1096" spans="1:45" ht="12.75" customHeight="1">
      <c r="A1096" s="973" t="s">
        <v>855</v>
      </c>
      <c r="B1096" s="969"/>
      <c r="C1096" s="981">
        <v>7</v>
      </c>
      <c r="D1096" s="893"/>
      <c r="E1096" s="910" t="s">
        <v>2809</v>
      </c>
      <c r="F1096" s="893"/>
      <c r="G1096" s="893"/>
      <c r="H1096" s="893"/>
      <c r="I1096" s="893"/>
      <c r="J1096" s="893"/>
      <c r="K1096" s="893"/>
      <c r="L1096" s="893"/>
      <c r="M1096" s="893"/>
      <c r="N1096" s="893"/>
      <c r="O1096" s="893"/>
      <c r="P1096" s="893"/>
      <c r="Q1096" s="893"/>
      <c r="R1096" s="893"/>
      <c r="S1096" s="893"/>
      <c r="T1096" s="893"/>
      <c r="U1096" s="893"/>
      <c r="V1096" s="893"/>
      <c r="W1096" s="893"/>
      <c r="X1096" s="893"/>
      <c r="Y1096" s="893"/>
      <c r="Z1096" s="893"/>
      <c r="AA1096" s="893"/>
      <c r="AB1096" s="893"/>
      <c r="AC1096" s="893"/>
      <c r="AD1096" s="893"/>
      <c r="AE1096" s="893"/>
      <c r="AF1096" s="893"/>
      <c r="AG1096" s="893"/>
      <c r="AH1096" s="893"/>
      <c r="AI1096" s="893"/>
      <c r="AJ1096" s="893"/>
      <c r="AK1096" s="893"/>
      <c r="AL1096" s="893"/>
      <c r="AM1096" s="893"/>
      <c r="AN1096" s="893"/>
      <c r="AO1096" s="893"/>
      <c r="AP1096" s="893"/>
      <c r="AQ1096" s="893"/>
      <c r="AR1096" s="893"/>
      <c r="AS1096" s="1"/>
    </row>
    <row r="1097" spans="1:45" ht="12.75" customHeight="1">
      <c r="A1097" s="7"/>
      <c r="B1097" s="7"/>
      <c r="C1097" s="981"/>
      <c r="D1097" s="893"/>
      <c r="E1097" s="893"/>
      <c r="F1097" s="893"/>
      <c r="G1097" s="893"/>
      <c r="H1097" s="893"/>
      <c r="I1097" s="893"/>
      <c r="J1097" s="893"/>
      <c r="K1097" s="893"/>
      <c r="L1097" s="893"/>
      <c r="M1097" s="893"/>
      <c r="N1097" s="893"/>
      <c r="O1097" s="893"/>
      <c r="P1097" s="893"/>
      <c r="Q1097" s="893"/>
      <c r="R1097" s="893"/>
      <c r="S1097" s="893"/>
      <c r="T1097" s="893"/>
      <c r="U1097" s="893"/>
      <c r="V1097" s="893"/>
      <c r="W1097" s="893"/>
      <c r="X1097" s="893"/>
      <c r="Y1097" s="893"/>
      <c r="Z1097" s="893"/>
      <c r="AA1097" s="893"/>
      <c r="AB1097" s="893"/>
      <c r="AC1097" s="893"/>
      <c r="AD1097" s="893"/>
      <c r="AE1097" s="893"/>
      <c r="AF1097" s="893"/>
      <c r="AG1097" s="893"/>
      <c r="AH1097" s="893"/>
      <c r="AI1097" s="893"/>
      <c r="AJ1097" s="893"/>
      <c r="AK1097" s="893"/>
      <c r="AL1097" s="893"/>
      <c r="AM1097" s="893"/>
      <c r="AN1097" s="893"/>
      <c r="AO1097" s="893"/>
      <c r="AP1097" s="893"/>
      <c r="AQ1097" s="893"/>
      <c r="AR1097" s="893"/>
      <c r="AS1097" s="1"/>
    </row>
    <row r="1098" spans="1:45" ht="12.75" customHeight="1">
      <c r="A1098" s="7"/>
      <c r="B1098" s="7"/>
      <c r="C1098" s="981"/>
      <c r="D1098" s="893"/>
      <c r="E1098" s="893"/>
      <c r="F1098" s="893"/>
      <c r="G1098" s="893"/>
      <c r="H1098" s="893"/>
      <c r="I1098" s="893"/>
      <c r="J1098" s="893"/>
      <c r="K1098" s="893"/>
      <c r="L1098" s="893"/>
      <c r="M1098" s="893"/>
      <c r="N1098" s="893"/>
      <c r="O1098" s="893"/>
      <c r="P1098" s="893"/>
      <c r="Q1098" s="893"/>
      <c r="R1098" s="893"/>
      <c r="S1098" s="893"/>
      <c r="T1098" s="893"/>
      <c r="U1098" s="893"/>
      <c r="V1098" s="893"/>
      <c r="W1098" s="893"/>
      <c r="X1098" s="893"/>
      <c r="Y1098" s="893"/>
      <c r="Z1098" s="893"/>
      <c r="AA1098" s="893"/>
      <c r="AB1098" s="893"/>
      <c r="AC1098" s="893"/>
      <c r="AD1098" s="893"/>
      <c r="AE1098" s="893"/>
      <c r="AF1098" s="893"/>
      <c r="AG1098" s="893"/>
      <c r="AH1098" s="893"/>
      <c r="AI1098" s="893"/>
      <c r="AJ1098" s="893"/>
      <c r="AK1098" s="893"/>
      <c r="AL1098" s="893"/>
      <c r="AM1098" s="893"/>
      <c r="AN1098" s="893"/>
      <c r="AO1098" s="893"/>
      <c r="AP1098" s="893"/>
      <c r="AQ1098" s="893"/>
      <c r="AR1098" s="893"/>
      <c r="AS1098" s="1"/>
    </row>
    <row r="1099" spans="1:45" ht="12.75" customHeight="1">
      <c r="A1099" s="7"/>
      <c r="B1099" s="7"/>
      <c r="C1099" s="981"/>
      <c r="D1099" s="893"/>
      <c r="E1099" s="4"/>
      <c r="F1099" s="4"/>
      <c r="G1099" s="4"/>
      <c r="H1099" s="4"/>
      <c r="I1099" s="4"/>
      <c r="J1099" s="4"/>
      <c r="K1099" s="4"/>
      <c r="L1099" s="4"/>
      <c r="M1099" s="4"/>
      <c r="N1099" s="4"/>
      <c r="O1099" s="4"/>
      <c r="P1099" s="4"/>
      <c r="Q1099" s="4"/>
      <c r="R1099" s="4"/>
      <c r="S1099" s="4"/>
      <c r="T1099" s="4"/>
      <c r="U1099" s="4"/>
      <c r="V1099" s="4"/>
      <c r="W1099" s="4"/>
      <c r="X1099" s="4"/>
      <c r="Y1099" s="4"/>
      <c r="Z1099" s="4"/>
      <c r="AA1099" s="4"/>
      <c r="AB1099" s="4"/>
      <c r="AC1099" s="4"/>
      <c r="AD1099" s="4"/>
      <c r="AE1099" s="4"/>
      <c r="AF1099" s="4"/>
      <c r="AG1099" s="4"/>
      <c r="AH1099" s="4"/>
      <c r="AI1099" s="4"/>
      <c r="AJ1099" s="4"/>
      <c r="AK1099" s="4"/>
    </row>
    <row r="1100" spans="1:45" ht="12.75" customHeight="1">
      <c r="A1100" s="17"/>
      <c r="B1100" s="194"/>
      <c r="C1100" s="981"/>
      <c r="D1100" s="893"/>
      <c r="E1100" s="4"/>
      <c r="F1100" s="4"/>
      <c r="G1100" s="4"/>
      <c r="H1100" s="4"/>
      <c r="I1100" s="4"/>
      <c r="J1100" s="4"/>
      <c r="K1100" s="4"/>
      <c r="L1100" s="4"/>
      <c r="M1100" s="4"/>
      <c r="N1100" s="4"/>
      <c r="O1100" s="4"/>
      <c r="P1100" s="4"/>
      <c r="Q1100" s="4"/>
      <c r="R1100" s="4"/>
      <c r="S1100" s="4"/>
      <c r="T1100" s="4"/>
      <c r="U1100" s="4"/>
      <c r="V1100" s="4"/>
      <c r="W1100" s="4"/>
      <c r="X1100" s="4"/>
      <c r="Y1100" s="4"/>
      <c r="Z1100" s="4"/>
      <c r="AA1100" s="4"/>
      <c r="AB1100" s="4"/>
      <c r="AC1100" s="4"/>
      <c r="AD1100" s="4"/>
      <c r="AE1100" s="4"/>
      <c r="AF1100" s="4"/>
      <c r="AG1100" s="4"/>
      <c r="AH1100" s="4"/>
      <c r="AI1100" s="4"/>
      <c r="AJ1100" s="4"/>
      <c r="AK1100" s="4"/>
    </row>
    <row r="1101" spans="1:45" ht="12.75" customHeight="1">
      <c r="A1101" s="973" t="s">
        <v>855</v>
      </c>
      <c r="B1101" s="969"/>
      <c r="C1101" s="981">
        <v>8</v>
      </c>
      <c r="D1101" s="893"/>
      <c r="E1101" s="910" t="s">
        <v>2810</v>
      </c>
      <c r="F1101" s="893"/>
      <c r="G1101" s="893"/>
      <c r="H1101" s="893"/>
      <c r="I1101" s="893"/>
      <c r="J1101" s="893"/>
      <c r="K1101" s="893"/>
      <c r="L1101" s="893"/>
      <c r="M1101" s="893"/>
      <c r="N1101" s="893"/>
      <c r="O1101" s="893"/>
      <c r="P1101" s="893"/>
      <c r="Q1101" s="893"/>
      <c r="R1101" s="893"/>
      <c r="S1101" s="893"/>
      <c r="T1101" s="893"/>
      <c r="U1101" s="893"/>
      <c r="V1101" s="893"/>
      <c r="W1101" s="893"/>
      <c r="X1101" s="893"/>
      <c r="Y1101" s="893"/>
      <c r="Z1101" s="893"/>
      <c r="AA1101" s="893"/>
      <c r="AB1101" s="893"/>
      <c r="AC1101" s="893"/>
      <c r="AD1101" s="893"/>
      <c r="AE1101" s="893"/>
      <c r="AF1101" s="893"/>
      <c r="AG1101" s="893"/>
      <c r="AH1101" s="893"/>
      <c r="AI1101" s="893"/>
      <c r="AJ1101" s="893"/>
      <c r="AK1101" s="893"/>
      <c r="AL1101" s="893"/>
      <c r="AM1101" s="893"/>
      <c r="AN1101" s="893"/>
      <c r="AO1101" s="893"/>
      <c r="AP1101" s="893"/>
      <c r="AQ1101" s="893"/>
      <c r="AR1101" s="893"/>
    </row>
    <row r="1102" spans="1:45" ht="12.75" customHeight="1">
      <c r="A1102" s="17"/>
      <c r="B1102" s="194"/>
      <c r="C1102" s="981"/>
      <c r="D1102" s="893"/>
      <c r="E1102" s="893"/>
      <c r="F1102" s="893"/>
      <c r="G1102" s="893"/>
      <c r="H1102" s="893"/>
      <c r="I1102" s="893"/>
      <c r="J1102" s="893"/>
      <c r="K1102" s="893"/>
      <c r="L1102" s="893"/>
      <c r="M1102" s="893"/>
      <c r="N1102" s="893"/>
      <c r="O1102" s="893"/>
      <c r="P1102" s="893"/>
      <c r="Q1102" s="893"/>
      <c r="R1102" s="893"/>
      <c r="S1102" s="893"/>
      <c r="T1102" s="893"/>
      <c r="U1102" s="893"/>
      <c r="V1102" s="893"/>
      <c r="W1102" s="893"/>
      <c r="X1102" s="893"/>
      <c r="Y1102" s="893"/>
      <c r="Z1102" s="893"/>
      <c r="AA1102" s="893"/>
      <c r="AB1102" s="893"/>
      <c r="AC1102" s="893"/>
      <c r="AD1102" s="893"/>
      <c r="AE1102" s="893"/>
      <c r="AF1102" s="893"/>
      <c r="AG1102" s="893"/>
      <c r="AH1102" s="893"/>
      <c r="AI1102" s="893"/>
      <c r="AJ1102" s="893"/>
      <c r="AK1102" s="893"/>
      <c r="AL1102" s="893"/>
      <c r="AM1102" s="893"/>
      <c r="AN1102" s="893"/>
      <c r="AO1102" s="893"/>
      <c r="AP1102" s="893"/>
      <c r="AQ1102" s="893"/>
      <c r="AR1102" s="893"/>
    </row>
    <row r="1103" spans="1:45" ht="12.75" customHeight="1">
      <c r="A1103" s="17"/>
      <c r="B1103" s="194"/>
      <c r="C1103" s="981"/>
      <c r="D1103" s="893"/>
      <c r="E1103" s="4"/>
      <c r="F1103" s="4"/>
      <c r="G1103" s="4"/>
      <c r="H1103" s="4"/>
      <c r="I1103" s="4"/>
      <c r="J1103" s="4"/>
      <c r="K1103" s="4"/>
      <c r="L1103" s="4"/>
      <c r="M1103" s="4"/>
      <c r="N1103" s="4"/>
      <c r="O1103" s="4"/>
      <c r="P1103" s="4"/>
      <c r="Q1103" s="4"/>
      <c r="R1103" s="4"/>
      <c r="S1103" s="4"/>
      <c r="T1103" s="4"/>
      <c r="U1103" s="4"/>
      <c r="V1103" s="4"/>
      <c r="W1103" s="4"/>
      <c r="X1103" s="4"/>
      <c r="Y1103" s="4"/>
      <c r="Z1103" s="4"/>
      <c r="AA1103" s="4"/>
      <c r="AB1103" s="4"/>
      <c r="AC1103" s="4"/>
      <c r="AD1103" s="4"/>
      <c r="AE1103" s="4"/>
      <c r="AF1103" s="4"/>
      <c r="AG1103" s="4"/>
      <c r="AH1103" s="4"/>
      <c r="AI1103" s="4"/>
      <c r="AJ1103" s="4"/>
      <c r="AK1103" s="4"/>
    </row>
    <row r="1104" spans="1:45" ht="12.75" customHeight="1">
      <c r="A1104" s="973" t="s">
        <v>855</v>
      </c>
      <c r="B1104" s="969"/>
      <c r="C1104" s="981">
        <v>9</v>
      </c>
      <c r="D1104" s="893"/>
      <c r="E1104" s="910" t="s">
        <v>2811</v>
      </c>
      <c r="F1104" s="893"/>
      <c r="G1104" s="893"/>
      <c r="H1104" s="893"/>
      <c r="I1104" s="893"/>
      <c r="J1104" s="893"/>
      <c r="K1104" s="893"/>
      <c r="L1104" s="893"/>
      <c r="M1104" s="893"/>
      <c r="N1104" s="893"/>
      <c r="O1104" s="893"/>
      <c r="P1104" s="893"/>
      <c r="Q1104" s="893"/>
      <c r="R1104" s="893"/>
      <c r="S1104" s="893"/>
      <c r="T1104" s="893"/>
      <c r="U1104" s="893"/>
      <c r="V1104" s="893"/>
      <c r="W1104" s="893"/>
      <c r="X1104" s="893"/>
      <c r="Y1104" s="893"/>
      <c r="Z1104" s="893"/>
      <c r="AA1104" s="893"/>
      <c r="AB1104" s="893"/>
      <c r="AC1104" s="893"/>
      <c r="AD1104" s="893"/>
      <c r="AE1104" s="893"/>
      <c r="AF1104" s="893"/>
      <c r="AG1104" s="893"/>
      <c r="AH1104" s="893"/>
      <c r="AI1104" s="893"/>
      <c r="AJ1104" s="893"/>
      <c r="AK1104" s="893"/>
      <c r="AL1104" s="893"/>
      <c r="AM1104" s="893"/>
      <c r="AN1104" s="893"/>
      <c r="AO1104" s="893"/>
      <c r="AP1104" s="893"/>
      <c r="AQ1104" s="893"/>
      <c r="AR1104" s="893"/>
    </row>
    <row r="1105" spans="1:44" ht="12.75" customHeight="1">
      <c r="A1105" s="7"/>
      <c r="B1105" s="7"/>
      <c r="C1105" s="981"/>
      <c r="D1105" s="893"/>
      <c r="E1105" s="893"/>
      <c r="F1105" s="893"/>
      <c r="G1105" s="893"/>
      <c r="H1105" s="893"/>
      <c r="I1105" s="893"/>
      <c r="J1105" s="893"/>
      <c r="K1105" s="893"/>
      <c r="L1105" s="893"/>
      <c r="M1105" s="893"/>
      <c r="N1105" s="893"/>
      <c r="O1105" s="893"/>
      <c r="P1105" s="893"/>
      <c r="Q1105" s="893"/>
      <c r="R1105" s="893"/>
      <c r="S1105" s="893"/>
      <c r="T1105" s="893"/>
      <c r="U1105" s="893"/>
      <c r="V1105" s="893"/>
      <c r="W1105" s="893"/>
      <c r="X1105" s="893"/>
      <c r="Y1105" s="893"/>
      <c r="Z1105" s="893"/>
      <c r="AA1105" s="893"/>
      <c r="AB1105" s="893"/>
      <c r="AC1105" s="893"/>
      <c r="AD1105" s="893"/>
      <c r="AE1105" s="893"/>
      <c r="AF1105" s="893"/>
      <c r="AG1105" s="893"/>
      <c r="AH1105" s="893"/>
      <c r="AI1105" s="893"/>
      <c r="AJ1105" s="893"/>
      <c r="AK1105" s="893"/>
      <c r="AL1105" s="893"/>
      <c r="AM1105" s="893"/>
      <c r="AN1105" s="893"/>
      <c r="AO1105" s="893"/>
      <c r="AP1105" s="893"/>
      <c r="AQ1105" s="893"/>
      <c r="AR1105" s="893"/>
    </row>
    <row r="1106" spans="1:44" ht="12.75" customHeight="1">
      <c r="A1106" s="17"/>
      <c r="B1106" s="194"/>
      <c r="C1106" s="981"/>
      <c r="D1106" s="893"/>
      <c r="E1106" s="4"/>
      <c r="F1106" s="4"/>
      <c r="G1106" s="4"/>
      <c r="H1106" s="4"/>
      <c r="I1106" s="4"/>
      <c r="J1106" s="4"/>
      <c r="K1106" s="4"/>
      <c r="L1106" s="4"/>
      <c r="M1106" s="4"/>
      <c r="N1106" s="4"/>
      <c r="O1106" s="4"/>
      <c r="P1106" s="4"/>
      <c r="Q1106" s="4"/>
      <c r="R1106" s="4"/>
      <c r="S1106" s="4"/>
      <c r="T1106" s="4"/>
      <c r="U1106" s="4"/>
      <c r="V1106" s="4"/>
      <c r="W1106" s="4"/>
      <c r="X1106" s="4"/>
      <c r="Y1106" s="4"/>
      <c r="Z1106" s="4"/>
      <c r="AA1106" s="4"/>
      <c r="AB1106" s="4"/>
      <c r="AC1106" s="4"/>
      <c r="AD1106" s="4"/>
      <c r="AE1106" s="4"/>
      <c r="AF1106" s="4"/>
      <c r="AG1106" s="4"/>
      <c r="AH1106" s="4"/>
      <c r="AI1106" s="4"/>
      <c r="AJ1106" s="4"/>
      <c r="AK1106" s="4"/>
    </row>
    <row r="1107" spans="1:44" ht="12.75" customHeight="1">
      <c r="A1107" s="973" t="s">
        <v>855</v>
      </c>
      <c r="B1107" s="969"/>
      <c r="C1107" s="981">
        <v>10</v>
      </c>
      <c r="D1107" s="893"/>
      <c r="E1107" s="923" t="s">
        <v>2812</v>
      </c>
      <c r="F1107" s="893"/>
      <c r="G1107" s="893"/>
      <c r="H1107" s="893"/>
      <c r="I1107" s="893"/>
      <c r="J1107" s="893"/>
      <c r="K1107" s="893"/>
      <c r="L1107" s="893"/>
      <c r="M1107" s="893"/>
      <c r="N1107" s="893"/>
      <c r="O1107" s="893"/>
      <c r="P1107" s="893"/>
      <c r="Q1107" s="893"/>
      <c r="R1107" s="893"/>
      <c r="S1107" s="893"/>
      <c r="T1107" s="893"/>
      <c r="U1107" s="893"/>
      <c r="V1107" s="893"/>
      <c r="W1107" s="893"/>
      <c r="X1107" s="893"/>
      <c r="Y1107" s="893"/>
      <c r="Z1107" s="893"/>
      <c r="AA1107" s="893"/>
      <c r="AB1107" s="893"/>
      <c r="AC1107" s="893"/>
      <c r="AD1107" s="893"/>
      <c r="AE1107" s="893"/>
      <c r="AF1107" s="893"/>
      <c r="AG1107" s="893"/>
      <c r="AH1107" s="893"/>
      <c r="AI1107" s="893"/>
      <c r="AJ1107" s="893"/>
      <c r="AK1107" s="893"/>
      <c r="AL1107" s="893"/>
      <c r="AM1107" s="893"/>
      <c r="AN1107" s="893"/>
      <c r="AO1107" s="893"/>
      <c r="AP1107" s="893"/>
      <c r="AQ1107" s="893"/>
      <c r="AR1107" s="893"/>
    </row>
    <row r="1108" spans="1:44" ht="12.75" customHeight="1">
      <c r="A1108" s="7"/>
      <c r="B1108" s="7"/>
      <c r="C1108" s="17"/>
      <c r="D1108" s="221"/>
      <c r="E1108" s="893"/>
      <c r="F1108" s="893"/>
      <c r="G1108" s="893"/>
      <c r="H1108" s="893"/>
      <c r="I1108" s="893"/>
      <c r="J1108" s="893"/>
      <c r="K1108" s="893"/>
      <c r="L1108" s="893"/>
      <c r="M1108" s="893"/>
      <c r="N1108" s="893"/>
      <c r="O1108" s="893"/>
      <c r="P1108" s="893"/>
      <c r="Q1108" s="893"/>
      <c r="R1108" s="893"/>
      <c r="S1108" s="893"/>
      <c r="T1108" s="893"/>
      <c r="U1108" s="893"/>
      <c r="V1108" s="893"/>
      <c r="W1108" s="893"/>
      <c r="X1108" s="893"/>
      <c r="Y1108" s="893"/>
      <c r="Z1108" s="893"/>
      <c r="AA1108" s="893"/>
      <c r="AB1108" s="893"/>
      <c r="AC1108" s="893"/>
      <c r="AD1108" s="893"/>
      <c r="AE1108" s="893"/>
      <c r="AF1108" s="893"/>
      <c r="AG1108" s="893"/>
      <c r="AH1108" s="893"/>
      <c r="AI1108" s="893"/>
      <c r="AJ1108" s="893"/>
      <c r="AK1108" s="893"/>
      <c r="AL1108" s="893"/>
      <c r="AM1108" s="893"/>
      <c r="AN1108" s="893"/>
      <c r="AO1108" s="893"/>
      <c r="AP1108" s="893"/>
      <c r="AQ1108" s="893"/>
      <c r="AR1108" s="893"/>
    </row>
    <row r="1109" spans="1:44" ht="12.75" customHeight="1">
      <c r="A1109" s="7"/>
      <c r="B1109" s="7"/>
      <c r="C1109" s="17"/>
      <c r="D1109" s="221"/>
      <c r="E1109" s="221"/>
      <c r="F1109" s="221"/>
      <c r="G1109" s="221"/>
      <c r="H1109" s="221"/>
      <c r="I1109" s="221"/>
      <c r="J1109" s="221"/>
      <c r="K1109" s="221"/>
      <c r="L1109" s="221"/>
      <c r="M1109" s="221"/>
      <c r="N1109" s="221"/>
      <c r="O1109" s="221"/>
      <c r="P1109" s="221"/>
      <c r="Q1109" s="221"/>
      <c r="R1109" s="221"/>
      <c r="S1109" s="221"/>
      <c r="T1109" s="221"/>
      <c r="U1109" s="221"/>
      <c r="V1109" s="221"/>
      <c r="W1109" s="221"/>
      <c r="X1109" s="221"/>
      <c r="Y1109" s="221"/>
      <c r="Z1109" s="221"/>
      <c r="AA1109" s="221"/>
      <c r="AB1109" s="221"/>
      <c r="AC1109" s="221"/>
      <c r="AD1109" s="221"/>
      <c r="AE1109" s="221"/>
      <c r="AF1109" s="221"/>
      <c r="AG1109" s="221"/>
      <c r="AH1109" s="221"/>
      <c r="AI1109" s="221"/>
      <c r="AJ1109" s="221"/>
      <c r="AK1109" s="221"/>
    </row>
    <row r="1110" spans="1:44" ht="12.75" customHeight="1">
      <c r="A1110" s="973" t="s">
        <v>855</v>
      </c>
      <c r="B1110" s="969"/>
      <c r="C1110" s="981">
        <v>11</v>
      </c>
      <c r="D1110" s="893"/>
      <c r="E1110" s="923" t="s">
        <v>2813</v>
      </c>
      <c r="F1110" s="893"/>
      <c r="G1110" s="893"/>
      <c r="H1110" s="893"/>
      <c r="I1110" s="893"/>
      <c r="J1110" s="893"/>
      <c r="K1110" s="893"/>
      <c r="L1110" s="893"/>
      <c r="M1110" s="893"/>
      <c r="N1110" s="893"/>
      <c r="O1110" s="893"/>
      <c r="P1110" s="893"/>
      <c r="Q1110" s="893"/>
      <c r="R1110" s="893"/>
      <c r="S1110" s="893"/>
      <c r="T1110" s="893"/>
      <c r="U1110" s="893"/>
      <c r="V1110" s="893"/>
      <c r="W1110" s="893"/>
      <c r="X1110" s="893"/>
      <c r="Y1110" s="893"/>
      <c r="Z1110" s="893"/>
      <c r="AA1110" s="893"/>
      <c r="AB1110" s="893"/>
      <c r="AC1110" s="893"/>
      <c r="AD1110" s="893"/>
      <c r="AE1110" s="893"/>
      <c r="AF1110" s="893"/>
      <c r="AG1110" s="893"/>
      <c r="AH1110" s="893"/>
      <c r="AI1110" s="893"/>
      <c r="AJ1110" s="893"/>
      <c r="AK1110" s="893"/>
      <c r="AL1110" s="893"/>
      <c r="AM1110" s="893"/>
      <c r="AN1110" s="893"/>
      <c r="AO1110" s="893"/>
      <c r="AP1110" s="893"/>
      <c r="AQ1110" s="893"/>
      <c r="AR1110" s="893"/>
    </row>
    <row r="1111" spans="1:44" ht="12.75" customHeight="1">
      <c r="A1111" s="7"/>
      <c r="B1111" s="7"/>
      <c r="C1111" s="17"/>
      <c r="D1111" s="221"/>
      <c r="E1111" s="893"/>
      <c r="F1111" s="893"/>
      <c r="G1111" s="893"/>
      <c r="H1111" s="893"/>
      <c r="I1111" s="893"/>
      <c r="J1111" s="893"/>
      <c r="K1111" s="893"/>
      <c r="L1111" s="893"/>
      <c r="M1111" s="893"/>
      <c r="N1111" s="893"/>
      <c r="O1111" s="893"/>
      <c r="P1111" s="893"/>
      <c r="Q1111" s="893"/>
      <c r="R1111" s="893"/>
      <c r="S1111" s="893"/>
      <c r="T1111" s="893"/>
      <c r="U1111" s="893"/>
      <c r="V1111" s="893"/>
      <c r="W1111" s="893"/>
      <c r="X1111" s="893"/>
      <c r="Y1111" s="893"/>
      <c r="Z1111" s="893"/>
      <c r="AA1111" s="893"/>
      <c r="AB1111" s="893"/>
      <c r="AC1111" s="893"/>
      <c r="AD1111" s="893"/>
      <c r="AE1111" s="893"/>
      <c r="AF1111" s="893"/>
      <c r="AG1111" s="893"/>
      <c r="AH1111" s="893"/>
      <c r="AI1111" s="893"/>
      <c r="AJ1111" s="893"/>
      <c r="AK1111" s="893"/>
      <c r="AL1111" s="893"/>
      <c r="AM1111" s="893"/>
      <c r="AN1111" s="893"/>
      <c r="AO1111" s="893"/>
      <c r="AP1111" s="893"/>
      <c r="AQ1111" s="893"/>
      <c r="AR1111" s="893"/>
    </row>
    <row r="1112" spans="1:44" ht="12.75" customHeight="1">
      <c r="A1112" s="7"/>
      <c r="B1112" s="7"/>
      <c r="C1112" s="17"/>
      <c r="D1112" s="221"/>
      <c r="E1112" s="221"/>
      <c r="F1112" s="221"/>
      <c r="G1112" s="221"/>
      <c r="H1112" s="221"/>
      <c r="I1112" s="221"/>
      <c r="J1112" s="221"/>
      <c r="K1112" s="221"/>
      <c r="L1112" s="221"/>
      <c r="M1112" s="221"/>
      <c r="N1112" s="221"/>
      <c r="O1112" s="221"/>
      <c r="P1112" s="221"/>
      <c r="Q1112" s="221"/>
      <c r="R1112" s="221"/>
      <c r="S1112" s="221"/>
      <c r="T1112" s="221"/>
      <c r="U1112" s="221"/>
      <c r="V1112" s="221"/>
      <c r="W1112" s="221"/>
      <c r="X1112" s="221"/>
      <c r="Y1112" s="221"/>
      <c r="Z1112" s="221"/>
      <c r="AA1112" s="221"/>
      <c r="AB1112" s="221"/>
      <c r="AC1112" s="221"/>
      <c r="AD1112" s="221"/>
      <c r="AE1112" s="221"/>
      <c r="AF1112" s="221"/>
      <c r="AG1112" s="221"/>
      <c r="AH1112" s="221"/>
      <c r="AI1112" s="221"/>
      <c r="AJ1112" s="221"/>
      <c r="AK1112" s="221"/>
    </row>
    <row r="1113" spans="1:44" ht="12.75" hidden="1" customHeight="1">
      <c r="A1113" s="7"/>
      <c r="B1113" s="7"/>
      <c r="C1113" s="17"/>
      <c r="D1113" s="221"/>
      <c r="E1113" s="221"/>
      <c r="F1113" s="221"/>
      <c r="G1113" s="221"/>
      <c r="H1113" s="221"/>
      <c r="I1113" s="221"/>
      <c r="J1113" s="221"/>
      <c r="K1113" s="221"/>
      <c r="L1113" s="221"/>
      <c r="M1113" s="221"/>
      <c r="N1113" s="221"/>
      <c r="O1113" s="221"/>
      <c r="P1113" s="221"/>
      <c r="Q1113" s="221"/>
      <c r="R1113" s="221"/>
      <c r="S1113" s="221"/>
      <c r="T1113" s="221"/>
      <c r="U1113" s="221"/>
      <c r="V1113" s="221"/>
      <c r="W1113" s="221"/>
      <c r="X1113" s="221"/>
      <c r="Y1113" s="221"/>
      <c r="Z1113" s="221"/>
      <c r="AA1113" s="221"/>
      <c r="AB1113" s="221"/>
      <c r="AC1113" s="221"/>
      <c r="AD1113" s="221"/>
      <c r="AE1113" s="221"/>
      <c r="AF1113" s="221"/>
      <c r="AG1113" s="221"/>
      <c r="AH1113" s="221"/>
      <c r="AI1113" s="221"/>
      <c r="AJ1113" s="221"/>
      <c r="AK1113" s="221"/>
    </row>
    <row r="1114" spans="1:44" ht="12.75" hidden="1" customHeight="1">
      <c r="A1114" s="7"/>
      <c r="B1114" s="7"/>
      <c r="C1114" s="17"/>
      <c r="D1114" s="221"/>
      <c r="E1114" s="221"/>
      <c r="F1114" s="221"/>
      <c r="G1114" s="221"/>
      <c r="H1114" s="221"/>
      <c r="I1114" s="221"/>
      <c r="J1114" s="221"/>
      <c r="K1114" s="221"/>
      <c r="L1114" s="221"/>
      <c r="M1114" s="221"/>
      <c r="N1114" s="221"/>
      <c r="O1114" s="221"/>
      <c r="P1114" s="221"/>
      <c r="Q1114" s="221"/>
      <c r="R1114" s="221"/>
      <c r="S1114" s="221"/>
      <c r="T1114" s="221"/>
      <c r="U1114" s="221"/>
      <c r="V1114" s="221"/>
      <c r="W1114" s="221"/>
      <c r="X1114" s="221"/>
      <c r="Y1114" s="221"/>
      <c r="Z1114" s="221"/>
      <c r="AA1114" s="221"/>
      <c r="AB1114" s="221"/>
      <c r="AC1114" s="221"/>
      <c r="AD1114" s="221"/>
      <c r="AE1114" s="221"/>
      <c r="AF1114" s="221"/>
      <c r="AG1114" s="221"/>
      <c r="AH1114" s="221"/>
      <c r="AI1114" s="221"/>
      <c r="AJ1114" s="221"/>
      <c r="AK1114" s="221"/>
    </row>
    <row r="1115" spans="1:44" ht="12.75" hidden="1" customHeight="1">
      <c r="A1115" s="7"/>
      <c r="B1115" s="7"/>
      <c r="C1115" s="17"/>
      <c r="D1115" s="221"/>
      <c r="E1115" s="221"/>
      <c r="F1115" s="221"/>
      <c r="G1115" s="221"/>
      <c r="H1115" s="221"/>
      <c r="I1115" s="221"/>
      <c r="J1115" s="221"/>
      <c r="K1115" s="221"/>
      <c r="L1115" s="221"/>
      <c r="M1115" s="221"/>
      <c r="N1115" s="221"/>
      <c r="O1115" s="221"/>
      <c r="P1115" s="221"/>
      <c r="Q1115" s="221"/>
      <c r="R1115" s="221"/>
      <c r="S1115" s="221"/>
      <c r="T1115" s="221"/>
      <c r="U1115" s="221"/>
      <c r="V1115" s="221"/>
      <c r="W1115" s="221"/>
      <c r="X1115" s="221"/>
      <c r="Y1115" s="221"/>
      <c r="Z1115" s="221"/>
      <c r="AA1115" s="221"/>
      <c r="AB1115" s="221"/>
      <c r="AC1115" s="221"/>
      <c r="AD1115" s="221"/>
      <c r="AE1115" s="221"/>
      <c r="AF1115" s="221"/>
      <c r="AG1115" s="221"/>
      <c r="AH1115" s="221"/>
      <c r="AI1115" s="221"/>
      <c r="AJ1115" s="221"/>
      <c r="AK1115" s="221"/>
    </row>
    <row r="1116" spans="1:44" ht="12.75" hidden="1" customHeight="1">
      <c r="A1116" s="7"/>
      <c r="B1116" s="7"/>
      <c r="C1116" s="17"/>
      <c r="D1116" s="221"/>
      <c r="E1116" s="221"/>
      <c r="F1116" s="221"/>
      <c r="G1116" s="221"/>
      <c r="H1116" s="221"/>
      <c r="I1116" s="221"/>
      <c r="J1116" s="221"/>
      <c r="K1116" s="221"/>
      <c r="L1116" s="221"/>
      <c r="M1116" s="221"/>
      <c r="N1116" s="221"/>
      <c r="O1116" s="221"/>
      <c r="P1116" s="221"/>
      <c r="Q1116" s="221"/>
      <c r="R1116" s="221"/>
      <c r="S1116" s="221"/>
      <c r="T1116" s="221"/>
      <c r="U1116" s="221"/>
      <c r="V1116" s="221"/>
      <c r="W1116" s="221"/>
      <c r="X1116" s="221"/>
      <c r="Y1116" s="221"/>
      <c r="Z1116" s="221"/>
      <c r="AA1116" s="221"/>
      <c r="AB1116" s="221"/>
      <c r="AC1116" s="221"/>
      <c r="AD1116" s="221"/>
      <c r="AE1116" s="221"/>
      <c r="AF1116" s="221"/>
      <c r="AG1116" s="221"/>
      <c r="AH1116" s="221"/>
      <c r="AI1116" s="221"/>
      <c r="AJ1116" s="221"/>
      <c r="AK1116" s="221"/>
    </row>
    <row r="1117" spans="1:44" ht="12.75" hidden="1" customHeight="1">
      <c r="A1117" s="7"/>
      <c r="B1117" s="7"/>
      <c r="C1117" s="17"/>
      <c r="D1117" s="221"/>
      <c r="E1117" s="221"/>
      <c r="F1117" s="221"/>
      <c r="G1117" s="221"/>
      <c r="H1117" s="221"/>
      <c r="I1117" s="221"/>
      <c r="J1117" s="221"/>
      <c r="K1117" s="221"/>
      <c r="L1117" s="221"/>
      <c r="M1117" s="221"/>
      <c r="N1117" s="221"/>
      <c r="O1117" s="221"/>
      <c r="P1117" s="221"/>
      <c r="Q1117" s="221"/>
      <c r="R1117" s="221"/>
      <c r="S1117" s="221"/>
      <c r="T1117" s="221"/>
      <c r="U1117" s="221"/>
      <c r="V1117" s="221"/>
      <c r="W1117" s="221"/>
      <c r="X1117" s="221"/>
      <c r="Y1117" s="221"/>
      <c r="Z1117" s="221"/>
      <c r="AA1117" s="221"/>
      <c r="AB1117" s="221"/>
      <c r="AC1117" s="221"/>
      <c r="AD1117" s="221"/>
      <c r="AE1117" s="221"/>
      <c r="AF1117" s="221"/>
      <c r="AG1117" s="221"/>
      <c r="AH1117" s="221"/>
      <c r="AI1117" s="221"/>
      <c r="AJ1117" s="221"/>
      <c r="AK1117" s="221"/>
    </row>
    <row r="1118" spans="1:44" ht="12.75" hidden="1" customHeight="1">
      <c r="A1118" s="7"/>
      <c r="B1118" s="7"/>
      <c r="C1118" s="17"/>
      <c r="D1118" s="221"/>
      <c r="E1118" s="221"/>
      <c r="F1118" s="221"/>
      <c r="G1118" s="221"/>
      <c r="H1118" s="221"/>
      <c r="I1118" s="221"/>
      <c r="J1118" s="221"/>
      <c r="K1118" s="221"/>
      <c r="L1118" s="221"/>
      <c r="M1118" s="221"/>
      <c r="N1118" s="221"/>
      <c r="O1118" s="221"/>
      <c r="P1118" s="221"/>
      <c r="Q1118" s="221"/>
      <c r="R1118" s="221"/>
      <c r="S1118" s="221"/>
      <c r="T1118" s="221"/>
      <c r="U1118" s="221"/>
      <c r="V1118" s="221"/>
      <c r="W1118" s="221"/>
      <c r="X1118" s="221"/>
      <c r="Y1118" s="221"/>
      <c r="Z1118" s="221"/>
      <c r="AA1118" s="221"/>
      <c r="AB1118" s="221"/>
      <c r="AC1118" s="221"/>
      <c r="AD1118" s="221"/>
      <c r="AE1118" s="221"/>
      <c r="AF1118" s="221"/>
      <c r="AG1118" s="221"/>
      <c r="AH1118" s="221"/>
      <c r="AI1118" s="221"/>
      <c r="AJ1118" s="221"/>
      <c r="AK1118" s="221"/>
    </row>
    <row r="1119" spans="1:44" ht="12.75" hidden="1" customHeight="1">
      <c r="A1119" s="7"/>
      <c r="B1119" s="7"/>
      <c r="C1119" s="17"/>
      <c r="D1119" s="221"/>
      <c r="E1119" s="221"/>
      <c r="F1119" s="221"/>
      <c r="G1119" s="221"/>
      <c r="H1119" s="221"/>
      <c r="I1119" s="221"/>
      <c r="J1119" s="221"/>
      <c r="K1119" s="221"/>
      <c r="L1119" s="221"/>
      <c r="M1119" s="221"/>
      <c r="N1119" s="221"/>
      <c r="O1119" s="221"/>
      <c r="P1119" s="221"/>
      <c r="Q1119" s="221"/>
      <c r="R1119" s="221"/>
      <c r="S1119" s="221"/>
      <c r="T1119" s="221"/>
      <c r="U1119" s="221"/>
      <c r="V1119" s="221"/>
      <c r="W1119" s="221"/>
      <c r="X1119" s="221"/>
      <c r="Y1119" s="221"/>
      <c r="Z1119" s="221"/>
      <c r="AA1119" s="221"/>
      <c r="AB1119" s="221"/>
      <c r="AC1119" s="221"/>
      <c r="AD1119" s="221"/>
      <c r="AE1119" s="221"/>
      <c r="AF1119" s="221"/>
      <c r="AG1119" s="221"/>
      <c r="AH1119" s="221"/>
      <c r="AI1119" s="221"/>
      <c r="AJ1119" s="221"/>
      <c r="AK1119" s="221"/>
    </row>
    <row r="1120" spans="1:44" ht="12.75" hidden="1" customHeight="1">
      <c r="A1120" s="7"/>
      <c r="B1120" s="7"/>
      <c r="C1120" s="17"/>
      <c r="D1120" s="221"/>
      <c r="E1120" s="221"/>
      <c r="F1120" s="221"/>
      <c r="G1120" s="221"/>
      <c r="H1120" s="221"/>
      <c r="I1120" s="221"/>
      <c r="J1120" s="221"/>
      <c r="K1120" s="221"/>
      <c r="L1120" s="221"/>
      <c r="M1120" s="221"/>
      <c r="N1120" s="221"/>
      <c r="O1120" s="221"/>
      <c r="P1120" s="221"/>
      <c r="Q1120" s="221"/>
      <c r="R1120" s="221"/>
      <c r="S1120" s="221"/>
      <c r="T1120" s="221"/>
      <c r="U1120" s="221"/>
      <c r="V1120" s="221"/>
      <c r="W1120" s="221"/>
      <c r="X1120" s="221"/>
      <c r="Y1120" s="221"/>
      <c r="Z1120" s="221"/>
      <c r="AA1120" s="221"/>
      <c r="AB1120" s="221"/>
      <c r="AC1120" s="221"/>
      <c r="AD1120" s="221"/>
      <c r="AE1120" s="221"/>
      <c r="AF1120" s="221"/>
      <c r="AG1120" s="221"/>
      <c r="AH1120" s="221"/>
      <c r="AI1120" s="221"/>
      <c r="AJ1120" s="221"/>
      <c r="AK1120" s="221"/>
    </row>
    <row r="1121" spans="1:37" ht="12.75" hidden="1" customHeight="1">
      <c r="A1121" s="7"/>
      <c r="B1121" s="7"/>
      <c r="C1121" s="17"/>
      <c r="D1121" s="221"/>
      <c r="E1121" s="221"/>
      <c r="F1121" s="221"/>
      <c r="G1121" s="221"/>
      <c r="H1121" s="221"/>
      <c r="I1121" s="221"/>
      <c r="J1121" s="221"/>
      <c r="K1121" s="221"/>
      <c r="L1121" s="221"/>
      <c r="M1121" s="221"/>
      <c r="N1121" s="221"/>
      <c r="O1121" s="221"/>
      <c r="P1121" s="221"/>
      <c r="Q1121" s="221"/>
      <c r="R1121" s="221"/>
      <c r="S1121" s="221"/>
      <c r="T1121" s="221"/>
      <c r="U1121" s="221"/>
      <c r="V1121" s="221"/>
      <c r="W1121" s="221"/>
      <c r="X1121" s="221"/>
      <c r="Y1121" s="221"/>
      <c r="Z1121" s="221"/>
      <c r="AA1121" s="221"/>
      <c r="AB1121" s="221"/>
      <c r="AC1121" s="221"/>
      <c r="AD1121" s="221"/>
      <c r="AE1121" s="221"/>
      <c r="AF1121" s="221"/>
      <c r="AG1121" s="221"/>
      <c r="AH1121" s="221"/>
      <c r="AI1121" s="221"/>
      <c r="AJ1121" s="221"/>
      <c r="AK1121" s="221"/>
    </row>
    <row r="1122" spans="1:37" ht="12.75" hidden="1" customHeight="1">
      <c r="A1122" s="7"/>
      <c r="B1122" s="7"/>
      <c r="C1122" s="17"/>
      <c r="D1122" s="221"/>
      <c r="E1122" s="221"/>
      <c r="F1122" s="221"/>
      <c r="G1122" s="221"/>
      <c r="H1122" s="221"/>
      <c r="I1122" s="221"/>
      <c r="J1122" s="221"/>
      <c r="K1122" s="221"/>
      <c r="L1122" s="221"/>
      <c r="M1122" s="221"/>
      <c r="N1122" s="221"/>
      <c r="O1122" s="221"/>
      <c r="P1122" s="221"/>
      <c r="Q1122" s="221"/>
      <c r="R1122" s="221"/>
      <c r="S1122" s="221"/>
      <c r="T1122" s="221"/>
      <c r="U1122" s="221"/>
      <c r="V1122" s="221"/>
      <c r="W1122" s="221"/>
      <c r="X1122" s="221"/>
      <c r="Y1122" s="221"/>
      <c r="Z1122" s="221"/>
      <c r="AA1122" s="221"/>
      <c r="AB1122" s="221"/>
      <c r="AC1122" s="221"/>
      <c r="AD1122" s="221"/>
      <c r="AE1122" s="221"/>
      <c r="AF1122" s="221"/>
      <c r="AG1122" s="221"/>
      <c r="AH1122" s="221"/>
      <c r="AI1122" s="221"/>
      <c r="AJ1122" s="221"/>
      <c r="AK1122" s="221"/>
    </row>
    <row r="1123" spans="1:37" ht="12.75" hidden="1" customHeight="1">
      <c r="A1123" s="7"/>
      <c r="B1123" s="7"/>
      <c r="C1123" s="17"/>
      <c r="D1123" s="221"/>
      <c r="E1123" s="221"/>
      <c r="F1123" s="221"/>
      <c r="G1123" s="221"/>
      <c r="H1123" s="221"/>
      <c r="I1123" s="221"/>
      <c r="J1123" s="221"/>
      <c r="K1123" s="221"/>
      <c r="L1123" s="221"/>
      <c r="M1123" s="221"/>
      <c r="N1123" s="221"/>
      <c r="O1123" s="221"/>
      <c r="P1123" s="221"/>
      <c r="Q1123" s="221"/>
      <c r="R1123" s="221"/>
      <c r="S1123" s="221"/>
      <c r="T1123" s="221"/>
      <c r="U1123" s="221"/>
      <c r="V1123" s="221"/>
      <c r="W1123" s="221"/>
      <c r="X1123" s="221"/>
      <c r="Y1123" s="221"/>
      <c r="Z1123" s="221"/>
      <c r="AA1123" s="221"/>
      <c r="AB1123" s="221"/>
      <c r="AC1123" s="221"/>
      <c r="AD1123" s="221"/>
      <c r="AE1123" s="221"/>
      <c r="AF1123" s="221"/>
      <c r="AG1123" s="221"/>
      <c r="AH1123" s="221"/>
      <c r="AI1123" s="221"/>
      <c r="AJ1123" s="221"/>
      <c r="AK1123" s="221"/>
    </row>
    <row r="1124" spans="1:37" ht="12.75" hidden="1" customHeight="1">
      <c r="A1124" s="7"/>
      <c r="B1124" s="7"/>
      <c r="C1124" s="17"/>
      <c r="D1124" s="221"/>
      <c r="E1124" s="221"/>
      <c r="F1124" s="221"/>
      <c r="G1124" s="221"/>
      <c r="H1124" s="221"/>
      <c r="I1124" s="221"/>
      <c r="J1124" s="221"/>
      <c r="K1124" s="221"/>
      <c r="L1124" s="221"/>
      <c r="M1124" s="221"/>
      <c r="N1124" s="221"/>
      <c r="O1124" s="221"/>
      <c r="P1124" s="221"/>
      <c r="Q1124" s="221"/>
      <c r="R1124" s="221"/>
      <c r="S1124" s="221"/>
      <c r="T1124" s="221"/>
      <c r="U1124" s="221"/>
      <c r="V1124" s="221"/>
      <c r="W1124" s="221"/>
      <c r="X1124" s="221"/>
      <c r="Y1124" s="221"/>
      <c r="Z1124" s="221"/>
      <c r="AA1124" s="221"/>
      <c r="AB1124" s="221"/>
      <c r="AC1124" s="221"/>
      <c r="AD1124" s="221"/>
      <c r="AE1124" s="221"/>
      <c r="AF1124" s="221"/>
      <c r="AG1124" s="221"/>
      <c r="AH1124" s="221"/>
      <c r="AI1124" s="221"/>
      <c r="AJ1124" s="221"/>
      <c r="AK1124" s="221"/>
    </row>
    <row r="1125" spans="1:37" ht="12.75" hidden="1" customHeight="1">
      <c r="A1125" s="7"/>
      <c r="B1125" s="7"/>
      <c r="C1125" s="17"/>
      <c r="D1125" s="221"/>
      <c r="E1125" s="221"/>
      <c r="F1125" s="221"/>
      <c r="G1125" s="221"/>
      <c r="H1125" s="221"/>
      <c r="I1125" s="221"/>
      <c r="J1125" s="221"/>
      <c r="K1125" s="221"/>
      <c r="L1125" s="221"/>
      <c r="M1125" s="221"/>
      <c r="N1125" s="221"/>
      <c r="O1125" s="221"/>
      <c r="P1125" s="221"/>
      <c r="Q1125" s="221"/>
      <c r="R1125" s="221"/>
      <c r="S1125" s="221"/>
      <c r="T1125" s="221"/>
      <c r="U1125" s="221"/>
      <c r="V1125" s="221"/>
      <c r="W1125" s="221"/>
      <c r="X1125" s="221"/>
      <c r="Y1125" s="221"/>
      <c r="Z1125" s="221"/>
      <c r="AA1125" s="221"/>
      <c r="AB1125" s="221"/>
      <c r="AC1125" s="221"/>
      <c r="AD1125" s="221"/>
      <c r="AE1125" s="221"/>
      <c r="AF1125" s="221"/>
      <c r="AG1125" s="221"/>
      <c r="AH1125" s="221"/>
      <c r="AI1125" s="221"/>
      <c r="AJ1125" s="221"/>
      <c r="AK1125" s="221"/>
    </row>
    <row r="1126" spans="1:37" ht="12.75" hidden="1" customHeight="1">
      <c r="A1126" s="7"/>
      <c r="B1126" s="7"/>
      <c r="C1126" s="17"/>
      <c r="D1126" s="221"/>
      <c r="E1126" s="221"/>
      <c r="F1126" s="221"/>
      <c r="G1126" s="221"/>
      <c r="H1126" s="221"/>
      <c r="I1126" s="221"/>
      <c r="J1126" s="221"/>
      <c r="K1126" s="221"/>
      <c r="L1126" s="221"/>
      <c r="M1126" s="221"/>
      <c r="N1126" s="221"/>
      <c r="O1126" s="221"/>
      <c r="P1126" s="221"/>
      <c r="Q1126" s="221"/>
      <c r="R1126" s="221"/>
      <c r="S1126" s="221"/>
      <c r="T1126" s="221"/>
      <c r="U1126" s="221"/>
      <c r="V1126" s="221"/>
      <c r="W1126" s="221"/>
      <c r="X1126" s="221"/>
      <c r="Y1126" s="221"/>
      <c r="Z1126" s="221"/>
      <c r="AA1126" s="221"/>
      <c r="AB1126" s="221"/>
      <c r="AC1126" s="221"/>
      <c r="AD1126" s="221"/>
      <c r="AE1126" s="221"/>
      <c r="AF1126" s="221"/>
      <c r="AG1126" s="221"/>
      <c r="AH1126" s="221"/>
      <c r="AI1126" s="221"/>
      <c r="AJ1126" s="221"/>
      <c r="AK1126" s="221"/>
    </row>
    <row r="1127" spans="1:37" ht="12.75" hidden="1" customHeight="1">
      <c r="A1127" s="7"/>
      <c r="B1127" s="7"/>
      <c r="C1127" s="17"/>
      <c r="D1127" s="221"/>
      <c r="E1127" s="221"/>
      <c r="F1127" s="221"/>
      <c r="G1127" s="221"/>
      <c r="H1127" s="221"/>
      <c r="I1127" s="221"/>
      <c r="J1127" s="221"/>
      <c r="K1127" s="221"/>
      <c r="L1127" s="221"/>
      <c r="M1127" s="221"/>
      <c r="N1127" s="221"/>
      <c r="O1127" s="221"/>
      <c r="P1127" s="221"/>
      <c r="Q1127" s="221"/>
      <c r="R1127" s="221"/>
      <c r="S1127" s="221"/>
      <c r="T1127" s="221"/>
      <c r="U1127" s="221"/>
      <c r="V1127" s="221"/>
      <c r="W1127" s="221"/>
      <c r="X1127" s="221"/>
      <c r="Y1127" s="221"/>
      <c r="Z1127" s="221"/>
      <c r="AA1127" s="221"/>
      <c r="AB1127" s="221"/>
      <c r="AC1127" s="221"/>
      <c r="AD1127" s="221"/>
      <c r="AE1127" s="221"/>
      <c r="AF1127" s="221"/>
      <c r="AG1127" s="221"/>
      <c r="AH1127" s="221"/>
      <c r="AI1127" s="221"/>
      <c r="AJ1127" s="221"/>
      <c r="AK1127" s="221"/>
    </row>
    <row r="1128" spans="1:37" ht="12.75" hidden="1" customHeight="1">
      <c r="A1128" s="7"/>
      <c r="B1128" s="7"/>
      <c r="C1128" s="17"/>
      <c r="D1128" s="221"/>
      <c r="E1128" s="221"/>
      <c r="F1128" s="221"/>
      <c r="G1128" s="221"/>
      <c r="H1128" s="221"/>
      <c r="I1128" s="221"/>
      <c r="J1128" s="221"/>
      <c r="K1128" s="221"/>
      <c r="L1128" s="221"/>
      <c r="M1128" s="221"/>
      <c r="N1128" s="221"/>
      <c r="O1128" s="221"/>
      <c r="P1128" s="221"/>
      <c r="Q1128" s="221"/>
      <c r="R1128" s="221"/>
      <c r="S1128" s="221"/>
      <c r="T1128" s="221"/>
      <c r="U1128" s="221"/>
      <c r="V1128" s="221"/>
      <c r="W1128" s="221"/>
      <c r="X1128" s="221"/>
      <c r="Y1128" s="221"/>
      <c r="Z1128" s="221"/>
      <c r="AA1128" s="221"/>
      <c r="AB1128" s="221"/>
      <c r="AC1128" s="221"/>
      <c r="AD1128" s="221"/>
      <c r="AE1128" s="221"/>
      <c r="AF1128" s="221"/>
      <c r="AG1128" s="221"/>
      <c r="AH1128" s="221"/>
      <c r="AI1128" s="221"/>
      <c r="AJ1128" s="221"/>
      <c r="AK1128" s="221"/>
    </row>
    <row r="1129" spans="1:37" ht="12.75" hidden="1" customHeight="1">
      <c r="A1129" s="7"/>
      <c r="B1129" s="7"/>
      <c r="C1129" s="17"/>
      <c r="D1129" s="221"/>
      <c r="E1129" s="221"/>
      <c r="F1129" s="221"/>
      <c r="G1129" s="221"/>
      <c r="H1129" s="221"/>
      <c r="I1129" s="221"/>
      <c r="J1129" s="221"/>
      <c r="K1129" s="221"/>
      <c r="L1129" s="221"/>
      <c r="M1129" s="221"/>
      <c r="N1129" s="221"/>
      <c r="O1129" s="221"/>
      <c r="P1129" s="221"/>
      <c r="Q1129" s="221"/>
      <c r="R1129" s="221"/>
      <c r="S1129" s="221"/>
      <c r="T1129" s="221"/>
      <c r="U1129" s="221"/>
      <c r="V1129" s="221"/>
      <c r="W1129" s="221"/>
      <c r="X1129" s="221"/>
      <c r="Y1129" s="221"/>
      <c r="Z1129" s="221"/>
      <c r="AA1129" s="221"/>
      <c r="AB1129" s="221"/>
      <c r="AC1129" s="221"/>
      <c r="AD1129" s="221"/>
      <c r="AE1129" s="221"/>
      <c r="AF1129" s="221"/>
      <c r="AG1129" s="221"/>
      <c r="AH1129" s="221"/>
      <c r="AI1129" s="221"/>
      <c r="AJ1129" s="221"/>
      <c r="AK1129" s="221"/>
    </row>
    <row r="1130" spans="1:37" ht="15" hidden="1" customHeight="1">
      <c r="A1130" s="7"/>
      <c r="B1130" s="7"/>
      <c r="C1130" s="17"/>
      <c r="D1130" s="221"/>
      <c r="E1130" s="221"/>
      <c r="F1130" s="221"/>
      <c r="G1130" s="221"/>
      <c r="H1130" s="221"/>
      <c r="I1130" s="221"/>
      <c r="J1130" s="221"/>
      <c r="K1130" s="221"/>
      <c r="L1130" s="221"/>
      <c r="M1130" s="221"/>
      <c r="N1130" s="221"/>
      <c r="O1130" s="221"/>
      <c r="P1130" s="221"/>
      <c r="Q1130" s="221"/>
      <c r="R1130" s="221"/>
      <c r="S1130" s="221"/>
      <c r="T1130" s="221"/>
      <c r="U1130" s="221"/>
      <c r="V1130" s="221"/>
      <c r="W1130" s="221"/>
      <c r="X1130" s="221"/>
      <c r="Y1130" s="221"/>
      <c r="Z1130" s="221"/>
      <c r="AA1130" s="221"/>
      <c r="AB1130" s="221"/>
      <c r="AC1130" s="221"/>
      <c r="AD1130" s="221"/>
      <c r="AE1130" s="221"/>
      <c r="AF1130" s="221"/>
      <c r="AG1130" s="221"/>
      <c r="AH1130" s="221"/>
      <c r="AI1130" s="221"/>
      <c r="AJ1130" s="221"/>
      <c r="AK1130" s="221"/>
    </row>
    <row r="1131" spans="1:37" ht="15" hidden="1" customHeight="1">
      <c r="A1131" s="17"/>
      <c r="B1131" s="194"/>
      <c r="C1131" s="17"/>
      <c r="D1131" s="221"/>
      <c r="E1131" s="221"/>
      <c r="F1131" s="221"/>
      <c r="G1131" s="221"/>
      <c r="H1131" s="221"/>
      <c r="I1131" s="221"/>
      <c r="J1131" s="221"/>
      <c r="K1131" s="221"/>
      <c r="L1131" s="221"/>
      <c r="M1131" s="221"/>
      <c r="N1131" s="221"/>
      <c r="O1131" s="221"/>
      <c r="P1131" s="221"/>
      <c r="Q1131" s="221"/>
      <c r="R1131" s="221"/>
      <c r="S1131" s="221"/>
      <c r="T1131" s="221"/>
      <c r="U1131" s="221"/>
      <c r="V1131" s="221"/>
      <c r="W1131" s="221"/>
      <c r="X1131" s="221"/>
      <c r="Y1131" s="221"/>
      <c r="Z1131" s="221"/>
      <c r="AA1131" s="221"/>
      <c r="AB1131" s="221"/>
      <c r="AC1131" s="221"/>
      <c r="AD1131" s="221"/>
      <c r="AE1131" s="221"/>
      <c r="AF1131" s="221"/>
      <c r="AG1131" s="221"/>
      <c r="AH1131" s="221"/>
      <c r="AI1131" s="221"/>
      <c r="AJ1131" s="221"/>
      <c r="AK1131" s="221"/>
    </row>
    <row r="1132" spans="1:37" ht="15" hidden="1" customHeight="1">
      <c r="A1132" s="973" t="s">
        <v>855</v>
      </c>
      <c r="B1132" s="969"/>
      <c r="C1132" s="17">
        <v>9</v>
      </c>
      <c r="D1132" s="895" t="s">
        <v>2814</v>
      </c>
      <c r="E1132" s="893"/>
      <c r="F1132" s="893"/>
      <c r="G1132" s="893"/>
      <c r="H1132" s="893"/>
      <c r="I1132" s="893"/>
      <c r="J1132" s="893"/>
      <c r="K1132" s="893"/>
      <c r="L1132" s="893"/>
      <c r="M1132" s="893"/>
      <c r="N1132" s="893"/>
      <c r="O1132" s="893"/>
      <c r="P1132" s="893"/>
      <c r="Q1132" s="893"/>
      <c r="R1132" s="893"/>
      <c r="S1132" s="893"/>
      <c r="T1132" s="893"/>
      <c r="U1132" s="893"/>
      <c r="V1132" s="893"/>
      <c r="W1132" s="893"/>
      <c r="X1132" s="893"/>
      <c r="Y1132" s="893"/>
      <c r="Z1132" s="893"/>
      <c r="AA1132" s="893"/>
      <c r="AB1132" s="893"/>
      <c r="AC1132" s="893"/>
      <c r="AD1132" s="893"/>
      <c r="AE1132" s="893"/>
      <c r="AF1132" s="893"/>
      <c r="AG1132" s="893"/>
      <c r="AH1132" s="893"/>
      <c r="AI1132" s="893"/>
      <c r="AJ1132" s="893"/>
      <c r="AK1132" s="893"/>
    </row>
    <row r="1133" spans="1:37" ht="15" hidden="1" customHeight="1">
      <c r="A1133" s="17"/>
      <c r="B1133" s="194"/>
      <c r="C1133" s="17"/>
      <c r="D1133" s="893"/>
      <c r="E1133" s="893"/>
      <c r="F1133" s="893"/>
      <c r="G1133" s="893"/>
      <c r="H1133" s="893"/>
      <c r="I1133" s="893"/>
      <c r="J1133" s="893"/>
      <c r="K1133" s="893"/>
      <c r="L1133" s="893"/>
      <c r="M1133" s="893"/>
      <c r="N1133" s="893"/>
      <c r="O1133" s="893"/>
      <c r="P1133" s="893"/>
      <c r="Q1133" s="893"/>
      <c r="R1133" s="893"/>
      <c r="S1133" s="893"/>
      <c r="T1133" s="893"/>
      <c r="U1133" s="893"/>
      <c r="V1133" s="893"/>
      <c r="W1133" s="893"/>
      <c r="X1133" s="893"/>
      <c r="Y1133" s="893"/>
      <c r="Z1133" s="893"/>
      <c r="AA1133" s="893"/>
      <c r="AB1133" s="893"/>
      <c r="AC1133" s="893"/>
      <c r="AD1133" s="893"/>
      <c r="AE1133" s="893"/>
      <c r="AF1133" s="893"/>
      <c r="AG1133" s="893"/>
      <c r="AH1133" s="893"/>
      <c r="AI1133" s="893"/>
      <c r="AJ1133" s="893"/>
      <c r="AK1133" s="893"/>
    </row>
    <row r="1134" spans="1:37" ht="15" hidden="1" customHeight="1">
      <c r="D1134" s="893"/>
      <c r="E1134" s="893"/>
      <c r="F1134" s="893"/>
      <c r="G1134" s="893"/>
      <c r="H1134" s="893"/>
      <c r="I1134" s="893"/>
      <c r="J1134" s="893"/>
      <c r="K1134" s="893"/>
      <c r="L1134" s="893"/>
      <c r="M1134" s="893"/>
      <c r="N1134" s="893"/>
      <c r="O1134" s="893"/>
      <c r="P1134" s="893"/>
      <c r="Q1134" s="893"/>
      <c r="R1134" s="893"/>
      <c r="S1134" s="893"/>
      <c r="T1134" s="893"/>
      <c r="U1134" s="893"/>
      <c r="V1134" s="893"/>
      <c r="W1134" s="893"/>
      <c r="X1134" s="893"/>
      <c r="Y1134" s="893"/>
      <c r="Z1134" s="893"/>
      <c r="AA1134" s="893"/>
      <c r="AB1134" s="893"/>
      <c r="AC1134" s="893"/>
      <c r="AD1134" s="893"/>
      <c r="AE1134" s="893"/>
      <c r="AF1134" s="893"/>
      <c r="AG1134" s="893"/>
      <c r="AH1134" s="893"/>
      <c r="AI1134" s="893"/>
      <c r="AJ1134" s="893"/>
      <c r="AK1134" s="893"/>
    </row>
    <row r="1135" spans="1:37" ht="15.75" customHeight="1"/>
    <row r="1136" spans="1:37" ht="15.75" customHeight="1"/>
    <row r="1137" ht="15.75" customHeight="1"/>
    <row r="1138" ht="15.75" customHeight="1"/>
    <row r="1139" ht="15.75" customHeight="1"/>
    <row r="1140" ht="15.75" customHeight="1"/>
    <row r="1141" ht="15.75" customHeight="1"/>
    <row r="1142" ht="15.75" customHeight="1"/>
    <row r="1143" ht="15.75" customHeight="1"/>
    <row r="1144" ht="15" hidden="1" customHeight="1"/>
  </sheetData>
  <customSheetViews>
    <customSheetView guid="{7F1A70EC-2F97-4690-91E6-0056E2A93485}" filter="1" showAutoFilter="1">
      <pageMargins left="0.7" right="0.7" top="0.75" bottom="0.75" header="0.3" footer="0.3"/>
      <autoFilter ref="BD2:BF110" xr:uid="{1B54C4CC-F64D-4EA4-9831-32B54AD1C015}"/>
    </customSheetView>
  </customSheetViews>
  <mergeCells count="3024">
    <mergeCell ref="EM658:EQ658"/>
    <mergeCell ref="ER658:EV658"/>
    <mergeCell ref="DX657:EB657"/>
    <mergeCell ref="EC657:EG657"/>
    <mergeCell ref="EH657:EL657"/>
    <mergeCell ref="EM657:EQ657"/>
    <mergeCell ref="ER657:EV657"/>
    <mergeCell ref="EW657:FA657"/>
    <mergeCell ref="DX658:EB658"/>
    <mergeCell ref="EW658:FA658"/>
    <mergeCell ref="EC658:EG658"/>
    <mergeCell ref="EH658:EL658"/>
    <mergeCell ref="EC659:EG659"/>
    <mergeCell ref="EH659:EL659"/>
    <mergeCell ref="EM659:EQ659"/>
    <mergeCell ref="ER659:EV659"/>
    <mergeCell ref="EW659:FA659"/>
    <mergeCell ref="DX659:EB659"/>
    <mergeCell ref="DX660:EB660"/>
    <mergeCell ref="EC660:EG660"/>
    <mergeCell ref="EH660:EL660"/>
    <mergeCell ref="EM660:EQ660"/>
    <mergeCell ref="ER660:EV660"/>
    <mergeCell ref="EW660:FA660"/>
    <mergeCell ref="EM662:EQ662"/>
    <mergeCell ref="ER662:EV662"/>
    <mergeCell ref="DX661:EB661"/>
    <mergeCell ref="EC661:EG661"/>
    <mergeCell ref="EH661:EL661"/>
    <mergeCell ref="EM661:EQ661"/>
    <mergeCell ref="ER661:EV661"/>
    <mergeCell ref="EW661:FA661"/>
    <mergeCell ref="DX662:EB662"/>
    <mergeCell ref="EW662:FA662"/>
    <mergeCell ref="EC662:EG662"/>
    <mergeCell ref="EH662:EL662"/>
    <mergeCell ref="EC663:EG663"/>
    <mergeCell ref="EH663:EL663"/>
    <mergeCell ref="EM663:EQ663"/>
    <mergeCell ref="ER663:EV663"/>
    <mergeCell ref="EW663:FA663"/>
    <mergeCell ref="DX663:EB663"/>
    <mergeCell ref="DX664:EB664"/>
    <mergeCell ref="EC664:EG664"/>
    <mergeCell ref="EH664:EL664"/>
    <mergeCell ref="EM664:EQ664"/>
    <mergeCell ref="ER664:EV664"/>
    <mergeCell ref="EW664:FA664"/>
    <mergeCell ref="EM666:EQ666"/>
    <mergeCell ref="ER666:EV666"/>
    <mergeCell ref="DX665:EB665"/>
    <mergeCell ref="EC665:EG665"/>
    <mergeCell ref="EH665:EL665"/>
    <mergeCell ref="EM665:EQ665"/>
    <mergeCell ref="ER665:EV665"/>
    <mergeCell ref="EW665:FA665"/>
    <mergeCell ref="DX666:EB666"/>
    <mergeCell ref="EW666:FA666"/>
    <mergeCell ref="EC666:EG666"/>
    <mergeCell ref="EH666:EL666"/>
    <mergeCell ref="EM667:EQ667"/>
    <mergeCell ref="ER667:EV667"/>
    <mergeCell ref="EW667:FA667"/>
    <mergeCell ref="DX667:EB667"/>
    <mergeCell ref="DX668:EB668"/>
    <mergeCell ref="EC668:EG668"/>
    <mergeCell ref="EH668:EL668"/>
    <mergeCell ref="EM668:EQ668"/>
    <mergeCell ref="ER668:EV668"/>
    <mergeCell ref="EW668:FA668"/>
    <mergeCell ref="EM670:EQ670"/>
    <mergeCell ref="ER670:EV670"/>
    <mergeCell ref="DX669:EB669"/>
    <mergeCell ref="EC669:EG669"/>
    <mergeCell ref="EH669:EL669"/>
    <mergeCell ref="EM669:EQ669"/>
    <mergeCell ref="ER669:EV669"/>
    <mergeCell ref="EW669:FA669"/>
    <mergeCell ref="DX670:EB670"/>
    <mergeCell ref="EW670:FA670"/>
    <mergeCell ref="EC670:EG670"/>
    <mergeCell ref="EH670:EL670"/>
    <mergeCell ref="FE745:FI745"/>
    <mergeCell ref="FJ745:FN745"/>
    <mergeCell ref="FE746:FI746"/>
    <mergeCell ref="FJ746:FN746"/>
    <mergeCell ref="FO746:FS746"/>
    <mergeCell ref="FT746:FX746"/>
    <mergeCell ref="FY746:GC746"/>
    <mergeCell ref="EZ746:FD746"/>
    <mergeCell ref="EZ747:FD747"/>
    <mergeCell ref="FE747:FI747"/>
    <mergeCell ref="FJ747:FN747"/>
    <mergeCell ref="FO747:FS747"/>
    <mergeCell ref="FT747:FX747"/>
    <mergeCell ref="FY747:GC747"/>
    <mergeCell ref="FO749:FS749"/>
    <mergeCell ref="FT749:FX749"/>
    <mergeCell ref="EZ748:FD748"/>
    <mergeCell ref="FE748:FI748"/>
    <mergeCell ref="FJ748:FN748"/>
    <mergeCell ref="FO748:FS748"/>
    <mergeCell ref="FT748:FX748"/>
    <mergeCell ref="FY748:GC748"/>
    <mergeCell ref="EZ749:FD749"/>
    <mergeCell ref="FY749:GC749"/>
    <mergeCell ref="FE749:FI749"/>
    <mergeCell ref="FJ749:FN749"/>
    <mergeCell ref="FO745:FS745"/>
    <mergeCell ref="FT745:FX745"/>
    <mergeCell ref="FE750:FI750"/>
    <mergeCell ref="FJ750:FN750"/>
    <mergeCell ref="FO750:FS750"/>
    <mergeCell ref="FT750:FX750"/>
    <mergeCell ref="FY750:GC750"/>
    <mergeCell ref="EZ750:FD750"/>
    <mergeCell ref="EZ751:FD751"/>
    <mergeCell ref="FE751:FI751"/>
    <mergeCell ref="FJ751:FN751"/>
    <mergeCell ref="FO751:FS751"/>
    <mergeCell ref="FT751:FX751"/>
    <mergeCell ref="FY751:GC751"/>
    <mergeCell ref="FO753:FS753"/>
    <mergeCell ref="FT753:FX753"/>
    <mergeCell ref="EZ752:FD752"/>
    <mergeCell ref="FE752:FI752"/>
    <mergeCell ref="FJ752:FN752"/>
    <mergeCell ref="FO752:FS752"/>
    <mergeCell ref="FT752:FX752"/>
    <mergeCell ref="FY752:GC752"/>
    <mergeCell ref="EZ753:FD753"/>
    <mergeCell ref="FY753:GC753"/>
    <mergeCell ref="FE753:FI753"/>
    <mergeCell ref="FJ753:FN753"/>
    <mergeCell ref="FO754:FS754"/>
    <mergeCell ref="FT754:FX754"/>
    <mergeCell ref="FY754:GC754"/>
    <mergeCell ref="EZ754:FD754"/>
    <mergeCell ref="EZ755:FD755"/>
    <mergeCell ref="FE755:FI755"/>
    <mergeCell ref="FJ755:FN755"/>
    <mergeCell ref="FO755:FS755"/>
    <mergeCell ref="FT755:FX755"/>
    <mergeCell ref="FY755:GC755"/>
    <mergeCell ref="FO757:FS757"/>
    <mergeCell ref="FT757:FX757"/>
    <mergeCell ref="EZ756:FD756"/>
    <mergeCell ref="FE756:FI756"/>
    <mergeCell ref="FJ756:FN756"/>
    <mergeCell ref="FO756:FS756"/>
    <mergeCell ref="FT756:FX756"/>
    <mergeCell ref="FY756:GC756"/>
    <mergeCell ref="EZ757:FD757"/>
    <mergeCell ref="FY757:GC757"/>
    <mergeCell ref="FO735:FS735"/>
    <mergeCell ref="FT735:FX735"/>
    <mergeCell ref="FY735:GC735"/>
    <mergeCell ref="FO732:FS732"/>
    <mergeCell ref="FT732:FX732"/>
    <mergeCell ref="FO733:FS733"/>
    <mergeCell ref="FT733:FX733"/>
    <mergeCell ref="FY733:GC733"/>
    <mergeCell ref="FO734:FS734"/>
    <mergeCell ref="FT734:FX734"/>
    <mergeCell ref="FY734:GC734"/>
    <mergeCell ref="EZ731:FD731"/>
    <mergeCell ref="FE731:FI731"/>
    <mergeCell ref="FJ731:FN731"/>
    <mergeCell ref="FO731:FS731"/>
    <mergeCell ref="FT731:FX731"/>
    <mergeCell ref="FY731:GC731"/>
    <mergeCell ref="EZ732:FD732"/>
    <mergeCell ref="FY732:GC732"/>
    <mergeCell ref="EZ734:FD734"/>
    <mergeCell ref="EZ738:FD738"/>
    <mergeCell ref="EZ739:FD739"/>
    <mergeCell ref="FE739:FI739"/>
    <mergeCell ref="FJ739:FN739"/>
    <mergeCell ref="FO739:FS739"/>
    <mergeCell ref="FT739:FX739"/>
    <mergeCell ref="FY739:GC739"/>
    <mergeCell ref="EZ758:FD758"/>
    <mergeCell ref="EZ759:FD759"/>
    <mergeCell ref="FE759:FI759"/>
    <mergeCell ref="FJ759:FN759"/>
    <mergeCell ref="FO759:FS759"/>
    <mergeCell ref="FT759:FX759"/>
    <mergeCell ref="FY759:GC759"/>
    <mergeCell ref="FE757:FI757"/>
    <mergeCell ref="FJ757:FN757"/>
    <mergeCell ref="FE758:FI758"/>
    <mergeCell ref="FJ758:FN758"/>
    <mergeCell ref="FO758:FS758"/>
    <mergeCell ref="FT758:FX758"/>
    <mergeCell ref="FY758:GC758"/>
    <mergeCell ref="FO738:FS738"/>
    <mergeCell ref="FT738:FX738"/>
    <mergeCell ref="FY738:GC738"/>
    <mergeCell ref="FE738:FI738"/>
    <mergeCell ref="FJ738:FN738"/>
    <mergeCell ref="FO741:FS741"/>
    <mergeCell ref="FT741:FX741"/>
    <mergeCell ref="EZ740:FD740"/>
    <mergeCell ref="FE740:FI740"/>
    <mergeCell ref="FE754:FI754"/>
    <mergeCell ref="FJ754:FN754"/>
    <mergeCell ref="EM671:EQ671"/>
    <mergeCell ref="ER671:EV671"/>
    <mergeCell ref="EW671:FA671"/>
    <mergeCell ref="DX671:EB671"/>
    <mergeCell ref="DX672:EB672"/>
    <mergeCell ref="EC672:EG672"/>
    <mergeCell ref="EH672:EL672"/>
    <mergeCell ref="EM672:EQ672"/>
    <mergeCell ref="ER672:EV672"/>
    <mergeCell ref="EW672:FA672"/>
    <mergeCell ref="EM647:EQ647"/>
    <mergeCell ref="ER647:EV647"/>
    <mergeCell ref="EM648:EQ648"/>
    <mergeCell ref="ER648:EV648"/>
    <mergeCell ref="EW648:FA648"/>
    <mergeCell ref="EM649:EQ649"/>
    <mergeCell ref="ER649:EV649"/>
    <mergeCell ref="EW649:FA649"/>
    <mergeCell ref="EC647:EG647"/>
    <mergeCell ref="EH647:EL647"/>
    <mergeCell ref="DX648:EB648"/>
    <mergeCell ref="EC648:EG648"/>
    <mergeCell ref="EH648:EL648"/>
    <mergeCell ref="EC649:EG649"/>
    <mergeCell ref="EH649:EL649"/>
    <mergeCell ref="EM653:EQ653"/>
    <mergeCell ref="ER653:EV653"/>
    <mergeCell ref="EM654:EQ654"/>
    <mergeCell ref="ER654:EV654"/>
    <mergeCell ref="EW654:FA654"/>
    <mergeCell ref="EC667:EG667"/>
    <mergeCell ref="EH667:EL667"/>
    <mergeCell ref="FE725:FI725"/>
    <mergeCell ref="FJ725:FN725"/>
    <mergeCell ref="FO725:FS725"/>
    <mergeCell ref="FT725:FX725"/>
    <mergeCell ref="FY725:GC725"/>
    <mergeCell ref="EZ725:FD725"/>
    <mergeCell ref="EM655:EQ655"/>
    <mergeCell ref="ER655:EV655"/>
    <mergeCell ref="EW655:FA655"/>
    <mergeCell ref="DX652:EB652"/>
    <mergeCell ref="EC652:EG652"/>
    <mergeCell ref="EH652:EL652"/>
    <mergeCell ref="EM652:EQ652"/>
    <mergeCell ref="ER652:EV652"/>
    <mergeCell ref="EW652:FA652"/>
    <mergeCell ref="DX653:EB653"/>
    <mergeCell ref="EW653:FA653"/>
    <mergeCell ref="DX655:EB655"/>
    <mergeCell ref="DX656:EB656"/>
    <mergeCell ref="EC656:EG656"/>
    <mergeCell ref="EH656:EL656"/>
    <mergeCell ref="EM656:EQ656"/>
    <mergeCell ref="ER656:EV656"/>
    <mergeCell ref="EW656:FA656"/>
    <mergeCell ref="EC653:EG653"/>
    <mergeCell ref="EH653:EL653"/>
    <mergeCell ref="DX654:EB654"/>
    <mergeCell ref="EC654:EG654"/>
    <mergeCell ref="EH654:EL654"/>
    <mergeCell ref="EC655:EG655"/>
    <mergeCell ref="EH655:EL655"/>
    <mergeCell ref="EC671:EG671"/>
    <mergeCell ref="EZ726:FD726"/>
    <mergeCell ref="FE726:FI726"/>
    <mergeCell ref="FJ726:FN726"/>
    <mergeCell ref="FO726:FS726"/>
    <mergeCell ref="FT726:FX726"/>
    <mergeCell ref="FY726:GC726"/>
    <mergeCell ref="FO728:FS728"/>
    <mergeCell ref="FT728:FX728"/>
    <mergeCell ref="FO729:FS729"/>
    <mergeCell ref="FT729:FX729"/>
    <mergeCell ref="FY729:GC729"/>
    <mergeCell ref="EZ727:FD727"/>
    <mergeCell ref="FE727:FI727"/>
    <mergeCell ref="FJ727:FN727"/>
    <mergeCell ref="FO727:FS727"/>
    <mergeCell ref="FT727:FX727"/>
    <mergeCell ref="FY727:GC727"/>
    <mergeCell ref="EZ728:FD728"/>
    <mergeCell ref="FY728:GC728"/>
    <mergeCell ref="EZ729:FD729"/>
    <mergeCell ref="EZ730:FD730"/>
    <mergeCell ref="FE730:FI730"/>
    <mergeCell ref="FJ730:FN730"/>
    <mergeCell ref="FO730:FS730"/>
    <mergeCell ref="FT730:FX730"/>
    <mergeCell ref="FY730:GC730"/>
    <mergeCell ref="FE728:FI728"/>
    <mergeCell ref="FJ728:FN728"/>
    <mergeCell ref="FE729:FI729"/>
    <mergeCell ref="FJ729:FN729"/>
    <mergeCell ref="FO736:FS736"/>
    <mergeCell ref="FT736:FX736"/>
    <mergeCell ref="FO737:FS737"/>
    <mergeCell ref="FT737:FX737"/>
    <mergeCell ref="FY737:GC737"/>
    <mergeCell ref="FE736:FI736"/>
    <mergeCell ref="FJ736:FN736"/>
    <mergeCell ref="EZ737:FD737"/>
    <mergeCell ref="FE737:FI737"/>
    <mergeCell ref="FJ737:FN737"/>
    <mergeCell ref="EZ736:FD736"/>
    <mergeCell ref="FY736:GC736"/>
    <mergeCell ref="FE732:FI732"/>
    <mergeCell ref="FJ732:FN732"/>
    <mergeCell ref="EZ733:FD733"/>
    <mergeCell ref="FE733:FI733"/>
    <mergeCell ref="FJ733:FN733"/>
    <mergeCell ref="FE734:FI734"/>
    <mergeCell ref="FJ734:FN734"/>
    <mergeCell ref="EZ735:FD735"/>
    <mergeCell ref="FE735:FI735"/>
    <mergeCell ref="FJ735:FN735"/>
    <mergeCell ref="FJ740:FN740"/>
    <mergeCell ref="FO740:FS740"/>
    <mergeCell ref="FT740:FX740"/>
    <mergeCell ref="FY740:GC740"/>
    <mergeCell ref="EZ741:FD741"/>
    <mergeCell ref="FY741:GC741"/>
    <mergeCell ref="FE741:FI741"/>
    <mergeCell ref="FJ741:FN741"/>
    <mergeCell ref="FE742:FI742"/>
    <mergeCell ref="FJ742:FN742"/>
    <mergeCell ref="FO742:FS742"/>
    <mergeCell ref="FT742:FX742"/>
    <mergeCell ref="FY742:GC742"/>
    <mergeCell ref="EZ742:FD742"/>
    <mergeCell ref="EZ743:FD743"/>
    <mergeCell ref="FE743:FI743"/>
    <mergeCell ref="FJ743:FN743"/>
    <mergeCell ref="FO743:FS743"/>
    <mergeCell ref="FT743:FX743"/>
    <mergeCell ref="FY743:GC743"/>
    <mergeCell ref="EZ744:FD744"/>
    <mergeCell ref="FE744:FI744"/>
    <mergeCell ref="FJ744:FN744"/>
    <mergeCell ref="FO744:FS744"/>
    <mergeCell ref="FT744:FX744"/>
    <mergeCell ref="FY744:GC744"/>
    <mergeCell ref="EZ745:FD745"/>
    <mergeCell ref="FY745:GC745"/>
    <mergeCell ref="A8:AT8"/>
    <mergeCell ref="A9:AT9"/>
    <mergeCell ref="A10:AT10"/>
    <mergeCell ref="A11:AT11"/>
    <mergeCell ref="A12:AT12"/>
    <mergeCell ref="A13:AT14"/>
    <mergeCell ref="H16:AJ16"/>
    <mergeCell ref="H18:AJ18"/>
    <mergeCell ref="A20:AT20"/>
    <mergeCell ref="A21:AL21"/>
    <mergeCell ref="A23:AT24"/>
    <mergeCell ref="M26:Q26"/>
    <mergeCell ref="M27:Q27"/>
    <mergeCell ref="A29:AT31"/>
    <mergeCell ref="O33:P33"/>
    <mergeCell ref="Q33:AT33"/>
    <mergeCell ref="A34:AT37"/>
    <mergeCell ref="A39:AT44"/>
    <mergeCell ref="A46:AT49"/>
    <mergeCell ref="A51:AT52"/>
    <mergeCell ref="A54:AT58"/>
    <mergeCell ref="A60:AT61"/>
    <mergeCell ref="A65:AT67"/>
    <mergeCell ref="A69:AT70"/>
    <mergeCell ref="A72:AT73"/>
    <mergeCell ref="A75:AT77"/>
    <mergeCell ref="A79:AT81"/>
    <mergeCell ref="A83:AT84"/>
    <mergeCell ref="G113:H113"/>
    <mergeCell ref="C115:K115"/>
    <mergeCell ref="Y117:AK117"/>
    <mergeCell ref="Y120:AK120"/>
    <mergeCell ref="CU122:CV122"/>
    <mergeCell ref="DG122:DM122"/>
    <mergeCell ref="Y123:AK123"/>
    <mergeCell ref="A86:AT87"/>
    <mergeCell ref="A89:AT90"/>
    <mergeCell ref="A92:AT98"/>
    <mergeCell ref="A100:AT103"/>
    <mergeCell ref="A105:AT106"/>
    <mergeCell ref="L113:O113"/>
    <mergeCell ref="P113:S113"/>
    <mergeCell ref="F150:T150"/>
    <mergeCell ref="O153:AH153"/>
    <mergeCell ref="O154:AH154"/>
    <mergeCell ref="O155:AH155"/>
    <mergeCell ref="O156:AH156"/>
    <mergeCell ref="O157:X157"/>
    <mergeCell ref="O158:R158"/>
    <mergeCell ref="O159:T159"/>
    <mergeCell ref="W159:X159"/>
    <mergeCell ref="O160:T160"/>
    <mergeCell ref="O161:AH161"/>
    <mergeCell ref="D164:AH164"/>
    <mergeCell ref="A169:AT170"/>
    <mergeCell ref="J173:S173"/>
    <mergeCell ref="J174:AB174"/>
    <mergeCell ref="U175:V175"/>
    <mergeCell ref="U176:V176"/>
    <mergeCell ref="X176:Y176"/>
    <mergeCell ref="R177:S177"/>
    <mergeCell ref="AF178:AG178"/>
    <mergeCell ref="AI178:AK178"/>
    <mergeCell ref="X180:Y180"/>
    <mergeCell ref="I184:AE184"/>
    <mergeCell ref="I185:AE185"/>
    <mergeCell ref="E187:AE188"/>
    <mergeCell ref="I189:P189"/>
    <mergeCell ref="T189:AE189"/>
    <mergeCell ref="I190:N190"/>
    <mergeCell ref="T190:AE190"/>
    <mergeCell ref="N191:AE192"/>
    <mergeCell ref="T193:AI193"/>
    <mergeCell ref="AH194:AI194"/>
    <mergeCell ref="T195:U195"/>
    <mergeCell ref="AH195:AI195"/>
    <mergeCell ref="AH196:AI196"/>
    <mergeCell ref="AH197:AI197"/>
    <mergeCell ref="Z205:AN205"/>
    <mergeCell ref="AP205:AQ205"/>
    <mergeCell ref="T196:U196"/>
    <mergeCell ref="T197:U197"/>
    <mergeCell ref="T198:U198"/>
    <mergeCell ref="X198:AT199"/>
    <mergeCell ref="T199:U199"/>
    <mergeCell ref="T200:U200"/>
    <mergeCell ref="P204:U204"/>
    <mergeCell ref="D204:M204"/>
    <mergeCell ref="D205:M205"/>
    <mergeCell ref="P205:U205"/>
    <mergeCell ref="D208:M208"/>
    <mergeCell ref="D211:M211"/>
    <mergeCell ref="Q212:R212"/>
    <mergeCell ref="T212:U212"/>
    <mergeCell ref="D214:Z214"/>
    <mergeCell ref="AB215:AL215"/>
    <mergeCell ref="AB216:AL216"/>
    <mergeCell ref="D220:Z220"/>
    <mergeCell ref="AC220:AQ220"/>
    <mergeCell ref="V224:W224"/>
    <mergeCell ref="V225:W225"/>
    <mergeCell ref="V226:W226"/>
    <mergeCell ref="V227:W227"/>
    <mergeCell ref="V228:W228"/>
    <mergeCell ref="V229:W229"/>
    <mergeCell ref="A231:AT232"/>
    <mergeCell ref="AI235:AJ235"/>
    <mergeCell ref="AI236:AJ236"/>
    <mergeCell ref="AI237:AJ237"/>
    <mergeCell ref="AI238:AJ238"/>
    <mergeCell ref="M241:AK241"/>
    <mergeCell ref="M242:AE242"/>
    <mergeCell ref="W243:X243"/>
    <mergeCell ref="AC243:AE243"/>
    <mergeCell ref="M244:AE244"/>
    <mergeCell ref="M243:T243"/>
    <mergeCell ref="M245:R245"/>
    <mergeCell ref="U245:W245"/>
    <mergeCell ref="Z245:AE245"/>
    <mergeCell ref="M246:AE246"/>
    <mergeCell ref="M247:T247"/>
    <mergeCell ref="AA247:AK247"/>
    <mergeCell ref="M248:AE248"/>
    <mergeCell ref="M252:AE252"/>
    <mergeCell ref="AF252:AK252"/>
    <mergeCell ref="M253:AE253"/>
    <mergeCell ref="M254:T254"/>
    <mergeCell ref="W254:X254"/>
    <mergeCell ref="AC254:AE254"/>
    <mergeCell ref="M255:AE255"/>
    <mergeCell ref="AH255:AK255"/>
    <mergeCell ref="M256:R256"/>
    <mergeCell ref="U256:W256"/>
    <mergeCell ref="Z256:AE256"/>
    <mergeCell ref="M257:AE257"/>
    <mergeCell ref="AA258:AK258"/>
    <mergeCell ref="M258:T258"/>
    <mergeCell ref="M260:AE260"/>
    <mergeCell ref="AF260:AK260"/>
    <mergeCell ref="M261:AE261"/>
    <mergeCell ref="M262:T262"/>
    <mergeCell ref="W262:X262"/>
    <mergeCell ref="AC262:AE262"/>
    <mergeCell ref="M263:AE263"/>
    <mergeCell ref="AH263:AK263"/>
    <mergeCell ref="M264:R264"/>
    <mergeCell ref="U264:W264"/>
    <mergeCell ref="Z264:AE264"/>
    <mergeCell ref="M265:AE265"/>
    <mergeCell ref="AA266:AK266"/>
    <mergeCell ref="M266:T266"/>
    <mergeCell ref="M268:AE268"/>
    <mergeCell ref="AF268:AK268"/>
    <mergeCell ref="M269:AE269"/>
    <mergeCell ref="M270:T270"/>
    <mergeCell ref="W270:X270"/>
    <mergeCell ref="AC270:AE270"/>
    <mergeCell ref="M271:AE271"/>
    <mergeCell ref="AH271:AK271"/>
    <mergeCell ref="M272:R272"/>
    <mergeCell ref="Z272:AE272"/>
    <mergeCell ref="M273:AE273"/>
    <mergeCell ref="M274:T274"/>
    <mergeCell ref="AA274:AK274"/>
    <mergeCell ref="U272:W272"/>
    <mergeCell ref="T276:X276"/>
    <mergeCell ref="D279:H279"/>
    <mergeCell ref="X279:AC279"/>
    <mergeCell ref="L283:AJ283"/>
    <mergeCell ref="L284:AD284"/>
    <mergeCell ref="L285:S285"/>
    <mergeCell ref="V285:W285"/>
    <mergeCell ref="AB285:AD285"/>
    <mergeCell ref="L286:AD286"/>
    <mergeCell ref="L287:Q287"/>
    <mergeCell ref="T287:V287"/>
    <mergeCell ref="Y287:AD287"/>
    <mergeCell ref="L288:AD288"/>
    <mergeCell ref="L289:AD289"/>
    <mergeCell ref="A291:AT292"/>
    <mergeCell ref="H296:R296"/>
    <mergeCell ref="AA296:AK296"/>
    <mergeCell ref="H297:R297"/>
    <mergeCell ref="AA297:AK297"/>
    <mergeCell ref="AA298:AK298"/>
    <mergeCell ref="H302:R302"/>
    <mergeCell ref="AA302:AK302"/>
    <mergeCell ref="H312:R312"/>
    <mergeCell ref="AA312:AK312"/>
    <mergeCell ref="H313:R313"/>
    <mergeCell ref="AA313:AK313"/>
    <mergeCell ref="H314:R314"/>
    <mergeCell ref="AA314:AK314"/>
    <mergeCell ref="AA315:AK315"/>
    <mergeCell ref="H315:R315"/>
    <mergeCell ref="H316:M316"/>
    <mergeCell ref="P316:R316"/>
    <mergeCell ref="AA316:AF316"/>
    <mergeCell ref="AI316:AK316"/>
    <mergeCell ref="AI308:AK308"/>
    <mergeCell ref="H309:M309"/>
    <mergeCell ref="H310:R310"/>
    <mergeCell ref="AA310:AK310"/>
    <mergeCell ref="AA300:AF300"/>
    <mergeCell ref="AA301:AF301"/>
    <mergeCell ref="H298:R298"/>
    <mergeCell ref="H299:R299"/>
    <mergeCell ref="AA299:AK299"/>
    <mergeCell ref="H300:M300"/>
    <mergeCell ref="P300:R300"/>
    <mergeCell ref="AI300:AK300"/>
    <mergeCell ref="H301:M301"/>
    <mergeCell ref="H304:R304"/>
    <mergeCell ref="AA304:AK304"/>
    <mergeCell ref="H317:M317"/>
    <mergeCell ref="H318:R318"/>
    <mergeCell ref="H320:R320"/>
    <mergeCell ref="AA320:AK320"/>
    <mergeCell ref="H321:R321"/>
    <mergeCell ref="AA321:AK321"/>
    <mergeCell ref="H322:R322"/>
    <mergeCell ref="AA322:AK322"/>
    <mergeCell ref="AA323:AK323"/>
    <mergeCell ref="H323:R323"/>
    <mergeCell ref="H324:M324"/>
    <mergeCell ref="P324:R324"/>
    <mergeCell ref="AA324:AF324"/>
    <mergeCell ref="AI324:AK324"/>
    <mergeCell ref="H325:M325"/>
    <mergeCell ref="H326:R326"/>
    <mergeCell ref="H330:R330"/>
    <mergeCell ref="AA317:AF317"/>
    <mergeCell ref="AA318:AK318"/>
    <mergeCell ref="H331:R331"/>
    <mergeCell ref="H332:M332"/>
    <mergeCell ref="P332:R332"/>
    <mergeCell ref="AI332:AK332"/>
    <mergeCell ref="AA325:AF325"/>
    <mergeCell ref="AA326:AK326"/>
    <mergeCell ref="H328:R328"/>
    <mergeCell ref="AA328:AK328"/>
    <mergeCell ref="H329:R329"/>
    <mergeCell ref="AA329:AK329"/>
    <mergeCell ref="AA330:AK330"/>
    <mergeCell ref="H336:R336"/>
    <mergeCell ref="AA331:AK331"/>
    <mergeCell ref="AA332:AF332"/>
    <mergeCell ref="H333:M333"/>
    <mergeCell ref="AA333:AF333"/>
    <mergeCell ref="H334:R334"/>
    <mergeCell ref="AA334:AK334"/>
    <mergeCell ref="AA336:AK336"/>
    <mergeCell ref="H305:R305"/>
    <mergeCell ref="AA305:AK305"/>
    <mergeCell ref="H306:R306"/>
    <mergeCell ref="AA306:AK306"/>
    <mergeCell ref="AA307:AK307"/>
    <mergeCell ref="AA309:AF309"/>
    <mergeCell ref="H307:R307"/>
    <mergeCell ref="H308:M308"/>
    <mergeCell ref="P308:R308"/>
    <mergeCell ref="AA308:AF308"/>
    <mergeCell ref="AA349:AF349"/>
    <mergeCell ref="H350:R350"/>
    <mergeCell ref="AA350:AK350"/>
    <mergeCell ref="P352:AE352"/>
    <mergeCell ref="AA341:AF341"/>
    <mergeCell ref="AA342:AK342"/>
    <mergeCell ref="H344:R344"/>
    <mergeCell ref="AA344:AK344"/>
    <mergeCell ref="H345:R345"/>
    <mergeCell ref="AA345:AK345"/>
    <mergeCell ref="AA346:AK346"/>
    <mergeCell ref="H340:M340"/>
    <mergeCell ref="H341:M341"/>
    <mergeCell ref="H342:R342"/>
    <mergeCell ref="AA337:AK337"/>
    <mergeCell ref="AA338:AK338"/>
    <mergeCell ref="H339:R339"/>
    <mergeCell ref="AA339:AK339"/>
    <mergeCell ref="P340:R340"/>
    <mergeCell ref="AA340:AF340"/>
    <mergeCell ref="AI340:AK340"/>
    <mergeCell ref="H337:R337"/>
    <mergeCell ref="H338:R338"/>
    <mergeCell ref="M364:N364"/>
    <mergeCell ref="M365:N365"/>
    <mergeCell ref="M366:N366"/>
    <mergeCell ref="M367:N367"/>
    <mergeCell ref="N372:O372"/>
    <mergeCell ref="J376:K376"/>
    <mergeCell ref="H346:R346"/>
    <mergeCell ref="H347:R347"/>
    <mergeCell ref="H348:M348"/>
    <mergeCell ref="P348:R348"/>
    <mergeCell ref="AI348:AK348"/>
    <mergeCell ref="A360:AT361"/>
    <mergeCell ref="AJ364:AK364"/>
    <mergeCell ref="AC379:AF379"/>
    <mergeCell ref="AC380:AF380"/>
    <mergeCell ref="AJ365:AK365"/>
    <mergeCell ref="AJ366:AK366"/>
    <mergeCell ref="Y373:Z373"/>
    <mergeCell ref="Q374:AG374"/>
    <mergeCell ref="E377:AH378"/>
    <mergeCell ref="N379:Q379"/>
    <mergeCell ref="N380:Q380"/>
    <mergeCell ref="P353:AE353"/>
    <mergeCell ref="P354:AE354"/>
    <mergeCell ref="P355:AE355"/>
    <mergeCell ref="P356:Z356"/>
    <mergeCell ref="AC356:AE356"/>
    <mergeCell ref="P357:Z357"/>
    <mergeCell ref="P358:AE358"/>
    <mergeCell ref="AA347:AK347"/>
    <mergeCell ref="AA348:AF348"/>
    <mergeCell ref="H349:M349"/>
    <mergeCell ref="N381:Q381"/>
    <mergeCell ref="N382:AF383"/>
    <mergeCell ref="S386:T386"/>
    <mergeCell ref="V386:W386"/>
    <mergeCell ref="AD386:AE386"/>
    <mergeCell ref="AG386:AH386"/>
    <mergeCell ref="N387:P387"/>
    <mergeCell ref="AC396:AJ396"/>
    <mergeCell ref="V397:AJ397"/>
    <mergeCell ref="E427:G427"/>
    <mergeCell ref="I427:K427"/>
    <mergeCell ref="P427:R427"/>
    <mergeCell ref="W427:Y427"/>
    <mergeCell ref="AF427:AH427"/>
    <mergeCell ref="E429:AJ429"/>
    <mergeCell ref="I430:K430"/>
    <mergeCell ref="P430:R430"/>
    <mergeCell ref="T407:AJ407"/>
    <mergeCell ref="T408:AJ408"/>
    <mergeCell ref="AI406:AJ406"/>
    <mergeCell ref="AG410:AJ410"/>
    <mergeCell ref="AE411:AJ411"/>
    <mergeCell ref="K412:AJ412"/>
    <mergeCell ref="K413:AJ413"/>
    <mergeCell ref="S414:AJ414"/>
    <mergeCell ref="D415:AJ416"/>
    <mergeCell ref="I419:AE419"/>
    <mergeCell ref="R420:S420"/>
    <mergeCell ref="AD420:AE420"/>
    <mergeCell ref="R421:S421"/>
    <mergeCell ref="AD421:AE421"/>
    <mergeCell ref="S422:T422"/>
    <mergeCell ref="AG388:AH388"/>
    <mergeCell ref="AG389:AH389"/>
    <mergeCell ref="V390:W390"/>
    <mergeCell ref="V391:W391"/>
    <mergeCell ref="J394:U394"/>
    <mergeCell ref="AC394:AJ394"/>
    <mergeCell ref="AC395:AJ395"/>
    <mergeCell ref="Q400:U400"/>
    <mergeCell ref="S401:U401"/>
    <mergeCell ref="Q402:U402"/>
    <mergeCell ref="Q403:U403"/>
    <mergeCell ref="S410:U410"/>
    <mergeCell ref="S411:U411"/>
    <mergeCell ref="J395:U395"/>
    <mergeCell ref="J396:U396"/>
    <mergeCell ref="J397:U397"/>
    <mergeCell ref="Q398:U398"/>
    <mergeCell ref="AI398:AJ398"/>
    <mergeCell ref="Q399:U399"/>
    <mergeCell ref="I401:N401"/>
    <mergeCell ref="AI401:AJ401"/>
    <mergeCell ref="AG399:AJ399"/>
    <mergeCell ref="AG400:AJ400"/>
    <mergeCell ref="AG402:AJ402"/>
    <mergeCell ref="AG403:AJ403"/>
    <mergeCell ref="AG404:AJ404"/>
    <mergeCell ref="H423:AE424"/>
    <mergeCell ref="AF439:AG439"/>
    <mergeCell ref="Z441:AA441"/>
    <mergeCell ref="Z443:AA443"/>
    <mergeCell ref="D446:AF446"/>
    <mergeCell ref="AG446:AJ446"/>
    <mergeCell ref="D447:AF447"/>
    <mergeCell ref="AG447:AJ447"/>
    <mergeCell ref="D448:AF448"/>
    <mergeCell ref="AG448:AJ448"/>
    <mergeCell ref="D449:AF449"/>
    <mergeCell ref="AG449:AJ449"/>
    <mergeCell ref="D450:AF450"/>
    <mergeCell ref="AG450:AJ450"/>
    <mergeCell ref="AG451:AJ451"/>
    <mergeCell ref="D451:AF451"/>
    <mergeCell ref="D452:AF452"/>
    <mergeCell ref="AG452:AJ452"/>
    <mergeCell ref="P433:Q433"/>
    <mergeCell ref="AE433:AF433"/>
    <mergeCell ref="P434:Q434"/>
    <mergeCell ref="AE434:AF434"/>
    <mergeCell ref="F436:AH437"/>
    <mergeCell ref="Q438:R438"/>
    <mergeCell ref="D453:AF453"/>
    <mergeCell ref="AG453:AJ453"/>
    <mergeCell ref="D454:AF454"/>
    <mergeCell ref="AG454:AJ454"/>
    <mergeCell ref="D455:AF455"/>
    <mergeCell ref="AG455:AJ455"/>
    <mergeCell ref="D456:AF456"/>
    <mergeCell ref="AG456:AJ456"/>
    <mergeCell ref="D457:AF457"/>
    <mergeCell ref="AG457:AJ457"/>
    <mergeCell ref="AG458:AJ458"/>
    <mergeCell ref="D458:AF458"/>
    <mergeCell ref="D459:AF459"/>
    <mergeCell ref="AG459:AJ459"/>
    <mergeCell ref="D460:AJ461"/>
    <mergeCell ref="AC463:AF463"/>
    <mergeCell ref="AC464:AF464"/>
    <mergeCell ref="AC465:AF465"/>
    <mergeCell ref="D473:V473"/>
    <mergeCell ref="W473:Y473"/>
    <mergeCell ref="D474:V474"/>
    <mergeCell ref="W474:Y474"/>
    <mergeCell ref="D475:V475"/>
    <mergeCell ref="W475:Y475"/>
    <mergeCell ref="W476:Y476"/>
    <mergeCell ref="D476:V476"/>
    <mergeCell ref="D477:V477"/>
    <mergeCell ref="W477:Y477"/>
    <mergeCell ref="D478:V478"/>
    <mergeCell ref="W478:Y478"/>
    <mergeCell ref="D479:V479"/>
    <mergeCell ref="W479:Y479"/>
    <mergeCell ref="D480:V480"/>
    <mergeCell ref="W480:Y480"/>
    <mergeCell ref="D481:V481"/>
    <mergeCell ref="W481:Y481"/>
    <mergeCell ref="G482:V482"/>
    <mergeCell ref="W482:Y482"/>
    <mergeCell ref="A488:AT489"/>
    <mergeCell ref="Q493:AK493"/>
    <mergeCell ref="Q494:AK494"/>
    <mergeCell ref="Q495:AK495"/>
    <mergeCell ref="Q496:AK496"/>
    <mergeCell ref="B497:P498"/>
    <mergeCell ref="Q497:R498"/>
    <mergeCell ref="S497:AK498"/>
    <mergeCell ref="Q499:AK499"/>
    <mergeCell ref="Q500:AK500"/>
    <mergeCell ref="Q501:AK501"/>
    <mergeCell ref="Q502:AK502"/>
    <mergeCell ref="M503:P503"/>
    <mergeCell ref="AH503:AK503"/>
    <mergeCell ref="AH530:AK530"/>
    <mergeCell ref="AH538:AK538"/>
    <mergeCell ref="AH539:AK539"/>
    <mergeCell ref="AH531:AK531"/>
    <mergeCell ref="AH532:AK532"/>
    <mergeCell ref="AH533:AK533"/>
    <mergeCell ref="AH534:AK534"/>
    <mergeCell ref="AH535:AK535"/>
    <mergeCell ref="AH536:AK536"/>
    <mergeCell ref="AH537:AK537"/>
    <mergeCell ref="AC507:AK507"/>
    <mergeCell ref="AC510:AF510"/>
    <mergeCell ref="AC511:AF511"/>
    <mergeCell ref="AC509:AF509"/>
    <mergeCell ref="AC512:AF512"/>
    <mergeCell ref="AH512:AK512"/>
    <mergeCell ref="AC513:AF513"/>
    <mergeCell ref="AH513:AK513"/>
    <mergeCell ref="AC514:AF514"/>
    <mergeCell ref="AH514:AK514"/>
    <mergeCell ref="AC515:AF515"/>
    <mergeCell ref="AH515:AK515"/>
    <mergeCell ref="AC523:AF523"/>
    <mergeCell ref="AC524:AF524"/>
    <mergeCell ref="AC525:AF525"/>
    <mergeCell ref="AC526:AF526"/>
    <mergeCell ref="AC527:AF527"/>
    <mergeCell ref="AH522:AK522"/>
    <mergeCell ref="AH523:AK523"/>
    <mergeCell ref="AH524:AK524"/>
    <mergeCell ref="AH541:AK541"/>
    <mergeCell ref="AH542:AK542"/>
    <mergeCell ref="AC508:AF508"/>
    <mergeCell ref="AH508:AK508"/>
    <mergeCell ref="B509:H510"/>
    <mergeCell ref="AH509:AK509"/>
    <mergeCell ref="AH510:AK510"/>
    <mergeCell ref="B511:H516"/>
    <mergeCell ref="AH511:AK511"/>
    <mergeCell ref="AH516:AK516"/>
    <mergeCell ref="L516:AB516"/>
    <mergeCell ref="AC516:AF516"/>
    <mergeCell ref="AC517:AF517"/>
    <mergeCell ref="AH517:AK517"/>
    <mergeCell ref="AC518:AF518"/>
    <mergeCell ref="AH518:AK518"/>
    <mergeCell ref="AH520:AK520"/>
    <mergeCell ref="B522:H524"/>
    <mergeCell ref="B525:H527"/>
    <mergeCell ref="B528:H550"/>
    <mergeCell ref="AC520:AF520"/>
    <mergeCell ref="AC521:AF521"/>
    <mergeCell ref="AH521:AK521"/>
    <mergeCell ref="AC522:AF522"/>
    <mergeCell ref="AC529:AF529"/>
    <mergeCell ref="AC530:AF530"/>
    <mergeCell ref="AH525:AK525"/>
    <mergeCell ref="AH526:AK526"/>
    <mergeCell ref="AH527:AK527"/>
    <mergeCell ref="AC528:AF528"/>
    <mergeCell ref="AH528:AK528"/>
    <mergeCell ref="AH529:AK529"/>
    <mergeCell ref="O528:AA528"/>
    <mergeCell ref="O531:AA531"/>
    <mergeCell ref="O534:AA534"/>
    <mergeCell ref="O537:AA537"/>
    <mergeCell ref="O540:AA540"/>
    <mergeCell ref="O543:AA543"/>
    <mergeCell ref="AC531:AF531"/>
    <mergeCell ref="AC532:AF532"/>
    <mergeCell ref="AC533:AF533"/>
    <mergeCell ref="AC534:AF534"/>
    <mergeCell ref="AC535:AF535"/>
    <mergeCell ref="AC536:AF536"/>
    <mergeCell ref="AC537:AF537"/>
    <mergeCell ref="AH548:AK548"/>
    <mergeCell ref="AH549:AK549"/>
    <mergeCell ref="AC550:AF550"/>
    <mergeCell ref="AH550:AK550"/>
    <mergeCell ref="AH543:AK543"/>
    <mergeCell ref="AH544:AK544"/>
    <mergeCell ref="AC545:AF545"/>
    <mergeCell ref="AH545:AK545"/>
    <mergeCell ref="AC546:AF546"/>
    <mergeCell ref="AH546:AK546"/>
    <mergeCell ref="AH547:AK547"/>
    <mergeCell ref="AC542:AF542"/>
    <mergeCell ref="AC543:AF543"/>
    <mergeCell ref="AC544:AF544"/>
    <mergeCell ref="AC538:AF538"/>
    <mergeCell ref="AC539:AF539"/>
    <mergeCell ref="AC540:AF540"/>
    <mergeCell ref="AH540:AK540"/>
    <mergeCell ref="AC541:AF541"/>
    <mergeCell ref="T559:V561"/>
    <mergeCell ref="W559:Y561"/>
    <mergeCell ref="Z559:AD561"/>
    <mergeCell ref="AE559:AH561"/>
    <mergeCell ref="AI559:AL561"/>
    <mergeCell ref="AM559:AS561"/>
    <mergeCell ref="AC547:AF547"/>
    <mergeCell ref="AC548:AF548"/>
    <mergeCell ref="AC549:AF549"/>
    <mergeCell ref="A552:AT553"/>
    <mergeCell ref="B559:L561"/>
    <mergeCell ref="M559:P561"/>
    <mergeCell ref="Q559:S561"/>
    <mergeCell ref="AI562:AL562"/>
    <mergeCell ref="AM562:AS562"/>
    <mergeCell ref="C562:L562"/>
    <mergeCell ref="M562:P562"/>
    <mergeCell ref="Q562:S562"/>
    <mergeCell ref="T562:V562"/>
    <mergeCell ref="W562:Y562"/>
    <mergeCell ref="Z562:AD562"/>
    <mergeCell ref="AE562:AH562"/>
    <mergeCell ref="AI566:AL566"/>
    <mergeCell ref="AM566:AS566"/>
    <mergeCell ref="C566:L566"/>
    <mergeCell ref="M566:P566"/>
    <mergeCell ref="Q566:S566"/>
    <mergeCell ref="T566:V566"/>
    <mergeCell ref="W566:Y566"/>
    <mergeCell ref="Z566:AD566"/>
    <mergeCell ref="AE566:AH566"/>
    <mergeCell ref="AI567:AL567"/>
    <mergeCell ref="AM567:AS567"/>
    <mergeCell ref="C567:L567"/>
    <mergeCell ref="M567:P567"/>
    <mergeCell ref="Q567:S567"/>
    <mergeCell ref="T567:V567"/>
    <mergeCell ref="W567:Y567"/>
    <mergeCell ref="Z567:AD567"/>
    <mergeCell ref="AE567:AH567"/>
    <mergeCell ref="AM568:AS568"/>
    <mergeCell ref="C568:L568"/>
    <mergeCell ref="M568:P568"/>
    <mergeCell ref="Q568:S568"/>
    <mergeCell ref="T568:V568"/>
    <mergeCell ref="W568:Y568"/>
    <mergeCell ref="Z568:AD568"/>
    <mergeCell ref="AE568:AH568"/>
    <mergeCell ref="AI569:AL569"/>
    <mergeCell ref="AM569:AS569"/>
    <mergeCell ref="C569:L569"/>
    <mergeCell ref="M569:P569"/>
    <mergeCell ref="Q569:S569"/>
    <mergeCell ref="T569:V569"/>
    <mergeCell ref="W569:Y569"/>
    <mergeCell ref="Z569:AD569"/>
    <mergeCell ref="AE569:AH569"/>
    <mergeCell ref="AM570:AS570"/>
    <mergeCell ref="C570:L570"/>
    <mergeCell ref="M570:P570"/>
    <mergeCell ref="Q570:S570"/>
    <mergeCell ref="T570:V570"/>
    <mergeCell ref="W570:Y570"/>
    <mergeCell ref="Z570:AD570"/>
    <mergeCell ref="AE570:AH570"/>
    <mergeCell ref="AI571:AL571"/>
    <mergeCell ref="AM571:AS571"/>
    <mergeCell ref="C571:L571"/>
    <mergeCell ref="M571:P571"/>
    <mergeCell ref="Q571:S571"/>
    <mergeCell ref="T571:V571"/>
    <mergeCell ref="W571:Y571"/>
    <mergeCell ref="Z571:AD571"/>
    <mergeCell ref="AE571:AH571"/>
    <mergeCell ref="C572:L572"/>
    <mergeCell ref="M572:P572"/>
    <mergeCell ref="Q572:S572"/>
    <mergeCell ref="T572:V572"/>
    <mergeCell ref="W572:Y572"/>
    <mergeCell ref="Z572:AD572"/>
    <mergeCell ref="AE572:AH572"/>
    <mergeCell ref="AI573:AL573"/>
    <mergeCell ref="AM573:AS573"/>
    <mergeCell ref="AM574:AS574"/>
    <mergeCell ref="C573:L573"/>
    <mergeCell ref="Q573:S573"/>
    <mergeCell ref="T573:V573"/>
    <mergeCell ref="W573:Y573"/>
    <mergeCell ref="Z573:AD573"/>
    <mergeCell ref="AE573:AH573"/>
    <mergeCell ref="B574:AL574"/>
    <mergeCell ref="M573:P573"/>
    <mergeCell ref="G576:R576"/>
    <mergeCell ref="Z576:AK576"/>
    <mergeCell ref="G577:R577"/>
    <mergeCell ref="Z577:AK577"/>
    <mergeCell ref="G578:R578"/>
    <mergeCell ref="G579:R579"/>
    <mergeCell ref="AI563:AL563"/>
    <mergeCell ref="AM563:AS563"/>
    <mergeCell ref="C563:L563"/>
    <mergeCell ref="M563:P563"/>
    <mergeCell ref="Q563:S563"/>
    <mergeCell ref="T563:V563"/>
    <mergeCell ref="W563:Y563"/>
    <mergeCell ref="Z563:AD563"/>
    <mergeCell ref="AE563:AH563"/>
    <mergeCell ref="AI564:AL564"/>
    <mergeCell ref="AM564:AS564"/>
    <mergeCell ref="C564:L564"/>
    <mergeCell ref="M564:P564"/>
    <mergeCell ref="Q564:S564"/>
    <mergeCell ref="T564:V564"/>
    <mergeCell ref="W564:Y564"/>
    <mergeCell ref="Z564:AD564"/>
    <mergeCell ref="AE564:AH564"/>
    <mergeCell ref="AI565:AL565"/>
    <mergeCell ref="AM565:AS565"/>
    <mergeCell ref="C565:L565"/>
    <mergeCell ref="M565:P565"/>
    <mergeCell ref="Q565:S565"/>
    <mergeCell ref="AI572:AL572"/>
    <mergeCell ref="AM572:AS572"/>
    <mergeCell ref="T565:V565"/>
    <mergeCell ref="W565:Y565"/>
    <mergeCell ref="Z565:AD565"/>
    <mergeCell ref="AE565:AH565"/>
    <mergeCell ref="AG583:AH583"/>
    <mergeCell ref="Z585:AK585"/>
    <mergeCell ref="AG607:AH607"/>
    <mergeCell ref="Z609:AK609"/>
    <mergeCell ref="Z601:AK601"/>
    <mergeCell ref="Z602:AK602"/>
    <mergeCell ref="Z603:AK603"/>
    <mergeCell ref="Z604:AK604"/>
    <mergeCell ref="Z605:AE605"/>
    <mergeCell ref="AI605:AK605"/>
    <mergeCell ref="AA606:AK606"/>
    <mergeCell ref="Z587:AK587"/>
    <mergeCell ref="Z588:AK588"/>
    <mergeCell ref="Z589:AE589"/>
    <mergeCell ref="AI589:AK589"/>
    <mergeCell ref="AA590:AK590"/>
    <mergeCell ref="AG591:AH591"/>
    <mergeCell ref="Z593:AK593"/>
    <mergeCell ref="Z594:AK594"/>
    <mergeCell ref="Z595:AK595"/>
    <mergeCell ref="Z596:AK596"/>
    <mergeCell ref="Z597:AE597"/>
    <mergeCell ref="AI597:AK597"/>
    <mergeCell ref="AA598:AK598"/>
    <mergeCell ref="AG599:AH599"/>
    <mergeCell ref="Z578:AK578"/>
    <mergeCell ref="Z579:AK579"/>
    <mergeCell ref="AI570:AL570"/>
    <mergeCell ref="AI568:AL568"/>
    <mergeCell ref="Z610:AK610"/>
    <mergeCell ref="Z611:AK611"/>
    <mergeCell ref="Z612:AK612"/>
    <mergeCell ref="Z613:AE613"/>
    <mergeCell ref="AI613:AK613"/>
    <mergeCell ref="AA614:AK614"/>
    <mergeCell ref="AG615:AH615"/>
    <mergeCell ref="G580:L580"/>
    <mergeCell ref="P580:R580"/>
    <mergeCell ref="Z580:AE580"/>
    <mergeCell ref="AI580:AK580"/>
    <mergeCell ref="H581:R581"/>
    <mergeCell ref="AA581:AK581"/>
    <mergeCell ref="AF582:AK582"/>
    <mergeCell ref="M582:R582"/>
    <mergeCell ref="N583:O583"/>
    <mergeCell ref="G585:R585"/>
    <mergeCell ref="G586:R586"/>
    <mergeCell ref="Z586:AK586"/>
    <mergeCell ref="G587:R587"/>
    <mergeCell ref="G588:R588"/>
    <mergeCell ref="G589:L589"/>
    <mergeCell ref="P589:R589"/>
    <mergeCell ref="H590:R590"/>
    <mergeCell ref="N591:O591"/>
    <mergeCell ref="G593:R593"/>
    <mergeCell ref="G594:R594"/>
    <mergeCell ref="G595:R595"/>
    <mergeCell ref="G596:R596"/>
    <mergeCell ref="G597:L597"/>
    <mergeCell ref="P597:R597"/>
    <mergeCell ref="H598:R598"/>
    <mergeCell ref="N599:O599"/>
    <mergeCell ref="G601:R601"/>
    <mergeCell ref="G602:R602"/>
    <mergeCell ref="G603:R603"/>
    <mergeCell ref="G604:R604"/>
    <mergeCell ref="G605:L605"/>
    <mergeCell ref="P605:R605"/>
    <mergeCell ref="H606:R606"/>
    <mergeCell ref="N607:O607"/>
    <mergeCell ref="G609:R609"/>
    <mergeCell ref="G610:R610"/>
    <mergeCell ref="G611:R611"/>
    <mergeCell ref="G612:R612"/>
    <mergeCell ref="G613:L613"/>
    <mergeCell ref="P613:R613"/>
    <mergeCell ref="H614:R614"/>
    <mergeCell ref="N615:O615"/>
    <mergeCell ref="H622:R622"/>
    <mergeCell ref="AA622:AK622"/>
    <mergeCell ref="N623:O623"/>
    <mergeCell ref="AG623:AH623"/>
    <mergeCell ref="AF637:AJ637"/>
    <mergeCell ref="AK637:AN637"/>
    <mergeCell ref="AO637:AS637"/>
    <mergeCell ref="C637:L637"/>
    <mergeCell ref="M637:P637"/>
    <mergeCell ref="Q637:S637"/>
    <mergeCell ref="T637:V637"/>
    <mergeCell ref="W637:Y637"/>
    <mergeCell ref="Z637:AB637"/>
    <mergeCell ref="AC637:AE637"/>
    <mergeCell ref="AF638:AJ638"/>
    <mergeCell ref="AK638:AN638"/>
    <mergeCell ref="AO638:AS638"/>
    <mergeCell ref="C638:L638"/>
    <mergeCell ref="M638:P638"/>
    <mergeCell ref="Q638:S638"/>
    <mergeCell ref="T638:V638"/>
    <mergeCell ref="W638:Y638"/>
    <mergeCell ref="Z638:AB638"/>
    <mergeCell ref="AC638:AE638"/>
    <mergeCell ref="AO635:AS635"/>
    <mergeCell ref="AO636:AS636"/>
    <mergeCell ref="A625:AT626"/>
    <mergeCell ref="M632:P634"/>
    <mergeCell ref="Q632:S634"/>
    <mergeCell ref="AO632:AS634"/>
    <mergeCell ref="M635:P635"/>
    <mergeCell ref="Q635:S635"/>
    <mergeCell ref="AO639:AS639"/>
    <mergeCell ref="C639:L639"/>
    <mergeCell ref="M639:P639"/>
    <mergeCell ref="Q639:S639"/>
    <mergeCell ref="T639:V639"/>
    <mergeCell ref="W639:Y639"/>
    <mergeCell ref="Z639:AB639"/>
    <mergeCell ref="AC639:AE639"/>
    <mergeCell ref="AF640:AJ640"/>
    <mergeCell ref="AK640:AN640"/>
    <mergeCell ref="AO640:AS640"/>
    <mergeCell ref="C640:L640"/>
    <mergeCell ref="M640:P640"/>
    <mergeCell ref="Q640:S640"/>
    <mergeCell ref="T640:V640"/>
    <mergeCell ref="W640:Y640"/>
    <mergeCell ref="Z640:AB640"/>
    <mergeCell ref="AC640:AE640"/>
    <mergeCell ref="AO641:AS641"/>
    <mergeCell ref="C641:L641"/>
    <mergeCell ref="M641:P641"/>
    <mergeCell ref="Q641:S641"/>
    <mergeCell ref="T641:V641"/>
    <mergeCell ref="W641:Y641"/>
    <mergeCell ref="Z641:AB641"/>
    <mergeCell ref="AC641:AE641"/>
    <mergeCell ref="AF643:AJ643"/>
    <mergeCell ref="AK643:AN643"/>
    <mergeCell ref="AO643:AS643"/>
    <mergeCell ref="C643:L643"/>
    <mergeCell ref="M643:P643"/>
    <mergeCell ref="Q643:S643"/>
    <mergeCell ref="T643:V643"/>
    <mergeCell ref="W643:Y643"/>
    <mergeCell ref="Z643:AB643"/>
    <mergeCell ref="AC643:AE643"/>
    <mergeCell ref="C642:L642"/>
    <mergeCell ref="M642:P642"/>
    <mergeCell ref="Q642:S642"/>
    <mergeCell ref="T642:V642"/>
    <mergeCell ref="W642:Y642"/>
    <mergeCell ref="Z642:AB642"/>
    <mergeCell ref="AC642:AE642"/>
    <mergeCell ref="AF642:AJ642"/>
    <mergeCell ref="AK642:AN642"/>
    <mergeCell ref="AO642:AS642"/>
    <mergeCell ref="AO644:AS644"/>
    <mergeCell ref="C644:L644"/>
    <mergeCell ref="M644:P644"/>
    <mergeCell ref="Q644:S644"/>
    <mergeCell ref="T644:V644"/>
    <mergeCell ref="W644:Y644"/>
    <mergeCell ref="Z644:AB644"/>
    <mergeCell ref="AC644:AE644"/>
    <mergeCell ref="EM675:EQ675"/>
    <mergeCell ref="ER675:EV675"/>
    <mergeCell ref="DX651:EB651"/>
    <mergeCell ref="EC651:EG651"/>
    <mergeCell ref="EH651:EL651"/>
    <mergeCell ref="EM651:EQ651"/>
    <mergeCell ref="ER651:EV651"/>
    <mergeCell ref="DX646:EB646"/>
    <mergeCell ref="EC646:EG646"/>
    <mergeCell ref="EH646:EL646"/>
    <mergeCell ref="EM646:EQ646"/>
    <mergeCell ref="ER646:EV646"/>
    <mergeCell ref="B647:AN647"/>
    <mergeCell ref="AO647:AS647"/>
    <mergeCell ref="B648:AN648"/>
    <mergeCell ref="AO648:AS648"/>
    <mergeCell ref="B649:AN649"/>
    <mergeCell ref="AO649:AS649"/>
    <mergeCell ref="Z651:AK651"/>
    <mergeCell ref="G651:R651"/>
    <mergeCell ref="G652:R652"/>
    <mergeCell ref="Z652:AK652"/>
    <mergeCell ref="EC674:EG674"/>
    <mergeCell ref="EH674:EL674"/>
    <mergeCell ref="EW651:FA651"/>
    <mergeCell ref="EW675:FA675"/>
    <mergeCell ref="DX675:EB675"/>
    <mergeCell ref="DX676:EB676"/>
    <mergeCell ref="EC676:EG676"/>
    <mergeCell ref="EH676:EL676"/>
    <mergeCell ref="EM676:EQ676"/>
    <mergeCell ref="ER676:EV676"/>
    <mergeCell ref="EW676:FA676"/>
    <mergeCell ref="EC678:EG678"/>
    <mergeCell ref="EH678:EL678"/>
    <mergeCell ref="EM678:EQ678"/>
    <mergeCell ref="ER678:EV678"/>
    <mergeCell ref="DX677:EB677"/>
    <mergeCell ref="EC677:EG677"/>
    <mergeCell ref="EH677:EL677"/>
    <mergeCell ref="EM677:EQ677"/>
    <mergeCell ref="ER677:EV677"/>
    <mergeCell ref="EW677:FA677"/>
    <mergeCell ref="DX678:EB678"/>
    <mergeCell ref="EW678:FA678"/>
    <mergeCell ref="DX673:EB673"/>
    <mergeCell ref="EC673:EG673"/>
    <mergeCell ref="EH673:EL673"/>
    <mergeCell ref="EM673:EQ673"/>
    <mergeCell ref="ER673:EV673"/>
    <mergeCell ref="EW673:FA673"/>
    <mergeCell ref="DX674:EB674"/>
    <mergeCell ref="EW674:FA674"/>
    <mergeCell ref="EM674:EQ674"/>
    <mergeCell ref="ER674:EV674"/>
    <mergeCell ref="EH671:EL671"/>
    <mergeCell ref="DX643:EB643"/>
    <mergeCell ref="EC643:EG643"/>
    <mergeCell ref="EH643:EL643"/>
    <mergeCell ref="EM643:EQ643"/>
    <mergeCell ref="ER643:EV643"/>
    <mergeCell ref="EW643:FA643"/>
    <mergeCell ref="EC644:EG644"/>
    <mergeCell ref="EH644:EL644"/>
    <mergeCell ref="EM644:EQ644"/>
    <mergeCell ref="ER644:EV644"/>
    <mergeCell ref="EW644:FA644"/>
    <mergeCell ref="DX644:EB644"/>
    <mergeCell ref="DX645:EB645"/>
    <mergeCell ref="EC645:EG645"/>
    <mergeCell ref="EH645:EL645"/>
    <mergeCell ref="EM645:EQ645"/>
    <mergeCell ref="ER645:EV645"/>
    <mergeCell ref="EW645:FA645"/>
    <mergeCell ref="EW646:FA646"/>
    <mergeCell ref="DX647:EB647"/>
    <mergeCell ref="EW647:FA647"/>
    <mergeCell ref="DX649:EB649"/>
    <mergeCell ref="DX650:EB650"/>
    <mergeCell ref="EC650:EG650"/>
    <mergeCell ref="EH650:EL650"/>
    <mergeCell ref="EM650:EQ650"/>
    <mergeCell ref="ER650:EV650"/>
    <mergeCell ref="EW650:FA650"/>
    <mergeCell ref="EC675:EG675"/>
    <mergeCell ref="EH675:EL675"/>
    <mergeCell ref="AF645:AJ645"/>
    <mergeCell ref="AK645:AN645"/>
    <mergeCell ref="AO645:AS645"/>
    <mergeCell ref="C645:L645"/>
    <mergeCell ref="M645:P645"/>
    <mergeCell ref="Q645:S645"/>
    <mergeCell ref="T645:V645"/>
    <mergeCell ref="W645:Y645"/>
    <mergeCell ref="Z645:AB645"/>
    <mergeCell ref="AC645:AE645"/>
    <mergeCell ref="AF646:AJ646"/>
    <mergeCell ref="AK646:AN646"/>
    <mergeCell ref="AO646:AS646"/>
    <mergeCell ref="C646:L646"/>
    <mergeCell ref="M646:P646"/>
    <mergeCell ref="Q646:S646"/>
    <mergeCell ref="T646:V646"/>
    <mergeCell ref="W646:Y646"/>
    <mergeCell ref="Z646:AB646"/>
    <mergeCell ref="AC646:AE646"/>
    <mergeCell ref="G617:R617"/>
    <mergeCell ref="G618:R618"/>
    <mergeCell ref="G619:R619"/>
    <mergeCell ref="Z619:AK619"/>
    <mergeCell ref="G620:R620"/>
    <mergeCell ref="G621:L621"/>
    <mergeCell ref="P621:R621"/>
    <mergeCell ref="T632:V634"/>
    <mergeCell ref="W632:Y634"/>
    <mergeCell ref="T635:V635"/>
    <mergeCell ref="W635:Y635"/>
    <mergeCell ref="T636:V636"/>
    <mergeCell ref="W636:Y636"/>
    <mergeCell ref="Z632:AB634"/>
    <mergeCell ref="AC632:AE634"/>
    <mergeCell ref="Z635:AB635"/>
    <mergeCell ref="AC635:AE635"/>
    <mergeCell ref="Z636:AB636"/>
    <mergeCell ref="AC636:AE636"/>
    <mergeCell ref="AF632:AJ634"/>
    <mergeCell ref="AK632:AN634"/>
    <mergeCell ref="AF635:AJ635"/>
    <mergeCell ref="AK635:AN635"/>
    <mergeCell ref="AF636:AJ636"/>
    <mergeCell ref="AK636:AN636"/>
    <mergeCell ref="Z620:AK620"/>
    <mergeCell ref="Z621:AE621"/>
    <mergeCell ref="AI621:AK621"/>
    <mergeCell ref="Z617:AK617"/>
    <mergeCell ref="Z618:AK618"/>
    <mergeCell ref="B632:L634"/>
    <mergeCell ref="C635:L635"/>
    <mergeCell ref="C636:L636"/>
    <mergeCell ref="M636:P636"/>
    <mergeCell ref="Q636:S636"/>
    <mergeCell ref="Z661:AK661"/>
    <mergeCell ref="Z662:AK662"/>
    <mergeCell ref="Z669:AK669"/>
    <mergeCell ref="Z670:AK670"/>
    <mergeCell ref="Z671:AE671"/>
    <mergeCell ref="AI671:AK671"/>
    <mergeCell ref="AA672:AK672"/>
    <mergeCell ref="AG673:AH673"/>
    <mergeCell ref="Z675:AK675"/>
    <mergeCell ref="Z676:AK676"/>
    <mergeCell ref="P671:R671"/>
    <mergeCell ref="H672:R672"/>
    <mergeCell ref="N673:O673"/>
    <mergeCell ref="G675:R675"/>
    <mergeCell ref="G676:R676"/>
    <mergeCell ref="G653:R653"/>
    <mergeCell ref="Z653:AK653"/>
    <mergeCell ref="G654:R654"/>
    <mergeCell ref="Z654:AK654"/>
    <mergeCell ref="AF644:AJ644"/>
    <mergeCell ref="AK644:AN644"/>
    <mergeCell ref="AF641:AJ641"/>
    <mergeCell ref="AK641:AN641"/>
    <mergeCell ref="AF639:AJ639"/>
    <mergeCell ref="AK639:AN639"/>
    <mergeCell ref="Z677:AK677"/>
    <mergeCell ref="Z678:AK678"/>
    <mergeCell ref="Z679:AE679"/>
    <mergeCell ref="AI679:AK679"/>
    <mergeCell ref="AA680:AK680"/>
    <mergeCell ref="AG681:AH681"/>
    <mergeCell ref="G678:R678"/>
    <mergeCell ref="G679:L679"/>
    <mergeCell ref="P679:R679"/>
    <mergeCell ref="H680:R680"/>
    <mergeCell ref="N681:O681"/>
    <mergeCell ref="G683:R683"/>
    <mergeCell ref="G684:R684"/>
    <mergeCell ref="G685:R685"/>
    <mergeCell ref="G686:R686"/>
    <mergeCell ref="G687:L687"/>
    <mergeCell ref="P687:R687"/>
    <mergeCell ref="G677:R677"/>
    <mergeCell ref="H688:R688"/>
    <mergeCell ref="N689:O689"/>
    <mergeCell ref="G691:R691"/>
    <mergeCell ref="G655:L655"/>
    <mergeCell ref="P655:R655"/>
    <mergeCell ref="Z655:AE655"/>
    <mergeCell ref="AI655:AK655"/>
    <mergeCell ref="H656:R656"/>
    <mergeCell ref="AA656:AK656"/>
    <mergeCell ref="AG657:AH657"/>
    <mergeCell ref="N657:O657"/>
    <mergeCell ref="G659:R659"/>
    <mergeCell ref="Z659:AK659"/>
    <mergeCell ref="G660:R660"/>
    <mergeCell ref="Z660:AK660"/>
    <mergeCell ref="G661:R661"/>
    <mergeCell ref="G662:R662"/>
    <mergeCell ref="G663:L663"/>
    <mergeCell ref="P663:R663"/>
    <mergeCell ref="Z663:AE663"/>
    <mergeCell ref="AI663:AK663"/>
    <mergeCell ref="H664:R664"/>
    <mergeCell ref="AA664:AK664"/>
    <mergeCell ref="AG665:AH665"/>
    <mergeCell ref="N665:O665"/>
    <mergeCell ref="G667:R667"/>
    <mergeCell ref="Z667:AK667"/>
    <mergeCell ref="G668:R668"/>
    <mergeCell ref="Z668:AK668"/>
    <mergeCell ref="G669:R669"/>
    <mergeCell ref="G670:R670"/>
    <mergeCell ref="G671:L671"/>
    <mergeCell ref="G692:R692"/>
    <mergeCell ref="Z692:AK692"/>
    <mergeCell ref="Z693:AK693"/>
    <mergeCell ref="Z694:AK694"/>
    <mergeCell ref="Z695:AE695"/>
    <mergeCell ref="AI695:AK695"/>
    <mergeCell ref="AA696:AK696"/>
    <mergeCell ref="AG697:AH697"/>
    <mergeCell ref="G693:R693"/>
    <mergeCell ref="G694:R694"/>
    <mergeCell ref="G695:L695"/>
    <mergeCell ref="P695:R695"/>
    <mergeCell ref="H696:R696"/>
    <mergeCell ref="N697:O697"/>
    <mergeCell ref="AH743:AJ743"/>
    <mergeCell ref="AK743:AO743"/>
    <mergeCell ref="B743:F743"/>
    <mergeCell ref="G743:J743"/>
    <mergeCell ref="K743:N743"/>
    <mergeCell ref="O743:S743"/>
    <mergeCell ref="T743:W743"/>
    <mergeCell ref="X743:AB743"/>
    <mergeCell ref="AC743:AG743"/>
    <mergeCell ref="O728:S728"/>
    <mergeCell ref="T728:W728"/>
    <mergeCell ref="X728:AB728"/>
    <mergeCell ref="AC728:AG728"/>
    <mergeCell ref="J713:O713"/>
    <mergeCell ref="R713:T713"/>
    <mergeCell ref="AC722:AG725"/>
    <mergeCell ref="AH722:AJ725"/>
    <mergeCell ref="AH729:AJ729"/>
    <mergeCell ref="AH744:AJ744"/>
    <mergeCell ref="AK744:AO744"/>
    <mergeCell ref="B744:F744"/>
    <mergeCell ref="G744:J744"/>
    <mergeCell ref="K744:N744"/>
    <mergeCell ref="O744:S744"/>
    <mergeCell ref="T744:W744"/>
    <mergeCell ref="X744:AB744"/>
    <mergeCell ref="AC744:AG744"/>
    <mergeCell ref="AH745:AJ745"/>
    <mergeCell ref="AK745:AO745"/>
    <mergeCell ref="B745:F745"/>
    <mergeCell ref="G745:J745"/>
    <mergeCell ref="K745:N745"/>
    <mergeCell ref="O745:S745"/>
    <mergeCell ref="T745:W745"/>
    <mergeCell ref="X745:AB745"/>
    <mergeCell ref="AC745:AG745"/>
    <mergeCell ref="AH746:AJ746"/>
    <mergeCell ref="AK746:AO746"/>
    <mergeCell ref="B746:F746"/>
    <mergeCell ref="G746:J746"/>
    <mergeCell ref="K746:N746"/>
    <mergeCell ref="O746:S746"/>
    <mergeCell ref="T746:W746"/>
    <mergeCell ref="X746:AB746"/>
    <mergeCell ref="AC746:AG746"/>
    <mergeCell ref="AH747:AJ747"/>
    <mergeCell ref="AK747:AO747"/>
    <mergeCell ref="B747:F747"/>
    <mergeCell ref="G747:J747"/>
    <mergeCell ref="K747:N747"/>
    <mergeCell ref="O747:S747"/>
    <mergeCell ref="T747:W747"/>
    <mergeCell ref="X747:AB747"/>
    <mergeCell ref="AC747:AG747"/>
    <mergeCell ref="AH748:AJ748"/>
    <mergeCell ref="AK748:AO748"/>
    <mergeCell ref="B748:F748"/>
    <mergeCell ref="G748:J748"/>
    <mergeCell ref="K748:N748"/>
    <mergeCell ref="O748:S748"/>
    <mergeCell ref="T748:W748"/>
    <mergeCell ref="X748:AB748"/>
    <mergeCell ref="AC748:AG748"/>
    <mergeCell ref="AH749:AJ749"/>
    <mergeCell ref="AK749:AO749"/>
    <mergeCell ref="B749:F749"/>
    <mergeCell ref="G749:J749"/>
    <mergeCell ref="K749:N749"/>
    <mergeCell ref="O749:S749"/>
    <mergeCell ref="T749:W749"/>
    <mergeCell ref="X749:AB749"/>
    <mergeCell ref="AC749:AG749"/>
    <mergeCell ref="AH750:AJ750"/>
    <mergeCell ref="AK750:AO750"/>
    <mergeCell ref="B750:F750"/>
    <mergeCell ref="G750:J750"/>
    <mergeCell ref="K750:N750"/>
    <mergeCell ref="O750:S750"/>
    <mergeCell ref="T750:W750"/>
    <mergeCell ref="X750:AB750"/>
    <mergeCell ref="AC750:AG750"/>
    <mergeCell ref="AH751:AJ751"/>
    <mergeCell ref="AK751:AO751"/>
    <mergeCell ref="B751:F751"/>
    <mergeCell ref="G751:J751"/>
    <mergeCell ref="K751:N751"/>
    <mergeCell ref="O751:S751"/>
    <mergeCell ref="T751:W751"/>
    <mergeCell ref="X751:AB751"/>
    <mergeCell ref="AC751:AG751"/>
    <mergeCell ref="AH752:AJ752"/>
    <mergeCell ref="AK752:AO752"/>
    <mergeCell ref="B752:F752"/>
    <mergeCell ref="G752:J752"/>
    <mergeCell ref="K752:N752"/>
    <mergeCell ref="O752:S752"/>
    <mergeCell ref="T752:W752"/>
    <mergeCell ref="X752:AB752"/>
    <mergeCell ref="AC752:AG752"/>
    <mergeCell ref="AH753:AJ753"/>
    <mergeCell ref="AK753:AO753"/>
    <mergeCell ref="B753:F753"/>
    <mergeCell ref="G753:J753"/>
    <mergeCell ref="K753:N753"/>
    <mergeCell ref="O753:S753"/>
    <mergeCell ref="T753:W753"/>
    <mergeCell ref="X753:AB753"/>
    <mergeCell ref="AC753:AG753"/>
    <mergeCell ref="AH754:AJ754"/>
    <mergeCell ref="AK754:AO754"/>
    <mergeCell ref="B754:F754"/>
    <mergeCell ref="G754:J754"/>
    <mergeCell ref="K754:N754"/>
    <mergeCell ref="O754:S754"/>
    <mergeCell ref="T754:W754"/>
    <mergeCell ref="X754:AB754"/>
    <mergeCell ref="AC754:AG754"/>
    <mergeCell ref="AH755:AJ755"/>
    <mergeCell ref="AK755:AO755"/>
    <mergeCell ref="B755:F755"/>
    <mergeCell ref="G755:J755"/>
    <mergeCell ref="K755:N755"/>
    <mergeCell ref="O755:S755"/>
    <mergeCell ref="T755:W755"/>
    <mergeCell ref="X755:AB755"/>
    <mergeCell ref="AC755:AG755"/>
    <mergeCell ref="AH756:AJ756"/>
    <mergeCell ref="AK756:AO756"/>
    <mergeCell ref="B756:F756"/>
    <mergeCell ref="G756:J756"/>
    <mergeCell ref="K756:N756"/>
    <mergeCell ref="O756:S756"/>
    <mergeCell ref="T756:W756"/>
    <mergeCell ref="X756:AB756"/>
    <mergeCell ref="AC756:AG756"/>
    <mergeCell ref="AH757:AJ757"/>
    <mergeCell ref="AK757:AO757"/>
    <mergeCell ref="B757:F757"/>
    <mergeCell ref="G757:J757"/>
    <mergeCell ref="K757:N757"/>
    <mergeCell ref="O757:S757"/>
    <mergeCell ref="T757:W757"/>
    <mergeCell ref="X757:AB757"/>
    <mergeCell ref="AC757:AG757"/>
    <mergeCell ref="AH758:AJ758"/>
    <mergeCell ref="AK758:AO758"/>
    <mergeCell ref="B758:F758"/>
    <mergeCell ref="G758:J758"/>
    <mergeCell ref="K758:N758"/>
    <mergeCell ref="O758:S758"/>
    <mergeCell ref="T758:W758"/>
    <mergeCell ref="X758:AB758"/>
    <mergeCell ref="AC758:AG758"/>
    <mergeCell ref="T722:W725"/>
    <mergeCell ref="X722:AB725"/>
    <mergeCell ref="W714:AK714"/>
    <mergeCell ref="E715:AK715"/>
    <mergeCell ref="A717:AT719"/>
    <mergeCell ref="G722:J725"/>
    <mergeCell ref="K722:N725"/>
    <mergeCell ref="O722:S725"/>
    <mergeCell ref="AK722:AO725"/>
    <mergeCell ref="AH727:AJ727"/>
    <mergeCell ref="AK727:AO727"/>
    <mergeCell ref="B727:F727"/>
    <mergeCell ref="G727:J727"/>
    <mergeCell ref="K727:N727"/>
    <mergeCell ref="O727:S727"/>
    <mergeCell ref="T727:W727"/>
    <mergeCell ref="X727:AB727"/>
    <mergeCell ref="AC727:AG727"/>
    <mergeCell ref="AH728:AJ728"/>
    <mergeCell ref="AK728:AO728"/>
    <mergeCell ref="B728:F728"/>
    <mergeCell ref="G728:J728"/>
    <mergeCell ref="K728:N728"/>
    <mergeCell ref="B759:F759"/>
    <mergeCell ref="G759:J759"/>
    <mergeCell ref="O759:S759"/>
    <mergeCell ref="AC759:AG759"/>
    <mergeCell ref="AH759:AJ759"/>
    <mergeCell ref="B760:AH761"/>
    <mergeCell ref="O762:R762"/>
    <mergeCell ref="AG762:AJ762"/>
    <mergeCell ref="C763:AM764"/>
    <mergeCell ref="AD765:AF765"/>
    <mergeCell ref="C769:AR771"/>
    <mergeCell ref="C772:AR774"/>
    <mergeCell ref="O775:S778"/>
    <mergeCell ref="AC775:AG778"/>
    <mergeCell ref="T780:W780"/>
    <mergeCell ref="T781:W781"/>
    <mergeCell ref="X781:AB781"/>
    <mergeCell ref="AC781:AG781"/>
    <mergeCell ref="T775:W778"/>
    <mergeCell ref="X775:AB778"/>
    <mergeCell ref="T779:W779"/>
    <mergeCell ref="X779:AB779"/>
    <mergeCell ref="AC779:AG779"/>
    <mergeCell ref="X780:AB780"/>
    <mergeCell ref="AC780:AG780"/>
    <mergeCell ref="J782:N782"/>
    <mergeCell ref="O782:S782"/>
    <mergeCell ref="T782:W782"/>
    <mergeCell ref="X782:AB782"/>
    <mergeCell ref="AC782:AG782"/>
    <mergeCell ref="J783:N783"/>
    <mergeCell ref="O783:S783"/>
    <mergeCell ref="X783:AB783"/>
    <mergeCell ref="AC783:AG783"/>
    <mergeCell ref="J775:N778"/>
    <mergeCell ref="J779:N779"/>
    <mergeCell ref="O779:S779"/>
    <mergeCell ref="J780:N780"/>
    <mergeCell ref="O780:S780"/>
    <mergeCell ref="J781:N781"/>
    <mergeCell ref="O781:S781"/>
    <mergeCell ref="O793:S793"/>
    <mergeCell ref="T793:W793"/>
    <mergeCell ref="X793:AB793"/>
    <mergeCell ref="AC793:AG793"/>
    <mergeCell ref="J785:K785"/>
    <mergeCell ref="J789:N792"/>
    <mergeCell ref="O789:S792"/>
    <mergeCell ref="T789:W792"/>
    <mergeCell ref="X789:AB792"/>
    <mergeCell ref="AC789:AG792"/>
    <mergeCell ref="J793:N793"/>
    <mergeCell ref="T795:W795"/>
    <mergeCell ref="X795:AB795"/>
    <mergeCell ref="X796:AB796"/>
    <mergeCell ref="AC796:AG796"/>
    <mergeCell ref="X797:AB797"/>
    <mergeCell ref="AC797:AG797"/>
    <mergeCell ref="J794:N794"/>
    <mergeCell ref="O794:S794"/>
    <mergeCell ref="T794:W794"/>
    <mergeCell ref="X794:AB794"/>
    <mergeCell ref="AC794:AG794"/>
    <mergeCell ref="O795:S795"/>
    <mergeCell ref="AC795:AG795"/>
    <mergeCell ref="J795:N795"/>
    <mergeCell ref="J796:N796"/>
    <mergeCell ref="O796:S796"/>
    <mergeCell ref="T796:W796"/>
    <mergeCell ref="J797:N797"/>
    <mergeCell ref="O797:S797"/>
    <mergeCell ref="T797:W797"/>
    <mergeCell ref="J798:N798"/>
    <mergeCell ref="O798:S798"/>
    <mergeCell ref="T798:W798"/>
    <mergeCell ref="X798:AB798"/>
    <mergeCell ref="AC798:AG798"/>
    <mergeCell ref="O799:S799"/>
    <mergeCell ref="AC799:AG799"/>
    <mergeCell ref="J802:N802"/>
    <mergeCell ref="O802:S802"/>
    <mergeCell ref="T802:W802"/>
    <mergeCell ref="X802:AB802"/>
    <mergeCell ref="AC802:AG802"/>
    <mergeCell ref="J803:N803"/>
    <mergeCell ref="O803:S803"/>
    <mergeCell ref="AC803:AG803"/>
    <mergeCell ref="C804:AN805"/>
    <mergeCell ref="Y806:AC806"/>
    <mergeCell ref="Y807:AC807"/>
    <mergeCell ref="J799:N799"/>
    <mergeCell ref="J800:N800"/>
    <mergeCell ref="O800:S800"/>
    <mergeCell ref="T800:W800"/>
    <mergeCell ref="J801:N801"/>
    <mergeCell ref="O801:S801"/>
    <mergeCell ref="T801:W801"/>
    <mergeCell ref="T799:W799"/>
    <mergeCell ref="X799:AB799"/>
    <mergeCell ref="X800:AB800"/>
    <mergeCell ref="AC800:AG800"/>
    <mergeCell ref="X801:AB801"/>
    <mergeCell ref="AC801:AG801"/>
    <mergeCell ref="Z812:AE812"/>
    <mergeCell ref="Z813:AE813"/>
    <mergeCell ref="Z814:AE814"/>
    <mergeCell ref="Z815:AE815"/>
    <mergeCell ref="Z819:AE819"/>
    <mergeCell ref="Z820:AE820"/>
    <mergeCell ref="Z821:AE821"/>
    <mergeCell ref="P822:Y822"/>
    <mergeCell ref="Z822:AE822"/>
    <mergeCell ref="Z823:AE823"/>
    <mergeCell ref="Z824:AE824"/>
    <mergeCell ref="M829:P830"/>
    <mergeCell ref="Q829:T830"/>
    <mergeCell ref="U829:X830"/>
    <mergeCell ref="Y829:AB830"/>
    <mergeCell ref="AC831:AF831"/>
    <mergeCell ref="AG831:AJ831"/>
    <mergeCell ref="M831:P831"/>
    <mergeCell ref="M832:P832"/>
    <mergeCell ref="C835:H835"/>
    <mergeCell ref="Q832:T832"/>
    <mergeCell ref="U832:X832"/>
    <mergeCell ref="Y832:AB832"/>
    <mergeCell ref="AC832:AF832"/>
    <mergeCell ref="AC829:AF830"/>
    <mergeCell ref="AG829:AJ830"/>
    <mergeCell ref="C831:H831"/>
    <mergeCell ref="Q831:T831"/>
    <mergeCell ref="U831:X831"/>
    <mergeCell ref="Y831:AB831"/>
    <mergeCell ref="AG832:AJ832"/>
    <mergeCell ref="C832:H832"/>
    <mergeCell ref="M833:P833"/>
    <mergeCell ref="Q833:T833"/>
    <mergeCell ref="U833:X833"/>
    <mergeCell ref="M836:P836"/>
    <mergeCell ref="Q836:T836"/>
    <mergeCell ref="U836:X836"/>
    <mergeCell ref="Y836:AB836"/>
    <mergeCell ref="AC836:AF836"/>
    <mergeCell ref="AG836:AJ836"/>
    <mergeCell ref="C836:H836"/>
    <mergeCell ref="M837:P837"/>
    <mergeCell ref="Q837:T837"/>
    <mergeCell ref="U837:X837"/>
    <mergeCell ref="Y837:AB837"/>
    <mergeCell ref="AC837:AF837"/>
    <mergeCell ref="AG837:AJ837"/>
    <mergeCell ref="U942:Z942"/>
    <mergeCell ref="F943:T943"/>
    <mergeCell ref="U943:Z943"/>
    <mergeCell ref="F944:T944"/>
    <mergeCell ref="U944:Z944"/>
    <mergeCell ref="U935:Z935"/>
    <mergeCell ref="F939:T939"/>
    <mergeCell ref="U939:Z939"/>
    <mergeCell ref="AA939:AF939"/>
    <mergeCell ref="F936:T936"/>
    <mergeCell ref="U936:Z936"/>
    <mergeCell ref="AA936:AF936"/>
    <mergeCell ref="F937:T937"/>
    <mergeCell ref="U937:Z937"/>
    <mergeCell ref="AA937:AF937"/>
    <mergeCell ref="F938:T938"/>
    <mergeCell ref="M852:V852"/>
    <mergeCell ref="W852:AC852"/>
    <mergeCell ref="W853:AC853"/>
    <mergeCell ref="M976:S976"/>
    <mergeCell ref="F947:T947"/>
    <mergeCell ref="U947:Z947"/>
    <mergeCell ref="AA947:AF947"/>
    <mergeCell ref="U925:Z925"/>
    <mergeCell ref="U926:Z926"/>
    <mergeCell ref="AA926:AF926"/>
    <mergeCell ref="U927:Z927"/>
    <mergeCell ref="AA927:AF927"/>
    <mergeCell ref="U928:Z928"/>
    <mergeCell ref="AA928:AF928"/>
    <mergeCell ref="AA933:AF933"/>
    <mergeCell ref="AA934:AF934"/>
    <mergeCell ref="AA935:AF935"/>
    <mergeCell ref="U929:Z929"/>
    <mergeCell ref="AA929:AF929"/>
    <mergeCell ref="U930:Z930"/>
    <mergeCell ref="AA930:AF930"/>
    <mergeCell ref="U931:Z931"/>
    <mergeCell ref="AA931:AF931"/>
    <mergeCell ref="AA932:AF932"/>
    <mergeCell ref="U932:Z932"/>
    <mergeCell ref="F933:T933"/>
    <mergeCell ref="U933:Z933"/>
    <mergeCell ref="F934:T934"/>
    <mergeCell ref="U934:Z934"/>
    <mergeCell ref="F935:T935"/>
    <mergeCell ref="P952:T952"/>
    <mergeCell ref="U952:Z952"/>
    <mergeCell ref="AA952:AF952"/>
    <mergeCell ref="F953:H953"/>
    <mergeCell ref="AA953:AF953"/>
    <mergeCell ref="I953:T953"/>
    <mergeCell ref="U953:Z953"/>
    <mergeCell ref="I954:T954"/>
    <mergeCell ref="U954:Z954"/>
    <mergeCell ref="AA954:AF954"/>
    <mergeCell ref="U955:Z955"/>
    <mergeCell ref="AA955:AF955"/>
    <mergeCell ref="I955:T955"/>
    <mergeCell ref="I956:T956"/>
    <mergeCell ref="U956:Z956"/>
    <mergeCell ref="AA956:AF956"/>
    <mergeCell ref="I957:T957"/>
    <mergeCell ref="U957:Z957"/>
    <mergeCell ref="AA957:AF957"/>
    <mergeCell ref="M977:S977"/>
    <mergeCell ref="M978:S978"/>
    <mergeCell ref="M979:S979"/>
    <mergeCell ref="M980:S980"/>
    <mergeCell ref="O981:P981"/>
    <mergeCell ref="M982:S982"/>
    <mergeCell ref="AB993:AI993"/>
    <mergeCell ref="AJ993:AQ993"/>
    <mergeCell ref="F982:L982"/>
    <mergeCell ref="D992:Q992"/>
    <mergeCell ref="R992:AA992"/>
    <mergeCell ref="AB992:AI992"/>
    <mergeCell ref="AJ992:AQ992"/>
    <mergeCell ref="D993:Q993"/>
    <mergeCell ref="R993:AA993"/>
    <mergeCell ref="R995:AA995"/>
    <mergeCell ref="AB995:AI995"/>
    <mergeCell ref="AJ995:AQ995"/>
    <mergeCell ref="D994:Q994"/>
    <mergeCell ref="R994:AA994"/>
    <mergeCell ref="AB994:AI994"/>
    <mergeCell ref="AJ994:AQ994"/>
    <mergeCell ref="AA977:AG977"/>
    <mergeCell ref="AA978:AG978"/>
    <mergeCell ref="T979:Z979"/>
    <mergeCell ref="AA979:AG979"/>
    <mergeCell ref="T980:Z980"/>
    <mergeCell ref="AA980:AG980"/>
    <mergeCell ref="W981:AG981"/>
    <mergeCell ref="A986:AT988"/>
    <mergeCell ref="AB997:AI997"/>
    <mergeCell ref="AJ997:AQ997"/>
    <mergeCell ref="D995:Q995"/>
    <mergeCell ref="D996:Q996"/>
    <mergeCell ref="R996:AA996"/>
    <mergeCell ref="AB996:AI996"/>
    <mergeCell ref="AJ996:AQ996"/>
    <mergeCell ref="D997:Q997"/>
    <mergeCell ref="R997:AA997"/>
    <mergeCell ref="D1018:AE1018"/>
    <mergeCell ref="AG1018:AH1018"/>
    <mergeCell ref="AJ1018:AQ1019"/>
    <mergeCell ref="D1019:AE1019"/>
    <mergeCell ref="AG1020:AH1020"/>
    <mergeCell ref="AJ1020:AQ1022"/>
    <mergeCell ref="AF1021:AI1022"/>
    <mergeCell ref="D1020:AE1020"/>
    <mergeCell ref="D1021:AE1022"/>
    <mergeCell ref="D1014:AE1014"/>
    <mergeCell ref="AG1014:AH1014"/>
    <mergeCell ref="AJ1014:AQ1017"/>
    <mergeCell ref="D1015:AE1017"/>
    <mergeCell ref="D1037:AE1038"/>
    <mergeCell ref="D1039:AE1039"/>
    <mergeCell ref="AG1039:AH1039"/>
    <mergeCell ref="D1029:AE1030"/>
    <mergeCell ref="J1031:AE1031"/>
    <mergeCell ref="D1032:AE1032"/>
    <mergeCell ref="AG1032:AH1032"/>
    <mergeCell ref="D1033:AE1035"/>
    <mergeCell ref="D1036:AE1036"/>
    <mergeCell ref="AG1036:AH1036"/>
    <mergeCell ref="AF1024:AI1026"/>
    <mergeCell ref="AG1027:AH1027"/>
    <mergeCell ref="AJ1027:AQ1031"/>
    <mergeCell ref="AF1028:AI1029"/>
    <mergeCell ref="AF1030:AI1031"/>
    <mergeCell ref="AF1033:AI1033"/>
    <mergeCell ref="AF1034:AI1035"/>
    <mergeCell ref="AJ1036:AQ1038"/>
    <mergeCell ref="AJ1039:AQ1042"/>
    <mergeCell ref="D1040:AE1042"/>
    <mergeCell ref="D1023:AE1023"/>
    <mergeCell ref="AG1023:AH1023"/>
    <mergeCell ref="AJ1023:AQ1026"/>
    <mergeCell ref="D1024:AE1026"/>
    <mergeCell ref="D1027:AE1028"/>
    <mergeCell ref="AJ1032:AQ1035"/>
    <mergeCell ref="B998:AA998"/>
    <mergeCell ref="AB998:AI998"/>
    <mergeCell ref="AJ998:AQ998"/>
    <mergeCell ref="B999:AI999"/>
    <mergeCell ref="AJ999:AQ999"/>
    <mergeCell ref="AF1000:AI1000"/>
    <mergeCell ref="AJ1000:AQ1000"/>
    <mergeCell ref="B1000:AE1000"/>
    <mergeCell ref="D1001:AE1001"/>
    <mergeCell ref="AG1001:AH1001"/>
    <mergeCell ref="AJ1001:AQ1007"/>
    <mergeCell ref="D1002:AE1005"/>
    <mergeCell ref="D1006:AE1006"/>
    <mergeCell ref="D1007:AE1007"/>
    <mergeCell ref="D1008:AE1008"/>
    <mergeCell ref="AG1008:AH1008"/>
    <mergeCell ref="AJ1008:AQ1013"/>
    <mergeCell ref="D1009:AE1013"/>
    <mergeCell ref="D1043:AE1043"/>
    <mergeCell ref="AG1043:AH1043"/>
    <mergeCell ref="D1044:AE1047"/>
    <mergeCell ref="A1072:B1072"/>
    <mergeCell ref="A1074:B1074"/>
    <mergeCell ref="C1074:D1074"/>
    <mergeCell ref="I1059:J1059"/>
    <mergeCell ref="D1060:AI1060"/>
    <mergeCell ref="AJ1060:AQ1060"/>
    <mergeCell ref="AJ1043:AQ1047"/>
    <mergeCell ref="AJ1048:AQ1051"/>
    <mergeCell ref="AJ1052:AQ1055"/>
    <mergeCell ref="AJ1056:AQ1059"/>
    <mergeCell ref="D1048:AE1048"/>
    <mergeCell ref="AG1048:AH1048"/>
    <mergeCell ref="D1049:AE1051"/>
    <mergeCell ref="D1052:AE1052"/>
    <mergeCell ref="AG1052:AH1052"/>
    <mergeCell ref="D1053:AE1054"/>
    <mergeCell ref="I1055:J1055"/>
    <mergeCell ref="X1055:Y1055"/>
    <mergeCell ref="D1056:AE1056"/>
    <mergeCell ref="AG1056:AH1056"/>
    <mergeCell ref="D1057:AE1058"/>
    <mergeCell ref="C1106:D1106"/>
    <mergeCell ref="C1107:D1107"/>
    <mergeCell ref="A1132:B1132"/>
    <mergeCell ref="X1059:Y1059"/>
    <mergeCell ref="AA1063:AF1063"/>
    <mergeCell ref="AA1064:AF1064"/>
    <mergeCell ref="G1065:AN1067"/>
    <mergeCell ref="A1068:AQ1068"/>
    <mergeCell ref="C1072:D1072"/>
    <mergeCell ref="C1073:D1073"/>
    <mergeCell ref="E1074:AR1075"/>
    <mergeCell ref="C1075:D1075"/>
    <mergeCell ref="C1076:D1076"/>
    <mergeCell ref="A1077:B1077"/>
    <mergeCell ref="C1077:D1077"/>
    <mergeCell ref="E1077:AR1080"/>
    <mergeCell ref="C1078:D1078"/>
    <mergeCell ref="C1079:D1079"/>
    <mergeCell ref="C1080:D1080"/>
    <mergeCell ref="C1081:D1081"/>
    <mergeCell ref="A1082:B1082"/>
    <mergeCell ref="C1082:D1082"/>
    <mergeCell ref="C1087:D1087"/>
    <mergeCell ref="A1088:B1088"/>
    <mergeCell ref="E1088:AR1090"/>
    <mergeCell ref="E1092:AR1094"/>
    <mergeCell ref="E1096:AR1098"/>
    <mergeCell ref="E1101:AR1102"/>
    <mergeCell ref="E1104:AR1105"/>
    <mergeCell ref="E1107:AR1108"/>
    <mergeCell ref="E1110:AR1111"/>
    <mergeCell ref="D1132:AK1134"/>
    <mergeCell ref="E1082:AR1086"/>
    <mergeCell ref="C1083:D1083"/>
    <mergeCell ref="C1084:D1084"/>
    <mergeCell ref="C1085:D1085"/>
    <mergeCell ref="C1086:D1086"/>
    <mergeCell ref="C1089:D1089"/>
    <mergeCell ref="C1090:D1090"/>
    <mergeCell ref="C1088:D1088"/>
    <mergeCell ref="C1091:D1091"/>
    <mergeCell ref="A1092:B1092"/>
    <mergeCell ref="C1092:D1092"/>
    <mergeCell ref="C1094:D1094"/>
    <mergeCell ref="C1095:D1095"/>
    <mergeCell ref="A1096:B1096"/>
    <mergeCell ref="A1107:B1107"/>
    <mergeCell ref="A1110:B1110"/>
    <mergeCell ref="C1110:D1110"/>
    <mergeCell ref="C1096:D1096"/>
    <mergeCell ref="C1097:D1097"/>
    <mergeCell ref="C1098:D1098"/>
    <mergeCell ref="C1099:D1099"/>
    <mergeCell ref="C1100:D1100"/>
    <mergeCell ref="A1101:B1101"/>
    <mergeCell ref="C1101:D1101"/>
    <mergeCell ref="C1102:D1102"/>
    <mergeCell ref="C1103:D1103"/>
    <mergeCell ref="A1104:B1104"/>
    <mergeCell ref="C1104:D1104"/>
    <mergeCell ref="C1105:D1105"/>
    <mergeCell ref="Y833:AB833"/>
    <mergeCell ref="AC833:AF833"/>
    <mergeCell ref="AG833:AJ833"/>
    <mergeCell ref="C833:H833"/>
    <mergeCell ref="M834:P834"/>
    <mergeCell ref="Q834:T834"/>
    <mergeCell ref="U834:X834"/>
    <mergeCell ref="Y834:AB834"/>
    <mergeCell ref="AC834:AF834"/>
    <mergeCell ref="AG834:AJ834"/>
    <mergeCell ref="C834:H834"/>
    <mergeCell ref="M835:P835"/>
    <mergeCell ref="Q835:T835"/>
    <mergeCell ref="U835:X835"/>
    <mergeCell ref="Y835:AB835"/>
    <mergeCell ref="AC835:AF835"/>
    <mergeCell ref="AG835:AJ835"/>
    <mergeCell ref="M882:V882"/>
    <mergeCell ref="W882:AC882"/>
    <mergeCell ref="M883:V883"/>
    <mergeCell ref="W883:AC883"/>
    <mergeCell ref="M884:V884"/>
    <mergeCell ref="W884:AC884"/>
    <mergeCell ref="M885:V885"/>
    <mergeCell ref="W885:AC885"/>
    <mergeCell ref="W886:AC886"/>
    <mergeCell ref="AC890:AH890"/>
    <mergeCell ref="AC891:AH891"/>
    <mergeCell ref="E892:AB892"/>
    <mergeCell ref="AC892:AH892"/>
    <mergeCell ref="AC893:AH893"/>
    <mergeCell ref="AC901:AH901"/>
    <mergeCell ref="AC902:AH902"/>
    <mergeCell ref="Z906:AE906"/>
    <mergeCell ref="Z907:AE907"/>
    <mergeCell ref="Z908:AE908"/>
    <mergeCell ref="Z909:AE909"/>
    <mergeCell ref="AC894:AH894"/>
    <mergeCell ref="AC895:AH895"/>
    <mergeCell ref="AC896:AH896"/>
    <mergeCell ref="AC897:AH897"/>
    <mergeCell ref="AC898:AH898"/>
    <mergeCell ref="AC899:AH899"/>
    <mergeCell ref="AC900:AH900"/>
    <mergeCell ref="C899:AB899"/>
    <mergeCell ref="C901:AB901"/>
    <mergeCell ref="C902:AB902"/>
    <mergeCell ref="BD906:BE906"/>
    <mergeCell ref="BD907:BE907"/>
    <mergeCell ref="BD908:BE908"/>
    <mergeCell ref="BD909:BE909"/>
    <mergeCell ref="BD910:BE910"/>
    <mergeCell ref="BD911:BE911"/>
    <mergeCell ref="BD912:BF912"/>
    <mergeCell ref="BD913:BF913"/>
    <mergeCell ref="BD914:BE914"/>
    <mergeCell ref="BD915:BE915"/>
    <mergeCell ref="BD917:BE917"/>
    <mergeCell ref="F837:L837"/>
    <mergeCell ref="M838:P838"/>
    <mergeCell ref="Q838:T838"/>
    <mergeCell ref="U838:X838"/>
    <mergeCell ref="Y838:AB838"/>
    <mergeCell ref="AC838:AF838"/>
    <mergeCell ref="AG838:AJ838"/>
    <mergeCell ref="C838:L838"/>
    <mergeCell ref="C843:AJ843"/>
    <mergeCell ref="BI847:BL847"/>
    <mergeCell ref="W848:AC848"/>
    <mergeCell ref="W849:AC849"/>
    <mergeCell ref="W850:AC850"/>
    <mergeCell ref="BG854:BL854"/>
    <mergeCell ref="W851:AC851"/>
    <mergeCell ref="J855:V855"/>
    <mergeCell ref="W855:AC855"/>
    <mergeCell ref="W857:AC857"/>
    <mergeCell ref="AZ857:BA857"/>
    <mergeCell ref="W858:AC858"/>
    <mergeCell ref="W859:AC859"/>
    <mergeCell ref="W860:AC860"/>
    <mergeCell ref="W861:AC861"/>
    <mergeCell ref="W863:AC863"/>
    <mergeCell ref="T864:V864"/>
    <mergeCell ref="W865:AC865"/>
    <mergeCell ref="T866:V866"/>
    <mergeCell ref="M867:V867"/>
    <mergeCell ref="W867:AC867"/>
    <mergeCell ref="W868:AC868"/>
    <mergeCell ref="W870:AC870"/>
    <mergeCell ref="W872:AC872"/>
    <mergeCell ref="W873:AC873"/>
    <mergeCell ref="W874:AC874"/>
    <mergeCell ref="W875:AC875"/>
    <mergeCell ref="W876:AC876"/>
    <mergeCell ref="W877:AC877"/>
    <mergeCell ref="M878:V878"/>
    <mergeCell ref="W878:AC878"/>
    <mergeCell ref="W879:AC879"/>
    <mergeCell ref="M881:V881"/>
    <mergeCell ref="W881:AC881"/>
    <mergeCell ref="A917:AT918"/>
    <mergeCell ref="F922:T922"/>
    <mergeCell ref="U922:Z924"/>
    <mergeCell ref="F923:T924"/>
    <mergeCell ref="AB924:AE924"/>
    <mergeCell ref="AA925:AF925"/>
    <mergeCell ref="AW925:AY925"/>
    <mergeCell ref="AA943:AF943"/>
    <mergeCell ref="AA944:AF944"/>
    <mergeCell ref="U938:Z938"/>
    <mergeCell ref="AA938:AF938"/>
    <mergeCell ref="U940:Z940"/>
    <mergeCell ref="AA940:AF940"/>
    <mergeCell ref="U941:Z941"/>
    <mergeCell ref="AA941:AF941"/>
    <mergeCell ref="AA942:AF942"/>
    <mergeCell ref="F951:T951"/>
    <mergeCell ref="U951:Z951"/>
    <mergeCell ref="AA951:AF951"/>
    <mergeCell ref="U948:Z948"/>
    <mergeCell ref="AA948:AF948"/>
    <mergeCell ref="F949:T949"/>
    <mergeCell ref="U949:Z949"/>
    <mergeCell ref="AA949:AF949"/>
    <mergeCell ref="U950:Z950"/>
    <mergeCell ref="AA950:AF950"/>
    <mergeCell ref="U945:Z945"/>
    <mergeCell ref="AA945:AF945"/>
    <mergeCell ref="F945:T945"/>
    <mergeCell ref="F946:T946"/>
    <mergeCell ref="U946:Z946"/>
    <mergeCell ref="AA946:AF946"/>
    <mergeCell ref="M962:S962"/>
    <mergeCell ref="AE962:AK962"/>
    <mergeCell ref="M963:S963"/>
    <mergeCell ref="AE963:AK963"/>
    <mergeCell ref="J964:S964"/>
    <mergeCell ref="AB964:AK964"/>
    <mergeCell ref="AE965:AK965"/>
    <mergeCell ref="M965:S965"/>
    <mergeCell ref="M966:S966"/>
    <mergeCell ref="M967:S967"/>
    <mergeCell ref="M968:S968"/>
    <mergeCell ref="M969:S969"/>
    <mergeCell ref="M974:S974"/>
    <mergeCell ref="M975:S975"/>
    <mergeCell ref="AE966:AK966"/>
    <mergeCell ref="AE967:AK967"/>
    <mergeCell ref="AE968:AK968"/>
    <mergeCell ref="AE969:AK969"/>
    <mergeCell ref="AA974:AG974"/>
    <mergeCell ref="AA975:AG975"/>
    <mergeCell ref="AA976:AG976"/>
    <mergeCell ref="AA982:AG982"/>
    <mergeCell ref="BG983:BL983"/>
    <mergeCell ref="EO753:ES753"/>
    <mergeCell ref="ET753:EX753"/>
    <mergeCell ref="DE753:DI753"/>
    <mergeCell ref="DJ753:DN753"/>
    <mergeCell ref="DO753:DS753"/>
    <mergeCell ref="DU753:DY753"/>
    <mergeCell ref="DZ753:ED753"/>
    <mergeCell ref="EE753:EI753"/>
    <mergeCell ref="EJ753:EN753"/>
    <mergeCell ref="CG753:CH753"/>
    <mergeCell ref="CI753:CJ753"/>
    <mergeCell ref="CK753:CL753"/>
    <mergeCell ref="CM753:CN753"/>
    <mergeCell ref="CP753:CT753"/>
    <mergeCell ref="CU753:CY753"/>
    <mergeCell ref="CZ753:DD753"/>
    <mergeCell ref="EO756:ES756"/>
    <mergeCell ref="CG754:CH754"/>
    <mergeCell ref="CI754:CJ754"/>
    <mergeCell ref="CK754:CL754"/>
    <mergeCell ref="CM754:CN754"/>
    <mergeCell ref="CP754:CT754"/>
    <mergeCell ref="CU754:CY754"/>
    <mergeCell ref="CZ754:DD754"/>
    <mergeCell ref="EO755:ES755"/>
    <mergeCell ref="ET755:EX755"/>
    <mergeCell ref="DE755:DI755"/>
    <mergeCell ref="DJ755:DN755"/>
    <mergeCell ref="DO755:DS755"/>
    <mergeCell ref="EO751:ES751"/>
    <mergeCell ref="ET751:EX751"/>
    <mergeCell ref="DE751:DI751"/>
    <mergeCell ref="DJ751:DN751"/>
    <mergeCell ref="DO751:DS751"/>
    <mergeCell ref="DU751:DY751"/>
    <mergeCell ref="DZ751:ED751"/>
    <mergeCell ref="EE751:EI751"/>
    <mergeCell ref="EJ751:EN751"/>
    <mergeCell ref="CG751:CH751"/>
    <mergeCell ref="CI751:CJ751"/>
    <mergeCell ref="CK751:CL751"/>
    <mergeCell ref="CM751:CN751"/>
    <mergeCell ref="CP751:CT751"/>
    <mergeCell ref="CU751:CY751"/>
    <mergeCell ref="CZ751:DD751"/>
    <mergeCell ref="EO752:ES752"/>
    <mergeCell ref="ET752:EX752"/>
    <mergeCell ref="DE752:DI752"/>
    <mergeCell ref="DJ752:DN752"/>
    <mergeCell ref="DO752:DS752"/>
    <mergeCell ref="DU752:DY752"/>
    <mergeCell ref="DZ752:ED752"/>
    <mergeCell ref="EE752:EI752"/>
    <mergeCell ref="EJ752:EN752"/>
    <mergeCell ref="CG752:CH752"/>
    <mergeCell ref="CI752:CJ752"/>
    <mergeCell ref="CK752:CL752"/>
    <mergeCell ref="CM752:CN752"/>
    <mergeCell ref="CP752:CT752"/>
    <mergeCell ref="CU752:CY752"/>
    <mergeCell ref="CZ752:DD752"/>
    <mergeCell ref="DU755:DY755"/>
    <mergeCell ref="DZ755:ED755"/>
    <mergeCell ref="EE755:EI755"/>
    <mergeCell ref="EJ755:EN755"/>
    <mergeCell ref="CG755:CH755"/>
    <mergeCell ref="CI755:CJ755"/>
    <mergeCell ref="CK755:CL755"/>
    <mergeCell ref="CM755:CN755"/>
    <mergeCell ref="CP755:CT755"/>
    <mergeCell ref="CU755:CY755"/>
    <mergeCell ref="CZ755:DD755"/>
    <mergeCell ref="EO754:ES754"/>
    <mergeCell ref="ET754:EX754"/>
    <mergeCell ref="DE754:DI754"/>
    <mergeCell ref="DJ754:DN754"/>
    <mergeCell ref="DO754:DS754"/>
    <mergeCell ref="DU754:DY754"/>
    <mergeCell ref="DZ754:ED754"/>
    <mergeCell ref="EE754:EI754"/>
    <mergeCell ref="EJ754:EN754"/>
    <mergeCell ref="CG756:CH756"/>
    <mergeCell ref="CI756:CJ756"/>
    <mergeCell ref="CK756:CL756"/>
    <mergeCell ref="CM756:CN756"/>
    <mergeCell ref="CP756:CT756"/>
    <mergeCell ref="CU756:CY756"/>
    <mergeCell ref="CZ756:DD756"/>
    <mergeCell ref="EO757:ES757"/>
    <mergeCell ref="ET757:EX757"/>
    <mergeCell ref="DE757:DI757"/>
    <mergeCell ref="DJ757:DN757"/>
    <mergeCell ref="DO757:DS757"/>
    <mergeCell ref="DU757:DY757"/>
    <mergeCell ref="DZ757:ED757"/>
    <mergeCell ref="EE757:EI757"/>
    <mergeCell ref="EJ757:EN757"/>
    <mergeCell ref="CG757:CH757"/>
    <mergeCell ref="CI757:CJ757"/>
    <mergeCell ref="CK757:CL757"/>
    <mergeCell ref="CM757:CN757"/>
    <mergeCell ref="CP757:CT757"/>
    <mergeCell ref="CU757:CY757"/>
    <mergeCell ref="CZ757:DD757"/>
    <mergeCell ref="ET756:EX756"/>
    <mergeCell ref="DE756:DI756"/>
    <mergeCell ref="DJ756:DN756"/>
    <mergeCell ref="DO756:DS756"/>
    <mergeCell ref="DU756:DY756"/>
    <mergeCell ref="DZ756:ED756"/>
    <mergeCell ref="EE756:EI756"/>
    <mergeCell ref="EJ756:EN756"/>
    <mergeCell ref="CP795:CT795"/>
    <mergeCell ref="CU795:CY795"/>
    <mergeCell ref="CZ795:DD795"/>
    <mergeCell ref="DE795:DI795"/>
    <mergeCell ref="DJ795:DN795"/>
    <mergeCell ref="DO795:DS795"/>
    <mergeCell ref="EO758:ES758"/>
    <mergeCell ref="ET758:EX758"/>
    <mergeCell ref="DE758:DI758"/>
    <mergeCell ref="DJ758:DN758"/>
    <mergeCell ref="DO758:DS758"/>
    <mergeCell ref="DU758:DY758"/>
    <mergeCell ref="DZ758:ED758"/>
    <mergeCell ref="EE758:EI758"/>
    <mergeCell ref="EJ758:EN758"/>
    <mergeCell ref="CM758:CN758"/>
    <mergeCell ref="CM759:CN759"/>
    <mergeCell ref="EJ759:EN759"/>
    <mergeCell ref="EO759:ES759"/>
    <mergeCell ref="ET759:EX759"/>
    <mergeCell ref="CZ759:DD759"/>
    <mergeCell ref="DE759:DI759"/>
    <mergeCell ref="DJ759:DN759"/>
    <mergeCell ref="DO759:DS759"/>
    <mergeCell ref="DU759:DY759"/>
    <mergeCell ref="DZ759:ED759"/>
    <mergeCell ref="EE759:EI759"/>
    <mergeCell ref="CP759:CT759"/>
    <mergeCell ref="CU759:CY759"/>
    <mergeCell ref="CU794:CY794"/>
    <mergeCell ref="CZ794:DD794"/>
    <mergeCell ref="DE794:DI794"/>
    <mergeCell ref="DJ794:DN794"/>
    <mergeCell ref="DO794:DS794"/>
    <mergeCell ref="DU794:DY794"/>
    <mergeCell ref="EE795:EI795"/>
    <mergeCell ref="EJ795:EN795"/>
    <mergeCell ref="EO795:ES795"/>
    <mergeCell ref="ET795:EX795"/>
    <mergeCell ref="DZ794:ED794"/>
    <mergeCell ref="EE794:EI794"/>
    <mergeCell ref="EJ794:EN794"/>
    <mergeCell ref="EO794:ES794"/>
    <mergeCell ref="ET794:EX794"/>
    <mergeCell ref="DU795:DY795"/>
    <mergeCell ref="DZ795:ED795"/>
    <mergeCell ref="DZ796:ED796"/>
    <mergeCell ref="EE796:EI796"/>
    <mergeCell ref="EJ796:EN796"/>
    <mergeCell ref="EO796:ES796"/>
    <mergeCell ref="ET796:EX796"/>
    <mergeCell ref="DU798:DY798"/>
    <mergeCell ref="DZ798:ED798"/>
    <mergeCell ref="EE798:EI798"/>
    <mergeCell ref="EJ798:EN798"/>
    <mergeCell ref="EO798:ES798"/>
    <mergeCell ref="ET798:EX798"/>
    <mergeCell ref="DU796:DY796"/>
    <mergeCell ref="DU797:DY797"/>
    <mergeCell ref="DZ797:ED797"/>
    <mergeCell ref="EE797:EI797"/>
    <mergeCell ref="EJ797:EN797"/>
    <mergeCell ref="EO797:ES797"/>
    <mergeCell ref="ET797:EX797"/>
    <mergeCell ref="DU799:DY799"/>
    <mergeCell ref="DZ799:ED799"/>
    <mergeCell ref="EE799:EI799"/>
    <mergeCell ref="EJ799:EN799"/>
    <mergeCell ref="EO799:ES799"/>
    <mergeCell ref="ET799:EX799"/>
    <mergeCell ref="CP797:CT797"/>
    <mergeCell ref="CP798:CT798"/>
    <mergeCell ref="CU798:CY798"/>
    <mergeCell ref="CZ798:DD798"/>
    <mergeCell ref="DE798:DI798"/>
    <mergeCell ref="DJ798:DN798"/>
    <mergeCell ref="DO798:DS798"/>
    <mergeCell ref="CP799:CT799"/>
    <mergeCell ref="CU799:CY799"/>
    <mergeCell ref="CZ799:DD799"/>
    <mergeCell ref="DE799:DI799"/>
    <mergeCell ref="DJ799:DN799"/>
    <mergeCell ref="DO799:DS799"/>
    <mergeCell ref="CU797:CY797"/>
    <mergeCell ref="CZ797:DD797"/>
    <mergeCell ref="DE797:DI797"/>
    <mergeCell ref="DJ797:DN797"/>
    <mergeCell ref="DO797:DS797"/>
    <mergeCell ref="DZ800:ED800"/>
    <mergeCell ref="EE800:EI800"/>
    <mergeCell ref="EJ800:EN800"/>
    <mergeCell ref="EO800:ES800"/>
    <mergeCell ref="ET800:EX800"/>
    <mergeCell ref="DU802:DY802"/>
    <mergeCell ref="DZ802:ED802"/>
    <mergeCell ref="EE802:EI802"/>
    <mergeCell ref="EJ802:EN802"/>
    <mergeCell ref="EO802:ES802"/>
    <mergeCell ref="ET802:EX802"/>
    <mergeCell ref="DU800:DY800"/>
    <mergeCell ref="DU801:DY801"/>
    <mergeCell ref="DZ801:ED801"/>
    <mergeCell ref="EE801:EI801"/>
    <mergeCell ref="EJ801:EN801"/>
    <mergeCell ref="EO801:ES801"/>
    <mergeCell ref="ET801:EX801"/>
    <mergeCell ref="DU803:DY803"/>
    <mergeCell ref="DZ803:ED803"/>
    <mergeCell ref="EE803:EI803"/>
    <mergeCell ref="EJ803:EN803"/>
    <mergeCell ref="EO803:ES803"/>
    <mergeCell ref="ET803:EX803"/>
    <mergeCell ref="ET805:EX805"/>
    <mergeCell ref="CP808:CT808"/>
    <mergeCell ref="CU808:CY808"/>
    <mergeCell ref="CZ808:DD808"/>
    <mergeCell ref="DE808:DI808"/>
    <mergeCell ref="DJ808:DN808"/>
    <mergeCell ref="DO808:DS808"/>
    <mergeCell ref="CP801:CT801"/>
    <mergeCell ref="CP802:CT802"/>
    <mergeCell ref="CU802:CY802"/>
    <mergeCell ref="CZ802:DD802"/>
    <mergeCell ref="DE802:DI802"/>
    <mergeCell ref="DJ802:DN802"/>
    <mergeCell ref="DO802:DS802"/>
    <mergeCell ref="CU801:CY801"/>
    <mergeCell ref="CZ801:DD801"/>
    <mergeCell ref="DE801:DI801"/>
    <mergeCell ref="DJ801:DN801"/>
    <mergeCell ref="DO801:DS801"/>
    <mergeCell ref="DO760:DS760"/>
    <mergeCell ref="CG758:CH758"/>
    <mergeCell ref="CI758:CJ758"/>
    <mergeCell ref="CK758:CL758"/>
    <mergeCell ref="CP758:CT758"/>
    <mergeCell ref="CU758:CY758"/>
    <mergeCell ref="CZ758:DD758"/>
    <mergeCell ref="CI759:CJ759"/>
    <mergeCell ref="DE780:DI780"/>
    <mergeCell ref="DJ780:DN780"/>
    <mergeCell ref="DE781:DI781"/>
    <mergeCell ref="DJ781:DN781"/>
    <mergeCell ref="DO781:DS781"/>
    <mergeCell ref="DE782:DI782"/>
    <mergeCell ref="DJ782:DN782"/>
    <mergeCell ref="DO782:DS782"/>
    <mergeCell ref="CP779:CT779"/>
    <mergeCell ref="CU779:CY779"/>
    <mergeCell ref="CZ779:DD779"/>
    <mergeCell ref="DE779:DI779"/>
    <mergeCell ref="DJ779:DN779"/>
    <mergeCell ref="DO779:DS779"/>
    <mergeCell ref="CP780:CT780"/>
    <mergeCell ref="DO780:DS780"/>
    <mergeCell ref="CP782:CT782"/>
    <mergeCell ref="CP783:CT783"/>
    <mergeCell ref="CU783:CY783"/>
    <mergeCell ref="CZ783:DD783"/>
    <mergeCell ref="DE783:DI783"/>
    <mergeCell ref="DJ783:DN783"/>
    <mergeCell ref="DO783:DS783"/>
    <mergeCell ref="CU780:CY780"/>
    <mergeCell ref="CZ780:DD780"/>
    <mergeCell ref="CP781:CT781"/>
    <mergeCell ref="CU781:CY781"/>
    <mergeCell ref="CZ781:DD781"/>
    <mergeCell ref="CU782:CY782"/>
    <mergeCell ref="CZ782:DD782"/>
    <mergeCell ref="CP803:CT803"/>
    <mergeCell ref="CU803:CY803"/>
    <mergeCell ref="CZ803:DD803"/>
    <mergeCell ref="DE803:DI803"/>
    <mergeCell ref="DJ803:DN803"/>
    <mergeCell ref="DO803:DS803"/>
    <mergeCell ref="CP800:CT800"/>
    <mergeCell ref="DO800:DS800"/>
    <mergeCell ref="DE800:DI800"/>
    <mergeCell ref="DJ800:DN800"/>
    <mergeCell ref="CU800:CY800"/>
    <mergeCell ref="CZ800:DD800"/>
    <mergeCell ref="CP796:CT796"/>
    <mergeCell ref="DO796:DS796"/>
    <mergeCell ref="DE796:DI796"/>
    <mergeCell ref="DJ796:DN796"/>
    <mergeCell ref="CU796:CY796"/>
    <mergeCell ref="CZ796:DD796"/>
    <mergeCell ref="CP794:CT794"/>
    <mergeCell ref="EO733:ES733"/>
    <mergeCell ref="ET733:EX733"/>
    <mergeCell ref="DE733:DI733"/>
    <mergeCell ref="DJ733:DN733"/>
    <mergeCell ref="DO733:DS733"/>
    <mergeCell ref="DU733:DY733"/>
    <mergeCell ref="DZ733:ED733"/>
    <mergeCell ref="EE733:EI733"/>
    <mergeCell ref="EJ733:EN733"/>
    <mergeCell ref="EO731:ES731"/>
    <mergeCell ref="ET731:EX731"/>
    <mergeCell ref="DE731:DI731"/>
    <mergeCell ref="DJ731:DN731"/>
    <mergeCell ref="DO731:DS731"/>
    <mergeCell ref="DU731:DY731"/>
    <mergeCell ref="DZ731:ED731"/>
    <mergeCell ref="EE731:EI731"/>
    <mergeCell ref="EJ731:EN731"/>
    <mergeCell ref="CG731:CH731"/>
    <mergeCell ref="CI731:CJ731"/>
    <mergeCell ref="CK731:CL731"/>
    <mergeCell ref="CM731:CN731"/>
    <mergeCell ref="CP731:CT731"/>
    <mergeCell ref="CU731:CY731"/>
    <mergeCell ref="CZ731:DD731"/>
    <mergeCell ref="EO732:ES732"/>
    <mergeCell ref="ET732:EX732"/>
    <mergeCell ref="DE732:DI732"/>
    <mergeCell ref="DJ732:DN732"/>
    <mergeCell ref="DO732:DS732"/>
    <mergeCell ref="DU732:DY732"/>
    <mergeCell ref="DZ732:ED732"/>
    <mergeCell ref="EE732:EI732"/>
    <mergeCell ref="EJ732:EN732"/>
    <mergeCell ref="CG732:CH732"/>
    <mergeCell ref="CI732:CJ732"/>
    <mergeCell ref="CK732:CL732"/>
    <mergeCell ref="CM732:CN732"/>
    <mergeCell ref="CP732:CT732"/>
    <mergeCell ref="CU732:CY732"/>
    <mergeCell ref="CZ732:DD732"/>
    <mergeCell ref="CG733:CH733"/>
    <mergeCell ref="CI733:CJ733"/>
    <mergeCell ref="CK733:CL733"/>
    <mergeCell ref="CM733:CN733"/>
    <mergeCell ref="CP733:CT733"/>
    <mergeCell ref="CU733:CY733"/>
    <mergeCell ref="CZ733:DD733"/>
    <mergeCell ref="EO735:ES735"/>
    <mergeCell ref="ET735:EX735"/>
    <mergeCell ref="DE735:DI735"/>
    <mergeCell ref="DJ735:DN735"/>
    <mergeCell ref="DO735:DS735"/>
    <mergeCell ref="DU735:DY735"/>
    <mergeCell ref="DZ735:ED735"/>
    <mergeCell ref="EE735:EI735"/>
    <mergeCell ref="EJ735:EN735"/>
    <mergeCell ref="EO734:ES734"/>
    <mergeCell ref="ET734:EX734"/>
    <mergeCell ref="DE734:DI734"/>
    <mergeCell ref="DJ734:DN734"/>
    <mergeCell ref="DO734:DS734"/>
    <mergeCell ref="DU734:DY734"/>
    <mergeCell ref="DZ734:ED734"/>
    <mergeCell ref="EE734:EI734"/>
    <mergeCell ref="EJ734:EN734"/>
    <mergeCell ref="CG734:CH734"/>
    <mergeCell ref="CI734:CJ734"/>
    <mergeCell ref="CK734:CL734"/>
    <mergeCell ref="CM734:CN734"/>
    <mergeCell ref="CP734:CT734"/>
    <mergeCell ref="CU734:CY734"/>
    <mergeCell ref="CZ734:DD734"/>
    <mergeCell ref="DU738:DY738"/>
    <mergeCell ref="DZ738:ED738"/>
    <mergeCell ref="EE738:EI738"/>
    <mergeCell ref="EJ738:EN738"/>
    <mergeCell ref="EO736:ES736"/>
    <mergeCell ref="ET736:EX736"/>
    <mergeCell ref="DE736:DI736"/>
    <mergeCell ref="DJ736:DN736"/>
    <mergeCell ref="DO736:DS736"/>
    <mergeCell ref="DU736:DY736"/>
    <mergeCell ref="DZ736:ED736"/>
    <mergeCell ref="EE736:EI736"/>
    <mergeCell ref="EJ736:EN736"/>
    <mergeCell ref="CG735:CH735"/>
    <mergeCell ref="CI735:CJ735"/>
    <mergeCell ref="CK735:CL735"/>
    <mergeCell ref="CM735:CN735"/>
    <mergeCell ref="CP735:CT735"/>
    <mergeCell ref="CU735:CY735"/>
    <mergeCell ref="CZ735:DD735"/>
    <mergeCell ref="CG738:CH738"/>
    <mergeCell ref="CI738:CJ738"/>
    <mergeCell ref="CK738:CL738"/>
    <mergeCell ref="CM738:CN738"/>
    <mergeCell ref="CP738:CT738"/>
    <mergeCell ref="CU738:CY738"/>
    <mergeCell ref="CZ738:DD738"/>
    <mergeCell ref="EE740:EI740"/>
    <mergeCell ref="EJ740:EN740"/>
    <mergeCell ref="CG740:CH740"/>
    <mergeCell ref="CI740:CJ740"/>
    <mergeCell ref="CG736:CH736"/>
    <mergeCell ref="CI736:CJ736"/>
    <mergeCell ref="CK736:CL736"/>
    <mergeCell ref="CM736:CN736"/>
    <mergeCell ref="CP736:CT736"/>
    <mergeCell ref="CU736:CY736"/>
    <mergeCell ref="CZ736:DD736"/>
    <mergeCell ref="EO737:ES737"/>
    <mergeCell ref="ET737:EX737"/>
    <mergeCell ref="DE737:DI737"/>
    <mergeCell ref="DJ737:DN737"/>
    <mergeCell ref="DO737:DS737"/>
    <mergeCell ref="DU737:DY737"/>
    <mergeCell ref="DZ737:ED737"/>
    <mergeCell ref="EE737:EI737"/>
    <mergeCell ref="EJ737:EN737"/>
    <mergeCell ref="CG737:CH737"/>
    <mergeCell ref="CI737:CJ737"/>
    <mergeCell ref="CK737:CL737"/>
    <mergeCell ref="CM737:CN737"/>
    <mergeCell ref="CP737:CT737"/>
    <mergeCell ref="CU737:CY737"/>
    <mergeCell ref="CZ737:DD737"/>
    <mergeCell ref="EO738:ES738"/>
    <mergeCell ref="ET738:EX738"/>
    <mergeCell ref="DE738:DI738"/>
    <mergeCell ref="DJ738:DN738"/>
    <mergeCell ref="DO738:DS738"/>
    <mergeCell ref="DZ793:ED793"/>
    <mergeCell ref="EE793:EI793"/>
    <mergeCell ref="EJ793:EN793"/>
    <mergeCell ref="EO793:ES793"/>
    <mergeCell ref="ET793:EX793"/>
    <mergeCell ref="CP793:CT793"/>
    <mergeCell ref="CU793:CY793"/>
    <mergeCell ref="CZ793:DD793"/>
    <mergeCell ref="DE793:DI793"/>
    <mergeCell ref="DJ793:DN793"/>
    <mergeCell ref="DO793:DS793"/>
    <mergeCell ref="DU793:DY793"/>
    <mergeCell ref="CU739:CY739"/>
    <mergeCell ref="CZ739:DD739"/>
    <mergeCell ref="EO740:ES740"/>
    <mergeCell ref="ET740:EX740"/>
    <mergeCell ref="DE740:DI740"/>
    <mergeCell ref="DJ740:DN740"/>
    <mergeCell ref="DO740:DS740"/>
    <mergeCell ref="DU740:DY740"/>
    <mergeCell ref="DZ740:ED740"/>
    <mergeCell ref="CU742:CY742"/>
    <mergeCell ref="CZ742:DD742"/>
    <mergeCell ref="EO743:ES743"/>
    <mergeCell ref="ET743:EX743"/>
    <mergeCell ref="DE743:DI743"/>
    <mergeCell ref="DJ743:DN743"/>
    <mergeCell ref="DO743:DS743"/>
    <mergeCell ref="DU743:DY743"/>
    <mergeCell ref="DZ743:ED743"/>
    <mergeCell ref="EE743:EI743"/>
    <mergeCell ref="EJ743:EN743"/>
    <mergeCell ref="CG726:CH726"/>
    <mergeCell ref="CI726:CJ726"/>
    <mergeCell ref="CK726:CL726"/>
    <mergeCell ref="CM726:CN726"/>
    <mergeCell ref="EJ726:EN726"/>
    <mergeCell ref="EO726:ES726"/>
    <mergeCell ref="CZ726:DD726"/>
    <mergeCell ref="DE726:DI726"/>
    <mergeCell ref="DJ726:DN726"/>
    <mergeCell ref="DO726:DS726"/>
    <mergeCell ref="DU726:DY726"/>
    <mergeCell ref="DZ726:ED726"/>
    <mergeCell ref="EE726:EI726"/>
    <mergeCell ref="Z683:AK683"/>
    <mergeCell ref="Z684:AK684"/>
    <mergeCell ref="Z685:AK685"/>
    <mergeCell ref="Z686:AK686"/>
    <mergeCell ref="Z687:AE687"/>
    <mergeCell ref="AI687:AK687"/>
    <mergeCell ref="AA688:AK688"/>
    <mergeCell ref="AG689:AH689"/>
    <mergeCell ref="Z691:AK691"/>
    <mergeCell ref="AE701:AF701"/>
    <mergeCell ref="AE702:AF702"/>
    <mergeCell ref="AE703:AI703"/>
    <mergeCell ref="AE704:AI704"/>
    <mergeCell ref="AE706:AI706"/>
    <mergeCell ref="AE707:AI707"/>
    <mergeCell ref="W708:AK708"/>
    <mergeCell ref="AE710:AF710"/>
    <mergeCell ref="W711:AK711"/>
    <mergeCell ref="J712:X712"/>
    <mergeCell ref="CP726:CT726"/>
    <mergeCell ref="CU726:CY726"/>
    <mergeCell ref="CG727:CH727"/>
    <mergeCell ref="CI727:CJ727"/>
    <mergeCell ref="CK727:CL727"/>
    <mergeCell ref="CM727:CN727"/>
    <mergeCell ref="CP727:CT727"/>
    <mergeCell ref="CI725:CJ725"/>
    <mergeCell ref="CM725:CN725"/>
    <mergeCell ref="CP725:CT725"/>
    <mergeCell ref="CU725:CY725"/>
    <mergeCell ref="CZ725:DD725"/>
    <mergeCell ref="EO725:ES725"/>
    <mergeCell ref="ET725:EX725"/>
    <mergeCell ref="ET726:EX726"/>
    <mergeCell ref="B722:F725"/>
    <mergeCell ref="B726:F726"/>
    <mergeCell ref="G726:J726"/>
    <mergeCell ref="K726:N726"/>
    <mergeCell ref="O726:S726"/>
    <mergeCell ref="T726:W726"/>
    <mergeCell ref="X726:AB726"/>
    <mergeCell ref="DE725:DI725"/>
    <mergeCell ref="DJ725:DN725"/>
    <mergeCell ref="DO725:DS725"/>
    <mergeCell ref="DU725:DY725"/>
    <mergeCell ref="DZ725:ED725"/>
    <mergeCell ref="EE725:EI725"/>
    <mergeCell ref="EJ725:EN725"/>
    <mergeCell ref="AC726:AG726"/>
    <mergeCell ref="AH726:AJ726"/>
    <mergeCell ref="AK726:AO726"/>
    <mergeCell ref="EO728:ES728"/>
    <mergeCell ref="ET728:EX728"/>
    <mergeCell ref="DE728:DI728"/>
    <mergeCell ref="DJ728:DN728"/>
    <mergeCell ref="DO728:DS728"/>
    <mergeCell ref="DU728:DY728"/>
    <mergeCell ref="DZ728:ED728"/>
    <mergeCell ref="EE728:EI728"/>
    <mergeCell ref="EJ728:EN728"/>
    <mergeCell ref="CG728:CH728"/>
    <mergeCell ref="CI728:CJ728"/>
    <mergeCell ref="CK728:CL728"/>
    <mergeCell ref="CM728:CN728"/>
    <mergeCell ref="CP728:CT728"/>
    <mergeCell ref="CU728:CY728"/>
    <mergeCell ref="CZ728:DD728"/>
    <mergeCell ref="EE727:EI727"/>
    <mergeCell ref="EJ727:EN727"/>
    <mergeCell ref="EO727:ES727"/>
    <mergeCell ref="ET727:EX727"/>
    <mergeCell ref="CU727:CY727"/>
    <mergeCell ref="CZ727:DD727"/>
    <mergeCell ref="DE727:DI727"/>
    <mergeCell ref="DJ727:DN727"/>
    <mergeCell ref="DO727:DS727"/>
    <mergeCell ref="DU727:DY727"/>
    <mergeCell ref="DZ727:ED727"/>
    <mergeCell ref="EO730:ES730"/>
    <mergeCell ref="ET730:EX730"/>
    <mergeCell ref="DE730:DI730"/>
    <mergeCell ref="DJ730:DN730"/>
    <mergeCell ref="DO730:DS730"/>
    <mergeCell ref="DU730:DY730"/>
    <mergeCell ref="DZ730:ED730"/>
    <mergeCell ref="EE730:EI730"/>
    <mergeCell ref="EJ730:EN730"/>
    <mergeCell ref="EO729:ES729"/>
    <mergeCell ref="ET729:EX729"/>
    <mergeCell ref="DE729:DI729"/>
    <mergeCell ref="DJ729:DN729"/>
    <mergeCell ref="DO729:DS729"/>
    <mergeCell ref="DU729:DY729"/>
    <mergeCell ref="DZ729:ED729"/>
    <mergeCell ref="EE729:EI729"/>
    <mergeCell ref="EJ729:EN729"/>
    <mergeCell ref="CZ729:DD729"/>
    <mergeCell ref="CG730:CH730"/>
    <mergeCell ref="CI730:CJ730"/>
    <mergeCell ref="CK730:CL730"/>
    <mergeCell ref="CM730:CN730"/>
    <mergeCell ref="CP730:CT730"/>
    <mergeCell ref="CU730:CY730"/>
    <mergeCell ref="CZ730:DD730"/>
    <mergeCell ref="AH730:AJ730"/>
    <mergeCell ref="AK730:AO730"/>
    <mergeCell ref="B730:F730"/>
    <mergeCell ref="G730:J730"/>
    <mergeCell ref="K730:N730"/>
    <mergeCell ref="O730:S730"/>
    <mergeCell ref="T730:W730"/>
    <mergeCell ref="X730:AB730"/>
    <mergeCell ref="AC730:AG730"/>
    <mergeCell ref="AK729:AO729"/>
    <mergeCell ref="B729:F729"/>
    <mergeCell ref="G729:J729"/>
    <mergeCell ref="K729:N729"/>
    <mergeCell ref="O729:S729"/>
    <mergeCell ref="T729:W729"/>
    <mergeCell ref="X729:AB729"/>
    <mergeCell ref="AC729:AG729"/>
    <mergeCell ref="CG729:CH729"/>
    <mergeCell ref="CI729:CJ729"/>
    <mergeCell ref="CK729:CL729"/>
    <mergeCell ref="CM729:CN729"/>
    <mergeCell ref="CP729:CT729"/>
    <mergeCell ref="CU729:CY729"/>
    <mergeCell ref="AH731:AJ731"/>
    <mergeCell ref="AK731:AO731"/>
    <mergeCell ref="B731:F731"/>
    <mergeCell ref="G731:J731"/>
    <mergeCell ref="K731:N731"/>
    <mergeCell ref="O731:S731"/>
    <mergeCell ref="T731:W731"/>
    <mergeCell ref="X731:AB731"/>
    <mergeCell ref="AC731:AG731"/>
    <mergeCell ref="AH734:AJ734"/>
    <mergeCell ref="AK734:AO734"/>
    <mergeCell ref="B734:F734"/>
    <mergeCell ref="G734:J734"/>
    <mergeCell ref="K734:N734"/>
    <mergeCell ref="O734:S734"/>
    <mergeCell ref="T734:W734"/>
    <mergeCell ref="X734:AB734"/>
    <mergeCell ref="AC734:AG734"/>
    <mergeCell ref="AH732:AJ732"/>
    <mergeCell ref="AK732:AO732"/>
    <mergeCell ref="B732:F732"/>
    <mergeCell ref="G732:J732"/>
    <mergeCell ref="K732:N732"/>
    <mergeCell ref="O732:S732"/>
    <mergeCell ref="T732:W732"/>
    <mergeCell ref="X732:AB732"/>
    <mergeCell ref="AC732:AG732"/>
    <mergeCell ref="AH733:AJ733"/>
    <mergeCell ref="AK733:AO733"/>
    <mergeCell ref="B733:F733"/>
    <mergeCell ref="G733:J733"/>
    <mergeCell ref="K733:N733"/>
    <mergeCell ref="O733:S733"/>
    <mergeCell ref="T733:W733"/>
    <mergeCell ref="X733:AB733"/>
    <mergeCell ref="AC733:AG733"/>
    <mergeCell ref="AH735:AJ735"/>
    <mergeCell ref="AK735:AO735"/>
    <mergeCell ref="B735:F735"/>
    <mergeCell ref="G735:J735"/>
    <mergeCell ref="K735:N735"/>
    <mergeCell ref="O735:S735"/>
    <mergeCell ref="T735:W735"/>
    <mergeCell ref="X735:AB735"/>
    <mergeCell ref="AC735:AG735"/>
    <mergeCell ref="EO741:ES741"/>
    <mergeCell ref="ET741:EX741"/>
    <mergeCell ref="DE741:DI741"/>
    <mergeCell ref="DJ741:DN741"/>
    <mergeCell ref="DO741:DS741"/>
    <mergeCell ref="DU741:DY741"/>
    <mergeCell ref="DZ741:ED741"/>
    <mergeCell ref="EE741:EI741"/>
    <mergeCell ref="EJ741:EN741"/>
    <mergeCell ref="EO739:ES739"/>
    <mergeCell ref="ET739:EX739"/>
    <mergeCell ref="DE739:DI739"/>
    <mergeCell ref="DJ739:DN739"/>
    <mergeCell ref="DO739:DS739"/>
    <mergeCell ref="DU739:DY739"/>
    <mergeCell ref="DZ739:ED739"/>
    <mergeCell ref="EE739:EI739"/>
    <mergeCell ref="EJ739:EN739"/>
    <mergeCell ref="CG739:CH739"/>
    <mergeCell ref="CI739:CJ739"/>
    <mergeCell ref="CK739:CL739"/>
    <mergeCell ref="CM739:CN739"/>
    <mergeCell ref="CP739:CT739"/>
    <mergeCell ref="CK740:CL740"/>
    <mergeCell ref="CM740:CN740"/>
    <mergeCell ref="CP740:CT740"/>
    <mergeCell ref="CU740:CY740"/>
    <mergeCell ref="CZ740:DD740"/>
    <mergeCell ref="CG741:CH741"/>
    <mergeCell ref="CI741:CJ741"/>
    <mergeCell ref="CK741:CL741"/>
    <mergeCell ref="CM741:CN741"/>
    <mergeCell ref="CP741:CT741"/>
    <mergeCell ref="CU741:CY741"/>
    <mergeCell ref="CZ741:DD741"/>
    <mergeCell ref="AH736:AJ736"/>
    <mergeCell ref="AK736:AO736"/>
    <mergeCell ref="AH739:AJ739"/>
    <mergeCell ref="AK739:AO739"/>
    <mergeCell ref="B736:F736"/>
    <mergeCell ref="G736:J736"/>
    <mergeCell ref="K736:N736"/>
    <mergeCell ref="O736:S736"/>
    <mergeCell ref="T736:W736"/>
    <mergeCell ref="X736:AB736"/>
    <mergeCell ref="AC736:AG736"/>
    <mergeCell ref="AH737:AJ737"/>
    <mergeCell ref="AK737:AO737"/>
    <mergeCell ref="B737:F737"/>
    <mergeCell ref="G737:J737"/>
    <mergeCell ref="K737:N737"/>
    <mergeCell ref="O737:S737"/>
    <mergeCell ref="T737:W737"/>
    <mergeCell ref="X737:AB737"/>
    <mergeCell ref="AC737:AG737"/>
    <mergeCell ref="AH738:AJ738"/>
    <mergeCell ref="AK738:AO738"/>
    <mergeCell ref="B738:F738"/>
    <mergeCell ref="G738:J738"/>
    <mergeCell ref="K738:N738"/>
    <mergeCell ref="O738:S738"/>
    <mergeCell ref="T738:W738"/>
    <mergeCell ref="X738:AB738"/>
    <mergeCell ref="AC738:AG738"/>
    <mergeCell ref="B739:F739"/>
    <mergeCell ref="G739:J739"/>
    <mergeCell ref="K739:N739"/>
    <mergeCell ref="O739:S739"/>
    <mergeCell ref="T739:W739"/>
    <mergeCell ref="X739:AB739"/>
    <mergeCell ref="AC739:AG739"/>
    <mergeCell ref="AH740:AJ740"/>
    <mergeCell ref="AK740:AO740"/>
    <mergeCell ref="B740:F740"/>
    <mergeCell ref="G740:J740"/>
    <mergeCell ref="K740:N740"/>
    <mergeCell ref="O740:S740"/>
    <mergeCell ref="T740:W740"/>
    <mergeCell ref="X740:AB740"/>
    <mergeCell ref="AC740:AG740"/>
    <mergeCell ref="AH741:AJ741"/>
    <mergeCell ref="AK741:AO741"/>
    <mergeCell ref="B741:F741"/>
    <mergeCell ref="G741:J741"/>
    <mergeCell ref="K741:N741"/>
    <mergeCell ref="O741:S741"/>
    <mergeCell ref="T741:W741"/>
    <mergeCell ref="X741:AB741"/>
    <mergeCell ref="AC741:AG741"/>
    <mergeCell ref="AH742:AJ742"/>
    <mergeCell ref="AK742:AO742"/>
    <mergeCell ref="B742:F742"/>
    <mergeCell ref="G742:J742"/>
    <mergeCell ref="K742:N742"/>
    <mergeCell ref="O742:S742"/>
    <mergeCell ref="T742:W742"/>
    <mergeCell ref="X742:AB742"/>
    <mergeCell ref="AC742:AG742"/>
    <mergeCell ref="EO744:ES744"/>
    <mergeCell ref="ET744:EX744"/>
    <mergeCell ref="DE744:DI744"/>
    <mergeCell ref="DJ744:DN744"/>
    <mergeCell ref="DO744:DS744"/>
    <mergeCell ref="DU744:DY744"/>
    <mergeCell ref="DZ744:ED744"/>
    <mergeCell ref="EE744:EI744"/>
    <mergeCell ref="EJ744:EN744"/>
    <mergeCell ref="EO742:ES742"/>
    <mergeCell ref="ET742:EX742"/>
    <mergeCell ref="DE742:DI742"/>
    <mergeCell ref="DJ742:DN742"/>
    <mergeCell ref="DO742:DS742"/>
    <mergeCell ref="DU742:DY742"/>
    <mergeCell ref="DZ742:ED742"/>
    <mergeCell ref="EE742:EI742"/>
    <mergeCell ref="EJ742:EN742"/>
    <mergeCell ref="CG742:CH742"/>
    <mergeCell ref="CI742:CJ742"/>
    <mergeCell ref="CK742:CL742"/>
    <mergeCell ref="CM742:CN742"/>
    <mergeCell ref="CP742:CT742"/>
    <mergeCell ref="CG743:CH743"/>
    <mergeCell ref="CI743:CJ743"/>
    <mergeCell ref="CK743:CL743"/>
    <mergeCell ref="CM743:CN743"/>
    <mergeCell ref="CP743:CT743"/>
    <mergeCell ref="CU743:CY743"/>
    <mergeCell ref="CZ743:DD743"/>
    <mergeCell ref="EE747:EI747"/>
    <mergeCell ref="EJ747:EN747"/>
    <mergeCell ref="EO745:ES745"/>
    <mergeCell ref="ET745:EX745"/>
    <mergeCell ref="DE745:DI745"/>
    <mergeCell ref="DJ745:DN745"/>
    <mergeCell ref="DO745:DS745"/>
    <mergeCell ref="DU745:DY745"/>
    <mergeCell ref="DZ745:ED745"/>
    <mergeCell ref="EE745:EI745"/>
    <mergeCell ref="EJ745:EN745"/>
    <mergeCell ref="CG745:CH745"/>
    <mergeCell ref="CI745:CJ745"/>
    <mergeCell ref="CK745:CL745"/>
    <mergeCell ref="CM745:CN745"/>
    <mergeCell ref="CP745:CT745"/>
    <mergeCell ref="CU745:CY745"/>
    <mergeCell ref="CZ745:DD745"/>
    <mergeCell ref="CG746:CH746"/>
    <mergeCell ref="CI746:CJ746"/>
    <mergeCell ref="CK746:CL746"/>
    <mergeCell ref="CM746:CN746"/>
    <mergeCell ref="CP746:CT746"/>
    <mergeCell ref="CU746:CY746"/>
    <mergeCell ref="CZ746:DD746"/>
    <mergeCell ref="CG747:CH747"/>
    <mergeCell ref="CI747:CJ747"/>
    <mergeCell ref="CK747:CL747"/>
    <mergeCell ref="CM747:CN747"/>
    <mergeCell ref="CP747:CT747"/>
    <mergeCell ref="CU747:CY747"/>
    <mergeCell ref="CZ747:DD747"/>
    <mergeCell ref="CG744:CH744"/>
    <mergeCell ref="CI744:CJ744"/>
    <mergeCell ref="CK744:CL744"/>
    <mergeCell ref="CM744:CN744"/>
    <mergeCell ref="CP744:CT744"/>
    <mergeCell ref="CU744:CY744"/>
    <mergeCell ref="CZ744:DD744"/>
    <mergeCell ref="DE750:DI750"/>
    <mergeCell ref="DJ750:DN750"/>
    <mergeCell ref="DO750:DS750"/>
    <mergeCell ref="CG750:CH750"/>
    <mergeCell ref="CI750:CJ750"/>
    <mergeCell ref="CK750:CL750"/>
    <mergeCell ref="CM750:CN750"/>
    <mergeCell ref="CP750:CT750"/>
    <mergeCell ref="CU750:CY750"/>
    <mergeCell ref="CZ750:DD750"/>
    <mergeCell ref="CG748:CH748"/>
    <mergeCell ref="CI748:CJ748"/>
    <mergeCell ref="CK748:CL748"/>
    <mergeCell ref="CM748:CN748"/>
    <mergeCell ref="CP748:CT748"/>
    <mergeCell ref="CU748:CY748"/>
    <mergeCell ref="CZ748:DD748"/>
    <mergeCell ref="DJ749:DN749"/>
    <mergeCell ref="EO748:ES748"/>
    <mergeCell ref="ET748:EX748"/>
    <mergeCell ref="DE748:DI748"/>
    <mergeCell ref="DJ748:DN748"/>
    <mergeCell ref="DO748:DS748"/>
    <mergeCell ref="DU748:DY748"/>
    <mergeCell ref="DZ748:ED748"/>
    <mergeCell ref="EE748:EI748"/>
    <mergeCell ref="EJ748:EN748"/>
    <mergeCell ref="EO746:ES746"/>
    <mergeCell ref="ET746:EX746"/>
    <mergeCell ref="DE746:DI746"/>
    <mergeCell ref="DJ746:DN746"/>
    <mergeCell ref="DO746:DS746"/>
    <mergeCell ref="DU746:DY746"/>
    <mergeCell ref="DZ746:ED746"/>
    <mergeCell ref="EE746:EI746"/>
    <mergeCell ref="EJ746:EN746"/>
    <mergeCell ref="EO747:ES747"/>
    <mergeCell ref="ET747:EX747"/>
    <mergeCell ref="DE747:DI747"/>
    <mergeCell ref="DJ747:DN747"/>
    <mergeCell ref="DO747:DS747"/>
    <mergeCell ref="DU747:DY747"/>
    <mergeCell ref="DZ747:ED747"/>
    <mergeCell ref="DO749:DS749"/>
    <mergeCell ref="DU749:DY749"/>
    <mergeCell ref="DZ749:ED749"/>
    <mergeCell ref="EE749:EI749"/>
    <mergeCell ref="EJ749:EN749"/>
    <mergeCell ref="CG749:CH749"/>
    <mergeCell ref="CI749:CJ749"/>
    <mergeCell ref="CK749:CL749"/>
    <mergeCell ref="CM749:CN749"/>
    <mergeCell ref="CP749:CT749"/>
    <mergeCell ref="CU749:CY749"/>
    <mergeCell ref="CZ749:DD749"/>
    <mergeCell ref="EO750:ES750"/>
    <mergeCell ref="ET750:EX750"/>
    <mergeCell ref="DU750:DY750"/>
    <mergeCell ref="DZ750:ED750"/>
    <mergeCell ref="EE750:EI750"/>
    <mergeCell ref="EJ750:EN750"/>
    <mergeCell ref="EO749:ES749"/>
    <mergeCell ref="ET749:EX749"/>
    <mergeCell ref="DE749:DI749"/>
  </mergeCells>
  <conditionalFormatting sqref="B1067:F1067 AO1067:AP1067">
    <cfRule type="expression" dxfId="120" priority="1">
      <formula>0=$B$1067</formula>
    </cfRule>
  </conditionalFormatting>
  <conditionalFormatting sqref="C563:C573 Q563:AS573 Q636:Z646 AC636:AS646">
    <cfRule type="expression" dxfId="119" priority="2">
      <formula>$AT563="!"</formula>
    </cfRule>
  </conditionalFormatting>
  <conditionalFormatting sqref="C636:C646">
    <cfRule type="expression" dxfId="118" priority="3">
      <formula>$AT636="!"</formula>
    </cfRule>
  </conditionalFormatting>
  <conditionalFormatting sqref="C901:T902">
    <cfRule type="expression" dxfId="117" priority="4">
      <formula>AND(AC901&lt;&gt;"",OR(C901="Other (Specify):",C901=""))</formula>
    </cfRule>
  </conditionalFormatting>
  <conditionalFormatting sqref="D213">
    <cfRule type="expression" dxfId="116" priority="5">
      <formula>AND($Q$212&gt;0,$T$212&lt;75%)</formula>
    </cfRule>
  </conditionalFormatting>
  <conditionalFormatting sqref="D216">
    <cfRule type="expression" dxfId="115" priority="6">
      <formula>NOT($D$211="At-Risk")</formula>
    </cfRule>
  </conditionalFormatting>
  <conditionalFormatting sqref="D215:U215">
    <cfRule type="expression" dxfId="114" priority="7">
      <formula>NOT(OR($D$214="Seniors",$D$211="Seniors"))</formula>
    </cfRule>
  </conditionalFormatting>
  <conditionalFormatting sqref="D214:Z214">
    <cfRule type="expression" dxfId="113" priority="8">
      <formula>AND($Q$212&gt;0,$T$212&lt;75%)</formula>
    </cfRule>
  </conditionalFormatting>
  <conditionalFormatting sqref="E715:AK715">
    <cfRule type="expression" dxfId="112" priority="9">
      <formula>AND($W$714="Other",OR($E$715="(specify here)",$E$715=""))</formula>
    </cfRule>
  </conditionalFormatting>
  <conditionalFormatting sqref="F837:L837">
    <cfRule type="expression" dxfId="111" priority="10">
      <formula>AND(OR(M837&lt;&gt;"",$Q$817&lt;&gt;"",$U$817&lt;&gt;"",$Y$817&lt;&gt;"",$AC$817&lt;&gt;"",$AG$817&lt;&gt;"",SUM($M$837:$AJ$837)&gt;0),OR(F837="(specify here)",F837=""))</formula>
    </cfRule>
  </conditionalFormatting>
  <conditionalFormatting sqref="F466:AB466">
    <cfRule type="expression" dxfId="110" priority="11">
      <formula>$AC$463=""</formula>
    </cfRule>
  </conditionalFormatting>
  <conditionalFormatting sqref="G1062:AN1067">
    <cfRule type="expression" dxfId="109" priority="12">
      <formula>OR($Z$205="15% set-aside",$Z$205="15% set-aside with qualifying low value rehab")</formula>
    </cfRule>
  </conditionalFormatting>
  <conditionalFormatting sqref="L516:X516">
    <cfRule type="expression" dxfId="108" priority="13">
      <formula>AND(NOT(AC516="N/A"),AH516&lt;&gt;"",OR(L516="(specify here)",L516=""))</formula>
    </cfRule>
  </conditionalFormatting>
  <conditionalFormatting sqref="M852:V852">
    <cfRule type="expression" dxfId="107" priority="14">
      <formula>AND(W852&lt;&gt;"",OR(M852="(specify here)",M852=""))</formula>
    </cfRule>
  </conditionalFormatting>
  <conditionalFormatting sqref="M867:V867">
    <cfRule type="expression" dxfId="106" priority="15">
      <formula>AND(W867&lt;&gt;"",OR(M867="(specify here)",M867=""))</formula>
    </cfRule>
  </conditionalFormatting>
  <conditionalFormatting sqref="M878:V878">
    <cfRule type="expression" dxfId="105" priority="16">
      <formula>AND(W878&lt;&gt;"",OR(M878="(specify here)",M878=""))</formula>
    </cfRule>
  </conditionalFormatting>
  <conditionalFormatting sqref="M881:V885">
    <cfRule type="expression" dxfId="104" priority="17">
      <formula>AND(W881&lt;&gt;"",OR(M881="(specify here)",M881=""))</formula>
    </cfRule>
  </conditionalFormatting>
  <conditionalFormatting sqref="O528:AA528">
    <cfRule type="expression" dxfId="103" priority="18">
      <formula>AND(OR(AND(NOT(AC528="N/A"),AH528&lt;&gt;""),AND(NOT(AC529="N/A"),AH529&lt;&gt;""),AND(NOT(AC530="N/A"),AH530&lt;&gt;"")),OR(O528="(specify here)",O528=""))</formula>
    </cfRule>
  </conditionalFormatting>
  <conditionalFormatting sqref="O531:AA531">
    <cfRule type="expression" dxfId="102" priority="19">
      <formula>AND(OR(AND(NOT(AC531="N/A"),AH531&lt;&gt;""),AND(NOT(AC532="N/A"),AH532&lt;&gt;""),AND(NOT(AC533="N/A"),AH533&lt;&gt;"")),OR(O531="(specify here)",O531=""))</formula>
    </cfRule>
  </conditionalFormatting>
  <conditionalFormatting sqref="O534:AA534">
    <cfRule type="expression" dxfId="101" priority="20">
      <formula>AND(OR(AND(NOT(AC534="N/A"),AH534&lt;&gt;""),AND(NOT(AC535="N/A"),AH535&lt;&gt;""),AND(NOT(AC536="N/A"),AH536&lt;&gt;"")),OR(O534="(specify here)",O534=""))</formula>
    </cfRule>
  </conditionalFormatting>
  <conditionalFormatting sqref="O537:AA537">
    <cfRule type="expression" dxfId="100" priority="21">
      <formula>AND(OR(AND(NOT(AC537="N/A"),AH537&lt;&gt;""),AND(NOT(AC538="N/A"),AH538&lt;&gt;""),AND(NOT(AC539="N/A"),AH539&lt;&gt;"")),OR(O537="(specify here)",O537=""))</formula>
    </cfRule>
  </conditionalFormatting>
  <conditionalFormatting sqref="O540:AA540">
    <cfRule type="expression" dxfId="99" priority="22">
      <formula>AND(OR(AND(NOT(AC540="N/A"),AH540&lt;&gt;""),AND(NOT(AC541="N/A"),AH541&lt;&gt;""),AND(NOT(AC542="N/A"),AH542&lt;&gt;"")),OR(O540="(specify here)",O540=""))</formula>
    </cfRule>
  </conditionalFormatting>
  <conditionalFormatting sqref="O543:AA543">
    <cfRule type="expression" dxfId="98" priority="23">
      <formula>AND(OR(AND(NOT(AC543="N/A"),AH543&lt;&gt;""),AND(NOT(AC544="N/A"),AH544&lt;&gt;""),AND(NOT(AC545="N/A"),AH545&lt;&gt;"")),OR(O543="(specify here)",O543=""))</formula>
    </cfRule>
  </conditionalFormatting>
  <conditionalFormatting sqref="P822:Y822">
    <cfRule type="expression" dxfId="97" priority="24">
      <formula>AND(Z822&lt;&gt;"",OR(P822="(specify here)",P822=""))</formula>
    </cfRule>
  </conditionalFormatting>
  <conditionalFormatting sqref="T212:U212">
    <cfRule type="expression" dxfId="96" priority="25">
      <formula>AND($T$212=0,$Q$212="")</formula>
    </cfRule>
  </conditionalFormatting>
  <conditionalFormatting sqref="U901:U902">
    <cfRule type="expression" dxfId="95" priority="26">
      <formula>AND(AU885&lt;&gt;"",OR(U901="Other (Specify):",U901=""))</formula>
    </cfRule>
  </conditionalFormatting>
  <conditionalFormatting sqref="V901:AB902">
    <cfRule type="expression" dxfId="94" priority="27">
      <formula>AND(AV895&lt;&gt;"",OR(V901="Other (Specify):",V901=""))</formula>
    </cfRule>
  </conditionalFormatting>
  <conditionalFormatting sqref="W981:AG981">
    <cfRule type="expression" dxfId="93" priority="28">
      <formula>AND($AA$960&lt;&gt;"",OR($W$959="",$W$959="(specify here)"))</formula>
    </cfRule>
  </conditionalFormatting>
  <conditionalFormatting sqref="Y224">
    <cfRule type="expression" dxfId="92" priority="29">
      <formula>$AC$463=""</formula>
    </cfRule>
  </conditionalFormatting>
  <conditionalFormatting sqref="Y516:AB516">
    <cfRule type="expression" dxfId="91" priority="30">
      <formula>AND(NOT(AP516="N/A"),AU515&lt;&gt;"",OR(Y516="(specify here)",Y516=""))</formula>
    </cfRule>
  </conditionalFormatting>
  <conditionalFormatting sqref="AA925:AF925">
    <cfRule type="expression" dxfId="90" priority="31">
      <formula>NOT($AA$925=$AW$925)</formula>
    </cfRule>
  </conditionalFormatting>
  <conditionalFormatting sqref="AA1064:AF1064">
    <cfRule type="expression" dxfId="89" priority="32">
      <formula>OR($Z$205="15% set-aside",$Z$205="15% set-aside with qualifying low value rehab")</formula>
    </cfRule>
  </conditionalFormatting>
  <conditionalFormatting sqref="AA215:AO215">
    <cfRule type="expression" dxfId="88" priority="33">
      <formula>NOT(OR($D$214="Seniors",$D$211="Seniors"))</formula>
    </cfRule>
  </conditionalFormatting>
  <conditionalFormatting sqref="AB216:AM216">
    <cfRule type="expression" dxfId="87" priority="34">
      <formula>NOT($D$211="At-Risk")</formula>
    </cfRule>
  </conditionalFormatting>
  <conditionalFormatting sqref="AF1028">
    <cfRule type="cellIs" dxfId="86" priority="35" stopIfTrue="1" operator="equal">
      <formula>"Please Enter Amount:"</formula>
    </cfRule>
  </conditionalFormatting>
  <conditionalFormatting sqref="AF1033">
    <cfRule type="cellIs" dxfId="85" priority="36" stopIfTrue="1" operator="equal">
      <formula>"Please Enter Amount:"</formula>
    </cfRule>
  </conditionalFormatting>
  <conditionalFormatting sqref="AF1040">
    <cfRule type="cellIs" dxfId="84" priority="37" stopIfTrue="1" operator="equal">
      <formula>"Please Enter Amount:"</formula>
    </cfRule>
  </conditionalFormatting>
  <conditionalFormatting sqref="AG450:AJ450">
    <cfRule type="expression" dxfId="83" priority="38" stopIfTrue="1">
      <formula>"iserror(d31)"</formula>
    </cfRule>
  </conditionalFormatting>
  <conditionalFormatting sqref="AJ1052">
    <cfRule type="cellIs" dxfId="82" priority="39" stopIfTrue="1" operator="equal">
      <formula>"#DIV/0!"</formula>
    </cfRule>
  </conditionalFormatting>
  <conditionalFormatting sqref="AX305:BT306">
    <cfRule type="expression" dxfId="81" priority="40">
      <formula>$AC$463=""</formula>
    </cfRule>
  </conditionalFormatting>
  <dataValidations count="53">
    <dataValidation type="decimal" allowBlank="1" showErrorMessage="1" sqref="AG417:AJ417" xr:uid="{00000000-0002-0000-0300-000000000000}">
      <formula1>0</formula1>
      <formula2>AG404</formula2>
    </dataValidation>
    <dataValidation type="list" allowBlank="1" showErrorMessage="1" sqref="U175" xr:uid="{00000000-0002-0000-0300-000001000000}">
      <formula1>$BJ$160:$BJ$162</formula1>
    </dataValidation>
    <dataValidation type="list" allowBlank="1" showErrorMessage="1" sqref="T189" xr:uid="{00000000-0002-0000-0300-000002000000}">
      <formula1>$BT$156:$BT$214</formula1>
    </dataValidation>
    <dataValidation type="list" allowBlank="1" showErrorMessage="1" sqref="J1031" xr:uid="{00000000-0002-0000-0300-000003000000}">
      <formula1>"N/A,Seismic Upgrading,Environmental Mitigation"</formula1>
    </dataValidation>
    <dataValidation type="list" allowBlank="1" showErrorMessage="1" sqref="M247" xr:uid="{00000000-0002-0000-0300-000004000000}">
      <formula1>$BC$212:$BC$220</formula1>
    </dataValidation>
    <dataValidation type="list" allowBlank="1" showErrorMessage="1" sqref="AI235:AI238 M364:M367 R420:R421 S422 AE434 A1072 A1074 A1077 A1082 A1088 A1092 A1096 A1101 A1104 A1107 A1110 A1132" xr:uid="{00000000-0002-0000-0300-000005000000}">
      <formula1>"N/A,Yes"</formula1>
    </dataValidation>
    <dataValidation type="list" allowBlank="1" showErrorMessage="1" sqref="Z635:Z646" xr:uid="{00000000-0002-0000-0300-000007000000}">
      <formula1>$BA$642:$BA$646</formula1>
    </dataValidation>
    <dataValidation type="decimal" allowBlank="1" showErrorMessage="1" sqref="AG406:AH406" xr:uid="{00000000-0002-0000-0300-000008000000}">
      <formula1>0</formula1>
      <formula2>AG404</formula2>
    </dataValidation>
    <dataValidation type="list" allowBlank="1" showErrorMessage="1" sqref="AC509:AC516 AC522:AC550" xr:uid="{00000000-0002-0000-0300-000009000000}">
      <formula1>"N/A,1,2,3,4,5,6,7,8,9,10,11,12"</formula1>
    </dataValidation>
    <dataValidation type="list" allowBlank="1" showErrorMessage="1" sqref="Z281:AD281" xr:uid="{00000000-0002-0000-0300-00000A000000}">
      <formula1>"Nonprofit,For-Profit,N/A"</formula1>
    </dataValidation>
    <dataValidation type="decimal" operator="greaterThanOrEqual" allowBlank="1" showInputMessage="1" showErrorMessage="1" prompt="Must be a number - Enter a whole number greater than or equal to 0." sqref="AG762" xr:uid="{00000000-0002-0000-0300-00000B000000}">
      <formula1>0</formula1>
    </dataValidation>
    <dataValidation type="list" allowBlank="1" showErrorMessage="1" sqref="Q374" xr:uid="{00000000-0002-0000-0300-00000C000000}">
      <formula1>"N/A,Appraisal,Third party debt encumbering the seller's property"</formula1>
    </dataValidation>
    <dataValidation type="list" allowBlank="1" showErrorMessage="1" sqref="M562:M573 M635:M646" xr:uid="{00000000-0002-0000-0300-00000D000000}">
      <formula1>ListofSources</formula1>
    </dataValidation>
    <dataValidation type="list" allowBlank="1" showErrorMessage="1" sqref="D279" xr:uid="{00000000-0002-0000-0300-00000E000000}">
      <formula1>$BB$253:$BB$255</formula1>
    </dataValidation>
    <dataValidation type="decimal" operator="greaterThan" allowBlank="1" showInputMessage="1" showErrorMessage="1" prompt="Please enter the subsidy term as a number in years, no text." sqref="M969" xr:uid="{00000000-0002-0000-0300-00000F000000}">
      <formula1>0</formula1>
    </dataValidation>
    <dataValidation type="list" allowBlank="1" showErrorMessage="1" sqref="CU122" xr:uid="{00000000-0002-0000-0300-000010000000}">
      <formula1>$CU$124:$CU$125</formula1>
    </dataValidation>
    <dataValidation type="decimal" operator="greaterThanOrEqual" allowBlank="1" showInputMessage="1" showErrorMessage="1" prompt="Please enter a whole number. If none or N/A, enter 0." sqref="AJ365" xr:uid="{00000000-0002-0000-0300-000011000000}">
      <formula1>0</formula1>
    </dataValidation>
    <dataValidation type="decimal" operator="greaterThanOrEqual" allowBlank="1" showInputMessage="1" showErrorMessage="1" prompt="Whole numbers only - If not applicable, leave blank or enter zero (0)." sqref="Q212" xr:uid="{00000000-0002-0000-0300-000012000000}">
      <formula1>0</formula1>
    </dataValidation>
    <dataValidation type="list" allowBlank="1" showErrorMessage="1" sqref="D220" xr:uid="{00000000-0002-0000-0300-000013000000}">
      <formula1>$BC$197:$BC$210</formula1>
    </dataValidation>
    <dataValidation type="decimal" allowBlank="1" showErrorMessage="1" sqref="AG409:AJ409" xr:uid="{00000000-0002-0000-0300-000014000000}">
      <formula1>0</formula1>
      <formula2>AG404</formula2>
    </dataValidation>
    <dataValidation type="decimal" operator="greaterThan" allowBlank="1" showErrorMessage="1" sqref="AE969" xr:uid="{00000000-0002-0000-0300-000015000000}">
      <formula1>0</formula1>
    </dataValidation>
    <dataValidation type="list" allowBlank="1" showErrorMessage="1" sqref="Z562:Z573" xr:uid="{00000000-0002-0000-0300-000016000000}">
      <formula1>"(select),Fixed,Variable,N/A"</formula1>
    </dataValidation>
    <dataValidation type="list" allowBlank="1" showErrorMessage="1" sqref="AC517" xr:uid="{00000000-0002-0000-0300-000017000000}">
      <formula1>"(select),Yes,No"</formula1>
    </dataValidation>
    <dataValidation type="list" allowBlank="1" showErrorMessage="1" sqref="S414" xr:uid="{00000000-0002-0000-0300-000018000000}">
      <formula1>"(select),Secured by Leasehold Interest,Secured by Fee Interest,Secured by both Leasehold &amp; Fee Interests,Other"</formula1>
    </dataValidation>
    <dataValidation type="list" allowBlank="1" showErrorMessage="1" sqref="I419" xr:uid="{00000000-0002-0000-0300-000019000000}">
      <formula1>"(Select),Single Room Occupancy,Single Family Home,Detached 2/3/4 Family,Housing Cooperative,Tenant Homeownership,One or Two Story Garden,Townhouse or Row House,Duplex/Fourplex,Inner City Infill Site,Other (Specify below)"</formula1>
    </dataValidation>
    <dataValidation type="list" allowBlank="1" showErrorMessage="1" sqref="J964 AB964" xr:uid="{00000000-0002-0000-0300-00001A000000}">
      <formula1>"(select one),Project-based vouchers (PBVs),Project-based contract (PBC),RAD conversion - PBVs,RAD conversion - PBC"</formula1>
    </dataValidation>
    <dataValidation type="list" allowBlank="1" showErrorMessage="1" sqref="AJ364 AJ366 N372 Y373 J376 AG388:AG389 V390:V391 AD765" xr:uid="{00000000-0002-0000-0300-00001B000000}">
      <formula1>"N/A,Yes,No"</formula1>
    </dataValidation>
    <dataValidation type="list" allowBlank="1" showErrorMessage="1" sqref="U925:U957" xr:uid="{00000000-0002-0000-0300-00001C000000}">
      <formula1>"Yes,No,N/A"</formula1>
    </dataValidation>
    <dataValidation type="decimal" operator="greaterThanOrEqual" allowBlank="1" showErrorMessage="1" sqref="AG403 Q562:Q573 T562:T573 W562:W573 AE562:AE573 AI562:AI573 AM562:AM573 Q635:Q646 T635:T646 W635:W646 AC635:AC646 AF635:AF646 AK635:AK646 AO635:AO646 Z812" xr:uid="{00000000-0002-0000-0300-00001D000000}">
      <formula1>0</formula1>
    </dataValidation>
    <dataValidation type="list" allowBlank="1" showErrorMessage="1" sqref="J173" xr:uid="{00000000-0002-0000-0300-00001E000000}">
      <formula1>"Preliminary Reservation,Subsidy Layering,Placed in Service,Re-Application,Supplemental Allocation"</formula1>
    </dataValidation>
    <dataValidation type="list" allowBlank="1" showErrorMessage="1" sqref="J174" xr:uid="{00000000-0002-0000-0300-00001F000000}">
      <formula1>"(select one),CDLAC-CTCAC Joint Application (submitting concurrently),CDLAC-only application (bonds without tax credits)"</formula1>
    </dataValidation>
    <dataValidation type="decimal" operator="greaterThanOrEqual" allowBlank="1" showInputMessage="1" showErrorMessage="1" prompt="Please enter the number of units designated for each population type. If N/A, enter 0." sqref="W473:W482" xr:uid="{00000000-0002-0000-0300-000020000000}">
      <formula1>0</formula1>
    </dataValidation>
    <dataValidation type="list" allowBlank="1" showErrorMessage="1" sqref="O33 R177 X180 AH194 T195:T197 T199:T200 AP205 V224:V229 Q497 N583 AG583 N591 AG591 N599 AG599 N607 AG607 N615 AG615 N623 AG623 N657 AG657 N665 AG665 N673 AG673 N681 AG681 N689 AG689 N697 AG697 O981 AG1001 AG1008 AG1014 AG1018 AG1020 AG1023 AG1027 AG1032 AG1036 AG1039 AG1043 AG1048" xr:uid="{00000000-0002-0000-0300-000021000000}">
      <formula1>"Yes,No"</formula1>
    </dataValidation>
    <dataValidation type="list" allowBlank="1" showErrorMessage="1" sqref="AF439 Z443" xr:uid="{00000000-0002-0000-0300-000022000000}">
      <formula1>$BN$351:$BN$353</formula1>
    </dataValidation>
    <dataValidation type="list" allowBlank="1" showErrorMessage="1" sqref="M258 M266 M274" xr:uid="{00000000-0002-0000-0300-000023000000}">
      <formula1>"(select one),Nonprofit,For Profit"</formula1>
    </dataValidation>
    <dataValidation type="decimal" allowBlank="1" showInputMessage="1" showErrorMessage="1" prompt="Please enter a number" sqref="AH195:AH197 AH211:AI211" xr:uid="{00000000-0002-0000-0300-000024000000}">
      <formula1>0</formula1>
      <formula2>999</formula2>
    </dataValidation>
    <dataValidation type="list" allowBlank="1" showErrorMessage="1" sqref="D211" xr:uid="{00000000-0002-0000-0300-000025000000}">
      <formula1>$BC$189:$BC$195</formula1>
    </dataValidation>
    <dataValidation type="list" allowBlank="1" showErrorMessage="1" sqref="D208" xr:uid="{00000000-0002-0000-0300-000026000000}">
      <formula1>"(select one),20%/50%,40%/60%,40%/60% Average Income"</formula1>
    </dataValidation>
    <dataValidation type="decimal" allowBlank="1" showInputMessage="1" showErrorMessage="1" prompt="example: enter 30 for 30%, hit cancel and try again._x000a_" sqref="AH779 AK779:AL779 AH780:AL782 AI783:AJ783 AC726:AC758" xr:uid="{00000000-0002-0000-0300-000027000000}">
      <formula1>0</formula1>
      <formula2>1</formula2>
    </dataValidation>
    <dataValidation type="list" allowBlank="1" showErrorMessage="1" sqref="AC220" xr:uid="{00000000-0002-0000-0300-000028000000}">
      <formula1>$BN$148:$BN$155</formula1>
    </dataValidation>
    <dataValidation type="list" allowBlank="1" showErrorMessage="1" sqref="J779:J782 J793:J802 B726:B758" xr:uid="{00000000-0002-0000-0300-000029000000}">
      <formula1>UnitSizes</formula1>
    </dataValidation>
    <dataValidation type="decimal" allowBlank="1" showErrorMessage="1" sqref="AG404 AG405:AJ405 AG410" xr:uid="{00000000-0002-0000-0300-00002A000000}">
      <formula1>0</formula1>
      <formula2>AG403</formula2>
    </dataValidation>
    <dataValidation type="list" allowBlank="1" showErrorMessage="1" sqref="AF252 AF260 AF268" xr:uid="{00000000-0002-0000-0300-00002B000000}">
      <formula1>"(select one),Managing GP,Administrative GP"</formula1>
    </dataValidation>
    <dataValidation type="list" allowBlank="1" showErrorMessage="1" sqref="AI398 AI401 AI406 S410 Q438 Z441 AE701:AE702 AE710 J785 P952" xr:uid="{00000000-0002-0000-0300-00002C000000}">
      <formula1>"No,Yes"</formula1>
    </dataValidation>
    <dataValidation type="list" allowBlank="1" showErrorMessage="1" sqref="M976" xr:uid="{00000000-0002-0000-0300-00002D000000}">
      <formula1>"N/A,IRP,Decoupled IRP"</formula1>
    </dataValidation>
    <dataValidation type="list" allowBlank="1" showErrorMessage="1" sqref="D214" xr:uid="{00000000-0002-0000-0300-00002E000000}">
      <formula1>$BH$189:$BH$193</formula1>
    </dataValidation>
    <dataValidation type="list" allowBlank="1" showErrorMessage="1" sqref="W714" xr:uid="{00000000-0002-0000-0300-00002F000000}">
      <formula1>"(select one),FHA Insurance,Private Mortgage Insurance,Letter(s) of Credit,Other"</formula1>
    </dataValidation>
    <dataValidation type="list" allowBlank="1" showErrorMessage="1" sqref="Z205" xr:uid="{00000000-0002-0000-0300-000030000000}">
      <formula1>$BI$212:$BI$217</formula1>
    </dataValidation>
    <dataValidation type="list" allowBlank="1" showErrorMessage="1" sqref="M979" xr:uid="{00000000-0002-0000-0300-000031000000}">
      <formula1>"(select one),Project-based vouchers (PBVs),Project-based contract (PBC),RAD PBVs,RAD PBC"</formula1>
    </dataValidation>
    <dataValidation type="list" allowBlank="1" showErrorMessage="1" sqref="H344" xr:uid="{00000000-0002-0000-0300-000032000000}">
      <formula1>$BI$220:$BI$241</formula1>
    </dataValidation>
    <dataValidation type="list" allowBlank="1" showErrorMessage="1" sqref="T193" xr:uid="{00000000-0002-0000-0300-000033000000}">
      <formula1>$BB$173:$BB$178</formula1>
    </dataValidation>
    <dataValidation type="list" allowBlank="1" showErrorMessage="1" sqref="S411" xr:uid="{00000000-0002-0000-0300-000034000000}">
      <formula1>"N/A,No,Yes"</formula1>
    </dataValidation>
    <dataValidation type="list" allowBlank="1" showErrorMessage="1" sqref="AK726:AK758" xr:uid="{00000000-0002-0000-0300-000006000000}">
      <formula1>"Special Needs,Homeless,Veterans,N/A"</formula1>
    </dataValidation>
  </dataValidations>
  <hyperlinks>
    <hyperlink ref="D164" r:id="rId1" xr:uid="{00000000-0004-0000-0300-000000000000}"/>
    <hyperlink ref="AB200" r:id="rId2" xr:uid="{00000000-0004-0000-0300-000001000000}"/>
  </hyperlinks>
  <printOptions horizontalCentered="1"/>
  <pageMargins left="0.5" right="0.5" top="1" bottom="1" header="0" footer="0"/>
  <pageSetup orientation="portrait"/>
  <headerFooter>
    <oddFooter>&amp;C&amp;P&amp;R&amp;A</oddFooter>
  </headerFooter>
  <rowBreaks count="13" manualBreakCount="13">
    <brk id="766" man="1"/>
    <brk id="674" man="1"/>
    <brk id="551" man="1"/>
    <brk id="392" man="1"/>
    <brk id="716" man="1"/>
    <brk id="209" man="1"/>
    <brk id="343" man="1"/>
    <brk id="504" man="1"/>
    <brk id="887" man="1"/>
    <brk id="281" man="1"/>
    <brk id="825" man="1"/>
    <brk id="444" man="1"/>
    <brk id="957" man="1"/>
  </rowBreaks>
  <drawing r:id="rId3"/>
  <legacyDrawing r:id="rId4"/>
  <tableParts count="1">
    <tablePart r:id="rId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topLeftCell="A8" workbookViewId="0">
      <selection activeCell="H33" sqref="H33"/>
    </sheetView>
  </sheetViews>
  <sheetFormatPr defaultColWidth="12.6328125" defaultRowHeight="15" customHeight="1"/>
  <cols>
    <col min="1" max="1" width="35.7265625" customWidth="1"/>
    <col min="2" max="12" width="12.08984375" customWidth="1"/>
    <col min="13" max="17" width="11.26953125" customWidth="1"/>
    <col min="18" max="18" width="12.7265625" customWidth="1"/>
    <col min="19" max="20" width="12.08984375" customWidth="1"/>
    <col min="21" max="21" width="0.26953125" customWidth="1"/>
    <col min="22" max="26" width="8.6328125" customWidth="1"/>
  </cols>
  <sheetData>
    <row r="1" spans="1:26" ht="12" customHeight="1">
      <c r="A1" s="66" t="s">
        <v>419</v>
      </c>
      <c r="B1" s="67"/>
      <c r="C1" s="67"/>
      <c r="D1" s="67"/>
      <c r="E1" s="68"/>
      <c r="F1" s="1138" t="s">
        <v>422</v>
      </c>
      <c r="G1" s="921"/>
      <c r="H1" s="921"/>
      <c r="I1" s="921"/>
      <c r="J1" s="921"/>
      <c r="K1" s="921"/>
      <c r="L1" s="921"/>
      <c r="M1" s="921"/>
      <c r="N1" s="921"/>
      <c r="O1" s="921"/>
      <c r="P1" s="921"/>
      <c r="Q1" s="921"/>
      <c r="R1" s="943"/>
      <c r="S1" s="69"/>
      <c r="T1" s="70"/>
      <c r="U1" s="71"/>
      <c r="V1" s="72"/>
      <c r="W1" s="72"/>
      <c r="X1" s="72"/>
      <c r="Y1" s="72"/>
      <c r="Z1" s="72"/>
    </row>
    <row r="2" spans="1:26" ht="71.25" customHeight="1">
      <c r="A2" s="73"/>
      <c r="B2" s="74" t="s">
        <v>428</v>
      </c>
      <c r="C2" s="74" t="s">
        <v>430</v>
      </c>
      <c r="D2" s="74" t="s">
        <v>431</v>
      </c>
      <c r="E2" s="74" t="s">
        <v>432</v>
      </c>
      <c r="F2" s="75" t="str">
        <f>Application!B635&amp;Application!C635</f>
        <v xml:space="preserve">1)Citibank N.A. </v>
      </c>
      <c r="G2" s="75" t="str">
        <f>Application!B636&amp;Application!C636</f>
        <v xml:space="preserve">2)Citibank N.A. </v>
      </c>
      <c r="H2" s="75" t="str">
        <f>Application!B637&amp;Application!C637</f>
        <v xml:space="preserve">3)Deferred Developer Fee </v>
      </c>
      <c r="I2" s="75" t="str">
        <f>Application!B638&amp;Application!C638</f>
        <v xml:space="preserve">4)NOI </v>
      </c>
      <c r="J2" s="75" t="str">
        <f>Application!B639&amp;Application!C639</f>
        <v>5)</v>
      </c>
      <c r="K2" s="75" t="str">
        <f>Application!B640&amp;Application!C640</f>
        <v>6)</v>
      </c>
      <c r="L2" s="75" t="str">
        <f>Application!B641&amp;Application!C641</f>
        <v>7)</v>
      </c>
      <c r="M2" s="75" t="str">
        <f>Application!B642&amp;Application!C642</f>
        <v>8)</v>
      </c>
      <c r="N2" s="75" t="str">
        <f>Application!B643&amp;Application!C643</f>
        <v>9)</v>
      </c>
      <c r="O2" s="75" t="str">
        <f>Application!B644&amp;Application!C644</f>
        <v>10)</v>
      </c>
      <c r="P2" s="75" t="str">
        <f>Application!B645&amp;Application!C645</f>
        <v>11)</v>
      </c>
      <c r="Q2" s="75" t="str">
        <f>Application!B646&amp;Application!C646</f>
        <v>12)</v>
      </c>
      <c r="R2" s="75" t="s">
        <v>446</v>
      </c>
      <c r="S2" s="74" t="s">
        <v>447</v>
      </c>
      <c r="T2" s="74" t="s">
        <v>448</v>
      </c>
      <c r="U2" s="77"/>
      <c r="V2" s="74"/>
      <c r="W2" s="74"/>
      <c r="X2" s="74"/>
      <c r="Y2" s="74"/>
      <c r="Z2" s="74"/>
    </row>
    <row r="3" spans="1:26" ht="12" customHeight="1">
      <c r="A3" s="78" t="s">
        <v>451</v>
      </c>
      <c r="B3" s="79"/>
      <c r="C3" s="79"/>
      <c r="D3" s="79"/>
      <c r="E3" s="79"/>
      <c r="F3" s="79"/>
      <c r="G3" s="79"/>
      <c r="H3" s="79"/>
      <c r="I3" s="79"/>
      <c r="J3" s="79"/>
      <c r="K3" s="79"/>
      <c r="L3" s="79"/>
      <c r="M3" s="79"/>
      <c r="N3" s="79"/>
      <c r="O3" s="79"/>
      <c r="P3" s="79"/>
      <c r="Q3" s="79"/>
      <c r="R3" s="79"/>
      <c r="S3" s="79"/>
      <c r="T3" s="79"/>
      <c r="U3" s="80"/>
      <c r="V3" s="81"/>
      <c r="W3" s="81"/>
      <c r="X3" s="81"/>
      <c r="Y3" s="81"/>
      <c r="Z3" s="81"/>
    </row>
    <row r="4" spans="1:26" ht="12" customHeight="1">
      <c r="A4" s="82" t="s">
        <v>457</v>
      </c>
      <c r="B4" s="83">
        <f t="shared" ref="B4:B7" si="0">SUM(C4+D4)</f>
        <v>6195898</v>
      </c>
      <c r="C4" s="84">
        <v>6195898</v>
      </c>
      <c r="D4" s="84"/>
      <c r="E4" s="84"/>
      <c r="F4" s="84">
        <f>C4</f>
        <v>6195898</v>
      </c>
      <c r="G4" s="84"/>
      <c r="H4" s="84"/>
      <c r="I4" s="84"/>
      <c r="J4" s="84"/>
      <c r="K4" s="84"/>
      <c r="L4" s="84"/>
      <c r="M4" s="84"/>
      <c r="N4" s="84"/>
      <c r="O4" s="84"/>
      <c r="P4" s="84"/>
      <c r="Q4" s="84"/>
      <c r="R4" s="84">
        <f t="shared" ref="R4:R7" si="1">SUM(E4:Q4)</f>
        <v>6195898</v>
      </c>
      <c r="S4" s="85"/>
      <c r="T4" s="85"/>
      <c r="U4" s="80"/>
      <c r="V4" s="81"/>
      <c r="W4" s="81"/>
      <c r="X4" s="81"/>
      <c r="Y4" s="81"/>
      <c r="Z4" s="81"/>
    </row>
    <row r="5" spans="1:26" ht="12" customHeight="1">
      <c r="A5" s="82" t="s">
        <v>444</v>
      </c>
      <c r="B5" s="83">
        <f t="shared" si="0"/>
        <v>0</v>
      </c>
      <c r="C5" s="84"/>
      <c r="D5" s="84"/>
      <c r="E5" s="84"/>
      <c r="F5" s="84"/>
      <c r="G5" s="84"/>
      <c r="H5" s="84"/>
      <c r="I5" s="84"/>
      <c r="J5" s="84"/>
      <c r="K5" s="84"/>
      <c r="L5" s="84"/>
      <c r="M5" s="84"/>
      <c r="N5" s="84"/>
      <c r="O5" s="84"/>
      <c r="P5" s="84"/>
      <c r="Q5" s="84"/>
      <c r="R5" s="84">
        <f t="shared" si="1"/>
        <v>0</v>
      </c>
      <c r="S5" s="85"/>
      <c r="T5" s="85"/>
      <c r="U5" s="80"/>
      <c r="V5" s="81"/>
      <c r="W5" s="81"/>
      <c r="X5" s="81"/>
      <c r="Y5" s="81"/>
      <c r="Z5" s="81"/>
    </row>
    <row r="6" spans="1:26" ht="12" customHeight="1">
      <c r="A6" s="82" t="s">
        <v>469</v>
      </c>
      <c r="B6" s="83">
        <f t="shared" si="0"/>
        <v>0</v>
      </c>
      <c r="C6" s="84"/>
      <c r="D6" s="84"/>
      <c r="E6" s="84"/>
      <c r="F6" s="84"/>
      <c r="G6" s="84"/>
      <c r="H6" s="84"/>
      <c r="I6" s="84"/>
      <c r="J6" s="84"/>
      <c r="K6" s="84"/>
      <c r="L6" s="84"/>
      <c r="M6" s="84"/>
      <c r="N6" s="84"/>
      <c r="O6" s="84"/>
      <c r="P6" s="84"/>
      <c r="Q6" s="84"/>
      <c r="R6" s="84">
        <f t="shared" si="1"/>
        <v>0</v>
      </c>
      <c r="S6" s="85"/>
      <c r="T6" s="85"/>
      <c r="U6" s="80"/>
      <c r="V6" s="81"/>
      <c r="W6" s="81"/>
      <c r="X6" s="81"/>
      <c r="Y6" s="81"/>
      <c r="Z6" s="81"/>
    </row>
    <row r="7" spans="1:26" ht="12" customHeight="1">
      <c r="A7" s="82" t="s">
        <v>472</v>
      </c>
      <c r="B7" s="83">
        <f t="shared" si="0"/>
        <v>0</v>
      </c>
      <c r="C7" s="84"/>
      <c r="D7" s="84"/>
      <c r="E7" s="84"/>
      <c r="F7" s="84"/>
      <c r="G7" s="84"/>
      <c r="H7" s="84"/>
      <c r="I7" s="84"/>
      <c r="J7" s="84"/>
      <c r="K7" s="84"/>
      <c r="L7" s="84"/>
      <c r="M7" s="84"/>
      <c r="N7" s="84"/>
      <c r="O7" s="84"/>
      <c r="P7" s="84"/>
      <c r="Q7" s="84"/>
      <c r="R7" s="84">
        <f t="shared" si="1"/>
        <v>0</v>
      </c>
      <c r="S7" s="85"/>
      <c r="T7" s="85"/>
      <c r="U7" s="80"/>
      <c r="V7" s="81"/>
      <c r="W7" s="81"/>
      <c r="X7" s="81"/>
      <c r="Y7" s="81"/>
      <c r="Z7" s="81"/>
    </row>
    <row r="8" spans="1:26" ht="12" customHeight="1">
      <c r="A8" s="87" t="s">
        <v>475</v>
      </c>
      <c r="B8" s="83">
        <f>SUM(C8:D8)</f>
        <v>6195898</v>
      </c>
      <c r="C8" s="83">
        <f t="shared" ref="C8:O8" si="2">SUM(C4:C7)</f>
        <v>6195898</v>
      </c>
      <c r="D8" s="83">
        <f t="shared" si="2"/>
        <v>0</v>
      </c>
      <c r="E8" s="83">
        <f t="shared" si="2"/>
        <v>0</v>
      </c>
      <c r="F8" s="83">
        <f t="shared" si="2"/>
        <v>6195898</v>
      </c>
      <c r="G8" s="83">
        <f t="shared" si="2"/>
        <v>0</v>
      </c>
      <c r="H8" s="83">
        <f t="shared" si="2"/>
        <v>0</v>
      </c>
      <c r="I8" s="83">
        <f t="shared" si="2"/>
        <v>0</v>
      </c>
      <c r="J8" s="83">
        <f t="shared" si="2"/>
        <v>0</v>
      </c>
      <c r="K8" s="83">
        <f t="shared" si="2"/>
        <v>0</v>
      </c>
      <c r="L8" s="83">
        <f t="shared" si="2"/>
        <v>0</v>
      </c>
      <c r="M8" s="83">
        <f t="shared" si="2"/>
        <v>0</v>
      </c>
      <c r="N8" s="83">
        <f t="shared" si="2"/>
        <v>0</v>
      </c>
      <c r="O8" s="83">
        <f t="shared" si="2"/>
        <v>0</v>
      </c>
      <c r="P8" s="83"/>
      <c r="Q8" s="83">
        <f t="shared" ref="Q8:R8" si="3">SUM(Q4:Q7)</f>
        <v>0</v>
      </c>
      <c r="R8" s="83">
        <f t="shared" si="3"/>
        <v>6195898</v>
      </c>
      <c r="S8" s="85"/>
      <c r="T8" s="85"/>
      <c r="U8" s="80"/>
      <c r="V8" s="81"/>
      <c r="W8" s="81"/>
      <c r="X8" s="81"/>
      <c r="Y8" s="81"/>
      <c r="Z8" s="81"/>
    </row>
    <row r="9" spans="1:26" ht="12" customHeight="1">
      <c r="A9" s="82" t="s">
        <v>482</v>
      </c>
      <c r="B9" s="83">
        <f t="shared" ref="B9:B10" si="4">SUM(C9+D9)</f>
        <v>54804102</v>
      </c>
      <c r="C9" s="84">
        <v>54804102</v>
      </c>
      <c r="D9" s="84"/>
      <c r="E9" s="84">
        <f>C9-F9-G9</f>
        <v>3448000</v>
      </c>
      <c r="F9" s="84">
        <f>28416244-F4</f>
        <v>22220346</v>
      </c>
      <c r="G9" s="84">
        <f>Application!AO636</f>
        <v>29135756</v>
      </c>
      <c r="H9" s="84"/>
      <c r="I9" s="84"/>
      <c r="J9" s="84"/>
      <c r="K9" s="84"/>
      <c r="L9" s="84"/>
      <c r="M9" s="84"/>
      <c r="N9" s="84"/>
      <c r="O9" s="84"/>
      <c r="P9" s="84"/>
      <c r="Q9" s="84"/>
      <c r="R9" s="84">
        <f t="shared" ref="R9:R10" si="5">SUM(E9:Q9)</f>
        <v>54804102</v>
      </c>
      <c r="S9" s="85"/>
      <c r="T9" s="84">
        <f>R9-225000</f>
        <v>54579102</v>
      </c>
      <c r="U9" s="80"/>
      <c r="V9" s="81"/>
      <c r="W9" s="81"/>
      <c r="X9" s="81"/>
      <c r="Y9" s="81"/>
      <c r="Z9" s="81"/>
    </row>
    <row r="10" spans="1:26" ht="12" customHeight="1">
      <c r="A10" s="82" t="s">
        <v>484</v>
      </c>
      <c r="B10" s="83">
        <f t="shared" si="4"/>
        <v>0</v>
      </c>
      <c r="C10" s="84"/>
      <c r="D10" s="84"/>
      <c r="E10" s="84"/>
      <c r="F10" s="84"/>
      <c r="G10" s="84"/>
      <c r="H10" s="84"/>
      <c r="I10" s="84"/>
      <c r="J10" s="84"/>
      <c r="K10" s="84"/>
      <c r="L10" s="84"/>
      <c r="M10" s="84"/>
      <c r="N10" s="84"/>
      <c r="O10" s="84"/>
      <c r="P10" s="84"/>
      <c r="Q10" s="84"/>
      <c r="R10" s="84">
        <f t="shared" si="5"/>
        <v>0</v>
      </c>
      <c r="S10" s="84"/>
      <c r="T10" s="84"/>
      <c r="U10" s="80"/>
      <c r="V10" s="81"/>
      <c r="W10" s="81"/>
      <c r="X10" s="81"/>
      <c r="Y10" s="81"/>
      <c r="Z10" s="81"/>
    </row>
    <row r="11" spans="1:26" ht="12" customHeight="1">
      <c r="A11" s="87" t="s">
        <v>486</v>
      </c>
      <c r="B11" s="83">
        <f>SUM(C11:D11)</f>
        <v>54804102</v>
      </c>
      <c r="C11" s="83">
        <f t="shared" ref="C11:O11" si="6">SUM(C9:C10)</f>
        <v>54804102</v>
      </c>
      <c r="D11" s="83">
        <f t="shared" si="6"/>
        <v>0</v>
      </c>
      <c r="E11" s="83">
        <f t="shared" si="6"/>
        <v>3448000</v>
      </c>
      <c r="F11" s="83">
        <f t="shared" si="6"/>
        <v>22220346</v>
      </c>
      <c r="G11" s="83">
        <f t="shared" si="6"/>
        <v>29135756</v>
      </c>
      <c r="H11" s="83">
        <f t="shared" si="6"/>
        <v>0</v>
      </c>
      <c r="I11" s="83">
        <f t="shared" si="6"/>
        <v>0</v>
      </c>
      <c r="J11" s="83">
        <f t="shared" si="6"/>
        <v>0</v>
      </c>
      <c r="K11" s="83">
        <f t="shared" si="6"/>
        <v>0</v>
      </c>
      <c r="L11" s="83">
        <f t="shared" si="6"/>
        <v>0</v>
      </c>
      <c r="M11" s="83">
        <f t="shared" si="6"/>
        <v>0</v>
      </c>
      <c r="N11" s="83">
        <f t="shared" si="6"/>
        <v>0</v>
      </c>
      <c r="O11" s="83">
        <f t="shared" si="6"/>
        <v>0</v>
      </c>
      <c r="P11" s="83"/>
      <c r="Q11" s="83">
        <f t="shared" ref="Q11:R11" si="7">SUM(Q9:Q10)</f>
        <v>0</v>
      </c>
      <c r="R11" s="83">
        <f t="shared" si="7"/>
        <v>54804102</v>
      </c>
      <c r="S11" s="85"/>
      <c r="T11" s="89">
        <f>SUM(T9:T10)</f>
        <v>54579102</v>
      </c>
      <c r="U11" s="80"/>
      <c r="V11" s="81"/>
      <c r="W11" s="81"/>
      <c r="X11" s="81"/>
      <c r="Y11" s="81"/>
      <c r="Z11" s="81"/>
    </row>
    <row r="12" spans="1:26" ht="12" customHeight="1">
      <c r="A12" s="87" t="s">
        <v>490</v>
      </c>
      <c r="B12" s="83">
        <f t="shared" ref="B12:O12" si="8">SUM(B8+B11)</f>
        <v>61000000</v>
      </c>
      <c r="C12" s="83">
        <f t="shared" si="8"/>
        <v>61000000</v>
      </c>
      <c r="D12" s="83">
        <f t="shared" si="8"/>
        <v>0</v>
      </c>
      <c r="E12" s="83">
        <f t="shared" si="8"/>
        <v>3448000</v>
      </c>
      <c r="F12" s="83">
        <f t="shared" si="8"/>
        <v>28416244</v>
      </c>
      <c r="G12" s="83">
        <f t="shared" si="8"/>
        <v>29135756</v>
      </c>
      <c r="H12" s="83">
        <f t="shared" si="8"/>
        <v>0</v>
      </c>
      <c r="I12" s="83">
        <f t="shared" si="8"/>
        <v>0</v>
      </c>
      <c r="J12" s="83">
        <f t="shared" si="8"/>
        <v>0</v>
      </c>
      <c r="K12" s="83">
        <f t="shared" si="8"/>
        <v>0</v>
      </c>
      <c r="L12" s="83">
        <f t="shared" si="8"/>
        <v>0</v>
      </c>
      <c r="M12" s="83">
        <f t="shared" si="8"/>
        <v>0</v>
      </c>
      <c r="N12" s="83">
        <f t="shared" si="8"/>
        <v>0</v>
      </c>
      <c r="O12" s="83">
        <f t="shared" si="8"/>
        <v>0</v>
      </c>
      <c r="P12" s="83"/>
      <c r="Q12" s="83">
        <f t="shared" ref="Q12:R12" si="9">SUM(Q8+Q11)</f>
        <v>0</v>
      </c>
      <c r="R12" s="83">
        <f t="shared" si="9"/>
        <v>61000000</v>
      </c>
      <c r="S12" s="85"/>
      <c r="T12" s="85"/>
      <c r="U12" s="80"/>
      <c r="V12" s="81"/>
      <c r="W12" s="81"/>
      <c r="X12" s="81"/>
      <c r="Y12" s="81"/>
      <c r="Z12" s="81"/>
    </row>
    <row r="13" spans="1:26" ht="12" customHeight="1">
      <c r="A13" s="90" t="s">
        <v>492</v>
      </c>
      <c r="B13" s="83">
        <f t="shared" ref="B13:B15" si="10">SUM(C13+D13)</f>
        <v>0</v>
      </c>
      <c r="C13" s="84"/>
      <c r="D13" s="84"/>
      <c r="E13" s="84"/>
      <c r="F13" s="84"/>
      <c r="G13" s="84"/>
      <c r="H13" s="84"/>
      <c r="I13" s="84"/>
      <c r="J13" s="84"/>
      <c r="K13" s="84"/>
      <c r="L13" s="84"/>
      <c r="M13" s="84"/>
      <c r="N13" s="84"/>
      <c r="O13" s="84"/>
      <c r="P13" s="84"/>
      <c r="Q13" s="84"/>
      <c r="R13" s="84">
        <f t="shared" ref="R13:R15" si="11">SUM(E13:Q13)</f>
        <v>0</v>
      </c>
      <c r="S13" s="84"/>
      <c r="T13" s="84"/>
      <c r="U13" s="80"/>
      <c r="V13" s="81"/>
      <c r="W13" s="81"/>
      <c r="X13" s="81"/>
      <c r="Y13" s="81"/>
      <c r="Z13" s="81"/>
    </row>
    <row r="14" spans="1:26" ht="12" customHeight="1">
      <c r="A14" s="82" t="s">
        <v>494</v>
      </c>
      <c r="B14" s="83">
        <f t="shared" si="10"/>
        <v>0</v>
      </c>
      <c r="C14" s="84"/>
      <c r="D14" s="84"/>
      <c r="E14" s="84"/>
      <c r="F14" s="84"/>
      <c r="G14" s="84"/>
      <c r="H14" s="84"/>
      <c r="I14" s="84"/>
      <c r="J14" s="84"/>
      <c r="K14" s="84"/>
      <c r="L14" s="84"/>
      <c r="M14" s="84"/>
      <c r="N14" s="84"/>
      <c r="O14" s="84"/>
      <c r="P14" s="84"/>
      <c r="Q14" s="84"/>
      <c r="R14" s="84">
        <f t="shared" si="11"/>
        <v>0</v>
      </c>
      <c r="S14" s="84"/>
      <c r="T14" s="84"/>
      <c r="U14" s="80"/>
      <c r="V14" s="81"/>
      <c r="W14" s="81"/>
      <c r="X14" s="81"/>
      <c r="Y14" s="81"/>
      <c r="Z14" s="81"/>
    </row>
    <row r="15" spans="1:26" ht="12" customHeight="1">
      <c r="A15" s="82" t="s">
        <v>498</v>
      </c>
      <c r="B15" s="83">
        <f t="shared" si="10"/>
        <v>0</v>
      </c>
      <c r="C15" s="84"/>
      <c r="D15" s="84"/>
      <c r="E15" s="84"/>
      <c r="F15" s="84"/>
      <c r="G15" s="84"/>
      <c r="H15" s="84"/>
      <c r="I15" s="84"/>
      <c r="J15" s="84"/>
      <c r="K15" s="84"/>
      <c r="L15" s="84"/>
      <c r="M15" s="84"/>
      <c r="N15" s="84"/>
      <c r="O15" s="84"/>
      <c r="P15" s="84"/>
      <c r="Q15" s="84"/>
      <c r="R15" s="84">
        <f t="shared" si="11"/>
        <v>0</v>
      </c>
      <c r="S15" s="85"/>
      <c r="T15" s="85"/>
      <c r="U15" s="80"/>
      <c r="V15" s="81"/>
      <c r="W15" s="81"/>
      <c r="X15" s="81"/>
      <c r="Y15" s="81"/>
      <c r="Z15" s="81"/>
    </row>
    <row r="16" spans="1:26" ht="12" customHeight="1">
      <c r="A16" s="78" t="s">
        <v>502</v>
      </c>
      <c r="B16" s="79"/>
      <c r="C16" s="79"/>
      <c r="D16" s="79"/>
      <c r="E16" s="94"/>
      <c r="F16" s="94"/>
      <c r="G16" s="94"/>
      <c r="H16" s="94"/>
      <c r="I16" s="94"/>
      <c r="J16" s="94"/>
      <c r="K16" s="94"/>
      <c r="L16" s="94"/>
      <c r="M16" s="94"/>
      <c r="N16" s="94"/>
      <c r="O16" s="94"/>
      <c r="P16" s="94"/>
      <c r="Q16" s="94"/>
      <c r="R16" s="94"/>
      <c r="S16" s="79"/>
      <c r="T16" s="79"/>
      <c r="U16" s="80"/>
      <c r="V16" s="81"/>
      <c r="W16" s="81"/>
      <c r="X16" s="81"/>
      <c r="Y16" s="81"/>
      <c r="Z16" s="81"/>
    </row>
    <row r="17" spans="1:26" ht="12" customHeight="1">
      <c r="A17" s="82" t="s">
        <v>503</v>
      </c>
      <c r="B17" s="83">
        <f t="shared" ref="B17:B26" si="12">SUM(C17+D17)</f>
        <v>0</v>
      </c>
      <c r="C17" s="84"/>
      <c r="D17" s="84"/>
      <c r="E17" s="84"/>
      <c r="F17" s="84"/>
      <c r="G17" s="84"/>
      <c r="H17" s="84"/>
      <c r="I17" s="84"/>
      <c r="J17" s="84"/>
      <c r="K17" s="84"/>
      <c r="L17" s="84"/>
      <c r="M17" s="84"/>
      <c r="N17" s="84"/>
      <c r="O17" s="84"/>
      <c r="P17" s="84"/>
      <c r="Q17" s="84"/>
      <c r="R17" s="84">
        <f t="shared" ref="R17:R25" si="13">SUM(E17:Q17)</f>
        <v>0</v>
      </c>
      <c r="S17" s="84"/>
      <c r="T17" s="84"/>
      <c r="U17" s="80"/>
      <c r="V17" s="81"/>
      <c r="W17" s="81"/>
      <c r="X17" s="81"/>
      <c r="Y17" s="81"/>
      <c r="Z17" s="81"/>
    </row>
    <row r="18" spans="1:26" ht="12" customHeight="1">
      <c r="A18" s="82" t="s">
        <v>508</v>
      </c>
      <c r="B18" s="83">
        <f t="shared" si="12"/>
        <v>14100000</v>
      </c>
      <c r="C18" s="84">
        <v>14100000</v>
      </c>
      <c r="D18" s="84"/>
      <c r="E18" s="84">
        <f t="shared" ref="E18:E21" si="14">C18</f>
        <v>14100000</v>
      </c>
      <c r="F18" s="84"/>
      <c r="G18" s="84"/>
      <c r="H18" s="84"/>
      <c r="I18" s="84"/>
      <c r="J18" s="84"/>
      <c r="K18" s="84"/>
      <c r="L18" s="84"/>
      <c r="M18" s="84"/>
      <c r="N18" s="84"/>
      <c r="O18" s="84"/>
      <c r="P18" s="84"/>
      <c r="Q18" s="84"/>
      <c r="R18" s="84">
        <f t="shared" si="13"/>
        <v>14100000</v>
      </c>
      <c r="S18" s="84">
        <f t="shared" ref="S18:S21" si="15">R18</f>
        <v>14100000</v>
      </c>
      <c r="T18" s="84"/>
      <c r="U18" s="80"/>
      <c r="V18" s="81"/>
      <c r="W18" s="81"/>
      <c r="X18" s="81"/>
      <c r="Y18" s="81"/>
      <c r="Z18" s="81"/>
    </row>
    <row r="19" spans="1:26" ht="12" customHeight="1">
      <c r="A19" s="82" t="s">
        <v>511</v>
      </c>
      <c r="B19" s="83">
        <f t="shared" si="12"/>
        <v>846000</v>
      </c>
      <c r="C19" s="84">
        <v>846000</v>
      </c>
      <c r="D19" s="84"/>
      <c r="E19" s="84">
        <f t="shared" si="14"/>
        <v>846000</v>
      </c>
      <c r="F19" s="84"/>
      <c r="G19" s="84"/>
      <c r="H19" s="84"/>
      <c r="I19" s="84"/>
      <c r="J19" s="84"/>
      <c r="K19" s="84"/>
      <c r="L19" s="84"/>
      <c r="M19" s="84"/>
      <c r="N19" s="84"/>
      <c r="O19" s="84"/>
      <c r="P19" s="84"/>
      <c r="Q19" s="84"/>
      <c r="R19" s="84">
        <f t="shared" si="13"/>
        <v>846000</v>
      </c>
      <c r="S19" s="84">
        <f t="shared" si="15"/>
        <v>846000</v>
      </c>
      <c r="T19" s="84"/>
      <c r="U19" s="80"/>
      <c r="V19" s="81"/>
      <c r="W19" s="81"/>
      <c r="X19" s="81"/>
      <c r="Y19" s="81"/>
      <c r="Z19" s="81"/>
    </row>
    <row r="20" spans="1:26" ht="12" customHeight="1">
      <c r="A20" s="82" t="s">
        <v>513</v>
      </c>
      <c r="B20" s="83">
        <f t="shared" si="12"/>
        <v>282000</v>
      </c>
      <c r="C20" s="84">
        <v>282000</v>
      </c>
      <c r="D20" s="84"/>
      <c r="E20" s="84">
        <f t="shared" si="14"/>
        <v>282000</v>
      </c>
      <c r="F20" s="84"/>
      <c r="G20" s="84"/>
      <c r="H20" s="84"/>
      <c r="I20" s="84"/>
      <c r="J20" s="84"/>
      <c r="K20" s="84"/>
      <c r="L20" s="84"/>
      <c r="M20" s="84"/>
      <c r="N20" s="84"/>
      <c r="O20" s="84"/>
      <c r="P20" s="84"/>
      <c r="Q20" s="84"/>
      <c r="R20" s="84">
        <f t="shared" si="13"/>
        <v>282000</v>
      </c>
      <c r="S20" s="84">
        <f t="shared" si="15"/>
        <v>282000</v>
      </c>
      <c r="T20" s="84"/>
      <c r="U20" s="80"/>
      <c r="V20" s="81"/>
      <c r="W20" s="81"/>
      <c r="X20" s="81"/>
      <c r="Y20" s="81"/>
      <c r="Z20" s="81"/>
    </row>
    <row r="21" spans="1:26" ht="12" customHeight="1">
      <c r="A21" s="82" t="s">
        <v>515</v>
      </c>
      <c r="B21" s="83">
        <f t="shared" si="12"/>
        <v>846000</v>
      </c>
      <c r="C21" s="84">
        <v>846000</v>
      </c>
      <c r="D21" s="84"/>
      <c r="E21" s="84">
        <f t="shared" si="14"/>
        <v>846000</v>
      </c>
      <c r="F21" s="84"/>
      <c r="G21" s="84"/>
      <c r="H21" s="84"/>
      <c r="I21" s="84"/>
      <c r="J21" s="84"/>
      <c r="K21" s="84"/>
      <c r="L21" s="84"/>
      <c r="M21" s="84"/>
      <c r="N21" s="84"/>
      <c r="O21" s="84"/>
      <c r="P21" s="84"/>
      <c r="Q21" s="84"/>
      <c r="R21" s="84">
        <f t="shared" si="13"/>
        <v>846000</v>
      </c>
      <c r="S21" s="84">
        <f t="shared" si="15"/>
        <v>846000</v>
      </c>
      <c r="T21" s="84"/>
      <c r="U21" s="80"/>
      <c r="V21" s="81"/>
      <c r="W21" s="81"/>
      <c r="X21" s="81"/>
      <c r="Y21" s="81"/>
      <c r="Z21" s="81"/>
    </row>
    <row r="22" spans="1:26" ht="12" customHeight="1">
      <c r="A22" s="82" t="s">
        <v>517</v>
      </c>
      <c r="B22" s="83">
        <f t="shared" si="12"/>
        <v>0</v>
      </c>
      <c r="C22" s="84"/>
      <c r="D22" s="84"/>
      <c r="E22" s="84"/>
      <c r="F22" s="84"/>
      <c r="G22" s="84"/>
      <c r="H22" s="84"/>
      <c r="I22" s="84"/>
      <c r="J22" s="84"/>
      <c r="K22" s="84"/>
      <c r="L22" s="84"/>
      <c r="M22" s="84"/>
      <c r="N22" s="84"/>
      <c r="O22" s="84"/>
      <c r="P22" s="84"/>
      <c r="Q22" s="84"/>
      <c r="R22" s="84">
        <f t="shared" si="13"/>
        <v>0</v>
      </c>
      <c r="S22" s="84"/>
      <c r="T22" s="84"/>
      <c r="U22" s="80"/>
      <c r="V22" s="81"/>
      <c r="W22" s="81"/>
      <c r="X22" s="81"/>
      <c r="Y22" s="81"/>
      <c r="Z22" s="81"/>
    </row>
    <row r="23" spans="1:26" ht="12" customHeight="1">
      <c r="A23" s="82" t="s">
        <v>519</v>
      </c>
      <c r="B23" s="83">
        <f t="shared" si="12"/>
        <v>162150</v>
      </c>
      <c r="C23" s="84">
        <v>162150</v>
      </c>
      <c r="D23" s="84"/>
      <c r="E23" s="84">
        <f>C23</f>
        <v>162150</v>
      </c>
      <c r="F23" s="84"/>
      <c r="G23" s="84"/>
      <c r="H23" s="84"/>
      <c r="I23" s="84"/>
      <c r="J23" s="84"/>
      <c r="K23" s="84"/>
      <c r="L23" s="84"/>
      <c r="M23" s="84"/>
      <c r="N23" s="84"/>
      <c r="O23" s="84"/>
      <c r="P23" s="84"/>
      <c r="Q23" s="84"/>
      <c r="R23" s="84">
        <f t="shared" si="13"/>
        <v>162150</v>
      </c>
      <c r="S23" s="84">
        <f>R23</f>
        <v>162150</v>
      </c>
      <c r="T23" s="84"/>
      <c r="U23" s="80"/>
      <c r="V23" s="81"/>
      <c r="W23" s="81"/>
      <c r="X23" s="81"/>
      <c r="Y23" s="81"/>
      <c r="Z23" s="81"/>
    </row>
    <row r="24" spans="1:26" ht="12" customHeight="1">
      <c r="A24" s="82" t="s">
        <v>522</v>
      </c>
      <c r="B24" s="83">
        <f t="shared" si="12"/>
        <v>0</v>
      </c>
      <c r="C24" s="84"/>
      <c r="D24" s="84"/>
      <c r="E24" s="84"/>
      <c r="F24" s="84"/>
      <c r="G24" s="84"/>
      <c r="H24" s="84"/>
      <c r="I24" s="84"/>
      <c r="J24" s="84"/>
      <c r="K24" s="84"/>
      <c r="L24" s="84"/>
      <c r="M24" s="84"/>
      <c r="N24" s="84"/>
      <c r="O24" s="84"/>
      <c r="P24" s="84"/>
      <c r="Q24" s="84"/>
      <c r="R24" s="84">
        <f t="shared" si="13"/>
        <v>0</v>
      </c>
      <c r="S24" s="84"/>
      <c r="T24" s="84"/>
      <c r="U24" s="80"/>
      <c r="V24" s="81"/>
      <c r="W24" s="81"/>
      <c r="X24" s="81"/>
      <c r="Y24" s="81"/>
      <c r="Z24" s="81"/>
    </row>
    <row r="25" spans="1:26" ht="12" customHeight="1">
      <c r="A25" s="96" t="s">
        <v>523</v>
      </c>
      <c r="B25" s="83">
        <f t="shared" si="12"/>
        <v>162150</v>
      </c>
      <c r="C25" s="84">
        <v>162150</v>
      </c>
      <c r="D25" s="84"/>
      <c r="E25" s="84">
        <f>C25</f>
        <v>162150</v>
      </c>
      <c r="F25" s="84"/>
      <c r="G25" s="84"/>
      <c r="H25" s="84"/>
      <c r="I25" s="84"/>
      <c r="J25" s="84"/>
      <c r="K25" s="84"/>
      <c r="L25" s="84"/>
      <c r="M25" s="84"/>
      <c r="N25" s="84"/>
      <c r="O25" s="84"/>
      <c r="P25" s="84"/>
      <c r="Q25" s="84"/>
      <c r="R25" s="84">
        <f t="shared" si="13"/>
        <v>162150</v>
      </c>
      <c r="S25" s="84">
        <f>R25</f>
        <v>162150</v>
      </c>
      <c r="T25" s="84"/>
      <c r="U25" s="80"/>
      <c r="V25" s="81"/>
      <c r="W25" s="81"/>
      <c r="X25" s="81"/>
      <c r="Y25" s="81"/>
      <c r="Z25" s="81"/>
    </row>
    <row r="26" spans="1:26" ht="12" customHeight="1">
      <c r="A26" s="87" t="s">
        <v>525</v>
      </c>
      <c r="B26" s="83">
        <f t="shared" si="12"/>
        <v>16398300</v>
      </c>
      <c r="C26" s="83">
        <f t="shared" ref="C26:T26" si="16">SUM(C17:C25)</f>
        <v>16398300</v>
      </c>
      <c r="D26" s="83">
        <f t="shared" si="16"/>
        <v>0</v>
      </c>
      <c r="E26" s="83">
        <f t="shared" si="16"/>
        <v>16398300</v>
      </c>
      <c r="F26" s="83">
        <f t="shared" si="16"/>
        <v>0</v>
      </c>
      <c r="G26" s="83">
        <f t="shared" si="16"/>
        <v>0</v>
      </c>
      <c r="H26" s="83">
        <f t="shared" si="16"/>
        <v>0</v>
      </c>
      <c r="I26" s="83">
        <f t="shared" si="16"/>
        <v>0</v>
      </c>
      <c r="J26" s="83">
        <f t="shared" si="16"/>
        <v>0</v>
      </c>
      <c r="K26" s="83">
        <f t="shared" si="16"/>
        <v>0</v>
      </c>
      <c r="L26" s="83">
        <f t="shared" si="16"/>
        <v>0</v>
      </c>
      <c r="M26" s="83">
        <f t="shared" si="16"/>
        <v>0</v>
      </c>
      <c r="N26" s="83">
        <f t="shared" si="16"/>
        <v>0</v>
      </c>
      <c r="O26" s="83">
        <f t="shared" si="16"/>
        <v>0</v>
      </c>
      <c r="P26" s="83">
        <f t="shared" si="16"/>
        <v>0</v>
      </c>
      <c r="Q26" s="83">
        <f t="shared" si="16"/>
        <v>0</v>
      </c>
      <c r="R26" s="83">
        <f t="shared" si="16"/>
        <v>16398300</v>
      </c>
      <c r="S26" s="89">
        <f t="shared" si="16"/>
        <v>16398300</v>
      </c>
      <c r="T26" s="89">
        <f t="shared" si="16"/>
        <v>0</v>
      </c>
      <c r="U26" s="80"/>
      <c r="V26" s="81"/>
      <c r="W26" s="81"/>
      <c r="X26" s="81"/>
      <c r="Y26" s="81"/>
      <c r="Z26" s="81"/>
    </row>
    <row r="27" spans="1:26" ht="12" customHeight="1">
      <c r="A27" s="87" t="s">
        <v>534</v>
      </c>
      <c r="B27" s="83">
        <f>SUM(C27:D27)</f>
        <v>470000</v>
      </c>
      <c r="C27" s="84">
        <v>470000</v>
      </c>
      <c r="D27" s="84"/>
      <c r="E27" s="84">
        <f>C27</f>
        <v>470000</v>
      </c>
      <c r="F27" s="84"/>
      <c r="G27" s="84"/>
      <c r="H27" s="84"/>
      <c r="I27" s="84"/>
      <c r="J27" s="84"/>
      <c r="K27" s="84"/>
      <c r="L27" s="84"/>
      <c r="M27" s="84"/>
      <c r="N27" s="84"/>
      <c r="O27" s="84"/>
      <c r="P27" s="84"/>
      <c r="Q27" s="84"/>
      <c r="R27" s="84">
        <f>SUM(E27:Q27)</f>
        <v>470000</v>
      </c>
      <c r="S27" s="84">
        <f>R27</f>
        <v>470000</v>
      </c>
      <c r="T27" s="84"/>
      <c r="U27" s="80"/>
      <c r="V27" s="81"/>
      <c r="W27" s="81"/>
      <c r="X27" s="81"/>
      <c r="Y27" s="81"/>
      <c r="Z27" s="81"/>
    </row>
    <row r="28" spans="1:26" ht="12" customHeight="1">
      <c r="A28" s="78" t="s">
        <v>539</v>
      </c>
      <c r="B28" s="79"/>
      <c r="C28" s="79"/>
      <c r="D28" s="79"/>
      <c r="E28" s="94"/>
      <c r="F28" s="94"/>
      <c r="G28" s="94"/>
      <c r="H28" s="94"/>
      <c r="I28" s="94"/>
      <c r="J28" s="94"/>
      <c r="K28" s="94"/>
      <c r="L28" s="94"/>
      <c r="M28" s="94"/>
      <c r="N28" s="94"/>
      <c r="O28" s="94"/>
      <c r="P28" s="94"/>
      <c r="Q28" s="94"/>
      <c r="R28" s="94"/>
      <c r="S28" s="79"/>
      <c r="T28" s="79"/>
      <c r="U28" s="80"/>
      <c r="V28" s="81"/>
      <c r="W28" s="81"/>
      <c r="X28" s="81"/>
      <c r="Y28" s="81"/>
      <c r="Z28" s="81"/>
    </row>
    <row r="29" spans="1:26" ht="12" customHeight="1">
      <c r="A29" s="82" t="s">
        <v>503</v>
      </c>
      <c r="B29" s="83">
        <f t="shared" ref="B29:B38" si="17">SUM(C29+D29)</f>
        <v>0</v>
      </c>
      <c r="C29" s="84"/>
      <c r="D29" s="84"/>
      <c r="E29" s="84"/>
      <c r="F29" s="84"/>
      <c r="G29" s="84"/>
      <c r="H29" s="84"/>
      <c r="I29" s="84"/>
      <c r="J29" s="84"/>
      <c r="K29" s="84"/>
      <c r="L29" s="84"/>
      <c r="M29" s="84"/>
      <c r="N29" s="84"/>
      <c r="O29" s="84"/>
      <c r="P29" s="84"/>
      <c r="Q29" s="84"/>
      <c r="R29" s="84">
        <f t="shared" ref="R29:R37" si="18">SUM(E29:Q29)</f>
        <v>0</v>
      </c>
      <c r="S29" s="84"/>
      <c r="T29" s="84"/>
      <c r="U29" s="80"/>
      <c r="V29" s="81"/>
      <c r="W29" s="81"/>
      <c r="X29" s="81"/>
      <c r="Y29" s="81"/>
      <c r="Z29" s="81"/>
    </row>
    <row r="30" spans="1:26" ht="12" customHeight="1">
      <c r="A30" s="82" t="s">
        <v>508</v>
      </c>
      <c r="B30" s="83">
        <f t="shared" si="17"/>
        <v>0</v>
      </c>
      <c r="C30" s="84"/>
      <c r="D30" s="84"/>
      <c r="E30" s="84"/>
      <c r="F30" s="84"/>
      <c r="G30" s="84"/>
      <c r="H30" s="84"/>
      <c r="I30" s="84"/>
      <c r="J30" s="84"/>
      <c r="K30" s="84"/>
      <c r="L30" s="84"/>
      <c r="M30" s="84"/>
      <c r="N30" s="84"/>
      <c r="O30" s="84"/>
      <c r="P30" s="84"/>
      <c r="Q30" s="84"/>
      <c r="R30" s="84">
        <f t="shared" si="18"/>
        <v>0</v>
      </c>
      <c r="S30" s="84"/>
      <c r="T30" s="84"/>
      <c r="U30" s="80"/>
      <c r="V30" s="81"/>
      <c r="W30" s="81"/>
      <c r="X30" s="81"/>
      <c r="Y30" s="81"/>
      <c r="Z30" s="81"/>
    </row>
    <row r="31" spans="1:26" ht="12" customHeight="1">
      <c r="A31" s="82" t="s">
        <v>511</v>
      </c>
      <c r="B31" s="83">
        <f t="shared" si="17"/>
        <v>0</v>
      </c>
      <c r="C31" s="84"/>
      <c r="D31" s="84"/>
      <c r="E31" s="84"/>
      <c r="F31" s="84"/>
      <c r="G31" s="84"/>
      <c r="H31" s="84"/>
      <c r="I31" s="84"/>
      <c r="J31" s="84"/>
      <c r="K31" s="84"/>
      <c r="L31" s="84"/>
      <c r="M31" s="84"/>
      <c r="N31" s="84"/>
      <c r="O31" s="84"/>
      <c r="P31" s="84"/>
      <c r="Q31" s="84"/>
      <c r="R31" s="84">
        <f t="shared" si="18"/>
        <v>0</v>
      </c>
      <c r="S31" s="84"/>
      <c r="T31" s="84"/>
      <c r="U31" s="80"/>
      <c r="V31" s="81"/>
      <c r="W31" s="81"/>
      <c r="X31" s="81"/>
      <c r="Y31" s="81"/>
      <c r="Z31" s="81"/>
    </row>
    <row r="32" spans="1:26" ht="12" customHeight="1">
      <c r="A32" s="82" t="s">
        <v>513</v>
      </c>
      <c r="B32" s="83">
        <f t="shared" si="17"/>
        <v>0</v>
      </c>
      <c r="C32" s="84"/>
      <c r="D32" s="84"/>
      <c r="E32" s="84"/>
      <c r="F32" s="84"/>
      <c r="G32" s="84"/>
      <c r="H32" s="84"/>
      <c r="I32" s="84"/>
      <c r="J32" s="84"/>
      <c r="K32" s="84"/>
      <c r="L32" s="84"/>
      <c r="M32" s="84"/>
      <c r="N32" s="84"/>
      <c r="O32" s="84"/>
      <c r="P32" s="84"/>
      <c r="Q32" s="84"/>
      <c r="R32" s="84">
        <f t="shared" si="18"/>
        <v>0</v>
      </c>
      <c r="S32" s="84"/>
      <c r="T32" s="84"/>
      <c r="U32" s="80"/>
      <c r="V32" s="81"/>
      <c r="W32" s="81"/>
      <c r="X32" s="81"/>
      <c r="Y32" s="81"/>
      <c r="Z32" s="81"/>
    </row>
    <row r="33" spans="1:26" ht="12" customHeight="1">
      <c r="A33" s="82" t="s">
        <v>515</v>
      </c>
      <c r="B33" s="83">
        <f t="shared" si="17"/>
        <v>0</v>
      </c>
      <c r="C33" s="84"/>
      <c r="D33" s="84"/>
      <c r="E33" s="84"/>
      <c r="F33" s="84"/>
      <c r="G33" s="84"/>
      <c r="H33" s="84"/>
      <c r="I33" s="84"/>
      <c r="J33" s="84"/>
      <c r="K33" s="84"/>
      <c r="L33" s="84"/>
      <c r="M33" s="84"/>
      <c r="N33" s="84"/>
      <c r="O33" s="84"/>
      <c r="P33" s="84"/>
      <c r="Q33" s="84"/>
      <c r="R33" s="84">
        <f t="shared" si="18"/>
        <v>0</v>
      </c>
      <c r="S33" s="84"/>
      <c r="T33" s="84"/>
      <c r="U33" s="80"/>
      <c r="V33" s="81"/>
      <c r="W33" s="81"/>
      <c r="X33" s="81"/>
      <c r="Y33" s="81"/>
      <c r="Z33" s="81"/>
    </row>
    <row r="34" spans="1:26" ht="12" customHeight="1">
      <c r="A34" s="82" t="s">
        <v>517</v>
      </c>
      <c r="B34" s="83">
        <f t="shared" si="17"/>
        <v>0</v>
      </c>
      <c r="C34" s="84"/>
      <c r="D34" s="84"/>
      <c r="E34" s="84"/>
      <c r="F34" s="84"/>
      <c r="G34" s="84"/>
      <c r="H34" s="84"/>
      <c r="I34" s="84"/>
      <c r="J34" s="84"/>
      <c r="K34" s="84"/>
      <c r="L34" s="84"/>
      <c r="M34" s="84"/>
      <c r="N34" s="84"/>
      <c r="O34" s="84"/>
      <c r="P34" s="84"/>
      <c r="Q34" s="84"/>
      <c r="R34" s="84">
        <f t="shared" si="18"/>
        <v>0</v>
      </c>
      <c r="S34" s="84"/>
      <c r="T34" s="84"/>
      <c r="U34" s="80"/>
      <c r="V34" s="81"/>
      <c r="W34" s="81"/>
      <c r="X34" s="81"/>
      <c r="Y34" s="81"/>
      <c r="Z34" s="81"/>
    </row>
    <row r="35" spans="1:26" ht="12" customHeight="1">
      <c r="A35" s="82" t="s">
        <v>519</v>
      </c>
      <c r="B35" s="83">
        <f t="shared" si="17"/>
        <v>0</v>
      </c>
      <c r="C35" s="84"/>
      <c r="D35" s="84"/>
      <c r="E35" s="84"/>
      <c r="F35" s="84"/>
      <c r="G35" s="84"/>
      <c r="H35" s="84"/>
      <c r="I35" s="84"/>
      <c r="J35" s="84"/>
      <c r="K35" s="84"/>
      <c r="L35" s="84"/>
      <c r="M35" s="84"/>
      <c r="N35" s="84"/>
      <c r="O35" s="84"/>
      <c r="P35" s="84"/>
      <c r="Q35" s="84"/>
      <c r="R35" s="84">
        <f t="shared" si="18"/>
        <v>0</v>
      </c>
      <c r="S35" s="84"/>
      <c r="T35" s="84"/>
      <c r="U35" s="80"/>
      <c r="V35" s="81"/>
      <c r="W35" s="81"/>
      <c r="X35" s="81"/>
      <c r="Y35" s="81"/>
      <c r="Z35" s="81"/>
    </row>
    <row r="36" spans="1:26" ht="12" customHeight="1">
      <c r="A36" s="82" t="s">
        <v>522</v>
      </c>
      <c r="B36" s="83">
        <f t="shared" si="17"/>
        <v>0</v>
      </c>
      <c r="C36" s="84"/>
      <c r="D36" s="84"/>
      <c r="E36" s="84"/>
      <c r="F36" s="84"/>
      <c r="G36" s="84"/>
      <c r="H36" s="84"/>
      <c r="I36" s="84"/>
      <c r="J36" s="84"/>
      <c r="K36" s="84"/>
      <c r="L36" s="84"/>
      <c r="M36" s="84"/>
      <c r="N36" s="84"/>
      <c r="O36" s="84"/>
      <c r="P36" s="84"/>
      <c r="Q36" s="84"/>
      <c r="R36" s="84">
        <f t="shared" si="18"/>
        <v>0</v>
      </c>
      <c r="S36" s="84"/>
      <c r="T36" s="84"/>
      <c r="U36" s="80"/>
      <c r="V36" s="81"/>
      <c r="W36" s="81"/>
      <c r="X36" s="81"/>
      <c r="Y36" s="81"/>
      <c r="Z36" s="81"/>
    </row>
    <row r="37" spans="1:26" ht="12" customHeight="1">
      <c r="A37" s="96" t="s">
        <v>551</v>
      </c>
      <c r="B37" s="83">
        <f t="shared" si="17"/>
        <v>0</v>
      </c>
      <c r="C37" s="84"/>
      <c r="D37" s="84"/>
      <c r="E37" s="84"/>
      <c r="F37" s="84"/>
      <c r="G37" s="84"/>
      <c r="H37" s="84"/>
      <c r="I37" s="84"/>
      <c r="J37" s="84"/>
      <c r="K37" s="84"/>
      <c r="L37" s="84"/>
      <c r="M37" s="84"/>
      <c r="N37" s="84"/>
      <c r="O37" s="84"/>
      <c r="P37" s="84"/>
      <c r="Q37" s="84"/>
      <c r="R37" s="84">
        <f t="shared" si="18"/>
        <v>0</v>
      </c>
      <c r="S37" s="84"/>
      <c r="T37" s="84"/>
      <c r="U37" s="80"/>
      <c r="V37" s="81"/>
      <c r="W37" s="81"/>
      <c r="X37" s="81"/>
      <c r="Y37" s="81"/>
      <c r="Z37" s="81"/>
    </row>
    <row r="38" spans="1:26" ht="12" customHeight="1">
      <c r="A38" s="87" t="s">
        <v>554</v>
      </c>
      <c r="B38" s="83">
        <f t="shared" si="17"/>
        <v>0</v>
      </c>
      <c r="C38" s="83">
        <f t="shared" ref="C38:T38" si="19">SUM(C29:C37)</f>
        <v>0</v>
      </c>
      <c r="D38" s="83">
        <f t="shared" si="19"/>
        <v>0</v>
      </c>
      <c r="E38" s="83">
        <f t="shared" si="19"/>
        <v>0</v>
      </c>
      <c r="F38" s="83">
        <f t="shared" si="19"/>
        <v>0</v>
      </c>
      <c r="G38" s="83">
        <f t="shared" si="19"/>
        <v>0</v>
      </c>
      <c r="H38" s="83">
        <f t="shared" si="19"/>
        <v>0</v>
      </c>
      <c r="I38" s="83">
        <f t="shared" si="19"/>
        <v>0</v>
      </c>
      <c r="J38" s="83">
        <f t="shared" si="19"/>
        <v>0</v>
      </c>
      <c r="K38" s="83">
        <f t="shared" si="19"/>
        <v>0</v>
      </c>
      <c r="L38" s="83">
        <f t="shared" si="19"/>
        <v>0</v>
      </c>
      <c r="M38" s="83">
        <f t="shared" si="19"/>
        <v>0</v>
      </c>
      <c r="N38" s="83">
        <f t="shared" si="19"/>
        <v>0</v>
      </c>
      <c r="O38" s="83">
        <f t="shared" si="19"/>
        <v>0</v>
      </c>
      <c r="P38" s="83">
        <f t="shared" si="19"/>
        <v>0</v>
      </c>
      <c r="Q38" s="83">
        <f t="shared" si="19"/>
        <v>0</v>
      </c>
      <c r="R38" s="83">
        <f t="shared" si="19"/>
        <v>0</v>
      </c>
      <c r="S38" s="89">
        <f t="shared" si="19"/>
        <v>0</v>
      </c>
      <c r="T38" s="89">
        <f t="shared" si="19"/>
        <v>0</v>
      </c>
      <c r="U38" s="80"/>
      <c r="V38" s="81"/>
      <c r="W38" s="81"/>
      <c r="X38" s="81"/>
      <c r="Y38" s="81"/>
      <c r="Z38" s="81"/>
    </row>
    <row r="39" spans="1:26" ht="12" customHeight="1">
      <c r="A39" s="78" t="s">
        <v>557</v>
      </c>
      <c r="B39" s="79"/>
      <c r="C39" s="79"/>
      <c r="D39" s="79"/>
      <c r="E39" s="94"/>
      <c r="F39" s="94"/>
      <c r="G39" s="94"/>
      <c r="H39" s="94"/>
      <c r="I39" s="94"/>
      <c r="J39" s="94"/>
      <c r="K39" s="94"/>
      <c r="L39" s="94"/>
      <c r="M39" s="94"/>
      <c r="N39" s="94"/>
      <c r="O39" s="94"/>
      <c r="P39" s="94"/>
      <c r="Q39" s="94"/>
      <c r="R39" s="94"/>
      <c r="S39" s="79"/>
      <c r="T39" s="79"/>
      <c r="U39" s="80"/>
      <c r="V39" s="81"/>
      <c r="W39" s="81"/>
      <c r="X39" s="81"/>
      <c r="Y39" s="81"/>
      <c r="Z39" s="81"/>
    </row>
    <row r="40" spans="1:26" ht="12" customHeight="1">
      <c r="A40" s="82" t="s">
        <v>559</v>
      </c>
      <c r="B40" s="83">
        <f t="shared" ref="B40:B41" si="20">SUM(C40+D40)</f>
        <v>150000</v>
      </c>
      <c r="C40" s="84">
        <v>150000</v>
      </c>
      <c r="D40" s="84"/>
      <c r="E40" s="84">
        <f>C40</f>
        <v>150000</v>
      </c>
      <c r="F40" s="84"/>
      <c r="G40" s="84"/>
      <c r="H40" s="84"/>
      <c r="I40" s="84"/>
      <c r="J40" s="84"/>
      <c r="K40" s="84"/>
      <c r="L40" s="84"/>
      <c r="M40" s="84"/>
      <c r="N40" s="84"/>
      <c r="O40" s="84"/>
      <c r="P40" s="84"/>
      <c r="Q40" s="84"/>
      <c r="R40" s="84">
        <f t="shared" ref="R40:R41" si="21">SUM(E40:Q40)</f>
        <v>150000</v>
      </c>
      <c r="S40" s="84">
        <f>R40</f>
        <v>150000</v>
      </c>
      <c r="T40" s="84"/>
      <c r="U40" s="80"/>
      <c r="V40" s="81"/>
      <c r="W40" s="81"/>
      <c r="X40" s="81"/>
      <c r="Y40" s="81"/>
      <c r="Z40" s="81"/>
    </row>
    <row r="41" spans="1:26" ht="12" customHeight="1">
      <c r="A41" s="82" t="s">
        <v>562</v>
      </c>
      <c r="B41" s="83">
        <f t="shared" si="20"/>
        <v>0</v>
      </c>
      <c r="C41" s="84"/>
      <c r="D41" s="84"/>
      <c r="E41" s="84"/>
      <c r="F41" s="84"/>
      <c r="G41" s="84"/>
      <c r="H41" s="84"/>
      <c r="I41" s="84"/>
      <c r="J41" s="84"/>
      <c r="K41" s="84"/>
      <c r="L41" s="84"/>
      <c r="M41" s="84"/>
      <c r="N41" s="84"/>
      <c r="O41" s="84"/>
      <c r="P41" s="84"/>
      <c r="Q41" s="84"/>
      <c r="R41" s="84">
        <f t="shared" si="21"/>
        <v>0</v>
      </c>
      <c r="S41" s="84"/>
      <c r="T41" s="84"/>
      <c r="U41" s="80"/>
      <c r="V41" s="81"/>
      <c r="W41" s="81"/>
      <c r="X41" s="81"/>
      <c r="Y41" s="81"/>
      <c r="Z41" s="81"/>
    </row>
    <row r="42" spans="1:26" ht="12" customHeight="1">
      <c r="A42" s="87" t="s">
        <v>564</v>
      </c>
      <c r="B42" s="83">
        <f t="shared" ref="B42:B43" si="22">SUM(C42:D42)</f>
        <v>150000</v>
      </c>
      <c r="C42" s="83">
        <f t="shared" ref="C42:D42" si="23">SUM(C39:C41)</f>
        <v>150000</v>
      </c>
      <c r="D42" s="83">
        <f t="shared" si="23"/>
        <v>0</v>
      </c>
      <c r="E42" s="83">
        <f t="shared" ref="E42:T42" si="24">SUM(E40:E41)</f>
        <v>150000</v>
      </c>
      <c r="F42" s="83">
        <f t="shared" si="24"/>
        <v>0</v>
      </c>
      <c r="G42" s="83">
        <f t="shared" si="24"/>
        <v>0</v>
      </c>
      <c r="H42" s="83">
        <f t="shared" si="24"/>
        <v>0</v>
      </c>
      <c r="I42" s="83">
        <f t="shared" si="24"/>
        <v>0</v>
      </c>
      <c r="J42" s="83">
        <f t="shared" si="24"/>
        <v>0</v>
      </c>
      <c r="K42" s="83">
        <f t="shared" si="24"/>
        <v>0</v>
      </c>
      <c r="L42" s="83">
        <f t="shared" si="24"/>
        <v>0</v>
      </c>
      <c r="M42" s="83">
        <f t="shared" si="24"/>
        <v>0</v>
      </c>
      <c r="N42" s="83">
        <f t="shared" si="24"/>
        <v>0</v>
      </c>
      <c r="O42" s="83">
        <f t="shared" si="24"/>
        <v>0</v>
      </c>
      <c r="P42" s="83">
        <f t="shared" si="24"/>
        <v>0</v>
      </c>
      <c r="Q42" s="83">
        <f t="shared" si="24"/>
        <v>0</v>
      </c>
      <c r="R42" s="83">
        <f t="shared" si="24"/>
        <v>150000</v>
      </c>
      <c r="S42" s="89">
        <f t="shared" si="24"/>
        <v>150000</v>
      </c>
      <c r="T42" s="89">
        <f t="shared" si="24"/>
        <v>0</v>
      </c>
      <c r="U42" s="80"/>
      <c r="V42" s="81"/>
      <c r="W42" s="81"/>
      <c r="X42" s="81"/>
      <c r="Y42" s="81"/>
      <c r="Z42" s="81"/>
    </row>
    <row r="43" spans="1:26" ht="12" customHeight="1">
      <c r="A43" s="87" t="s">
        <v>566</v>
      </c>
      <c r="B43" s="83">
        <f t="shared" si="22"/>
        <v>80000</v>
      </c>
      <c r="C43" s="84">
        <v>80000</v>
      </c>
      <c r="D43" s="84"/>
      <c r="E43" s="84">
        <f>C43</f>
        <v>80000</v>
      </c>
      <c r="F43" s="84"/>
      <c r="G43" s="84"/>
      <c r="H43" s="84"/>
      <c r="I43" s="84"/>
      <c r="J43" s="84"/>
      <c r="K43" s="84"/>
      <c r="L43" s="84"/>
      <c r="M43" s="84"/>
      <c r="N43" s="84"/>
      <c r="O43" s="84"/>
      <c r="P43" s="84"/>
      <c r="Q43" s="84"/>
      <c r="R43" s="84">
        <f>SUM(E43:Q43)</f>
        <v>80000</v>
      </c>
      <c r="S43" s="84">
        <f>R43</f>
        <v>80000</v>
      </c>
      <c r="T43" s="84"/>
      <c r="U43" s="80"/>
      <c r="V43" s="81"/>
      <c r="W43" s="81"/>
      <c r="X43" s="81"/>
      <c r="Y43" s="81"/>
      <c r="Z43" s="81"/>
    </row>
    <row r="44" spans="1:26" ht="12" customHeight="1">
      <c r="A44" s="78" t="s">
        <v>568</v>
      </c>
      <c r="B44" s="79"/>
      <c r="C44" s="79"/>
      <c r="D44" s="79"/>
      <c r="E44" s="94"/>
      <c r="F44" s="94"/>
      <c r="G44" s="94"/>
      <c r="H44" s="94"/>
      <c r="I44" s="94"/>
      <c r="J44" s="94"/>
      <c r="K44" s="94"/>
      <c r="L44" s="94"/>
      <c r="M44" s="94"/>
      <c r="N44" s="94"/>
      <c r="O44" s="94"/>
      <c r="P44" s="94"/>
      <c r="Q44" s="94"/>
      <c r="R44" s="94"/>
      <c r="S44" s="79"/>
      <c r="T44" s="79"/>
      <c r="U44" s="80"/>
      <c r="V44" s="81"/>
      <c r="W44" s="81"/>
      <c r="X44" s="81"/>
      <c r="Y44" s="81"/>
      <c r="Z44" s="81"/>
    </row>
    <row r="45" spans="1:26" ht="12" customHeight="1">
      <c r="A45" s="82" t="s">
        <v>569</v>
      </c>
      <c r="B45" s="83">
        <f t="shared" ref="B45:B53" si="25">SUM(C45+D45)</f>
        <v>8010412</v>
      </c>
      <c r="C45" s="84">
        <v>8010412</v>
      </c>
      <c r="D45" s="84"/>
      <c r="E45" s="84">
        <v>0</v>
      </c>
      <c r="F45" s="84"/>
      <c r="G45" s="84"/>
      <c r="H45" s="84"/>
      <c r="I45" s="84">
        <f>C45</f>
        <v>8010412</v>
      </c>
      <c r="J45" s="84"/>
      <c r="K45" s="84"/>
      <c r="L45" s="84"/>
      <c r="M45" s="84"/>
      <c r="N45" s="84"/>
      <c r="O45" s="84"/>
      <c r="P45" s="84"/>
      <c r="Q45" s="84"/>
      <c r="R45" s="84">
        <f t="shared" ref="R45:R53" si="26">SUM(E45:Q45)</f>
        <v>8010412</v>
      </c>
      <c r="S45" s="84">
        <f>6407613-15000+30000</f>
        <v>6422613</v>
      </c>
      <c r="T45" s="84"/>
      <c r="U45" s="80"/>
      <c r="V45" s="81"/>
      <c r="W45" s="81"/>
      <c r="X45" s="81"/>
      <c r="Y45" s="81"/>
      <c r="Z45" s="81"/>
    </row>
    <row r="46" spans="1:26" ht="12" customHeight="1">
      <c r="A46" s="82" t="s">
        <v>573</v>
      </c>
      <c r="B46" s="83">
        <f t="shared" si="25"/>
        <v>635520</v>
      </c>
      <c r="C46" s="84">
        <v>635520</v>
      </c>
      <c r="D46" s="84"/>
      <c r="E46" s="84">
        <f>C46</f>
        <v>635520</v>
      </c>
      <c r="F46" s="84"/>
      <c r="G46" s="84"/>
      <c r="H46" s="84"/>
      <c r="I46" s="84"/>
      <c r="J46" s="84"/>
      <c r="K46" s="84"/>
      <c r="L46" s="84"/>
      <c r="M46" s="84"/>
      <c r="N46" s="84"/>
      <c r="O46" s="84"/>
      <c r="P46" s="84"/>
      <c r="Q46" s="84"/>
      <c r="R46" s="84">
        <f t="shared" si="26"/>
        <v>635520</v>
      </c>
      <c r="S46" s="84">
        <f>R46</f>
        <v>635520</v>
      </c>
      <c r="T46" s="84"/>
      <c r="U46" s="80"/>
      <c r="V46" s="81"/>
      <c r="W46" s="81"/>
      <c r="X46" s="81"/>
      <c r="Y46" s="81"/>
      <c r="Z46" s="81"/>
    </row>
    <row r="47" spans="1:26" ht="12" customHeight="1">
      <c r="A47" s="90" t="s">
        <v>574</v>
      </c>
      <c r="B47" s="83">
        <f t="shared" si="25"/>
        <v>0</v>
      </c>
      <c r="C47" s="84"/>
      <c r="D47" s="84"/>
      <c r="E47" s="84"/>
      <c r="F47" s="84"/>
      <c r="G47" s="84"/>
      <c r="H47" s="84"/>
      <c r="I47" s="84"/>
      <c r="J47" s="84"/>
      <c r="K47" s="84"/>
      <c r="L47" s="84"/>
      <c r="M47" s="84"/>
      <c r="N47" s="84"/>
      <c r="O47" s="84"/>
      <c r="P47" s="84"/>
      <c r="Q47" s="84"/>
      <c r="R47" s="84">
        <f t="shared" si="26"/>
        <v>0</v>
      </c>
      <c r="S47" s="84"/>
      <c r="T47" s="84"/>
      <c r="U47" s="80"/>
      <c r="V47" s="81"/>
      <c r="W47" s="81"/>
      <c r="X47" s="81"/>
      <c r="Y47" s="81"/>
      <c r="Z47" s="81"/>
    </row>
    <row r="48" spans="1:26" ht="12" customHeight="1">
      <c r="A48" s="82" t="s">
        <v>576</v>
      </c>
      <c r="B48" s="83">
        <f t="shared" si="25"/>
        <v>0</v>
      </c>
      <c r="C48" s="84"/>
      <c r="D48" s="84"/>
      <c r="E48" s="84"/>
      <c r="F48" s="84"/>
      <c r="G48" s="84"/>
      <c r="H48" s="84"/>
      <c r="I48" s="84"/>
      <c r="J48" s="84"/>
      <c r="K48" s="84"/>
      <c r="L48" s="84"/>
      <c r="M48" s="84"/>
      <c r="N48" s="84"/>
      <c r="O48" s="84"/>
      <c r="P48" s="84"/>
      <c r="Q48" s="84"/>
      <c r="R48" s="84">
        <f t="shared" si="26"/>
        <v>0</v>
      </c>
      <c r="S48" s="84"/>
      <c r="T48" s="84"/>
      <c r="U48" s="80"/>
      <c r="V48" s="81"/>
      <c r="W48" s="81"/>
      <c r="X48" s="81"/>
      <c r="Y48" s="81"/>
      <c r="Z48" s="81"/>
    </row>
    <row r="49" spans="1:26" ht="12" customHeight="1">
      <c r="A49" s="82" t="s">
        <v>580</v>
      </c>
      <c r="B49" s="83">
        <f t="shared" si="25"/>
        <v>275776</v>
      </c>
      <c r="C49" s="84">
        <v>275776</v>
      </c>
      <c r="D49" s="84"/>
      <c r="E49" s="84">
        <f t="shared" ref="E49:E50" si="27">C49</f>
        <v>275776</v>
      </c>
      <c r="F49" s="84"/>
      <c r="G49" s="84"/>
      <c r="H49" s="84"/>
      <c r="I49" s="84"/>
      <c r="J49" s="84"/>
      <c r="K49" s="84"/>
      <c r="L49" s="84"/>
      <c r="M49" s="84"/>
      <c r="N49" s="84"/>
      <c r="O49" s="84"/>
      <c r="P49" s="84"/>
      <c r="Q49" s="84"/>
      <c r="R49" s="84">
        <f t="shared" si="26"/>
        <v>275776</v>
      </c>
      <c r="S49" s="84"/>
      <c r="T49" s="84"/>
      <c r="U49" s="80"/>
      <c r="V49" s="81"/>
      <c r="W49" s="81"/>
      <c r="X49" s="81"/>
      <c r="Y49" s="81"/>
      <c r="Z49" s="81"/>
    </row>
    <row r="50" spans="1:26" ht="12" customHeight="1">
      <c r="A50" s="82" t="s">
        <v>584</v>
      </c>
      <c r="B50" s="83">
        <f t="shared" si="25"/>
        <v>150000</v>
      </c>
      <c r="C50" s="84">
        <v>150000</v>
      </c>
      <c r="D50" s="84"/>
      <c r="E50" s="84">
        <f t="shared" si="27"/>
        <v>150000</v>
      </c>
      <c r="F50" s="84"/>
      <c r="G50" s="84"/>
      <c r="H50" s="84"/>
      <c r="I50" s="84"/>
      <c r="J50" s="84"/>
      <c r="K50" s="84"/>
      <c r="L50" s="84"/>
      <c r="M50" s="84"/>
      <c r="N50" s="84"/>
      <c r="O50" s="84"/>
      <c r="P50" s="84"/>
      <c r="Q50" s="84"/>
      <c r="R50" s="84">
        <f t="shared" si="26"/>
        <v>150000</v>
      </c>
      <c r="S50" s="84">
        <f>R50</f>
        <v>150000</v>
      </c>
      <c r="T50" s="84"/>
      <c r="U50" s="80"/>
      <c r="V50" s="81"/>
      <c r="W50" s="81"/>
      <c r="X50" s="81"/>
      <c r="Y50" s="81"/>
      <c r="Z50" s="81"/>
    </row>
    <row r="51" spans="1:26" ht="12" customHeight="1">
      <c r="A51" s="82" t="s">
        <v>585</v>
      </c>
      <c r="B51" s="83">
        <f t="shared" si="25"/>
        <v>0</v>
      </c>
      <c r="C51" s="84"/>
      <c r="D51" s="84"/>
      <c r="E51" s="84"/>
      <c r="F51" s="84"/>
      <c r="G51" s="84"/>
      <c r="H51" s="84"/>
      <c r="I51" s="84"/>
      <c r="J51" s="84"/>
      <c r="K51" s="84"/>
      <c r="L51" s="84"/>
      <c r="M51" s="84"/>
      <c r="N51" s="84"/>
      <c r="O51" s="84"/>
      <c r="P51" s="84"/>
      <c r="Q51" s="84"/>
      <c r="R51" s="84">
        <f t="shared" si="26"/>
        <v>0</v>
      </c>
      <c r="S51" s="84"/>
      <c r="T51" s="84"/>
      <c r="U51" s="80"/>
      <c r="V51" s="81"/>
      <c r="W51" s="81"/>
      <c r="X51" s="81"/>
      <c r="Y51" s="81"/>
      <c r="Z51" s="81"/>
    </row>
    <row r="52" spans="1:26" ht="12" customHeight="1">
      <c r="A52" s="82" t="s">
        <v>587</v>
      </c>
      <c r="B52" s="83">
        <f t="shared" si="25"/>
        <v>141000</v>
      </c>
      <c r="C52" s="84">
        <v>141000</v>
      </c>
      <c r="D52" s="84"/>
      <c r="E52" s="84">
        <f t="shared" ref="E52:E53" si="28">C52</f>
        <v>141000</v>
      </c>
      <c r="F52" s="84"/>
      <c r="G52" s="84"/>
      <c r="H52" s="84"/>
      <c r="I52" s="84"/>
      <c r="J52" s="84"/>
      <c r="K52" s="84"/>
      <c r="L52" s="84"/>
      <c r="M52" s="84"/>
      <c r="N52" s="84"/>
      <c r="O52" s="84"/>
      <c r="P52" s="84"/>
      <c r="Q52" s="84"/>
      <c r="R52" s="84">
        <f t="shared" si="26"/>
        <v>141000</v>
      </c>
      <c r="S52" s="84">
        <f t="shared" ref="S52:S53" si="29">R52</f>
        <v>141000</v>
      </c>
      <c r="T52" s="84"/>
      <c r="U52" s="80"/>
      <c r="V52" s="81"/>
      <c r="W52" s="81"/>
      <c r="X52" s="81"/>
      <c r="Y52" s="81"/>
      <c r="Z52" s="81"/>
    </row>
    <row r="53" spans="1:26" ht="12" customHeight="1">
      <c r="A53" s="96" t="s">
        <v>590</v>
      </c>
      <c r="B53" s="83">
        <f t="shared" si="25"/>
        <v>450000</v>
      </c>
      <c r="C53" s="84">
        <v>450000</v>
      </c>
      <c r="D53" s="84"/>
      <c r="E53" s="84">
        <f t="shared" si="28"/>
        <v>450000</v>
      </c>
      <c r="F53" s="84"/>
      <c r="G53" s="84"/>
      <c r="H53" s="84"/>
      <c r="I53" s="84"/>
      <c r="J53" s="84"/>
      <c r="K53" s="84"/>
      <c r="L53" s="84"/>
      <c r="M53" s="84"/>
      <c r="N53" s="84"/>
      <c r="O53" s="84"/>
      <c r="P53" s="84"/>
      <c r="Q53" s="84"/>
      <c r="R53" s="84">
        <f t="shared" si="26"/>
        <v>450000</v>
      </c>
      <c r="S53" s="84">
        <f t="shared" si="29"/>
        <v>450000</v>
      </c>
      <c r="T53" s="84"/>
      <c r="U53" s="80"/>
      <c r="V53" s="81"/>
      <c r="W53" s="81"/>
      <c r="X53" s="81"/>
      <c r="Y53" s="81"/>
      <c r="Z53" s="81"/>
    </row>
    <row r="54" spans="1:26" ht="12" customHeight="1">
      <c r="A54" s="87" t="s">
        <v>593</v>
      </c>
      <c r="B54" s="89">
        <f>SUM(C54:D54)</f>
        <v>9662708</v>
      </c>
      <c r="C54" s="89">
        <f t="shared" ref="C54:T54" si="30">SUM(C45:C53)</f>
        <v>9662708</v>
      </c>
      <c r="D54" s="89">
        <f t="shared" si="30"/>
        <v>0</v>
      </c>
      <c r="E54" s="89">
        <f t="shared" si="30"/>
        <v>1652296</v>
      </c>
      <c r="F54" s="89">
        <f t="shared" si="30"/>
        <v>0</v>
      </c>
      <c r="G54" s="89">
        <f t="shared" si="30"/>
        <v>0</v>
      </c>
      <c r="H54" s="89">
        <f t="shared" si="30"/>
        <v>0</v>
      </c>
      <c r="I54" s="89">
        <f t="shared" si="30"/>
        <v>8010412</v>
      </c>
      <c r="J54" s="89">
        <f t="shared" si="30"/>
        <v>0</v>
      </c>
      <c r="K54" s="89">
        <f t="shared" si="30"/>
        <v>0</v>
      </c>
      <c r="L54" s="89">
        <f t="shared" si="30"/>
        <v>0</v>
      </c>
      <c r="M54" s="89">
        <f t="shared" si="30"/>
        <v>0</v>
      </c>
      <c r="N54" s="89">
        <f t="shared" si="30"/>
        <v>0</v>
      </c>
      <c r="O54" s="89">
        <f t="shared" si="30"/>
        <v>0</v>
      </c>
      <c r="P54" s="89">
        <f t="shared" si="30"/>
        <v>0</v>
      </c>
      <c r="Q54" s="89">
        <f t="shared" si="30"/>
        <v>0</v>
      </c>
      <c r="R54" s="83">
        <f t="shared" si="30"/>
        <v>9662708</v>
      </c>
      <c r="S54" s="89">
        <f t="shared" si="30"/>
        <v>7799133</v>
      </c>
      <c r="T54" s="89">
        <f t="shared" si="30"/>
        <v>0</v>
      </c>
      <c r="U54" s="101"/>
      <c r="V54" s="102"/>
      <c r="W54" s="102"/>
      <c r="X54" s="102"/>
      <c r="Y54" s="102"/>
      <c r="Z54" s="102"/>
    </row>
    <row r="55" spans="1:26" ht="12" customHeight="1">
      <c r="A55" s="78" t="s">
        <v>598</v>
      </c>
      <c r="B55" s="79"/>
      <c r="C55" s="79"/>
      <c r="D55" s="79"/>
      <c r="E55" s="94"/>
      <c r="F55" s="94"/>
      <c r="G55" s="94"/>
      <c r="H55" s="94"/>
      <c r="I55" s="94"/>
      <c r="J55" s="94"/>
      <c r="K55" s="94"/>
      <c r="L55" s="94"/>
      <c r="M55" s="94"/>
      <c r="N55" s="94"/>
      <c r="O55" s="94"/>
      <c r="P55" s="94"/>
      <c r="Q55" s="94"/>
      <c r="R55" s="94"/>
      <c r="S55" s="79"/>
      <c r="T55" s="79"/>
      <c r="U55" s="80"/>
      <c r="V55" s="81"/>
      <c r="W55" s="81"/>
      <c r="X55" s="81"/>
      <c r="Y55" s="81"/>
      <c r="Z55" s="81"/>
    </row>
    <row r="56" spans="1:26" ht="12" customHeight="1">
      <c r="A56" s="82" t="s">
        <v>602</v>
      </c>
      <c r="B56" s="83">
        <f t="shared" ref="B56:B61" si="31">SUM(C56+D56)</f>
        <v>0</v>
      </c>
      <c r="C56" s="84"/>
      <c r="D56" s="84"/>
      <c r="E56" s="84"/>
      <c r="F56" s="84"/>
      <c r="G56" s="84"/>
      <c r="H56" s="84"/>
      <c r="I56" s="84"/>
      <c r="J56" s="84"/>
      <c r="K56" s="84"/>
      <c r="L56" s="84"/>
      <c r="M56" s="84"/>
      <c r="N56" s="84"/>
      <c r="O56" s="84"/>
      <c r="P56" s="84"/>
      <c r="Q56" s="84"/>
      <c r="R56" s="84">
        <f t="shared" ref="R56:R61" si="32">SUM(E56:Q56)</f>
        <v>0</v>
      </c>
      <c r="S56" s="85"/>
      <c r="T56" s="85"/>
      <c r="U56" s="80"/>
      <c r="V56" s="81"/>
      <c r="W56" s="81"/>
      <c r="X56" s="81"/>
      <c r="Y56" s="81"/>
      <c r="Z56" s="81"/>
    </row>
    <row r="57" spans="1:26" ht="12" customHeight="1">
      <c r="A57" s="90" t="s">
        <v>574</v>
      </c>
      <c r="B57" s="103">
        <f t="shared" si="31"/>
        <v>0</v>
      </c>
      <c r="C57" s="104"/>
      <c r="D57" s="104"/>
      <c r="E57" s="104"/>
      <c r="F57" s="104"/>
      <c r="G57" s="104"/>
      <c r="H57" s="104"/>
      <c r="I57" s="104"/>
      <c r="J57" s="104"/>
      <c r="K57" s="104"/>
      <c r="L57" s="104"/>
      <c r="M57" s="104"/>
      <c r="N57" s="104"/>
      <c r="O57" s="104"/>
      <c r="P57" s="104"/>
      <c r="Q57" s="104"/>
      <c r="R57" s="84">
        <f t="shared" si="32"/>
        <v>0</v>
      </c>
      <c r="S57" s="105"/>
      <c r="T57" s="105"/>
      <c r="U57" s="106"/>
      <c r="V57" s="107"/>
      <c r="W57" s="107"/>
      <c r="X57" s="107"/>
      <c r="Y57" s="107"/>
      <c r="Z57" s="107"/>
    </row>
    <row r="58" spans="1:26" ht="12" customHeight="1">
      <c r="A58" s="82" t="s">
        <v>584</v>
      </c>
      <c r="B58" s="83">
        <f t="shared" si="31"/>
        <v>0</v>
      </c>
      <c r="C58" s="84"/>
      <c r="D58" s="84"/>
      <c r="E58" s="84"/>
      <c r="F58" s="84"/>
      <c r="G58" s="84"/>
      <c r="H58" s="84"/>
      <c r="I58" s="84"/>
      <c r="J58" s="84"/>
      <c r="K58" s="84"/>
      <c r="L58" s="84"/>
      <c r="M58" s="84"/>
      <c r="N58" s="84"/>
      <c r="O58" s="84"/>
      <c r="P58" s="84"/>
      <c r="Q58" s="84"/>
      <c r="R58" s="84">
        <f t="shared" si="32"/>
        <v>0</v>
      </c>
      <c r="S58" s="85"/>
      <c r="T58" s="85"/>
      <c r="U58" s="80"/>
      <c r="V58" s="81"/>
      <c r="W58" s="81"/>
      <c r="X58" s="81"/>
      <c r="Y58" s="81"/>
      <c r="Z58" s="81"/>
    </row>
    <row r="59" spans="1:26" ht="12" customHeight="1">
      <c r="A59" s="82" t="s">
        <v>585</v>
      </c>
      <c r="B59" s="83">
        <f t="shared" si="31"/>
        <v>0</v>
      </c>
      <c r="C59" s="84"/>
      <c r="D59" s="84"/>
      <c r="E59" s="84"/>
      <c r="F59" s="84"/>
      <c r="G59" s="84"/>
      <c r="H59" s="84"/>
      <c r="I59" s="84"/>
      <c r="J59" s="84"/>
      <c r="K59" s="84"/>
      <c r="L59" s="84"/>
      <c r="M59" s="84"/>
      <c r="N59" s="84"/>
      <c r="O59" s="84"/>
      <c r="P59" s="84"/>
      <c r="Q59" s="84"/>
      <c r="R59" s="84">
        <f t="shared" si="32"/>
        <v>0</v>
      </c>
      <c r="S59" s="85"/>
      <c r="T59" s="85"/>
      <c r="U59" s="80"/>
      <c r="V59" s="81"/>
      <c r="W59" s="81"/>
      <c r="X59" s="81"/>
      <c r="Y59" s="81"/>
      <c r="Z59" s="81"/>
    </row>
    <row r="60" spans="1:26" ht="12" customHeight="1">
      <c r="A60" s="82" t="s">
        <v>587</v>
      </c>
      <c r="B60" s="83">
        <f t="shared" si="31"/>
        <v>0</v>
      </c>
      <c r="C60" s="84"/>
      <c r="D60" s="84"/>
      <c r="E60" s="84"/>
      <c r="F60" s="84"/>
      <c r="G60" s="84"/>
      <c r="H60" s="84"/>
      <c r="I60" s="84"/>
      <c r="J60" s="84"/>
      <c r="K60" s="84"/>
      <c r="L60" s="84"/>
      <c r="M60" s="84"/>
      <c r="N60" s="84"/>
      <c r="O60" s="84"/>
      <c r="P60" s="84"/>
      <c r="Q60" s="84"/>
      <c r="R60" s="84">
        <f t="shared" si="32"/>
        <v>0</v>
      </c>
      <c r="S60" s="85"/>
      <c r="T60" s="85"/>
      <c r="U60" s="80"/>
      <c r="V60" s="81"/>
      <c r="W60" s="81"/>
      <c r="X60" s="81"/>
      <c r="Y60" s="81"/>
      <c r="Z60" s="81"/>
    </row>
    <row r="61" spans="1:26" ht="12" customHeight="1">
      <c r="A61" s="96" t="s">
        <v>551</v>
      </c>
      <c r="B61" s="83">
        <f t="shared" si="31"/>
        <v>0</v>
      </c>
      <c r="C61" s="84"/>
      <c r="D61" s="84"/>
      <c r="E61" s="84"/>
      <c r="F61" s="84"/>
      <c r="G61" s="84"/>
      <c r="H61" s="84"/>
      <c r="I61" s="84"/>
      <c r="J61" s="84"/>
      <c r="K61" s="84"/>
      <c r="L61" s="84"/>
      <c r="M61" s="84"/>
      <c r="N61" s="84"/>
      <c r="O61" s="84"/>
      <c r="P61" s="84"/>
      <c r="Q61" s="84"/>
      <c r="R61" s="84">
        <f t="shared" si="32"/>
        <v>0</v>
      </c>
      <c r="S61" s="85"/>
      <c r="T61" s="85"/>
      <c r="U61" s="80"/>
      <c r="V61" s="81"/>
      <c r="W61" s="81"/>
      <c r="X61" s="81"/>
      <c r="Y61" s="81"/>
      <c r="Z61" s="81"/>
    </row>
    <row r="62" spans="1:26" ht="13.5" customHeight="1">
      <c r="A62" s="87" t="s">
        <v>611</v>
      </c>
      <c r="B62" s="83">
        <f>SUM(C62:D62)</f>
        <v>0</v>
      </c>
      <c r="C62" s="83">
        <f t="shared" ref="C62:R62" si="33">SUM(C56:C61)</f>
        <v>0</v>
      </c>
      <c r="D62" s="83">
        <f t="shared" si="33"/>
        <v>0</v>
      </c>
      <c r="E62" s="83">
        <f t="shared" si="33"/>
        <v>0</v>
      </c>
      <c r="F62" s="83">
        <f t="shared" si="33"/>
        <v>0</v>
      </c>
      <c r="G62" s="83">
        <f t="shared" si="33"/>
        <v>0</v>
      </c>
      <c r="H62" s="83">
        <f t="shared" si="33"/>
        <v>0</v>
      </c>
      <c r="I62" s="83">
        <f t="shared" si="33"/>
        <v>0</v>
      </c>
      <c r="J62" s="83">
        <f t="shared" si="33"/>
        <v>0</v>
      </c>
      <c r="K62" s="83">
        <f t="shared" si="33"/>
        <v>0</v>
      </c>
      <c r="L62" s="83">
        <f t="shared" si="33"/>
        <v>0</v>
      </c>
      <c r="M62" s="83">
        <f t="shared" si="33"/>
        <v>0</v>
      </c>
      <c r="N62" s="83">
        <f t="shared" si="33"/>
        <v>0</v>
      </c>
      <c r="O62" s="83">
        <f t="shared" si="33"/>
        <v>0</v>
      </c>
      <c r="P62" s="83">
        <f t="shared" si="33"/>
        <v>0</v>
      </c>
      <c r="Q62" s="83">
        <f t="shared" si="33"/>
        <v>0</v>
      </c>
      <c r="R62" s="83">
        <f t="shared" si="33"/>
        <v>0</v>
      </c>
      <c r="S62" s="85"/>
      <c r="T62" s="85"/>
      <c r="U62" s="80"/>
      <c r="V62" s="81"/>
      <c r="W62" s="81"/>
      <c r="X62" s="81"/>
      <c r="Y62" s="81"/>
      <c r="Z62" s="81"/>
    </row>
    <row r="63" spans="1:26" ht="12" customHeight="1">
      <c r="A63" s="110" t="s">
        <v>616</v>
      </c>
      <c r="B63" s="83">
        <f t="shared" ref="B63:R63" si="34">SUM(B8+B11+B13+B14+B15+B26+B27+B38+B42+B43+B54+B62)</f>
        <v>87761008</v>
      </c>
      <c r="C63" s="83">
        <f t="shared" si="34"/>
        <v>87761008</v>
      </c>
      <c r="D63" s="83">
        <f t="shared" si="34"/>
        <v>0</v>
      </c>
      <c r="E63" s="83">
        <f t="shared" si="34"/>
        <v>22198596</v>
      </c>
      <c r="F63" s="83">
        <f t="shared" si="34"/>
        <v>28416244</v>
      </c>
      <c r="G63" s="83">
        <f t="shared" si="34"/>
        <v>29135756</v>
      </c>
      <c r="H63" s="83">
        <f t="shared" si="34"/>
        <v>0</v>
      </c>
      <c r="I63" s="83">
        <f t="shared" si="34"/>
        <v>8010412</v>
      </c>
      <c r="J63" s="83">
        <f t="shared" si="34"/>
        <v>0</v>
      </c>
      <c r="K63" s="83">
        <f t="shared" si="34"/>
        <v>0</v>
      </c>
      <c r="L63" s="83">
        <f t="shared" si="34"/>
        <v>0</v>
      </c>
      <c r="M63" s="83">
        <f t="shared" si="34"/>
        <v>0</v>
      </c>
      <c r="N63" s="83">
        <f t="shared" si="34"/>
        <v>0</v>
      </c>
      <c r="O63" s="83">
        <f t="shared" si="34"/>
        <v>0</v>
      </c>
      <c r="P63" s="83">
        <f t="shared" si="34"/>
        <v>0</v>
      </c>
      <c r="Q63" s="83">
        <f t="shared" si="34"/>
        <v>0</v>
      </c>
      <c r="R63" s="83">
        <f t="shared" si="34"/>
        <v>87761008</v>
      </c>
      <c r="S63" s="83">
        <f>SUM(S10+S13+S14+S15+S26+S27+S38+S42+S43+S54)</f>
        <v>24897433</v>
      </c>
      <c r="T63" s="83">
        <f>SUM(T11+T13+T14+T15+T26+T27+T38+T42+T43+T54)</f>
        <v>54579102</v>
      </c>
      <c r="U63" s="80"/>
      <c r="V63" s="81"/>
      <c r="W63" s="81"/>
      <c r="X63" s="81"/>
      <c r="Y63" s="81"/>
      <c r="Z63" s="81"/>
    </row>
    <row r="64" spans="1:26" ht="12" customHeight="1">
      <c r="A64" s="78" t="s">
        <v>626</v>
      </c>
      <c r="B64" s="79"/>
      <c r="C64" s="79"/>
      <c r="D64" s="79"/>
      <c r="E64" s="94"/>
      <c r="F64" s="94"/>
      <c r="G64" s="94"/>
      <c r="H64" s="94"/>
      <c r="I64" s="94"/>
      <c r="J64" s="94"/>
      <c r="K64" s="94"/>
      <c r="L64" s="94"/>
      <c r="M64" s="94"/>
      <c r="N64" s="94"/>
      <c r="O64" s="94"/>
      <c r="P64" s="94"/>
      <c r="Q64" s="94"/>
      <c r="R64" s="94"/>
      <c r="S64" s="79"/>
      <c r="T64" s="79"/>
      <c r="U64" s="80"/>
      <c r="V64" s="81"/>
      <c r="W64" s="81"/>
      <c r="X64" s="81"/>
      <c r="Y64" s="81"/>
      <c r="Z64" s="81"/>
    </row>
    <row r="65" spans="1:26" ht="12" customHeight="1">
      <c r="A65" s="82" t="s">
        <v>628</v>
      </c>
      <c r="B65" s="83">
        <f t="shared" ref="B65:B69" si="35">SUM(C65+D65)</f>
        <v>100000</v>
      </c>
      <c r="C65" s="84">
        <v>100000</v>
      </c>
      <c r="D65" s="84"/>
      <c r="E65" s="84">
        <f>C65</f>
        <v>100000</v>
      </c>
      <c r="F65" s="84"/>
      <c r="G65" s="84"/>
      <c r="H65" s="84"/>
      <c r="I65" s="84"/>
      <c r="J65" s="84"/>
      <c r="K65" s="84"/>
      <c r="L65" s="84"/>
      <c r="M65" s="84"/>
      <c r="N65" s="84"/>
      <c r="O65" s="84"/>
      <c r="P65" s="84"/>
      <c r="Q65" s="84"/>
      <c r="R65" s="84">
        <f t="shared" ref="R65:R69" si="36">SUM(E65:Q65)</f>
        <v>100000</v>
      </c>
      <c r="S65" s="84">
        <f>R65</f>
        <v>100000</v>
      </c>
      <c r="T65" s="84"/>
      <c r="U65" s="80"/>
      <c r="V65" s="81"/>
      <c r="W65" s="81"/>
      <c r="X65" s="81"/>
      <c r="Y65" s="81"/>
      <c r="Z65" s="81"/>
    </row>
    <row r="66" spans="1:26" ht="24" customHeight="1">
      <c r="A66" s="82" t="s">
        <v>632</v>
      </c>
      <c r="B66" s="83">
        <f t="shared" si="35"/>
        <v>0</v>
      </c>
      <c r="C66" s="84"/>
      <c r="D66" s="84"/>
      <c r="E66" s="84"/>
      <c r="F66" s="84"/>
      <c r="G66" s="84"/>
      <c r="H66" s="84"/>
      <c r="I66" s="84"/>
      <c r="J66" s="84"/>
      <c r="K66" s="84"/>
      <c r="L66" s="84"/>
      <c r="M66" s="84"/>
      <c r="N66" s="84"/>
      <c r="O66" s="84"/>
      <c r="P66" s="84"/>
      <c r="Q66" s="84"/>
      <c r="R66" s="84">
        <f t="shared" si="36"/>
        <v>0</v>
      </c>
      <c r="S66" s="84"/>
      <c r="T66" s="84"/>
      <c r="U66" s="80"/>
      <c r="V66" s="81"/>
      <c r="W66" s="81"/>
      <c r="X66" s="81"/>
      <c r="Y66" s="81"/>
      <c r="Z66" s="81"/>
    </row>
    <row r="67" spans="1:26" ht="24" customHeight="1">
      <c r="A67" s="82" t="s">
        <v>635</v>
      </c>
      <c r="B67" s="83">
        <f t="shared" si="35"/>
        <v>0</v>
      </c>
      <c r="C67" s="84"/>
      <c r="D67" s="84"/>
      <c r="E67" s="84"/>
      <c r="F67" s="84"/>
      <c r="G67" s="84"/>
      <c r="H67" s="84"/>
      <c r="I67" s="84"/>
      <c r="J67" s="84"/>
      <c r="K67" s="84"/>
      <c r="L67" s="84"/>
      <c r="M67" s="84"/>
      <c r="N67" s="84"/>
      <c r="O67" s="84"/>
      <c r="P67" s="84"/>
      <c r="Q67" s="84"/>
      <c r="R67" s="84">
        <f t="shared" si="36"/>
        <v>0</v>
      </c>
      <c r="S67" s="84"/>
      <c r="T67" s="84"/>
      <c r="U67" s="80"/>
      <c r="V67" s="81"/>
      <c r="W67" s="81"/>
      <c r="X67" s="81"/>
      <c r="Y67" s="81"/>
      <c r="Z67" s="81"/>
    </row>
    <row r="68" spans="1:26" ht="12" customHeight="1">
      <c r="A68" s="82" t="s">
        <v>638</v>
      </c>
      <c r="B68" s="83">
        <f t="shared" si="35"/>
        <v>0</v>
      </c>
      <c r="C68" s="84"/>
      <c r="D68" s="84"/>
      <c r="E68" s="84"/>
      <c r="F68" s="84"/>
      <c r="G68" s="84"/>
      <c r="H68" s="84"/>
      <c r="I68" s="84"/>
      <c r="J68" s="84"/>
      <c r="K68" s="84"/>
      <c r="L68" s="84"/>
      <c r="M68" s="84"/>
      <c r="N68" s="84"/>
      <c r="O68" s="84"/>
      <c r="P68" s="84"/>
      <c r="Q68" s="84"/>
      <c r="R68" s="84">
        <f t="shared" si="36"/>
        <v>0</v>
      </c>
      <c r="S68" s="84"/>
      <c r="T68" s="84"/>
      <c r="U68" s="80"/>
      <c r="V68" s="81"/>
      <c r="W68" s="81"/>
      <c r="X68" s="81"/>
      <c r="Y68" s="81"/>
      <c r="Z68" s="81"/>
    </row>
    <row r="69" spans="1:26" ht="12" customHeight="1">
      <c r="A69" s="96" t="s">
        <v>640</v>
      </c>
      <c r="B69" s="83">
        <f t="shared" si="35"/>
        <v>150000</v>
      </c>
      <c r="C69" s="84">
        <v>150000</v>
      </c>
      <c r="D69" s="84"/>
      <c r="E69" s="84">
        <f>C69</f>
        <v>150000</v>
      </c>
      <c r="F69" s="84"/>
      <c r="G69" s="84"/>
      <c r="H69" s="84"/>
      <c r="I69" s="84"/>
      <c r="J69" s="84"/>
      <c r="K69" s="84"/>
      <c r="L69" s="84"/>
      <c r="M69" s="84"/>
      <c r="N69" s="84"/>
      <c r="O69" s="84"/>
      <c r="P69" s="84"/>
      <c r="Q69" s="84"/>
      <c r="R69" s="84">
        <f t="shared" si="36"/>
        <v>150000</v>
      </c>
      <c r="S69" s="84">
        <v>112500</v>
      </c>
      <c r="T69" s="84"/>
      <c r="U69" s="80"/>
      <c r="V69" s="81"/>
      <c r="W69" s="81"/>
      <c r="X69" s="81"/>
      <c r="Y69" s="81"/>
      <c r="Z69" s="81"/>
    </row>
    <row r="70" spans="1:26" ht="12" customHeight="1">
      <c r="A70" s="87" t="s">
        <v>645</v>
      </c>
      <c r="B70" s="83">
        <f>SUM(C70:D70)</f>
        <v>250000</v>
      </c>
      <c r="C70" s="83">
        <f t="shared" ref="C70:T70" si="37">SUM(C65:C69)</f>
        <v>250000</v>
      </c>
      <c r="D70" s="83">
        <f t="shared" si="37"/>
        <v>0</v>
      </c>
      <c r="E70" s="83">
        <f t="shared" si="37"/>
        <v>250000</v>
      </c>
      <c r="F70" s="83">
        <f t="shared" si="37"/>
        <v>0</v>
      </c>
      <c r="G70" s="83">
        <f t="shared" si="37"/>
        <v>0</v>
      </c>
      <c r="H70" s="83">
        <f t="shared" si="37"/>
        <v>0</v>
      </c>
      <c r="I70" s="83">
        <f t="shared" si="37"/>
        <v>0</v>
      </c>
      <c r="J70" s="83">
        <f t="shared" si="37"/>
        <v>0</v>
      </c>
      <c r="K70" s="83">
        <f t="shared" si="37"/>
        <v>0</v>
      </c>
      <c r="L70" s="83">
        <f t="shared" si="37"/>
        <v>0</v>
      </c>
      <c r="M70" s="83">
        <f t="shared" si="37"/>
        <v>0</v>
      </c>
      <c r="N70" s="83">
        <f t="shared" si="37"/>
        <v>0</v>
      </c>
      <c r="O70" s="83">
        <f t="shared" si="37"/>
        <v>0</v>
      </c>
      <c r="P70" s="83">
        <f t="shared" si="37"/>
        <v>0</v>
      </c>
      <c r="Q70" s="83">
        <f t="shared" si="37"/>
        <v>0</v>
      </c>
      <c r="R70" s="83">
        <f t="shared" si="37"/>
        <v>250000</v>
      </c>
      <c r="S70" s="89">
        <f t="shared" si="37"/>
        <v>212500</v>
      </c>
      <c r="T70" s="89">
        <f t="shared" si="37"/>
        <v>0</v>
      </c>
      <c r="U70" s="80"/>
      <c r="V70" s="81"/>
      <c r="W70" s="81"/>
      <c r="X70" s="81"/>
      <c r="Y70" s="81"/>
      <c r="Z70" s="81"/>
    </row>
    <row r="71" spans="1:26" ht="12" customHeight="1">
      <c r="A71" s="78" t="s">
        <v>652</v>
      </c>
      <c r="B71" s="94"/>
      <c r="C71" s="94"/>
      <c r="D71" s="94"/>
      <c r="E71" s="94"/>
      <c r="F71" s="94"/>
      <c r="G71" s="94"/>
      <c r="H71" s="94"/>
      <c r="I71" s="94"/>
      <c r="J71" s="94"/>
      <c r="K71" s="94"/>
      <c r="L71" s="94"/>
      <c r="M71" s="94"/>
      <c r="N71" s="94"/>
      <c r="O71" s="94"/>
      <c r="P71" s="94"/>
      <c r="Q71" s="94"/>
      <c r="R71" s="94"/>
      <c r="S71" s="94"/>
      <c r="T71" s="94"/>
      <c r="U71" s="80"/>
      <c r="V71" s="81"/>
      <c r="W71" s="81"/>
      <c r="X71" s="81"/>
      <c r="Y71" s="81"/>
      <c r="Z71" s="81"/>
    </row>
    <row r="72" spans="1:26" ht="12" customHeight="1">
      <c r="A72" s="82" t="s">
        <v>655</v>
      </c>
      <c r="B72" s="83">
        <f t="shared" ref="B72:B76" si="38">SUM(C72+D72)</f>
        <v>0</v>
      </c>
      <c r="C72" s="84"/>
      <c r="D72" s="84"/>
      <c r="E72" s="84"/>
      <c r="F72" s="84"/>
      <c r="G72" s="84"/>
      <c r="H72" s="84"/>
      <c r="I72" s="84"/>
      <c r="J72" s="84"/>
      <c r="K72" s="84"/>
      <c r="L72" s="84"/>
      <c r="M72" s="84"/>
      <c r="N72" s="84"/>
      <c r="O72" s="84"/>
      <c r="P72" s="84"/>
      <c r="Q72" s="84"/>
      <c r="R72" s="84">
        <f t="shared" ref="R72:R76" si="39">SUM(E72:Q72)</f>
        <v>0</v>
      </c>
      <c r="S72" s="85"/>
      <c r="T72" s="85"/>
      <c r="U72" s="80"/>
      <c r="V72" s="81"/>
      <c r="W72" s="81"/>
      <c r="X72" s="81"/>
      <c r="Y72" s="81"/>
      <c r="Z72" s="81"/>
    </row>
    <row r="73" spans="1:26" ht="12" customHeight="1">
      <c r="A73" s="82" t="s">
        <v>658</v>
      </c>
      <c r="B73" s="83">
        <f t="shared" si="38"/>
        <v>0</v>
      </c>
      <c r="C73" s="84"/>
      <c r="D73" s="84"/>
      <c r="E73" s="84"/>
      <c r="F73" s="84"/>
      <c r="G73" s="84"/>
      <c r="H73" s="84"/>
      <c r="I73" s="84"/>
      <c r="J73" s="84"/>
      <c r="K73" s="84"/>
      <c r="L73" s="84"/>
      <c r="M73" s="84"/>
      <c r="N73" s="84"/>
      <c r="O73" s="84"/>
      <c r="P73" s="84"/>
      <c r="Q73" s="84"/>
      <c r="R73" s="84">
        <f t="shared" si="39"/>
        <v>0</v>
      </c>
      <c r="S73" s="85"/>
      <c r="T73" s="85"/>
      <c r="U73" s="80"/>
      <c r="V73" s="81"/>
      <c r="W73" s="81"/>
      <c r="X73" s="81"/>
      <c r="Y73" s="81"/>
      <c r="Z73" s="81"/>
    </row>
    <row r="74" spans="1:26" ht="12" customHeight="1">
      <c r="A74" s="112" t="s">
        <v>660</v>
      </c>
      <c r="B74" s="83">
        <f t="shared" si="38"/>
        <v>0</v>
      </c>
      <c r="C74" s="84"/>
      <c r="D74" s="84"/>
      <c r="E74" s="84"/>
      <c r="F74" s="84"/>
      <c r="G74" s="84"/>
      <c r="H74" s="84"/>
      <c r="I74" s="84"/>
      <c r="J74" s="84"/>
      <c r="K74" s="84"/>
      <c r="L74" s="84"/>
      <c r="M74" s="84"/>
      <c r="N74" s="84"/>
      <c r="O74" s="84"/>
      <c r="P74" s="84"/>
      <c r="Q74" s="84"/>
      <c r="R74" s="84">
        <f t="shared" si="39"/>
        <v>0</v>
      </c>
      <c r="S74" s="85"/>
      <c r="T74" s="85"/>
      <c r="U74" s="80"/>
      <c r="V74" s="81"/>
      <c r="W74" s="81"/>
      <c r="X74" s="81"/>
      <c r="Y74" s="81"/>
      <c r="Z74" s="81"/>
    </row>
    <row r="75" spans="1:26" ht="12" customHeight="1">
      <c r="A75" s="82" t="s">
        <v>663</v>
      </c>
      <c r="B75" s="83">
        <f t="shared" si="38"/>
        <v>1306000</v>
      </c>
      <c r="C75" s="84">
        <v>1306000</v>
      </c>
      <c r="D75" s="84"/>
      <c r="E75" s="84">
        <f t="shared" ref="E75:E76" si="40">C75</f>
        <v>1306000</v>
      </c>
      <c r="F75" s="84"/>
      <c r="G75" s="84"/>
      <c r="H75" s="84"/>
      <c r="I75" s="84"/>
      <c r="J75" s="84"/>
      <c r="K75" s="84"/>
      <c r="L75" s="84"/>
      <c r="M75" s="84"/>
      <c r="N75" s="84"/>
      <c r="O75" s="84"/>
      <c r="P75" s="84"/>
      <c r="Q75" s="84"/>
      <c r="R75" s="84">
        <f t="shared" si="39"/>
        <v>1306000</v>
      </c>
      <c r="S75" s="85"/>
      <c r="T75" s="85"/>
      <c r="U75" s="80"/>
      <c r="V75" s="81"/>
      <c r="W75" s="81"/>
      <c r="X75" s="81"/>
      <c r="Y75" s="81"/>
      <c r="Z75" s="81"/>
    </row>
    <row r="76" spans="1:26" ht="12" customHeight="1">
      <c r="A76" s="96" t="s">
        <v>666</v>
      </c>
      <c r="B76" s="83">
        <f t="shared" si="38"/>
        <v>840000</v>
      </c>
      <c r="C76" s="84">
        <v>840000</v>
      </c>
      <c r="D76" s="84"/>
      <c r="E76" s="84">
        <f t="shared" si="40"/>
        <v>840000</v>
      </c>
      <c r="F76" s="84"/>
      <c r="G76" s="84"/>
      <c r="H76" s="84"/>
      <c r="I76" s="84"/>
      <c r="J76" s="84"/>
      <c r="K76" s="84"/>
      <c r="L76" s="84"/>
      <c r="M76" s="84"/>
      <c r="N76" s="84"/>
      <c r="O76" s="84"/>
      <c r="P76" s="84"/>
      <c r="Q76" s="84"/>
      <c r="R76" s="84">
        <f t="shared" si="39"/>
        <v>840000</v>
      </c>
      <c r="S76" s="85"/>
      <c r="T76" s="85"/>
      <c r="U76" s="80"/>
      <c r="V76" s="81"/>
      <c r="W76" s="81"/>
      <c r="X76" s="81"/>
      <c r="Y76" s="81"/>
      <c r="Z76" s="81"/>
    </row>
    <row r="77" spans="1:26" ht="12" customHeight="1">
      <c r="A77" s="87" t="s">
        <v>670</v>
      </c>
      <c r="B77" s="83">
        <f>SUM(C77:D77)</f>
        <v>2146000</v>
      </c>
      <c r="C77" s="83">
        <f t="shared" ref="C77:R77" si="41">SUM(C72:C76)</f>
        <v>2146000</v>
      </c>
      <c r="D77" s="83">
        <f t="shared" si="41"/>
        <v>0</v>
      </c>
      <c r="E77" s="83">
        <f t="shared" si="41"/>
        <v>2146000</v>
      </c>
      <c r="F77" s="83">
        <f t="shared" si="41"/>
        <v>0</v>
      </c>
      <c r="G77" s="83">
        <f t="shared" si="41"/>
        <v>0</v>
      </c>
      <c r="H77" s="83">
        <f t="shared" si="41"/>
        <v>0</v>
      </c>
      <c r="I77" s="83">
        <f t="shared" si="41"/>
        <v>0</v>
      </c>
      <c r="J77" s="83">
        <f t="shared" si="41"/>
        <v>0</v>
      </c>
      <c r="K77" s="83">
        <f t="shared" si="41"/>
        <v>0</v>
      </c>
      <c r="L77" s="83">
        <f t="shared" si="41"/>
        <v>0</v>
      </c>
      <c r="M77" s="83">
        <f t="shared" si="41"/>
        <v>0</v>
      </c>
      <c r="N77" s="83">
        <f t="shared" si="41"/>
        <v>0</v>
      </c>
      <c r="O77" s="83">
        <f t="shared" si="41"/>
        <v>0</v>
      </c>
      <c r="P77" s="83">
        <f t="shared" si="41"/>
        <v>0</v>
      </c>
      <c r="Q77" s="83">
        <f t="shared" si="41"/>
        <v>0</v>
      </c>
      <c r="R77" s="83">
        <f t="shared" si="41"/>
        <v>2146000</v>
      </c>
      <c r="S77" s="85"/>
      <c r="T77" s="85"/>
      <c r="U77" s="80"/>
      <c r="V77" s="81"/>
      <c r="W77" s="81"/>
      <c r="X77" s="81"/>
      <c r="Y77" s="81"/>
      <c r="Z77" s="81"/>
    </row>
    <row r="78" spans="1:26" ht="12" customHeight="1">
      <c r="A78" s="78" t="s">
        <v>674</v>
      </c>
      <c r="B78" s="94"/>
      <c r="C78" s="94"/>
      <c r="D78" s="94"/>
      <c r="E78" s="94"/>
      <c r="F78" s="94"/>
      <c r="G78" s="94"/>
      <c r="H78" s="94"/>
      <c r="I78" s="94"/>
      <c r="J78" s="94"/>
      <c r="K78" s="94"/>
      <c r="L78" s="94"/>
      <c r="M78" s="94"/>
      <c r="N78" s="94"/>
      <c r="O78" s="94"/>
      <c r="P78" s="94"/>
      <c r="Q78" s="94"/>
      <c r="R78" s="94"/>
      <c r="S78" s="94"/>
      <c r="T78" s="94"/>
      <c r="U78" s="80"/>
      <c r="V78" s="81"/>
      <c r="W78" s="81"/>
      <c r="X78" s="81"/>
      <c r="Y78" s="81"/>
      <c r="Z78" s="81"/>
    </row>
    <row r="79" spans="1:26" ht="12" customHeight="1">
      <c r="A79" s="82" t="s">
        <v>676</v>
      </c>
      <c r="B79" s="83">
        <f t="shared" ref="B79:B81" si="42">SUM(C79:D79)</f>
        <v>1639830</v>
      </c>
      <c r="C79" s="84">
        <v>1639830</v>
      </c>
      <c r="D79" s="84"/>
      <c r="E79" s="84">
        <f t="shared" ref="E79:E80" si="43">C79</f>
        <v>1639830</v>
      </c>
      <c r="F79" s="84"/>
      <c r="G79" s="84"/>
      <c r="H79" s="84"/>
      <c r="I79" s="84"/>
      <c r="J79" s="84"/>
      <c r="K79" s="84"/>
      <c r="L79" s="84"/>
      <c r="M79" s="84"/>
      <c r="N79" s="84"/>
      <c r="O79" s="84"/>
      <c r="P79" s="84"/>
      <c r="Q79" s="84"/>
      <c r="R79" s="84">
        <f t="shared" ref="R79:R80" si="44">SUM(E79:Q79)</f>
        <v>1639830</v>
      </c>
      <c r="S79" s="84">
        <f t="shared" ref="S79:S80" si="45">R79</f>
        <v>1639830</v>
      </c>
      <c r="T79" s="84"/>
      <c r="U79" s="80"/>
      <c r="V79" s="81"/>
      <c r="W79" s="81"/>
      <c r="X79" s="81"/>
      <c r="Y79" s="81"/>
      <c r="Z79" s="81"/>
    </row>
    <row r="80" spans="1:26" ht="12" customHeight="1">
      <c r="A80" s="82" t="s">
        <v>681</v>
      </c>
      <c r="B80" s="83">
        <f t="shared" si="42"/>
        <v>125000</v>
      </c>
      <c r="C80" s="84">
        <v>125000</v>
      </c>
      <c r="D80" s="84"/>
      <c r="E80" s="84">
        <f t="shared" si="43"/>
        <v>125000</v>
      </c>
      <c r="F80" s="84"/>
      <c r="G80" s="84"/>
      <c r="H80" s="84"/>
      <c r="I80" s="84"/>
      <c r="J80" s="84"/>
      <c r="K80" s="84"/>
      <c r="L80" s="84"/>
      <c r="M80" s="84"/>
      <c r="N80" s="84"/>
      <c r="O80" s="84"/>
      <c r="P80" s="84"/>
      <c r="Q80" s="84"/>
      <c r="R80" s="84">
        <f t="shared" si="44"/>
        <v>125000</v>
      </c>
      <c r="S80" s="84">
        <f t="shared" si="45"/>
        <v>125000</v>
      </c>
      <c r="T80" s="84"/>
      <c r="U80" s="80"/>
      <c r="V80" s="81"/>
      <c r="W80" s="81"/>
      <c r="X80" s="81"/>
      <c r="Y80" s="81"/>
      <c r="Z80" s="81"/>
    </row>
    <row r="81" spans="1:26" ht="12" customHeight="1">
      <c r="A81" s="87" t="s">
        <v>685</v>
      </c>
      <c r="B81" s="83">
        <f t="shared" si="42"/>
        <v>1764830</v>
      </c>
      <c r="C81" s="114">
        <f t="shared" ref="C81:T81" si="46">SUM(C79:C80)</f>
        <v>1764830</v>
      </c>
      <c r="D81" s="114">
        <f t="shared" si="46"/>
        <v>0</v>
      </c>
      <c r="E81" s="114">
        <f t="shared" si="46"/>
        <v>1764830</v>
      </c>
      <c r="F81" s="114">
        <f t="shared" si="46"/>
        <v>0</v>
      </c>
      <c r="G81" s="114">
        <f t="shared" si="46"/>
        <v>0</v>
      </c>
      <c r="H81" s="114">
        <f t="shared" si="46"/>
        <v>0</v>
      </c>
      <c r="I81" s="114">
        <f t="shared" si="46"/>
        <v>0</v>
      </c>
      <c r="J81" s="114">
        <f t="shared" si="46"/>
        <v>0</v>
      </c>
      <c r="K81" s="114">
        <f t="shared" si="46"/>
        <v>0</v>
      </c>
      <c r="L81" s="114">
        <f t="shared" si="46"/>
        <v>0</v>
      </c>
      <c r="M81" s="114">
        <f t="shared" si="46"/>
        <v>0</v>
      </c>
      <c r="N81" s="114">
        <f t="shared" si="46"/>
        <v>0</v>
      </c>
      <c r="O81" s="114">
        <f t="shared" si="46"/>
        <v>0</v>
      </c>
      <c r="P81" s="114">
        <f t="shared" si="46"/>
        <v>0</v>
      </c>
      <c r="Q81" s="114">
        <f t="shared" si="46"/>
        <v>0</v>
      </c>
      <c r="R81" s="114">
        <f t="shared" si="46"/>
        <v>1764830</v>
      </c>
      <c r="S81" s="114">
        <f t="shared" si="46"/>
        <v>1764830</v>
      </c>
      <c r="T81" s="114">
        <f t="shared" si="46"/>
        <v>0</v>
      </c>
      <c r="U81" s="80"/>
      <c r="V81" s="81"/>
      <c r="W81" s="81"/>
      <c r="X81" s="81"/>
      <c r="Y81" s="81"/>
      <c r="Z81" s="81"/>
    </row>
    <row r="82" spans="1:26" ht="12" customHeight="1">
      <c r="A82" s="78" t="s">
        <v>690</v>
      </c>
      <c r="B82" s="94"/>
      <c r="C82" s="94"/>
      <c r="D82" s="94"/>
      <c r="E82" s="94"/>
      <c r="F82" s="94"/>
      <c r="G82" s="94"/>
      <c r="H82" s="94"/>
      <c r="I82" s="94"/>
      <c r="J82" s="94"/>
      <c r="K82" s="94"/>
      <c r="L82" s="94"/>
      <c r="M82" s="94"/>
      <c r="N82" s="94"/>
      <c r="O82" s="94"/>
      <c r="P82" s="94"/>
      <c r="Q82" s="94"/>
      <c r="R82" s="94"/>
      <c r="S82" s="94"/>
      <c r="T82" s="94"/>
      <c r="U82" s="80"/>
      <c r="V82" s="81"/>
      <c r="W82" s="81"/>
      <c r="X82" s="81"/>
      <c r="Y82" s="81"/>
      <c r="Z82" s="81"/>
    </row>
    <row r="83" spans="1:26" ht="13.5" customHeight="1">
      <c r="A83" s="82" t="s">
        <v>692</v>
      </c>
      <c r="B83" s="83">
        <f t="shared" ref="B83:B95" si="47">SUM(C83+D83)</f>
        <v>141756</v>
      </c>
      <c r="C83" s="84">
        <v>141756</v>
      </c>
      <c r="D83" s="84"/>
      <c r="E83" s="84">
        <f t="shared" ref="E83:E84" si="48">C83</f>
        <v>141756</v>
      </c>
      <c r="F83" s="84"/>
      <c r="G83" s="84"/>
      <c r="H83" s="84"/>
      <c r="I83" s="84"/>
      <c r="J83" s="84"/>
      <c r="K83" s="84"/>
      <c r="L83" s="84"/>
      <c r="M83" s="84"/>
      <c r="N83" s="84"/>
      <c r="O83" s="84"/>
      <c r="P83" s="84"/>
      <c r="Q83" s="84"/>
      <c r="R83" s="84">
        <f t="shared" ref="R83:R95" si="49">SUM(E83:Q83)</f>
        <v>141756</v>
      </c>
      <c r="S83" s="85"/>
      <c r="T83" s="85"/>
      <c r="U83" s="80"/>
      <c r="V83" s="81"/>
      <c r="W83" s="81"/>
      <c r="X83" s="81"/>
      <c r="Y83" s="81"/>
      <c r="Z83" s="81"/>
    </row>
    <row r="84" spans="1:26" ht="12" customHeight="1">
      <c r="A84" s="82" t="s">
        <v>696</v>
      </c>
      <c r="B84" s="83">
        <f t="shared" si="47"/>
        <v>55000</v>
      </c>
      <c r="C84" s="84">
        <v>55000</v>
      </c>
      <c r="D84" s="84"/>
      <c r="E84" s="84">
        <f t="shared" si="48"/>
        <v>55000</v>
      </c>
      <c r="F84" s="84"/>
      <c r="G84" s="84"/>
      <c r="H84" s="84"/>
      <c r="I84" s="84"/>
      <c r="J84" s="84"/>
      <c r="K84" s="84"/>
      <c r="L84" s="84"/>
      <c r="M84" s="84"/>
      <c r="N84" s="84"/>
      <c r="O84" s="84"/>
      <c r="P84" s="84"/>
      <c r="Q84" s="84"/>
      <c r="R84" s="84">
        <f t="shared" si="49"/>
        <v>55000</v>
      </c>
      <c r="S84" s="84">
        <f>R84</f>
        <v>55000</v>
      </c>
      <c r="T84" s="84"/>
      <c r="U84" s="80"/>
      <c r="V84" s="81"/>
      <c r="W84" s="81"/>
      <c r="X84" s="81"/>
      <c r="Y84" s="81"/>
      <c r="Z84" s="81"/>
    </row>
    <row r="85" spans="1:26" ht="12" customHeight="1">
      <c r="A85" s="82" t="s">
        <v>701</v>
      </c>
      <c r="B85" s="83">
        <f t="shared" si="47"/>
        <v>0</v>
      </c>
      <c r="C85" s="84"/>
      <c r="D85" s="84"/>
      <c r="E85" s="84"/>
      <c r="F85" s="84"/>
      <c r="G85" s="84"/>
      <c r="H85" s="84"/>
      <c r="I85" s="84"/>
      <c r="J85" s="84"/>
      <c r="K85" s="84"/>
      <c r="L85" s="84"/>
      <c r="M85" s="84"/>
      <c r="N85" s="84"/>
      <c r="O85" s="84"/>
      <c r="P85" s="84"/>
      <c r="Q85" s="84"/>
      <c r="R85" s="84">
        <f t="shared" si="49"/>
        <v>0</v>
      </c>
      <c r="S85" s="84"/>
      <c r="T85" s="84"/>
      <c r="U85" s="80"/>
      <c r="V85" s="81"/>
      <c r="W85" s="81"/>
      <c r="X85" s="81"/>
      <c r="Y85" s="81"/>
      <c r="Z85" s="81"/>
    </row>
    <row r="86" spans="1:26" ht="12" customHeight="1">
      <c r="A86" s="82" t="s">
        <v>704</v>
      </c>
      <c r="B86" s="83">
        <f t="shared" si="47"/>
        <v>200000</v>
      </c>
      <c r="C86" s="84">
        <v>200000</v>
      </c>
      <c r="D86" s="84"/>
      <c r="E86" s="84">
        <f>C86</f>
        <v>200000</v>
      </c>
      <c r="F86" s="84"/>
      <c r="G86" s="84"/>
      <c r="H86" s="84"/>
      <c r="I86" s="84"/>
      <c r="J86" s="84"/>
      <c r="K86" s="84"/>
      <c r="L86" s="84"/>
      <c r="M86" s="84"/>
      <c r="N86" s="84"/>
      <c r="O86" s="84"/>
      <c r="P86" s="84"/>
      <c r="Q86" s="84"/>
      <c r="R86" s="84">
        <f t="shared" si="49"/>
        <v>200000</v>
      </c>
      <c r="S86" s="84">
        <f>R86</f>
        <v>200000</v>
      </c>
      <c r="T86" s="84"/>
      <c r="U86" s="80"/>
      <c r="V86" s="81"/>
      <c r="W86" s="81"/>
      <c r="X86" s="81"/>
      <c r="Y86" s="81"/>
      <c r="Z86" s="81"/>
    </row>
    <row r="87" spans="1:26" ht="12" customHeight="1">
      <c r="A87" s="82" t="s">
        <v>709</v>
      </c>
      <c r="B87" s="83">
        <f t="shared" si="47"/>
        <v>0</v>
      </c>
      <c r="C87" s="84"/>
      <c r="D87" s="84"/>
      <c r="E87" s="84"/>
      <c r="F87" s="84"/>
      <c r="G87" s="84"/>
      <c r="H87" s="84"/>
      <c r="I87" s="84"/>
      <c r="J87" s="84"/>
      <c r="K87" s="84"/>
      <c r="L87" s="84"/>
      <c r="M87" s="84"/>
      <c r="N87" s="84"/>
      <c r="O87" s="84"/>
      <c r="P87" s="84"/>
      <c r="Q87" s="84"/>
      <c r="R87" s="84">
        <f t="shared" si="49"/>
        <v>0</v>
      </c>
      <c r="S87" s="84"/>
      <c r="T87" s="84"/>
      <c r="U87" s="80"/>
      <c r="V87" s="81"/>
      <c r="W87" s="81"/>
      <c r="X87" s="81"/>
      <c r="Y87" s="81"/>
      <c r="Z87" s="81"/>
    </row>
    <row r="88" spans="1:26" ht="12" customHeight="1">
      <c r="A88" s="82" t="s">
        <v>711</v>
      </c>
      <c r="B88" s="83">
        <f t="shared" si="47"/>
        <v>0</v>
      </c>
      <c r="C88" s="84"/>
      <c r="D88" s="84"/>
      <c r="E88" s="84"/>
      <c r="F88" s="84"/>
      <c r="G88" s="84"/>
      <c r="H88" s="84"/>
      <c r="I88" s="84"/>
      <c r="J88" s="84"/>
      <c r="K88" s="84"/>
      <c r="L88" s="84"/>
      <c r="M88" s="84"/>
      <c r="N88" s="84"/>
      <c r="O88" s="84"/>
      <c r="P88" s="84"/>
      <c r="Q88" s="84"/>
      <c r="R88" s="84">
        <f t="shared" si="49"/>
        <v>0</v>
      </c>
      <c r="S88" s="85"/>
      <c r="T88" s="85"/>
      <c r="U88" s="80"/>
      <c r="V88" s="81"/>
      <c r="W88" s="81"/>
      <c r="X88" s="81"/>
      <c r="Y88" s="81"/>
      <c r="Z88" s="81"/>
    </row>
    <row r="89" spans="1:26" ht="12" customHeight="1">
      <c r="A89" s="82" t="s">
        <v>714</v>
      </c>
      <c r="B89" s="83">
        <f t="shared" si="47"/>
        <v>0</v>
      </c>
      <c r="C89" s="84"/>
      <c r="D89" s="84"/>
      <c r="E89" s="84"/>
      <c r="F89" s="84"/>
      <c r="G89" s="84"/>
      <c r="H89" s="84"/>
      <c r="I89" s="84"/>
      <c r="J89" s="84"/>
      <c r="K89" s="84"/>
      <c r="L89" s="84"/>
      <c r="M89" s="84"/>
      <c r="N89" s="84"/>
      <c r="O89" s="84"/>
      <c r="P89" s="84"/>
      <c r="Q89" s="84"/>
      <c r="R89" s="84">
        <f t="shared" si="49"/>
        <v>0</v>
      </c>
      <c r="S89" s="84"/>
      <c r="T89" s="84"/>
      <c r="U89" s="80"/>
      <c r="V89" s="81"/>
      <c r="W89" s="81"/>
      <c r="X89" s="81"/>
      <c r="Y89" s="81"/>
      <c r="Z89" s="81"/>
    </row>
    <row r="90" spans="1:26" ht="12" customHeight="1">
      <c r="A90" s="82" t="s">
        <v>716</v>
      </c>
      <c r="B90" s="83">
        <f t="shared" si="47"/>
        <v>30000</v>
      </c>
      <c r="C90" s="84">
        <v>30000</v>
      </c>
      <c r="D90" s="84"/>
      <c r="E90" s="84">
        <f t="shared" ref="E90:E91" si="50">C90</f>
        <v>30000</v>
      </c>
      <c r="F90" s="84"/>
      <c r="G90" s="84"/>
      <c r="H90" s="84"/>
      <c r="I90" s="84"/>
      <c r="J90" s="84"/>
      <c r="K90" s="84"/>
      <c r="L90" s="84"/>
      <c r="M90" s="84"/>
      <c r="N90" s="84"/>
      <c r="O90" s="84"/>
      <c r="P90" s="84"/>
      <c r="Q90" s="84"/>
      <c r="R90" s="84">
        <f t="shared" si="49"/>
        <v>30000</v>
      </c>
      <c r="S90" s="84">
        <f>R90</f>
        <v>30000</v>
      </c>
      <c r="T90" s="84"/>
      <c r="U90" s="80"/>
      <c r="V90" s="81"/>
      <c r="W90" s="81"/>
      <c r="X90" s="81"/>
      <c r="Y90" s="81"/>
      <c r="Z90" s="81"/>
    </row>
    <row r="91" spans="1:26" ht="12" customHeight="1">
      <c r="A91" s="82" t="s">
        <v>720</v>
      </c>
      <c r="B91" s="83">
        <f t="shared" si="47"/>
        <v>25000</v>
      </c>
      <c r="C91" s="84">
        <v>25000</v>
      </c>
      <c r="D91" s="84"/>
      <c r="E91" s="84">
        <f t="shared" si="50"/>
        <v>25000</v>
      </c>
      <c r="F91" s="84"/>
      <c r="G91" s="84"/>
      <c r="H91" s="84"/>
      <c r="I91" s="84"/>
      <c r="J91" s="84"/>
      <c r="K91" s="84"/>
      <c r="L91" s="84"/>
      <c r="M91" s="84"/>
      <c r="N91" s="84"/>
      <c r="O91" s="84"/>
      <c r="P91" s="84"/>
      <c r="Q91" s="84"/>
      <c r="R91" s="84">
        <f t="shared" si="49"/>
        <v>25000</v>
      </c>
      <c r="S91" s="84">
        <v>0</v>
      </c>
      <c r="T91" s="84"/>
      <c r="U91" s="80"/>
      <c r="V91" s="81"/>
      <c r="W91" s="81"/>
      <c r="X91" s="81"/>
      <c r="Y91" s="81"/>
      <c r="Z91" s="81"/>
    </row>
    <row r="92" spans="1:26" ht="12" customHeight="1">
      <c r="A92" s="82" t="s">
        <v>724</v>
      </c>
      <c r="B92" s="83">
        <f t="shared" si="47"/>
        <v>0</v>
      </c>
      <c r="C92" s="84"/>
      <c r="D92" s="84"/>
      <c r="E92" s="84"/>
      <c r="F92" s="84"/>
      <c r="G92" s="84"/>
      <c r="H92" s="84"/>
      <c r="I92" s="84"/>
      <c r="J92" s="84"/>
      <c r="K92" s="84"/>
      <c r="L92" s="84"/>
      <c r="M92" s="84"/>
      <c r="N92" s="84"/>
      <c r="O92" s="84"/>
      <c r="P92" s="84"/>
      <c r="Q92" s="84"/>
      <c r="R92" s="84">
        <f t="shared" si="49"/>
        <v>0</v>
      </c>
      <c r="S92" s="84"/>
      <c r="T92" s="84"/>
      <c r="U92" s="80"/>
      <c r="V92" s="81"/>
      <c r="W92" s="81"/>
      <c r="X92" s="81"/>
      <c r="Y92" s="81"/>
      <c r="Z92" s="81"/>
    </row>
    <row r="93" spans="1:26" ht="12" customHeight="1">
      <c r="A93" s="96" t="s">
        <v>551</v>
      </c>
      <c r="B93" s="83">
        <f t="shared" si="47"/>
        <v>0</v>
      </c>
      <c r="C93" s="84"/>
      <c r="D93" s="84"/>
      <c r="E93" s="84"/>
      <c r="F93" s="84"/>
      <c r="G93" s="84"/>
      <c r="H93" s="84"/>
      <c r="I93" s="84"/>
      <c r="J93" s="84"/>
      <c r="K93" s="84"/>
      <c r="L93" s="84"/>
      <c r="M93" s="84"/>
      <c r="N93" s="84"/>
      <c r="O93" s="84"/>
      <c r="P93" s="84"/>
      <c r="Q93" s="84"/>
      <c r="R93" s="84">
        <f t="shared" si="49"/>
        <v>0</v>
      </c>
      <c r="S93" s="84"/>
      <c r="T93" s="84"/>
      <c r="U93" s="80"/>
      <c r="V93" s="81"/>
      <c r="W93" s="81"/>
      <c r="X93" s="81"/>
      <c r="Y93" s="81"/>
      <c r="Z93" s="81"/>
    </row>
    <row r="94" spans="1:26" ht="12" customHeight="1">
      <c r="A94" s="96" t="s">
        <v>551</v>
      </c>
      <c r="B94" s="83">
        <f t="shared" si="47"/>
        <v>0</v>
      </c>
      <c r="C94" s="84"/>
      <c r="D94" s="84"/>
      <c r="E94" s="84"/>
      <c r="F94" s="84"/>
      <c r="G94" s="84"/>
      <c r="H94" s="84"/>
      <c r="I94" s="84"/>
      <c r="J94" s="84"/>
      <c r="K94" s="84"/>
      <c r="L94" s="84"/>
      <c r="M94" s="84"/>
      <c r="N94" s="84"/>
      <c r="O94" s="84"/>
      <c r="P94" s="84"/>
      <c r="Q94" s="84"/>
      <c r="R94" s="84">
        <f t="shared" si="49"/>
        <v>0</v>
      </c>
      <c r="S94" s="84"/>
      <c r="T94" s="84"/>
      <c r="U94" s="80"/>
      <c r="V94" s="81"/>
      <c r="W94" s="81"/>
      <c r="X94" s="81"/>
      <c r="Y94" s="81"/>
      <c r="Z94" s="81"/>
    </row>
    <row r="95" spans="1:26" ht="12" customHeight="1">
      <c r="A95" s="96" t="s">
        <v>551</v>
      </c>
      <c r="B95" s="83">
        <f t="shared" si="47"/>
        <v>0</v>
      </c>
      <c r="C95" s="84"/>
      <c r="D95" s="84"/>
      <c r="E95" s="84"/>
      <c r="F95" s="84"/>
      <c r="G95" s="84"/>
      <c r="H95" s="84"/>
      <c r="I95" s="84"/>
      <c r="J95" s="84"/>
      <c r="K95" s="84"/>
      <c r="L95" s="84"/>
      <c r="M95" s="84"/>
      <c r="N95" s="84"/>
      <c r="O95" s="84"/>
      <c r="P95" s="84"/>
      <c r="Q95" s="84"/>
      <c r="R95" s="84">
        <f t="shared" si="49"/>
        <v>0</v>
      </c>
      <c r="S95" s="84"/>
      <c r="T95" s="84"/>
      <c r="U95" s="80"/>
      <c r="V95" s="81"/>
      <c r="W95" s="81"/>
      <c r="X95" s="81"/>
      <c r="Y95" s="81"/>
      <c r="Z95" s="81"/>
    </row>
    <row r="96" spans="1:26" ht="12" customHeight="1">
      <c r="A96" s="87" t="s">
        <v>732</v>
      </c>
      <c r="B96" s="83">
        <f t="shared" ref="B96:B97" si="51">SUM(C96:D96)</f>
        <v>451756</v>
      </c>
      <c r="C96" s="83">
        <f t="shared" ref="C96:R96" si="52">SUM(C83:C95)</f>
        <v>451756</v>
      </c>
      <c r="D96" s="83">
        <f t="shared" si="52"/>
        <v>0</v>
      </c>
      <c r="E96" s="83">
        <f t="shared" si="52"/>
        <v>451756</v>
      </c>
      <c r="F96" s="83">
        <f t="shared" si="52"/>
        <v>0</v>
      </c>
      <c r="G96" s="83">
        <f t="shared" si="52"/>
        <v>0</v>
      </c>
      <c r="H96" s="83">
        <f t="shared" si="52"/>
        <v>0</v>
      </c>
      <c r="I96" s="83">
        <f t="shared" si="52"/>
        <v>0</v>
      </c>
      <c r="J96" s="83">
        <f t="shared" si="52"/>
        <v>0</v>
      </c>
      <c r="K96" s="83">
        <f t="shared" si="52"/>
        <v>0</v>
      </c>
      <c r="L96" s="83">
        <f t="shared" si="52"/>
        <v>0</v>
      </c>
      <c r="M96" s="83">
        <f t="shared" si="52"/>
        <v>0</v>
      </c>
      <c r="N96" s="83">
        <f t="shared" si="52"/>
        <v>0</v>
      </c>
      <c r="O96" s="83">
        <f t="shared" si="52"/>
        <v>0</v>
      </c>
      <c r="P96" s="83">
        <f t="shared" si="52"/>
        <v>0</v>
      </c>
      <c r="Q96" s="83">
        <f t="shared" si="52"/>
        <v>0</v>
      </c>
      <c r="R96" s="83">
        <f t="shared" si="52"/>
        <v>451756</v>
      </c>
      <c r="S96" s="89">
        <f t="shared" ref="S96:T96" si="53">SUM(S84:S87,S89:S95)</f>
        <v>285000</v>
      </c>
      <c r="T96" s="83">
        <f t="shared" si="53"/>
        <v>0</v>
      </c>
      <c r="U96" s="80"/>
      <c r="V96" s="81"/>
      <c r="W96" s="81"/>
      <c r="X96" s="81"/>
      <c r="Y96" s="81"/>
      <c r="Z96" s="81"/>
    </row>
    <row r="97" spans="1:26" ht="12" customHeight="1">
      <c r="A97" s="87" t="s">
        <v>738</v>
      </c>
      <c r="B97" s="83">
        <f t="shared" si="51"/>
        <v>92373594</v>
      </c>
      <c r="C97" s="83">
        <f t="shared" ref="C97:R97" si="54">SUM(C63+C70+C77+C81+C96)</f>
        <v>92373594</v>
      </c>
      <c r="D97" s="83">
        <f t="shared" si="54"/>
        <v>0</v>
      </c>
      <c r="E97" s="83">
        <f t="shared" si="54"/>
        <v>26811182</v>
      </c>
      <c r="F97" s="83">
        <f t="shared" si="54"/>
        <v>28416244</v>
      </c>
      <c r="G97" s="83">
        <f t="shared" si="54"/>
        <v>29135756</v>
      </c>
      <c r="H97" s="83">
        <f t="shared" si="54"/>
        <v>0</v>
      </c>
      <c r="I97" s="83">
        <f t="shared" si="54"/>
        <v>8010412</v>
      </c>
      <c r="J97" s="83">
        <f t="shared" si="54"/>
        <v>0</v>
      </c>
      <c r="K97" s="83">
        <f t="shared" si="54"/>
        <v>0</v>
      </c>
      <c r="L97" s="83">
        <f t="shared" si="54"/>
        <v>0</v>
      </c>
      <c r="M97" s="83">
        <f t="shared" si="54"/>
        <v>0</v>
      </c>
      <c r="N97" s="83">
        <f t="shared" si="54"/>
        <v>0</v>
      </c>
      <c r="O97" s="83">
        <f t="shared" si="54"/>
        <v>0</v>
      </c>
      <c r="P97" s="83">
        <f t="shared" si="54"/>
        <v>0</v>
      </c>
      <c r="Q97" s="83">
        <f t="shared" si="54"/>
        <v>0</v>
      </c>
      <c r="R97" s="83">
        <f t="shared" si="54"/>
        <v>92373594</v>
      </c>
      <c r="S97" s="83">
        <f t="shared" ref="S97:T97" si="55">SUM(S63+S70+S81+S96)</f>
        <v>27159763</v>
      </c>
      <c r="T97" s="83">
        <f t="shared" si="55"/>
        <v>54579102</v>
      </c>
      <c r="U97" s="80"/>
      <c r="V97" s="81"/>
      <c r="W97" s="81"/>
      <c r="X97" s="81"/>
      <c r="Y97" s="81"/>
      <c r="Z97" s="81"/>
    </row>
    <row r="98" spans="1:26" ht="12" customHeight="1">
      <c r="A98" s="78" t="s">
        <v>743</v>
      </c>
      <c r="B98" s="94"/>
      <c r="C98" s="94"/>
      <c r="D98" s="94"/>
      <c r="E98" s="94"/>
      <c r="F98" s="94"/>
      <c r="G98" s="94"/>
      <c r="H98" s="94"/>
      <c r="I98" s="94"/>
      <c r="J98" s="94"/>
      <c r="K98" s="94"/>
      <c r="L98" s="94"/>
      <c r="M98" s="94"/>
      <c r="N98" s="94"/>
      <c r="O98" s="94"/>
      <c r="P98" s="94"/>
      <c r="Q98" s="94"/>
      <c r="R98" s="94"/>
      <c r="S98" s="94"/>
      <c r="T98" s="94"/>
      <c r="U98" s="80"/>
      <c r="V98" s="81"/>
      <c r="W98" s="81"/>
      <c r="X98" s="81"/>
      <c r="Y98" s="81"/>
      <c r="Z98" s="81"/>
    </row>
    <row r="99" spans="1:26" ht="12" customHeight="1">
      <c r="A99" s="82" t="s">
        <v>744</v>
      </c>
      <c r="B99" s="83">
        <f t="shared" ref="B99:B103" si="56">SUM(C99+D99)</f>
        <v>6802919</v>
      </c>
      <c r="C99" s="84">
        <v>6802919</v>
      </c>
      <c r="D99" s="84"/>
      <c r="E99" s="84">
        <f>C99-H99-I99</f>
        <v>1876353</v>
      </c>
      <c r="F99" s="84"/>
      <c r="G99" s="84"/>
      <c r="H99" s="84">
        <f>Application!AO637</f>
        <v>4544918</v>
      </c>
      <c r="I99" s="84">
        <f>Application!AO638-'Sources and Uses Budget'!I45</f>
        <v>381648</v>
      </c>
      <c r="J99" s="84"/>
      <c r="K99" s="84"/>
      <c r="L99" s="84"/>
      <c r="M99" s="84"/>
      <c r="N99" s="84"/>
      <c r="O99" s="84"/>
      <c r="P99" s="84"/>
      <c r="Q99" s="84"/>
      <c r="R99" s="84">
        <f t="shared" ref="R99:R103" si="57">SUM(E99:Q99)</f>
        <v>6802919</v>
      </c>
      <c r="S99" s="84">
        <v>4073964</v>
      </c>
      <c r="T99" s="84">
        <f>2728955</f>
        <v>2728955</v>
      </c>
      <c r="U99" s="80"/>
      <c r="V99" s="81"/>
      <c r="W99" s="81"/>
      <c r="X99" s="81"/>
      <c r="Y99" s="81"/>
      <c r="Z99" s="81"/>
    </row>
    <row r="100" spans="1:26" ht="12" customHeight="1">
      <c r="A100" s="82" t="s">
        <v>748</v>
      </c>
      <c r="B100" s="83">
        <f t="shared" si="56"/>
        <v>0</v>
      </c>
      <c r="C100" s="84"/>
      <c r="D100" s="84"/>
      <c r="E100" s="84"/>
      <c r="F100" s="84"/>
      <c r="G100" s="84"/>
      <c r="H100" s="84"/>
      <c r="I100" s="84"/>
      <c r="J100" s="84"/>
      <c r="K100" s="84"/>
      <c r="L100" s="84"/>
      <c r="M100" s="84"/>
      <c r="N100" s="84"/>
      <c r="O100" s="84"/>
      <c r="P100" s="84"/>
      <c r="Q100" s="84"/>
      <c r="R100" s="84">
        <f t="shared" si="57"/>
        <v>0</v>
      </c>
      <c r="S100" s="84"/>
      <c r="T100" s="84"/>
      <c r="U100" s="80"/>
      <c r="V100" s="81"/>
      <c r="W100" s="81"/>
      <c r="X100" s="81"/>
      <c r="Y100" s="81"/>
      <c r="Z100" s="81"/>
    </row>
    <row r="101" spans="1:26" ht="12" customHeight="1">
      <c r="A101" s="82" t="s">
        <v>750</v>
      </c>
      <c r="B101" s="83">
        <f t="shared" si="56"/>
        <v>0</v>
      </c>
      <c r="C101" s="84"/>
      <c r="D101" s="84"/>
      <c r="E101" s="84"/>
      <c r="F101" s="84"/>
      <c r="G101" s="84"/>
      <c r="H101" s="84"/>
      <c r="I101" s="84"/>
      <c r="J101" s="84"/>
      <c r="K101" s="84"/>
      <c r="L101" s="84"/>
      <c r="M101" s="84"/>
      <c r="N101" s="84"/>
      <c r="O101" s="84"/>
      <c r="P101" s="84"/>
      <c r="Q101" s="84"/>
      <c r="R101" s="84">
        <f t="shared" si="57"/>
        <v>0</v>
      </c>
      <c r="S101" s="84"/>
      <c r="T101" s="84"/>
      <c r="U101" s="80"/>
      <c r="V101" s="81"/>
      <c r="W101" s="81"/>
      <c r="X101" s="81"/>
      <c r="Y101" s="81"/>
      <c r="Z101" s="81"/>
    </row>
    <row r="102" spans="1:26" ht="12" customHeight="1">
      <c r="A102" s="82" t="s">
        <v>753</v>
      </c>
      <c r="B102" s="83">
        <f t="shared" si="56"/>
        <v>0</v>
      </c>
      <c r="C102" s="84"/>
      <c r="D102" s="84"/>
      <c r="E102" s="84"/>
      <c r="F102" s="84"/>
      <c r="G102" s="84"/>
      <c r="H102" s="84"/>
      <c r="I102" s="84"/>
      <c r="J102" s="84"/>
      <c r="K102" s="84"/>
      <c r="L102" s="84"/>
      <c r="M102" s="84"/>
      <c r="N102" s="84"/>
      <c r="O102" s="84"/>
      <c r="P102" s="84"/>
      <c r="Q102" s="84"/>
      <c r="R102" s="84">
        <f t="shared" si="57"/>
        <v>0</v>
      </c>
      <c r="S102" s="84"/>
      <c r="T102" s="84"/>
      <c r="U102" s="80"/>
      <c r="V102" s="81"/>
      <c r="W102" s="81"/>
      <c r="X102" s="81"/>
      <c r="Y102" s="81"/>
      <c r="Z102" s="81"/>
    </row>
    <row r="103" spans="1:26" ht="12" customHeight="1">
      <c r="A103" s="96" t="s">
        <v>551</v>
      </c>
      <c r="B103" s="83">
        <f t="shared" si="56"/>
        <v>0</v>
      </c>
      <c r="C103" s="84"/>
      <c r="D103" s="84"/>
      <c r="E103" s="84"/>
      <c r="F103" s="84"/>
      <c r="G103" s="84"/>
      <c r="H103" s="84"/>
      <c r="I103" s="84"/>
      <c r="J103" s="84"/>
      <c r="K103" s="84"/>
      <c r="L103" s="84"/>
      <c r="M103" s="84"/>
      <c r="N103" s="84"/>
      <c r="O103" s="84"/>
      <c r="P103" s="84"/>
      <c r="Q103" s="84"/>
      <c r="R103" s="84">
        <f t="shared" si="57"/>
        <v>0</v>
      </c>
      <c r="S103" s="84"/>
      <c r="T103" s="84"/>
      <c r="U103" s="80"/>
      <c r="V103" s="81"/>
      <c r="W103" s="81"/>
      <c r="X103" s="81"/>
      <c r="Y103" s="81"/>
      <c r="Z103" s="81"/>
    </row>
    <row r="104" spans="1:26" ht="12" customHeight="1">
      <c r="A104" s="87" t="s">
        <v>755</v>
      </c>
      <c r="B104" s="83">
        <f t="shared" ref="B104:B105" si="58">SUM(C104:D104)</f>
        <v>6802919</v>
      </c>
      <c r="C104" s="83">
        <f t="shared" ref="C104:T104" si="59">SUM(C99:C103)</f>
        <v>6802919</v>
      </c>
      <c r="D104" s="83">
        <f t="shared" si="59"/>
        <v>0</v>
      </c>
      <c r="E104" s="83">
        <f t="shared" si="59"/>
        <v>1876353</v>
      </c>
      <c r="F104" s="83">
        <f t="shared" si="59"/>
        <v>0</v>
      </c>
      <c r="G104" s="83">
        <f t="shared" si="59"/>
        <v>0</v>
      </c>
      <c r="H104" s="83">
        <f t="shared" si="59"/>
        <v>4544918</v>
      </c>
      <c r="I104" s="83">
        <f t="shared" si="59"/>
        <v>381648</v>
      </c>
      <c r="J104" s="83">
        <f t="shared" si="59"/>
        <v>0</v>
      </c>
      <c r="K104" s="83">
        <f t="shared" si="59"/>
        <v>0</v>
      </c>
      <c r="L104" s="83">
        <f t="shared" si="59"/>
        <v>0</v>
      </c>
      <c r="M104" s="83">
        <f t="shared" si="59"/>
        <v>0</v>
      </c>
      <c r="N104" s="83">
        <f t="shared" si="59"/>
        <v>0</v>
      </c>
      <c r="O104" s="83">
        <f t="shared" si="59"/>
        <v>0</v>
      </c>
      <c r="P104" s="83">
        <f t="shared" si="59"/>
        <v>0</v>
      </c>
      <c r="Q104" s="83">
        <f t="shared" si="59"/>
        <v>0</v>
      </c>
      <c r="R104" s="83">
        <f t="shared" si="59"/>
        <v>6802919</v>
      </c>
      <c r="S104" s="89">
        <f t="shared" si="59"/>
        <v>4073964</v>
      </c>
      <c r="T104" s="89">
        <f t="shared" si="59"/>
        <v>2728955</v>
      </c>
      <c r="U104" s="80"/>
      <c r="V104" s="81"/>
      <c r="W104" s="81"/>
      <c r="X104" s="81"/>
      <c r="Y104" s="81"/>
      <c r="Z104" s="81"/>
    </row>
    <row r="105" spans="1:26" ht="12" customHeight="1">
      <c r="A105" s="87" t="s">
        <v>759</v>
      </c>
      <c r="B105" s="89">
        <f t="shared" si="58"/>
        <v>99176513</v>
      </c>
      <c r="C105" s="89">
        <f t="shared" ref="C105:R105" si="60">SUM(C97+C104)</f>
        <v>99176513</v>
      </c>
      <c r="D105" s="89">
        <f t="shared" si="60"/>
        <v>0</v>
      </c>
      <c r="E105" s="89">
        <f t="shared" si="60"/>
        <v>28687535</v>
      </c>
      <c r="F105" s="89">
        <f t="shared" si="60"/>
        <v>28416244</v>
      </c>
      <c r="G105" s="89">
        <f t="shared" si="60"/>
        <v>29135756</v>
      </c>
      <c r="H105" s="89">
        <f t="shared" si="60"/>
        <v>4544918</v>
      </c>
      <c r="I105" s="89">
        <f t="shared" si="60"/>
        <v>8392060</v>
      </c>
      <c r="J105" s="89">
        <f t="shared" si="60"/>
        <v>0</v>
      </c>
      <c r="K105" s="89">
        <f t="shared" si="60"/>
        <v>0</v>
      </c>
      <c r="L105" s="89">
        <f t="shared" si="60"/>
        <v>0</v>
      </c>
      <c r="M105" s="89">
        <f t="shared" si="60"/>
        <v>0</v>
      </c>
      <c r="N105" s="89">
        <f t="shared" si="60"/>
        <v>0</v>
      </c>
      <c r="O105" s="89">
        <f t="shared" si="60"/>
        <v>0</v>
      </c>
      <c r="P105" s="89">
        <f t="shared" si="60"/>
        <v>0</v>
      </c>
      <c r="Q105" s="89">
        <f t="shared" si="60"/>
        <v>0</v>
      </c>
      <c r="R105" s="83">
        <f t="shared" si="60"/>
        <v>99176513</v>
      </c>
      <c r="S105" s="89">
        <f t="shared" ref="S105:T105" si="61">S97+S104</f>
        <v>31233727</v>
      </c>
      <c r="T105" s="89">
        <f t="shared" si="61"/>
        <v>57308057</v>
      </c>
      <c r="U105" s="80"/>
      <c r="V105" s="81"/>
      <c r="W105" s="81"/>
      <c r="X105" s="81"/>
      <c r="Y105" s="81"/>
      <c r="Z105" s="81"/>
    </row>
    <row r="106" spans="1:26" ht="12" customHeight="1">
      <c r="A106" s="118" t="s">
        <v>761</v>
      </c>
      <c r="B106" s="119"/>
      <c r="C106" s="119"/>
      <c r="D106" s="119"/>
      <c r="E106" s="120"/>
      <c r="F106" s="120"/>
      <c r="G106" s="120"/>
      <c r="H106" s="121" t="s">
        <v>762</v>
      </c>
      <c r="I106" s="121"/>
      <c r="J106" s="121"/>
      <c r="K106" s="120"/>
      <c r="L106" s="120"/>
      <c r="M106" s="120"/>
      <c r="N106" s="120"/>
      <c r="O106" s="120"/>
      <c r="P106" s="120"/>
      <c r="Q106" s="120"/>
      <c r="R106" s="122" t="s">
        <v>763</v>
      </c>
      <c r="S106" s="84"/>
      <c r="T106" s="84"/>
      <c r="U106" s="123"/>
      <c r="V106" s="120"/>
      <c r="W106" s="120"/>
      <c r="X106" s="120"/>
      <c r="Y106" s="120"/>
      <c r="Z106" s="120"/>
    </row>
    <row r="107" spans="1:26" ht="12" customHeight="1">
      <c r="A107" s="119" t="s">
        <v>765</v>
      </c>
      <c r="B107" s="120"/>
      <c r="C107" s="119"/>
      <c r="D107" s="119"/>
      <c r="E107" s="120"/>
      <c r="F107" s="120"/>
      <c r="G107" s="120"/>
      <c r="H107" s="120"/>
      <c r="I107" s="124" t="s">
        <v>767</v>
      </c>
      <c r="J107" s="124"/>
      <c r="K107" s="120"/>
      <c r="L107" s="120"/>
      <c r="M107" s="120"/>
      <c r="N107" s="120"/>
      <c r="O107" s="120"/>
      <c r="P107" s="120"/>
      <c r="Q107" s="120"/>
      <c r="R107" s="122" t="s">
        <v>768</v>
      </c>
      <c r="S107" s="89">
        <f t="shared" ref="S107:T107" si="62">S105+S106</f>
        <v>31233727</v>
      </c>
      <c r="T107" s="89">
        <f t="shared" si="62"/>
        <v>57308057</v>
      </c>
      <c r="U107" s="123"/>
      <c r="V107" s="120"/>
      <c r="W107" s="120"/>
      <c r="X107" s="120"/>
      <c r="Y107" s="120"/>
      <c r="Z107" s="120"/>
    </row>
    <row r="108" spans="1:26" ht="12" customHeight="1">
      <c r="A108" s="124" t="s">
        <v>769</v>
      </c>
      <c r="B108" s="119"/>
      <c r="C108" s="119"/>
      <c r="D108" s="119"/>
      <c r="E108" s="127">
        <f>Application!AO648</f>
        <v>28687535</v>
      </c>
      <c r="F108" s="127">
        <f>Application!AO635</f>
        <v>28416244</v>
      </c>
      <c r="G108" s="127">
        <f>Application!AO636</f>
        <v>29135756</v>
      </c>
      <c r="H108" s="127">
        <f>Application!AO637</f>
        <v>4544918</v>
      </c>
      <c r="I108" s="127">
        <f>Application!AO638</f>
        <v>8392060</v>
      </c>
      <c r="J108" s="127">
        <f>Application!AO639</f>
        <v>0</v>
      </c>
      <c r="K108" s="127">
        <f>Application!AO640</f>
        <v>0</v>
      </c>
      <c r="L108" s="127">
        <f>Application!AO641</f>
        <v>0</v>
      </c>
      <c r="M108" s="127">
        <f>Application!AO642</f>
        <v>0</v>
      </c>
      <c r="N108" s="127">
        <f>Application!AO643</f>
        <v>0</v>
      </c>
      <c r="O108" s="127">
        <f>Application!AO644</f>
        <v>0</v>
      </c>
      <c r="P108" s="127">
        <f>Application!AO645</f>
        <v>0</v>
      </c>
      <c r="Q108" s="127">
        <f>Application!AO646</f>
        <v>0</v>
      </c>
      <c r="R108" s="120"/>
      <c r="S108" s="120"/>
      <c r="T108" s="120"/>
      <c r="U108" s="130"/>
      <c r="V108" s="131"/>
      <c r="W108" s="131"/>
      <c r="X108" s="131"/>
      <c r="Y108" s="131"/>
      <c r="Z108" s="131"/>
    </row>
    <row r="109" spans="1:26" ht="9.75" customHeight="1">
      <c r="A109" s="119"/>
      <c r="B109" s="119"/>
      <c r="C109" s="119"/>
      <c r="D109" s="119"/>
      <c r="E109" s="120"/>
      <c r="F109" s="120"/>
      <c r="G109" s="120"/>
      <c r="H109" s="120"/>
      <c r="I109" s="120"/>
      <c r="J109" s="120"/>
      <c r="K109" s="120"/>
      <c r="L109" s="120"/>
      <c r="M109" s="120"/>
      <c r="N109" s="120"/>
      <c r="O109" s="120"/>
      <c r="P109" s="120"/>
      <c r="Q109" s="120"/>
      <c r="R109" s="120"/>
      <c r="S109" s="120"/>
      <c r="T109" s="120"/>
      <c r="U109" s="123"/>
      <c r="V109" s="120"/>
      <c r="W109" s="120"/>
      <c r="X109" s="120"/>
      <c r="Y109" s="120"/>
      <c r="Z109" s="120"/>
    </row>
    <row r="110" spans="1:26" ht="12" customHeight="1">
      <c r="A110" s="124" t="s">
        <v>775</v>
      </c>
      <c r="B110" s="119"/>
      <c r="C110" s="119"/>
      <c r="D110" s="119"/>
      <c r="E110" s="120"/>
      <c r="F110" s="120"/>
      <c r="G110" s="120"/>
      <c r="H110" s="120"/>
      <c r="I110" s="120"/>
      <c r="J110" s="120"/>
      <c r="K110" s="120"/>
      <c r="L110" s="120"/>
      <c r="M110" s="120"/>
      <c r="N110" s="120"/>
      <c r="O110" s="120"/>
      <c r="P110" s="120"/>
      <c r="Q110" s="120"/>
      <c r="R110" s="120"/>
      <c r="S110" s="120"/>
      <c r="T110" s="120"/>
      <c r="U110" s="123"/>
      <c r="V110" s="120"/>
      <c r="W110" s="120"/>
      <c r="X110" s="120"/>
      <c r="Y110" s="120"/>
      <c r="Z110" s="120"/>
    </row>
    <row r="111" spans="1:26" ht="12" customHeight="1">
      <c r="A111" s="133" t="s">
        <v>779</v>
      </c>
      <c r="B111" s="119"/>
      <c r="C111" s="119"/>
      <c r="D111" s="119"/>
      <c r="E111" s="120"/>
      <c r="F111" s="120"/>
      <c r="G111" s="120"/>
      <c r="H111" s="120"/>
      <c r="I111" s="120"/>
      <c r="J111" s="120"/>
      <c r="K111" s="120"/>
      <c r="L111" s="120"/>
      <c r="M111" s="120"/>
      <c r="N111" s="120"/>
      <c r="O111" s="120"/>
      <c r="P111" s="120"/>
      <c r="Q111" s="120"/>
      <c r="R111" s="120"/>
      <c r="S111" s="120"/>
      <c r="T111" s="120"/>
      <c r="U111" s="123"/>
      <c r="V111" s="120"/>
      <c r="W111" s="120"/>
      <c r="X111" s="120"/>
      <c r="Y111" s="120"/>
      <c r="Z111" s="120"/>
    </row>
    <row r="112" spans="1:26" ht="12" customHeight="1">
      <c r="A112" s="19"/>
      <c r="B112" s="119"/>
      <c r="C112" s="119"/>
      <c r="D112" s="119"/>
      <c r="E112" s="120"/>
      <c r="F112" s="120"/>
      <c r="G112" s="120"/>
      <c r="H112" s="120"/>
      <c r="I112" s="120"/>
      <c r="J112" s="120"/>
      <c r="K112" s="120"/>
      <c r="L112" s="120"/>
      <c r="M112" s="120"/>
      <c r="N112" s="120"/>
      <c r="O112" s="120"/>
      <c r="P112" s="120"/>
      <c r="Q112" s="120"/>
      <c r="R112" s="120"/>
      <c r="S112" s="120"/>
      <c r="T112" s="120"/>
      <c r="U112" s="123"/>
      <c r="V112" s="120"/>
      <c r="W112" s="120"/>
      <c r="X112" s="120"/>
      <c r="Y112" s="120"/>
      <c r="Z112" s="120"/>
    </row>
    <row r="113" spans="1:26" ht="12" customHeight="1">
      <c r="A113" s="133" t="s">
        <v>782</v>
      </c>
      <c r="B113" s="119"/>
      <c r="C113" s="119"/>
      <c r="D113" s="119"/>
      <c r="E113" s="120"/>
      <c r="F113" s="120"/>
      <c r="G113" s="120"/>
      <c r="H113" s="120"/>
      <c r="I113" s="120"/>
      <c r="J113" s="120"/>
      <c r="K113" s="120"/>
      <c r="L113" s="120"/>
      <c r="M113" s="120"/>
      <c r="N113" s="120"/>
      <c r="O113" s="120"/>
      <c r="P113" s="120"/>
      <c r="Q113" s="120"/>
      <c r="R113" s="120"/>
      <c r="S113" s="120"/>
      <c r="T113" s="120"/>
      <c r="U113" s="123"/>
      <c r="V113" s="120"/>
      <c r="W113" s="120"/>
      <c r="X113" s="120"/>
      <c r="Y113" s="120"/>
      <c r="Z113" s="120"/>
    </row>
    <row r="114" spans="1:26" ht="12" customHeight="1">
      <c r="A114" s="133" t="s">
        <v>783</v>
      </c>
      <c r="B114" s="119"/>
      <c r="C114" s="119"/>
      <c r="D114" s="119"/>
      <c r="E114" s="120"/>
      <c r="F114" s="120"/>
      <c r="G114" s="120"/>
      <c r="H114" s="120"/>
      <c r="I114" s="120"/>
      <c r="J114" s="120"/>
      <c r="K114" s="120"/>
      <c r="L114" s="120"/>
      <c r="M114" s="120"/>
      <c r="N114" s="120"/>
      <c r="O114" s="120"/>
      <c r="P114" s="120"/>
      <c r="Q114" s="120"/>
      <c r="R114" s="120"/>
      <c r="S114" s="120"/>
      <c r="T114" s="120"/>
      <c r="U114" s="123"/>
      <c r="V114" s="120"/>
      <c r="W114" s="120"/>
      <c r="X114" s="120"/>
      <c r="Y114" s="120"/>
      <c r="Z114" s="120"/>
    </row>
    <row r="115" spans="1:26" ht="12" customHeight="1">
      <c r="A115" s="19"/>
      <c r="B115" s="119"/>
      <c r="C115" s="119"/>
      <c r="D115" s="119"/>
      <c r="E115" s="120"/>
      <c r="F115" s="120"/>
      <c r="G115" s="120"/>
      <c r="H115" s="120"/>
      <c r="I115" s="120"/>
      <c r="J115" s="120"/>
      <c r="K115" s="120"/>
      <c r="L115" s="120"/>
      <c r="M115" s="120"/>
      <c r="N115" s="120"/>
      <c r="O115" s="120"/>
      <c r="P115" s="120"/>
      <c r="Q115" s="120"/>
      <c r="R115" s="120"/>
      <c r="S115" s="120"/>
      <c r="T115" s="120"/>
      <c r="U115" s="123"/>
      <c r="V115" s="120"/>
      <c r="W115" s="120"/>
      <c r="X115" s="120"/>
      <c r="Y115" s="120"/>
      <c r="Z115" s="120"/>
    </row>
    <row r="116" spans="1:26" ht="12" customHeight="1">
      <c r="A116" s="135" t="s">
        <v>786</v>
      </c>
      <c r="B116" s="119"/>
      <c r="C116" s="119"/>
      <c r="D116" s="119"/>
      <c r="E116" s="120"/>
      <c r="F116" s="120"/>
      <c r="G116" s="120"/>
      <c r="H116" s="120"/>
      <c r="I116" s="120"/>
      <c r="J116" s="120"/>
      <c r="K116" s="120"/>
      <c r="L116" s="120"/>
      <c r="M116" s="120"/>
      <c r="N116" s="120"/>
      <c r="O116" s="120"/>
      <c r="P116" s="120"/>
      <c r="Q116" s="120"/>
      <c r="R116" s="120"/>
      <c r="S116" s="120"/>
      <c r="T116" s="120"/>
      <c r="U116" s="123"/>
      <c r="V116" s="120"/>
      <c r="W116" s="120"/>
      <c r="X116" s="120"/>
      <c r="Y116" s="120"/>
      <c r="Z116" s="120"/>
    </row>
    <row r="117" spans="1:26" ht="12" customHeight="1">
      <c r="A117" s="135" t="s">
        <v>788</v>
      </c>
      <c r="B117" s="119"/>
      <c r="C117" s="119"/>
      <c r="D117" s="119"/>
      <c r="E117" s="120"/>
      <c r="F117" s="120"/>
      <c r="G117" s="120"/>
      <c r="H117" s="120"/>
      <c r="I117" s="120"/>
      <c r="J117" s="120"/>
      <c r="K117" s="120"/>
      <c r="L117" s="120"/>
      <c r="M117" s="120"/>
      <c r="N117" s="120"/>
      <c r="O117" s="120"/>
      <c r="P117" s="120"/>
      <c r="Q117" s="120"/>
      <c r="R117" s="120"/>
      <c r="S117" s="120"/>
      <c r="T117" s="120"/>
      <c r="U117" s="123"/>
      <c r="V117" s="120"/>
      <c r="W117" s="120"/>
      <c r="X117" s="120"/>
      <c r="Y117" s="120"/>
      <c r="Z117" s="120"/>
    </row>
    <row r="118" spans="1:26" ht="12" customHeight="1">
      <c r="A118" s="135" t="s">
        <v>790</v>
      </c>
      <c r="B118" s="119"/>
      <c r="C118" s="119"/>
      <c r="D118" s="119"/>
      <c r="E118" s="120"/>
      <c r="F118" s="120"/>
      <c r="G118" s="120"/>
      <c r="H118" s="120"/>
      <c r="I118" s="120"/>
      <c r="J118" s="120"/>
      <c r="K118" s="120"/>
      <c r="L118" s="120"/>
      <c r="M118" s="120"/>
      <c r="N118" s="120"/>
      <c r="O118" s="120"/>
      <c r="P118" s="120"/>
      <c r="Q118" s="120"/>
      <c r="R118" s="120"/>
      <c r="S118" s="120"/>
      <c r="T118" s="120"/>
      <c r="U118" s="123"/>
      <c r="V118" s="120"/>
      <c r="W118" s="120"/>
      <c r="X118" s="120"/>
      <c r="Y118" s="120"/>
      <c r="Z118" s="120"/>
    </row>
    <row r="119" spans="1:26" ht="12" customHeight="1">
      <c r="A119" s="135" t="s">
        <v>793</v>
      </c>
      <c r="B119" s="119"/>
      <c r="C119" s="119"/>
      <c r="D119" s="119"/>
      <c r="E119" s="120"/>
      <c r="F119" s="120"/>
      <c r="G119" s="120"/>
      <c r="H119" s="120"/>
      <c r="I119" s="120"/>
      <c r="J119" s="120"/>
      <c r="K119" s="120"/>
      <c r="L119" s="120"/>
      <c r="M119" s="120"/>
      <c r="N119" s="120"/>
      <c r="O119" s="120"/>
      <c r="P119" s="120"/>
      <c r="Q119" s="120"/>
      <c r="R119" s="120"/>
      <c r="S119" s="120"/>
      <c r="T119" s="120"/>
      <c r="U119" s="123"/>
      <c r="V119" s="120"/>
      <c r="W119" s="120"/>
      <c r="X119" s="120"/>
      <c r="Y119" s="120"/>
      <c r="Z119" s="120"/>
    </row>
    <row r="120" spans="1:26" ht="12" customHeight="1">
      <c r="A120" s="28"/>
      <c r="B120" s="119"/>
      <c r="C120" s="119"/>
      <c r="D120" s="119"/>
      <c r="E120" s="120"/>
      <c r="F120" s="120"/>
      <c r="G120" s="120"/>
      <c r="H120" s="120"/>
      <c r="I120" s="120"/>
      <c r="J120" s="120"/>
      <c r="K120" s="120"/>
      <c r="L120" s="120"/>
      <c r="M120" s="120"/>
      <c r="N120" s="120"/>
      <c r="O120" s="120"/>
      <c r="P120" s="120"/>
      <c r="Q120" s="120"/>
      <c r="R120" s="120"/>
      <c r="S120" s="120"/>
      <c r="T120" s="120"/>
      <c r="U120" s="123"/>
      <c r="V120" s="120"/>
      <c r="W120" s="120"/>
      <c r="X120" s="120"/>
      <c r="Y120" s="120"/>
      <c r="Z120" s="120"/>
    </row>
    <row r="121" spans="1:26" ht="12" customHeight="1">
      <c r="A121" s="136" t="s">
        <v>795</v>
      </c>
      <c r="B121" s="119"/>
      <c r="C121" s="119"/>
      <c r="D121" s="119"/>
      <c r="E121" s="120"/>
      <c r="F121" s="120"/>
      <c r="G121" s="120"/>
      <c r="H121" s="120"/>
      <c r="I121" s="120"/>
      <c r="J121" s="120"/>
      <c r="K121" s="120"/>
      <c r="L121" s="120"/>
      <c r="M121" s="120"/>
      <c r="N121" s="120"/>
      <c r="O121" s="120"/>
      <c r="P121" s="120"/>
      <c r="Q121" s="120"/>
      <c r="R121" s="120"/>
      <c r="S121" s="120"/>
      <c r="T121" s="120"/>
      <c r="U121" s="123"/>
      <c r="V121" s="120"/>
      <c r="W121" s="120"/>
      <c r="X121" s="120"/>
      <c r="Y121" s="120"/>
      <c r="Z121" s="120"/>
    </row>
    <row r="122" spans="1:26" ht="12" customHeight="1">
      <c r="A122" s="121" t="s">
        <v>796</v>
      </c>
      <c r="B122" s="120"/>
      <c r="C122" s="120"/>
      <c r="D122" s="1139" t="s">
        <v>797</v>
      </c>
      <c r="E122" s="893"/>
      <c r="F122" s="893"/>
      <c r="G122" s="120"/>
      <c r="H122" s="120"/>
      <c r="I122" s="120"/>
      <c r="J122" s="120"/>
      <c r="K122" s="120"/>
      <c r="L122" s="120"/>
      <c r="M122" s="120"/>
      <c r="N122" s="120"/>
      <c r="O122" s="120"/>
      <c r="P122" s="120"/>
      <c r="Q122" s="120"/>
      <c r="R122" s="120"/>
      <c r="S122" s="120"/>
      <c r="T122" s="120"/>
      <c r="U122" s="123"/>
      <c r="V122" s="120"/>
      <c r="W122" s="120"/>
      <c r="X122" s="120"/>
      <c r="Y122" s="120"/>
      <c r="Z122" s="120"/>
    </row>
    <row r="123" spans="1:26" ht="12" customHeight="1">
      <c r="A123" s="120" t="s">
        <v>798</v>
      </c>
      <c r="B123" s="137"/>
      <c r="C123" s="120"/>
      <c r="D123" s="1140" t="s">
        <v>799</v>
      </c>
      <c r="E123" s="893"/>
      <c r="F123" s="893"/>
      <c r="G123" s="893"/>
      <c r="H123" s="893"/>
      <c r="I123" s="893"/>
      <c r="J123" s="893"/>
      <c r="K123" s="893"/>
      <c r="L123" s="893"/>
      <c r="M123" s="893"/>
      <c r="N123" s="893"/>
      <c r="O123" s="893"/>
      <c r="P123" s="893"/>
      <c r="Q123" s="893"/>
      <c r="R123" s="893"/>
      <c r="S123" s="893"/>
      <c r="T123" s="120"/>
      <c r="U123" s="123"/>
      <c r="V123" s="120"/>
      <c r="W123" s="120"/>
      <c r="X123" s="120"/>
      <c r="Y123" s="120"/>
      <c r="Z123" s="120"/>
    </row>
    <row r="124" spans="1:26" ht="12" customHeight="1">
      <c r="A124" s="4" t="s">
        <v>801</v>
      </c>
      <c r="B124" s="137"/>
      <c r="C124" s="4"/>
      <c r="D124" s="893"/>
      <c r="E124" s="893"/>
      <c r="F124" s="893"/>
      <c r="G124" s="893"/>
      <c r="H124" s="893"/>
      <c r="I124" s="893"/>
      <c r="J124" s="893"/>
      <c r="K124" s="893"/>
      <c r="L124" s="893"/>
      <c r="M124" s="893"/>
      <c r="N124" s="893"/>
      <c r="O124" s="893"/>
      <c r="P124" s="893"/>
      <c r="Q124" s="893"/>
      <c r="R124" s="893"/>
      <c r="S124" s="893"/>
      <c r="T124" s="120"/>
      <c r="U124" s="123"/>
      <c r="V124" s="120"/>
      <c r="W124" s="120"/>
      <c r="X124" s="120"/>
      <c r="Y124" s="120"/>
      <c r="Z124" s="120"/>
    </row>
    <row r="125" spans="1:26" ht="12" customHeight="1">
      <c r="A125" s="4" t="s">
        <v>802</v>
      </c>
      <c r="B125" s="137"/>
      <c r="C125" s="4"/>
      <c r="D125" s="893"/>
      <c r="E125" s="893"/>
      <c r="F125" s="893"/>
      <c r="G125" s="893"/>
      <c r="H125" s="893"/>
      <c r="I125" s="893"/>
      <c r="J125" s="893"/>
      <c r="K125" s="893"/>
      <c r="L125" s="893"/>
      <c r="M125" s="893"/>
      <c r="N125" s="893"/>
      <c r="O125" s="893"/>
      <c r="P125" s="893"/>
      <c r="Q125" s="893"/>
      <c r="R125" s="893"/>
      <c r="S125" s="893"/>
      <c r="T125" s="120"/>
      <c r="U125" s="123"/>
      <c r="V125" s="120"/>
      <c r="W125" s="120"/>
      <c r="X125" s="120"/>
      <c r="Y125" s="120"/>
      <c r="Z125" s="120"/>
    </row>
    <row r="126" spans="1:26" ht="12" customHeight="1">
      <c r="A126" s="4" t="s">
        <v>803</v>
      </c>
      <c r="B126" s="137"/>
      <c r="C126" s="4"/>
      <c r="D126" s="41"/>
      <c r="E126" s="41"/>
      <c r="F126" s="41"/>
      <c r="G126" s="41"/>
      <c r="H126" s="41"/>
      <c r="I126" s="41"/>
      <c r="J126" s="41"/>
      <c r="K126" s="41"/>
      <c r="L126" s="41"/>
      <c r="M126" s="41"/>
      <c r="N126" s="41"/>
      <c r="O126" s="4"/>
      <c r="P126" s="4"/>
      <c r="Q126" s="4"/>
      <c r="R126" s="4"/>
      <c r="S126" s="4"/>
      <c r="T126" s="120"/>
      <c r="U126" s="123"/>
      <c r="V126" s="120"/>
      <c r="W126" s="120"/>
      <c r="X126" s="120"/>
      <c r="Y126" s="120"/>
      <c r="Z126" s="120"/>
    </row>
    <row r="127" spans="1:26" ht="12" customHeight="1">
      <c r="A127" s="4" t="s">
        <v>805</v>
      </c>
      <c r="B127" s="137"/>
      <c r="C127" s="4"/>
      <c r="D127" s="41"/>
      <c r="E127" s="41"/>
      <c r="F127" s="41"/>
      <c r="G127" s="41"/>
      <c r="H127" s="41"/>
      <c r="I127" s="41"/>
      <c r="J127" s="41"/>
      <c r="K127" s="41"/>
      <c r="L127" s="41"/>
      <c r="M127" s="41"/>
      <c r="N127" s="41"/>
      <c r="O127" s="4"/>
      <c r="P127" s="4"/>
      <c r="Q127" s="4"/>
      <c r="R127" s="4"/>
      <c r="S127" s="4"/>
      <c r="T127" s="120"/>
      <c r="U127" s="123"/>
      <c r="V127" s="120"/>
      <c r="W127" s="120"/>
      <c r="X127" s="120"/>
      <c r="Y127" s="120"/>
      <c r="Z127" s="120"/>
    </row>
    <row r="128" spans="1:26" ht="12" customHeight="1">
      <c r="A128" s="4" t="s">
        <v>806</v>
      </c>
      <c r="B128" s="137"/>
      <c r="C128" s="4"/>
      <c r="D128" s="1141"/>
      <c r="E128" s="961"/>
      <c r="F128" s="961"/>
      <c r="G128" s="961"/>
      <c r="H128" s="961"/>
      <c r="I128" s="4"/>
      <c r="J128" s="1142"/>
      <c r="K128" s="969"/>
      <c r="L128" s="4"/>
      <c r="M128" s="4"/>
      <c r="N128" s="4"/>
      <c r="O128" s="4"/>
      <c r="P128" s="4"/>
      <c r="Q128" s="4"/>
      <c r="R128" s="4"/>
      <c r="S128" s="4"/>
      <c r="T128" s="120"/>
      <c r="U128" s="123"/>
      <c r="V128" s="120"/>
      <c r="W128" s="120"/>
      <c r="X128" s="120"/>
      <c r="Y128" s="120"/>
      <c r="Z128" s="120"/>
    </row>
    <row r="129" spans="1:26" ht="12" customHeight="1">
      <c r="A129" s="4" t="s">
        <v>808</v>
      </c>
      <c r="B129" s="137"/>
      <c r="C129" s="4"/>
      <c r="D129" s="1143" t="s">
        <v>809</v>
      </c>
      <c r="E129" s="947"/>
      <c r="F129" s="947"/>
      <c r="G129" s="947"/>
      <c r="H129" s="947"/>
      <c r="I129" s="4"/>
      <c r="J129" s="4" t="s">
        <v>810</v>
      </c>
      <c r="K129" s="4"/>
      <c r="L129" s="4"/>
      <c r="M129" s="4"/>
      <c r="N129" s="4"/>
      <c r="O129" s="4"/>
      <c r="P129" s="4"/>
      <c r="Q129" s="4"/>
      <c r="R129" s="4"/>
      <c r="S129" s="4"/>
      <c r="T129" s="120"/>
      <c r="U129" s="123"/>
      <c r="V129" s="120"/>
      <c r="W129" s="120"/>
      <c r="X129" s="120"/>
      <c r="Y129" s="120"/>
      <c r="Z129" s="120"/>
    </row>
    <row r="130" spans="1:26" ht="12" customHeight="1">
      <c r="A130" s="4"/>
      <c r="B130" s="140"/>
      <c r="C130" s="4"/>
      <c r="D130" s="4"/>
      <c r="E130" s="4"/>
      <c r="F130" s="4"/>
      <c r="G130" s="4"/>
      <c r="H130" s="4"/>
      <c r="I130" s="4"/>
      <c r="J130" s="4"/>
      <c r="K130" s="4"/>
      <c r="L130" s="4"/>
      <c r="M130" s="4"/>
      <c r="N130" s="4"/>
      <c r="O130" s="4"/>
      <c r="P130" s="4"/>
      <c r="Q130" s="4"/>
      <c r="R130" s="4"/>
      <c r="S130" s="4"/>
      <c r="T130" s="120"/>
      <c r="U130" s="123"/>
      <c r="V130" s="120"/>
      <c r="W130" s="120"/>
      <c r="X130" s="120"/>
      <c r="Y130" s="120"/>
      <c r="Z130" s="120"/>
    </row>
    <row r="131" spans="1:26" ht="12" customHeight="1">
      <c r="A131" s="36" t="s">
        <v>813</v>
      </c>
      <c r="B131" s="142">
        <f>SUM(B123:B129)</f>
        <v>0</v>
      </c>
      <c r="C131" s="4"/>
      <c r="D131" s="1127"/>
      <c r="E131" s="968"/>
      <c r="F131" s="968"/>
      <c r="G131" s="968"/>
      <c r="H131" s="969"/>
      <c r="I131" s="4"/>
      <c r="J131" s="1127"/>
      <c r="K131" s="968"/>
      <c r="L131" s="968"/>
      <c r="M131" s="969"/>
      <c r="N131" s="4"/>
      <c r="O131" s="4"/>
      <c r="P131" s="4"/>
      <c r="Q131" s="4"/>
      <c r="R131" s="4"/>
      <c r="S131" s="4"/>
      <c r="T131" s="120"/>
      <c r="U131" s="123"/>
      <c r="V131" s="120"/>
      <c r="W131" s="120"/>
      <c r="X131" s="120"/>
      <c r="Y131" s="120"/>
      <c r="Z131" s="120"/>
    </row>
    <row r="132" spans="1:26" ht="12" customHeight="1">
      <c r="A132" s="145"/>
      <c r="B132" s="4"/>
      <c r="C132" s="4"/>
      <c r="D132" s="910" t="s">
        <v>825</v>
      </c>
      <c r="E132" s="893"/>
      <c r="F132" s="893"/>
      <c r="G132" s="893"/>
      <c r="H132" s="893"/>
      <c r="I132" s="4"/>
      <c r="J132" s="910" t="s">
        <v>826</v>
      </c>
      <c r="K132" s="893"/>
      <c r="L132" s="893"/>
      <c r="M132" s="893"/>
      <c r="N132" s="4"/>
      <c r="O132" s="4"/>
      <c r="P132" s="4"/>
      <c r="Q132" s="4"/>
      <c r="R132" s="4"/>
      <c r="S132" s="4"/>
      <c r="T132" s="120"/>
      <c r="U132" s="123"/>
      <c r="V132" s="120"/>
      <c r="W132" s="120"/>
      <c r="X132" s="120"/>
      <c r="Y132" s="120"/>
      <c r="Z132" s="120"/>
    </row>
    <row r="133" spans="1:26" ht="12" customHeight="1">
      <c r="A133" s="145"/>
      <c r="B133" s="4"/>
      <c r="C133" s="4"/>
      <c r="D133" s="4"/>
      <c r="E133" s="4"/>
      <c r="F133" s="4"/>
      <c r="G133" s="4"/>
      <c r="H133" s="4"/>
      <c r="I133" s="4"/>
      <c r="J133" s="4"/>
      <c r="K133" s="4"/>
      <c r="L133" s="4"/>
      <c r="M133" s="4"/>
      <c r="N133" s="4"/>
      <c r="O133" s="4"/>
      <c r="P133" s="4"/>
      <c r="Q133" s="4"/>
      <c r="R133" s="4"/>
      <c r="S133" s="4"/>
      <c r="T133" s="120"/>
      <c r="U133" s="123"/>
      <c r="V133" s="120"/>
      <c r="W133" s="120"/>
      <c r="X133" s="120"/>
      <c r="Y133" s="120"/>
      <c r="Z133" s="120"/>
    </row>
    <row r="134" spans="1:26" ht="12" customHeight="1">
      <c r="A134" s="14" t="s">
        <v>828</v>
      </c>
      <c r="B134" s="4"/>
      <c r="C134" s="4"/>
      <c r="D134" s="4"/>
      <c r="E134" s="4"/>
      <c r="F134" s="4"/>
      <c r="G134" s="4"/>
      <c r="H134" s="4"/>
      <c r="I134" s="4"/>
      <c r="J134" s="4"/>
      <c r="K134" s="4"/>
      <c r="L134" s="4"/>
      <c r="M134" s="4"/>
      <c r="N134" s="4"/>
      <c r="O134" s="4"/>
      <c r="P134" s="4"/>
      <c r="Q134" s="4"/>
      <c r="R134" s="4"/>
      <c r="S134" s="4"/>
      <c r="T134" s="120"/>
      <c r="U134" s="123"/>
      <c r="V134" s="120"/>
      <c r="W134" s="120"/>
      <c r="X134" s="120"/>
      <c r="Y134" s="120"/>
      <c r="Z134" s="120"/>
    </row>
    <row r="135" spans="1:26" ht="12" customHeight="1">
      <c r="A135" s="19" t="s">
        <v>829</v>
      </c>
      <c r="B135" s="4"/>
      <c r="C135" s="4"/>
      <c r="D135" s="4"/>
      <c r="E135" s="4"/>
      <c r="F135" s="4"/>
      <c r="G135" s="4"/>
      <c r="H135" s="4"/>
      <c r="I135" s="4"/>
      <c r="J135" s="4"/>
      <c r="K135" s="4"/>
      <c r="L135" s="4"/>
      <c r="M135" s="4"/>
      <c r="N135" s="153"/>
      <c r="O135" s="4"/>
      <c r="P135" s="4"/>
      <c r="Q135" s="4"/>
      <c r="R135" s="4"/>
      <c r="S135" s="4"/>
      <c r="T135" s="120"/>
      <c r="U135" s="123"/>
      <c r="V135" s="120"/>
      <c r="W135" s="120"/>
      <c r="X135" s="120"/>
      <c r="Y135" s="120"/>
      <c r="Z135" s="120"/>
    </row>
    <row r="136" spans="1:26" ht="12" customHeight="1">
      <c r="A136" s="145"/>
      <c r="B136" s="4"/>
      <c r="C136" s="4"/>
      <c r="D136" s="4"/>
      <c r="E136" s="4"/>
      <c r="F136" s="4"/>
      <c r="G136" s="4"/>
      <c r="H136" s="4"/>
      <c r="I136" s="4"/>
      <c r="J136" s="4"/>
      <c r="K136" s="4"/>
      <c r="L136" s="4"/>
      <c r="M136" s="4"/>
      <c r="N136" s="4"/>
      <c r="O136" s="4"/>
      <c r="P136" s="4"/>
      <c r="Q136" s="4"/>
      <c r="R136" s="4"/>
      <c r="S136" s="4"/>
      <c r="T136" s="154"/>
      <c r="U136" s="155"/>
      <c r="V136" s="120"/>
      <c r="W136" s="120"/>
      <c r="X136" s="120"/>
      <c r="Y136" s="120"/>
      <c r="Z136" s="120"/>
    </row>
    <row r="137" spans="1:26" ht="12" customHeight="1">
      <c r="A137" s="145"/>
      <c r="B137" s="4"/>
      <c r="C137" s="4"/>
      <c r="D137" s="4"/>
      <c r="E137" s="4"/>
      <c r="F137" s="4"/>
      <c r="G137" s="4"/>
      <c r="H137" s="4"/>
      <c r="I137" s="4"/>
      <c r="J137" s="4"/>
      <c r="K137" s="4"/>
      <c r="L137" s="4"/>
      <c r="M137" s="4"/>
      <c r="N137" s="4"/>
      <c r="O137" s="4"/>
      <c r="P137" s="4"/>
      <c r="Q137" s="4"/>
      <c r="R137" s="4"/>
      <c r="S137" s="4"/>
      <c r="T137" s="154"/>
      <c r="U137" s="155"/>
      <c r="V137" s="120"/>
      <c r="W137" s="120"/>
      <c r="X137" s="120"/>
      <c r="Y137" s="120"/>
      <c r="Z137" s="120"/>
    </row>
    <row r="138" spans="1:26" ht="12" customHeight="1">
      <c r="A138" s="1144"/>
      <c r="B138" s="961"/>
      <c r="C138" s="961"/>
      <c r="D138" s="143"/>
      <c r="E138" s="1142"/>
      <c r="F138" s="969"/>
      <c r="G138" s="4"/>
      <c r="H138" s="4"/>
      <c r="I138" s="4"/>
      <c r="J138" s="4"/>
      <c r="K138" s="4"/>
      <c r="L138" s="4"/>
      <c r="M138" s="4"/>
      <c r="N138" s="4"/>
      <c r="O138" s="4"/>
      <c r="P138" s="4"/>
      <c r="Q138" s="4"/>
      <c r="R138" s="4"/>
      <c r="S138" s="4"/>
      <c r="T138" s="154"/>
      <c r="U138" s="155"/>
      <c r="V138" s="120"/>
      <c r="W138" s="120"/>
      <c r="X138" s="120"/>
      <c r="Y138" s="120"/>
      <c r="Z138" s="120"/>
    </row>
    <row r="139" spans="1:26" ht="12" customHeight="1">
      <c r="A139" s="1137" t="s">
        <v>838</v>
      </c>
      <c r="B139" s="947"/>
      <c r="C139" s="947"/>
      <c r="D139" s="143"/>
      <c r="E139" s="4" t="s">
        <v>810</v>
      </c>
      <c r="F139" s="4"/>
      <c r="G139" s="4"/>
      <c r="H139" s="4"/>
      <c r="I139" s="4"/>
      <c r="J139" s="4"/>
      <c r="K139" s="4"/>
      <c r="L139" s="4"/>
      <c r="M139" s="4"/>
      <c r="N139" s="4"/>
      <c r="O139" s="4"/>
      <c r="P139" s="4"/>
      <c r="Q139" s="4"/>
      <c r="R139" s="4"/>
      <c r="S139" s="4"/>
      <c r="T139" s="154"/>
      <c r="U139" s="155"/>
      <c r="V139" s="120"/>
      <c r="W139" s="120"/>
      <c r="X139" s="120"/>
      <c r="Y139" s="120"/>
      <c r="Z139" s="120"/>
    </row>
    <row r="140" spans="1:26" ht="12" customHeight="1">
      <c r="A140" s="145"/>
      <c r="B140" s="4"/>
      <c r="C140" s="4"/>
      <c r="D140" s="143"/>
      <c r="E140" s="4"/>
      <c r="F140" s="4"/>
      <c r="G140" s="4"/>
      <c r="H140" s="4"/>
      <c r="I140" s="4"/>
      <c r="J140" s="4"/>
      <c r="K140" s="4"/>
      <c r="L140" s="4"/>
      <c r="M140" s="4"/>
      <c r="N140" s="4"/>
      <c r="O140" s="4"/>
      <c r="P140" s="4"/>
      <c r="Q140" s="4"/>
      <c r="R140" s="4"/>
      <c r="S140" s="4"/>
      <c r="T140" s="161"/>
      <c r="U140" s="162"/>
      <c r="V140" s="120"/>
      <c r="W140" s="120"/>
      <c r="X140" s="120"/>
      <c r="Y140" s="120"/>
      <c r="Z140" s="120"/>
    </row>
    <row r="141" spans="1:26" ht="12" customHeight="1">
      <c r="A141" s="140"/>
      <c r="B141" s="120"/>
      <c r="C141" s="120"/>
      <c r="D141" s="120"/>
      <c r="E141" s="120"/>
      <c r="F141" s="120"/>
      <c r="G141" s="120"/>
      <c r="H141" s="120"/>
      <c r="I141" s="120"/>
      <c r="J141" s="120"/>
      <c r="K141" s="120"/>
      <c r="L141" s="120"/>
      <c r="M141" s="120"/>
      <c r="N141" s="120"/>
      <c r="O141" s="120"/>
      <c r="P141" s="120"/>
      <c r="Q141" s="120"/>
      <c r="R141" s="120"/>
      <c r="S141" s="120"/>
      <c r="T141" s="120"/>
      <c r="U141" s="123"/>
      <c r="V141" s="120"/>
      <c r="W141" s="120"/>
      <c r="X141" s="120"/>
      <c r="Y141" s="120"/>
      <c r="Z141" s="120"/>
    </row>
    <row r="142" spans="1:26" ht="12" customHeight="1">
      <c r="A142" s="140"/>
      <c r="B142" s="120"/>
      <c r="C142" s="120"/>
      <c r="D142" s="120"/>
      <c r="E142" s="120"/>
      <c r="F142" s="120"/>
      <c r="G142" s="120"/>
      <c r="H142" s="120"/>
      <c r="I142" s="120"/>
      <c r="J142" s="120"/>
      <c r="K142" s="120"/>
      <c r="L142" s="120"/>
      <c r="M142" s="120"/>
      <c r="N142" s="120"/>
      <c r="O142" s="120"/>
      <c r="P142" s="120"/>
      <c r="Q142" s="120"/>
      <c r="R142" s="120"/>
      <c r="S142" s="120"/>
      <c r="T142" s="120"/>
      <c r="U142" s="123"/>
      <c r="V142" s="120"/>
      <c r="W142" s="120"/>
      <c r="X142" s="120"/>
      <c r="Y142" s="120"/>
      <c r="Z142" s="120"/>
    </row>
    <row r="143" spans="1:26" ht="12" customHeight="1">
      <c r="A143" s="140"/>
      <c r="B143" s="120"/>
      <c r="C143" s="120"/>
      <c r="D143" s="120"/>
      <c r="E143" s="120"/>
      <c r="F143" s="120"/>
      <c r="G143" s="120"/>
      <c r="H143" s="120"/>
      <c r="I143" s="120"/>
      <c r="J143" s="120"/>
      <c r="K143" s="120"/>
      <c r="L143" s="120"/>
      <c r="M143" s="120"/>
      <c r="N143" s="120"/>
      <c r="O143" s="120"/>
      <c r="P143" s="120"/>
      <c r="Q143" s="120"/>
      <c r="R143" s="120"/>
      <c r="S143" s="120"/>
      <c r="T143" s="120"/>
      <c r="U143" s="123"/>
      <c r="V143" s="120"/>
      <c r="W143" s="120"/>
      <c r="X143" s="120"/>
      <c r="Y143" s="120"/>
      <c r="Z143" s="120"/>
    </row>
    <row r="144" spans="1:26" ht="12" customHeight="1">
      <c r="A144" s="140"/>
      <c r="B144" s="120"/>
      <c r="C144" s="120"/>
      <c r="D144" s="120"/>
      <c r="E144" s="120"/>
      <c r="F144" s="120"/>
      <c r="G144" s="120"/>
      <c r="H144" s="120"/>
      <c r="I144" s="120"/>
      <c r="J144" s="120"/>
      <c r="K144" s="120"/>
      <c r="L144" s="120"/>
      <c r="M144" s="120"/>
      <c r="N144" s="120"/>
      <c r="O144" s="120"/>
      <c r="P144" s="120"/>
      <c r="Q144" s="120"/>
      <c r="R144" s="120"/>
      <c r="S144" s="120"/>
      <c r="T144" s="120"/>
      <c r="U144" s="123"/>
      <c r="V144" s="120"/>
      <c r="W144" s="120"/>
      <c r="X144" s="120"/>
      <c r="Y144" s="120"/>
      <c r="Z144" s="120"/>
    </row>
    <row r="145" spans="1:26" ht="12" customHeight="1">
      <c r="A145" s="140"/>
      <c r="B145" s="120"/>
      <c r="C145" s="120"/>
      <c r="D145" s="120"/>
      <c r="E145" s="120"/>
      <c r="F145" s="120"/>
      <c r="G145" s="120"/>
      <c r="H145" s="120"/>
      <c r="I145" s="120"/>
      <c r="J145" s="120"/>
      <c r="K145" s="120"/>
      <c r="L145" s="120"/>
      <c r="M145" s="120"/>
      <c r="N145" s="120"/>
      <c r="O145" s="120"/>
      <c r="P145" s="120"/>
      <c r="Q145" s="120"/>
      <c r="R145" s="120"/>
      <c r="S145" s="120"/>
      <c r="T145" s="120"/>
      <c r="U145" s="123"/>
      <c r="V145" s="120"/>
      <c r="W145" s="120"/>
      <c r="X145" s="120"/>
      <c r="Y145" s="120"/>
      <c r="Z145" s="120"/>
    </row>
    <row r="146" spans="1:26" ht="12" customHeight="1">
      <c r="A146" s="140"/>
      <c r="B146" s="120"/>
      <c r="C146" s="120"/>
      <c r="D146" s="120"/>
      <c r="E146" s="120"/>
      <c r="F146" s="120"/>
      <c r="G146" s="120"/>
      <c r="H146" s="120"/>
      <c r="I146" s="120"/>
      <c r="J146" s="120"/>
      <c r="K146" s="120"/>
      <c r="L146" s="120"/>
      <c r="M146" s="120"/>
      <c r="N146" s="120"/>
      <c r="O146" s="120"/>
      <c r="P146" s="120"/>
      <c r="Q146" s="120"/>
      <c r="R146" s="120"/>
      <c r="S146" s="120"/>
      <c r="T146" s="120"/>
      <c r="U146" s="123"/>
      <c r="V146" s="120"/>
      <c r="W146" s="120"/>
      <c r="X146" s="120"/>
      <c r="Y146" s="120"/>
      <c r="Z146" s="120"/>
    </row>
    <row r="147" spans="1:26" ht="12" customHeight="1">
      <c r="A147" s="140"/>
      <c r="B147" s="120"/>
      <c r="C147" s="120"/>
      <c r="D147" s="120"/>
      <c r="E147" s="120"/>
      <c r="F147" s="120"/>
      <c r="G147" s="120"/>
      <c r="H147" s="120"/>
      <c r="I147" s="120"/>
      <c r="J147" s="120"/>
      <c r="K147" s="120"/>
      <c r="L147" s="120"/>
      <c r="M147" s="120"/>
      <c r="N147" s="120"/>
      <c r="O147" s="120"/>
      <c r="P147" s="120"/>
      <c r="Q147" s="120"/>
      <c r="R147" s="120"/>
      <c r="S147" s="120"/>
      <c r="T147" s="120"/>
      <c r="U147" s="123"/>
      <c r="V147" s="120"/>
      <c r="W147" s="120"/>
      <c r="X147" s="120"/>
      <c r="Y147" s="120"/>
      <c r="Z147" s="120"/>
    </row>
    <row r="148" spans="1:26" ht="12" customHeight="1">
      <c r="A148" s="140"/>
      <c r="B148" s="120"/>
      <c r="C148" s="120"/>
      <c r="D148" s="120"/>
      <c r="E148" s="120"/>
      <c r="F148" s="120"/>
      <c r="G148" s="120"/>
      <c r="H148" s="120"/>
      <c r="I148" s="120"/>
      <c r="J148" s="120"/>
      <c r="K148" s="120"/>
      <c r="L148" s="120"/>
      <c r="M148" s="120"/>
      <c r="N148" s="120"/>
      <c r="O148" s="120"/>
      <c r="P148" s="120"/>
      <c r="Q148" s="120"/>
      <c r="R148" s="120"/>
      <c r="S148" s="120"/>
      <c r="T148" s="120"/>
      <c r="U148" s="123"/>
      <c r="V148" s="120"/>
      <c r="W148" s="120"/>
      <c r="X148" s="120"/>
      <c r="Y148" s="120"/>
      <c r="Z148" s="120"/>
    </row>
    <row r="149" spans="1:26" ht="12" customHeight="1">
      <c r="A149" s="140"/>
      <c r="B149" s="120"/>
      <c r="C149" s="120"/>
      <c r="D149" s="120"/>
      <c r="E149" s="120"/>
      <c r="F149" s="120"/>
      <c r="G149" s="120"/>
      <c r="H149" s="120"/>
      <c r="I149" s="120"/>
      <c r="J149" s="120"/>
      <c r="K149" s="120"/>
      <c r="L149" s="120"/>
      <c r="M149" s="120"/>
      <c r="N149" s="120"/>
      <c r="O149" s="120"/>
      <c r="P149" s="120"/>
      <c r="Q149" s="120"/>
      <c r="R149" s="120"/>
      <c r="S149" s="120"/>
      <c r="T149" s="120"/>
      <c r="U149" s="123"/>
      <c r="V149" s="120"/>
      <c r="W149" s="120"/>
      <c r="X149" s="120"/>
      <c r="Y149" s="120"/>
      <c r="Z149" s="120"/>
    </row>
    <row r="150" spans="1:26" ht="12" customHeight="1">
      <c r="A150" s="140"/>
      <c r="B150" s="120"/>
      <c r="C150" s="120"/>
      <c r="D150" s="120"/>
      <c r="E150" s="120"/>
      <c r="F150" s="120"/>
      <c r="G150" s="120"/>
      <c r="H150" s="120"/>
      <c r="I150" s="120"/>
      <c r="J150" s="120"/>
      <c r="K150" s="120"/>
      <c r="L150" s="120"/>
      <c r="M150" s="120"/>
      <c r="N150" s="120"/>
      <c r="O150" s="120"/>
      <c r="P150" s="120"/>
      <c r="Q150" s="120"/>
      <c r="R150" s="120"/>
      <c r="S150" s="120"/>
      <c r="T150" s="120"/>
      <c r="U150" s="123"/>
      <c r="V150" s="120"/>
      <c r="W150" s="120"/>
      <c r="X150" s="120"/>
      <c r="Y150" s="120"/>
      <c r="Z150" s="120"/>
    </row>
    <row r="151" spans="1:26" ht="12" customHeight="1">
      <c r="A151" s="140"/>
      <c r="B151" s="120"/>
      <c r="C151" s="120"/>
      <c r="D151" s="120"/>
      <c r="E151" s="120"/>
      <c r="F151" s="120"/>
      <c r="G151" s="120"/>
      <c r="H151" s="120"/>
      <c r="I151" s="120"/>
      <c r="J151" s="120"/>
      <c r="K151" s="120"/>
      <c r="L151" s="120"/>
      <c r="M151" s="120"/>
      <c r="N151" s="120"/>
      <c r="O151" s="120"/>
      <c r="P151" s="120"/>
      <c r="Q151" s="120"/>
      <c r="R151" s="120"/>
      <c r="S151" s="120"/>
      <c r="T151" s="120"/>
      <c r="U151" s="123"/>
      <c r="V151" s="120"/>
      <c r="W151" s="120"/>
      <c r="X151" s="120"/>
      <c r="Y151" s="120"/>
      <c r="Z151" s="120"/>
    </row>
    <row r="152" spans="1:26" ht="12" customHeight="1">
      <c r="A152" s="140"/>
      <c r="B152" s="120"/>
      <c r="C152" s="120"/>
      <c r="D152" s="120"/>
      <c r="E152" s="120"/>
      <c r="F152" s="120"/>
      <c r="G152" s="120"/>
      <c r="H152" s="120"/>
      <c r="I152" s="120"/>
      <c r="J152" s="120"/>
      <c r="K152" s="120"/>
      <c r="L152" s="120"/>
      <c r="M152" s="120"/>
      <c r="N152" s="120"/>
      <c r="O152" s="120"/>
      <c r="P152" s="120"/>
      <c r="Q152" s="120"/>
      <c r="R152" s="120"/>
      <c r="S152" s="120"/>
      <c r="T152" s="120"/>
      <c r="U152" s="123"/>
      <c r="V152" s="120"/>
      <c r="W152" s="120"/>
      <c r="X152" s="120"/>
      <c r="Y152" s="120"/>
      <c r="Z152" s="120"/>
    </row>
    <row r="153" spans="1:26" ht="12" customHeight="1">
      <c r="A153" s="140"/>
      <c r="B153" s="120"/>
      <c r="C153" s="120"/>
      <c r="D153" s="120"/>
      <c r="E153" s="120"/>
      <c r="F153" s="120"/>
      <c r="G153" s="120"/>
      <c r="H153" s="120"/>
      <c r="I153" s="120"/>
      <c r="J153" s="120"/>
      <c r="K153" s="120"/>
      <c r="L153" s="120"/>
      <c r="M153" s="120"/>
      <c r="N153" s="120"/>
      <c r="O153" s="120"/>
      <c r="P153" s="120"/>
      <c r="Q153" s="120"/>
      <c r="R153" s="120"/>
      <c r="S153" s="120"/>
      <c r="T153" s="120"/>
      <c r="U153" s="123"/>
      <c r="V153" s="120"/>
      <c r="W153" s="120"/>
      <c r="X153" s="120"/>
      <c r="Y153" s="120"/>
      <c r="Z153" s="120"/>
    </row>
    <row r="154" spans="1:26" ht="12" customHeight="1">
      <c r="A154" s="140"/>
      <c r="B154" s="120"/>
      <c r="C154" s="120"/>
      <c r="D154" s="120"/>
      <c r="E154" s="120"/>
      <c r="F154" s="120"/>
      <c r="G154" s="120"/>
      <c r="H154" s="120"/>
      <c r="I154" s="120"/>
      <c r="J154" s="120"/>
      <c r="K154" s="120"/>
      <c r="L154" s="120"/>
      <c r="M154" s="120"/>
      <c r="N154" s="120"/>
      <c r="O154" s="120"/>
      <c r="P154" s="120"/>
      <c r="Q154" s="120"/>
      <c r="R154" s="120"/>
      <c r="S154" s="120"/>
      <c r="T154" s="120"/>
      <c r="U154" s="123"/>
      <c r="V154" s="120"/>
      <c r="W154" s="120"/>
      <c r="X154" s="120"/>
      <c r="Y154" s="120"/>
      <c r="Z154" s="120"/>
    </row>
    <row r="155" spans="1:26" ht="12" customHeight="1">
      <c r="A155" s="140"/>
      <c r="B155" s="120"/>
      <c r="C155" s="120"/>
      <c r="D155" s="120"/>
      <c r="E155" s="120"/>
      <c r="F155" s="120"/>
      <c r="G155" s="120"/>
      <c r="H155" s="120"/>
      <c r="I155" s="120"/>
      <c r="J155" s="120"/>
      <c r="K155" s="120"/>
      <c r="L155" s="120"/>
      <c r="M155" s="120"/>
      <c r="N155" s="120"/>
      <c r="O155" s="120"/>
      <c r="P155" s="120"/>
      <c r="Q155" s="120"/>
      <c r="R155" s="120"/>
      <c r="S155" s="120"/>
      <c r="T155" s="120"/>
      <c r="U155" s="123"/>
      <c r="V155" s="120"/>
      <c r="W155" s="120"/>
      <c r="X155" s="120"/>
      <c r="Y155" s="120"/>
      <c r="Z155" s="120"/>
    </row>
    <row r="156" spans="1:26" ht="12" customHeight="1">
      <c r="A156" s="140"/>
      <c r="B156" s="120"/>
      <c r="C156" s="120"/>
      <c r="D156" s="120"/>
      <c r="E156" s="120"/>
      <c r="F156" s="120"/>
      <c r="G156" s="120"/>
      <c r="H156" s="120"/>
      <c r="I156" s="120"/>
      <c r="J156" s="120"/>
      <c r="K156" s="120"/>
      <c r="L156" s="120"/>
      <c r="M156" s="120"/>
      <c r="N156" s="120"/>
      <c r="O156" s="120"/>
      <c r="P156" s="120"/>
      <c r="Q156" s="120"/>
      <c r="R156" s="120"/>
      <c r="S156" s="120"/>
      <c r="T156" s="120"/>
      <c r="U156" s="123"/>
      <c r="V156" s="120"/>
      <c r="W156" s="120"/>
      <c r="X156" s="120"/>
      <c r="Y156" s="120"/>
      <c r="Z156" s="120"/>
    </row>
    <row r="157" spans="1:26" ht="12" customHeight="1">
      <c r="A157" s="140"/>
      <c r="B157" s="120"/>
      <c r="C157" s="120"/>
      <c r="D157" s="120"/>
      <c r="E157" s="120"/>
      <c r="F157" s="120"/>
      <c r="G157" s="120"/>
      <c r="H157" s="120"/>
      <c r="I157" s="120"/>
      <c r="J157" s="120"/>
      <c r="K157" s="120"/>
      <c r="L157" s="120"/>
      <c r="M157" s="120"/>
      <c r="N157" s="120"/>
      <c r="O157" s="120"/>
      <c r="P157" s="120"/>
      <c r="Q157" s="120"/>
      <c r="R157" s="120"/>
      <c r="S157" s="120"/>
      <c r="T157" s="120"/>
      <c r="U157" s="123"/>
      <c r="V157" s="120"/>
      <c r="W157" s="120"/>
      <c r="X157" s="120"/>
      <c r="Y157" s="120"/>
      <c r="Z157" s="120"/>
    </row>
    <row r="158" spans="1:26" ht="12" customHeight="1">
      <c r="A158" s="140"/>
      <c r="B158" s="120"/>
      <c r="C158" s="120"/>
      <c r="D158" s="120"/>
      <c r="E158" s="120"/>
      <c r="F158" s="120"/>
      <c r="G158" s="120"/>
      <c r="H158" s="120"/>
      <c r="I158" s="120"/>
      <c r="J158" s="120"/>
      <c r="K158" s="120"/>
      <c r="L158" s="120"/>
      <c r="M158" s="120"/>
      <c r="N158" s="120"/>
      <c r="O158" s="120"/>
      <c r="P158" s="120"/>
      <c r="Q158" s="120"/>
      <c r="R158" s="120"/>
      <c r="S158" s="120"/>
      <c r="T158" s="120"/>
      <c r="U158" s="123"/>
      <c r="V158" s="120"/>
      <c r="W158" s="120"/>
      <c r="X158" s="120"/>
      <c r="Y158" s="120"/>
      <c r="Z158" s="120"/>
    </row>
    <row r="159" spans="1:26" ht="12" customHeight="1">
      <c r="A159" s="140"/>
      <c r="B159" s="120"/>
      <c r="C159" s="120"/>
      <c r="D159" s="120"/>
      <c r="E159" s="120"/>
      <c r="F159" s="120"/>
      <c r="G159" s="120"/>
      <c r="H159" s="120"/>
      <c r="I159" s="120"/>
      <c r="J159" s="120"/>
      <c r="K159" s="120"/>
      <c r="L159" s="120"/>
      <c r="M159" s="120"/>
      <c r="N159" s="120"/>
      <c r="O159" s="120"/>
      <c r="P159" s="120"/>
      <c r="Q159" s="120"/>
      <c r="R159" s="120"/>
      <c r="S159" s="120"/>
      <c r="T159" s="120"/>
      <c r="U159" s="123"/>
      <c r="V159" s="120"/>
      <c r="W159" s="120"/>
      <c r="X159" s="120"/>
      <c r="Y159" s="120"/>
      <c r="Z159" s="120"/>
    </row>
    <row r="160" spans="1:26" ht="12" customHeight="1">
      <c r="A160" s="140"/>
      <c r="B160" s="120"/>
      <c r="C160" s="120"/>
      <c r="D160" s="120"/>
      <c r="E160" s="120"/>
      <c r="F160" s="120"/>
      <c r="G160" s="120"/>
      <c r="H160" s="120"/>
      <c r="I160" s="120"/>
      <c r="J160" s="120"/>
      <c r="K160" s="120"/>
      <c r="L160" s="120"/>
      <c r="M160" s="120"/>
      <c r="N160" s="120"/>
      <c r="O160" s="120"/>
      <c r="P160" s="120"/>
      <c r="Q160" s="120"/>
      <c r="R160" s="120"/>
      <c r="S160" s="120"/>
      <c r="T160" s="120"/>
      <c r="U160" s="123"/>
      <c r="V160" s="120"/>
      <c r="W160" s="120"/>
      <c r="X160" s="120"/>
      <c r="Y160" s="120"/>
      <c r="Z160" s="120"/>
    </row>
    <row r="161" spans="1:26" ht="12" customHeight="1">
      <c r="A161" s="140"/>
      <c r="B161" s="120"/>
      <c r="C161" s="120"/>
      <c r="D161" s="120"/>
      <c r="E161" s="120"/>
      <c r="F161" s="120"/>
      <c r="G161" s="120"/>
      <c r="H161" s="120"/>
      <c r="I161" s="120"/>
      <c r="J161" s="120"/>
      <c r="K161" s="120"/>
      <c r="L161" s="120"/>
      <c r="M161" s="120"/>
      <c r="N161" s="120"/>
      <c r="O161" s="120"/>
      <c r="P161" s="120"/>
      <c r="Q161" s="120"/>
      <c r="R161" s="120"/>
      <c r="S161" s="120"/>
      <c r="T161" s="120"/>
      <c r="U161" s="123"/>
      <c r="V161" s="120"/>
      <c r="W161" s="120"/>
      <c r="X161" s="120"/>
      <c r="Y161" s="120"/>
      <c r="Z161" s="120"/>
    </row>
    <row r="162" spans="1:26" ht="12" customHeight="1">
      <c r="A162" s="140"/>
      <c r="B162" s="120"/>
      <c r="C162" s="120"/>
      <c r="D162" s="120"/>
      <c r="E162" s="120"/>
      <c r="F162" s="120"/>
      <c r="G162" s="120"/>
      <c r="H162" s="120"/>
      <c r="I162" s="120"/>
      <c r="J162" s="120"/>
      <c r="K162" s="120"/>
      <c r="L162" s="120"/>
      <c r="M162" s="120"/>
      <c r="N162" s="120"/>
      <c r="O162" s="120"/>
      <c r="P162" s="120"/>
      <c r="Q162" s="120"/>
      <c r="R162" s="120"/>
      <c r="S162" s="120"/>
      <c r="T162" s="120"/>
      <c r="U162" s="123"/>
      <c r="V162" s="120"/>
      <c r="W162" s="120"/>
      <c r="X162" s="120"/>
      <c r="Y162" s="120"/>
      <c r="Z162" s="120"/>
    </row>
    <row r="163" spans="1:26" ht="12" customHeight="1">
      <c r="A163" s="140"/>
      <c r="B163" s="120"/>
      <c r="C163" s="120"/>
      <c r="D163" s="120"/>
      <c r="E163" s="120"/>
      <c r="F163" s="120"/>
      <c r="G163" s="120"/>
      <c r="H163" s="120"/>
      <c r="I163" s="120"/>
      <c r="J163" s="120"/>
      <c r="K163" s="120"/>
      <c r="L163" s="120"/>
      <c r="M163" s="120"/>
      <c r="N163" s="120"/>
      <c r="O163" s="120"/>
      <c r="P163" s="120"/>
      <c r="Q163" s="120"/>
      <c r="R163" s="120"/>
      <c r="S163" s="120"/>
      <c r="T163" s="120"/>
      <c r="U163" s="123"/>
      <c r="V163" s="120"/>
      <c r="W163" s="120"/>
      <c r="X163" s="120"/>
      <c r="Y163" s="120"/>
      <c r="Z163" s="120"/>
    </row>
    <row r="164" spans="1:26" ht="12" customHeight="1">
      <c r="A164" s="140"/>
      <c r="B164" s="120"/>
      <c r="C164" s="120"/>
      <c r="D164" s="120"/>
      <c r="E164" s="120"/>
      <c r="F164" s="120"/>
      <c r="G164" s="120"/>
      <c r="H164" s="120"/>
      <c r="I164" s="120"/>
      <c r="J164" s="120"/>
      <c r="K164" s="120"/>
      <c r="L164" s="120"/>
      <c r="M164" s="120"/>
      <c r="N164" s="120"/>
      <c r="O164" s="120"/>
      <c r="P164" s="120"/>
      <c r="Q164" s="120"/>
      <c r="R164" s="120"/>
      <c r="S164" s="120"/>
      <c r="T164" s="120"/>
      <c r="U164" s="123"/>
      <c r="V164" s="120"/>
      <c r="W164" s="120"/>
      <c r="X164" s="120"/>
      <c r="Y164" s="120"/>
      <c r="Z164" s="120"/>
    </row>
    <row r="165" spans="1:26" ht="12" customHeight="1">
      <c r="A165" s="140"/>
      <c r="B165" s="120"/>
      <c r="C165" s="120"/>
      <c r="D165" s="120"/>
      <c r="E165" s="120"/>
      <c r="F165" s="120"/>
      <c r="G165" s="120"/>
      <c r="H165" s="120"/>
      <c r="I165" s="120"/>
      <c r="J165" s="120"/>
      <c r="K165" s="120"/>
      <c r="L165" s="120"/>
      <c r="M165" s="120"/>
      <c r="N165" s="120"/>
      <c r="O165" s="120"/>
      <c r="P165" s="120"/>
      <c r="Q165" s="120"/>
      <c r="R165" s="120"/>
      <c r="S165" s="120"/>
      <c r="T165" s="120"/>
      <c r="U165" s="123"/>
      <c r="V165" s="120"/>
      <c r="W165" s="120"/>
      <c r="X165" s="120"/>
      <c r="Y165" s="120"/>
      <c r="Z165" s="120"/>
    </row>
    <row r="166" spans="1:26" ht="12" customHeight="1">
      <c r="A166" s="140"/>
      <c r="B166" s="120"/>
      <c r="C166" s="120"/>
      <c r="D166" s="120"/>
      <c r="E166" s="120"/>
      <c r="F166" s="120"/>
      <c r="G166" s="120"/>
      <c r="H166" s="120"/>
      <c r="I166" s="120"/>
      <c r="J166" s="120"/>
      <c r="K166" s="120"/>
      <c r="L166" s="120"/>
      <c r="M166" s="120"/>
      <c r="N166" s="120"/>
      <c r="O166" s="120"/>
      <c r="P166" s="120"/>
      <c r="Q166" s="120"/>
      <c r="R166" s="120"/>
      <c r="S166" s="120"/>
      <c r="T166" s="120"/>
      <c r="U166" s="123"/>
      <c r="V166" s="120"/>
      <c r="W166" s="120"/>
      <c r="X166" s="120"/>
      <c r="Y166" s="120"/>
      <c r="Z166" s="120"/>
    </row>
    <row r="167" spans="1:26" ht="12" customHeight="1">
      <c r="A167" s="140"/>
      <c r="B167" s="120"/>
      <c r="C167" s="120"/>
      <c r="D167" s="120"/>
      <c r="E167" s="120"/>
      <c r="F167" s="120"/>
      <c r="G167" s="120"/>
      <c r="H167" s="120"/>
      <c r="I167" s="120"/>
      <c r="J167" s="120"/>
      <c r="K167" s="120"/>
      <c r="L167" s="120"/>
      <c r="M167" s="120"/>
      <c r="N167" s="120"/>
      <c r="O167" s="120"/>
      <c r="P167" s="120"/>
      <c r="Q167" s="120"/>
      <c r="R167" s="120"/>
      <c r="S167" s="120"/>
      <c r="T167" s="120"/>
      <c r="U167" s="123"/>
      <c r="V167" s="120"/>
      <c r="W167" s="120"/>
      <c r="X167" s="120"/>
      <c r="Y167" s="120"/>
      <c r="Z167" s="120"/>
    </row>
    <row r="168" spans="1:26" ht="12" customHeight="1">
      <c r="A168" s="140"/>
      <c r="B168" s="120"/>
      <c r="C168" s="120"/>
      <c r="D168" s="120"/>
      <c r="E168" s="120"/>
      <c r="F168" s="120"/>
      <c r="G168" s="120"/>
      <c r="H168" s="120"/>
      <c r="I168" s="120"/>
      <c r="J168" s="120"/>
      <c r="K168" s="120"/>
      <c r="L168" s="120"/>
      <c r="M168" s="120"/>
      <c r="N168" s="120"/>
      <c r="O168" s="120"/>
      <c r="P168" s="120"/>
      <c r="Q168" s="120"/>
      <c r="R168" s="120"/>
      <c r="S168" s="120"/>
      <c r="T168" s="120"/>
      <c r="U168" s="123"/>
      <c r="V168" s="120"/>
      <c r="W168" s="120"/>
      <c r="X168" s="120"/>
      <c r="Y168" s="120"/>
      <c r="Z168" s="120"/>
    </row>
    <row r="169" spans="1:26" ht="12" customHeight="1">
      <c r="A169" s="140"/>
      <c r="B169" s="120"/>
      <c r="C169" s="120"/>
      <c r="D169" s="120"/>
      <c r="E169" s="120"/>
      <c r="F169" s="120"/>
      <c r="G169" s="120"/>
      <c r="H169" s="120"/>
      <c r="I169" s="120"/>
      <c r="J169" s="120"/>
      <c r="K169" s="120"/>
      <c r="L169" s="120"/>
      <c r="M169" s="120"/>
      <c r="N169" s="120"/>
      <c r="O169" s="120"/>
      <c r="P169" s="120"/>
      <c r="Q169" s="120"/>
      <c r="R169" s="120"/>
      <c r="S169" s="120"/>
      <c r="T169" s="120"/>
      <c r="U169" s="123"/>
      <c r="V169" s="120"/>
      <c r="W169" s="120"/>
      <c r="X169" s="120"/>
      <c r="Y169" s="120"/>
      <c r="Z169" s="120"/>
    </row>
    <row r="170" spans="1:26" ht="12" customHeight="1">
      <c r="A170" s="140"/>
      <c r="B170" s="120"/>
      <c r="C170" s="120"/>
      <c r="D170" s="120"/>
      <c r="E170" s="120"/>
      <c r="F170" s="120"/>
      <c r="G170" s="120"/>
      <c r="H170" s="120"/>
      <c r="I170" s="120"/>
      <c r="J170" s="120"/>
      <c r="K170" s="120"/>
      <c r="L170" s="120"/>
      <c r="M170" s="120"/>
      <c r="N170" s="120"/>
      <c r="O170" s="120"/>
      <c r="P170" s="120"/>
      <c r="Q170" s="120"/>
      <c r="R170" s="120"/>
      <c r="S170" s="120"/>
      <c r="T170" s="120"/>
      <c r="U170" s="123"/>
      <c r="V170" s="120"/>
      <c r="W170" s="120"/>
      <c r="X170" s="120"/>
      <c r="Y170" s="120"/>
      <c r="Z170" s="120"/>
    </row>
    <row r="171" spans="1:26" ht="12" customHeight="1">
      <c r="A171" s="140"/>
      <c r="B171" s="120"/>
      <c r="C171" s="120"/>
      <c r="D171" s="120"/>
      <c r="E171" s="120"/>
      <c r="F171" s="120"/>
      <c r="G171" s="120"/>
      <c r="H171" s="120"/>
      <c r="I171" s="120"/>
      <c r="J171" s="120"/>
      <c r="K171" s="120"/>
      <c r="L171" s="120"/>
      <c r="M171" s="120"/>
      <c r="N171" s="120"/>
      <c r="O171" s="120"/>
      <c r="P171" s="120"/>
      <c r="Q171" s="120"/>
      <c r="R171" s="120"/>
      <c r="S171" s="120"/>
      <c r="T171" s="120"/>
      <c r="U171" s="123"/>
      <c r="V171" s="120"/>
      <c r="W171" s="120"/>
      <c r="X171" s="120"/>
      <c r="Y171" s="120"/>
      <c r="Z171" s="120"/>
    </row>
    <row r="172" spans="1:26" ht="12" customHeight="1">
      <c r="A172" s="140"/>
      <c r="B172" s="120"/>
      <c r="C172" s="120"/>
      <c r="D172" s="120"/>
      <c r="E172" s="120"/>
      <c r="F172" s="120"/>
      <c r="G172" s="120"/>
      <c r="H172" s="120"/>
      <c r="I172" s="120"/>
      <c r="J172" s="120"/>
      <c r="K172" s="120"/>
      <c r="L172" s="120"/>
      <c r="M172" s="120"/>
      <c r="N172" s="120"/>
      <c r="O172" s="120"/>
      <c r="P172" s="120"/>
      <c r="Q172" s="120"/>
      <c r="R172" s="120"/>
      <c r="S172" s="120"/>
      <c r="T172" s="120"/>
      <c r="U172" s="123"/>
      <c r="V172" s="120"/>
      <c r="W172" s="120"/>
      <c r="X172" s="120"/>
      <c r="Y172" s="120"/>
      <c r="Z172" s="120"/>
    </row>
    <row r="173" spans="1:26" ht="12" customHeight="1">
      <c r="A173" s="140"/>
      <c r="B173" s="120"/>
      <c r="C173" s="120"/>
      <c r="D173" s="120"/>
      <c r="E173" s="120"/>
      <c r="F173" s="120"/>
      <c r="G173" s="120"/>
      <c r="H173" s="120"/>
      <c r="I173" s="120"/>
      <c r="J173" s="120"/>
      <c r="K173" s="120"/>
      <c r="L173" s="120"/>
      <c r="M173" s="120"/>
      <c r="N173" s="120"/>
      <c r="O173" s="120"/>
      <c r="P173" s="120"/>
      <c r="Q173" s="120"/>
      <c r="R173" s="120"/>
      <c r="S173" s="120"/>
      <c r="T173" s="120"/>
      <c r="U173" s="123"/>
      <c r="V173" s="120"/>
      <c r="W173" s="120"/>
      <c r="X173" s="120"/>
      <c r="Y173" s="120"/>
      <c r="Z173" s="120"/>
    </row>
    <row r="174" spans="1:26" ht="12" customHeight="1">
      <c r="A174" s="140"/>
      <c r="B174" s="120"/>
      <c r="C174" s="120"/>
      <c r="D174" s="120"/>
      <c r="E174" s="120"/>
      <c r="F174" s="120"/>
      <c r="G174" s="120"/>
      <c r="H174" s="120"/>
      <c r="I174" s="120"/>
      <c r="J174" s="120"/>
      <c r="K174" s="120"/>
      <c r="L174" s="120"/>
      <c r="M174" s="120"/>
      <c r="N174" s="120"/>
      <c r="O174" s="120"/>
      <c r="P174" s="120"/>
      <c r="Q174" s="120"/>
      <c r="R174" s="120"/>
      <c r="S174" s="120"/>
      <c r="T174" s="120"/>
      <c r="U174" s="123"/>
      <c r="V174" s="120"/>
      <c r="W174" s="120"/>
      <c r="X174" s="120"/>
      <c r="Y174" s="120"/>
      <c r="Z174" s="120"/>
    </row>
    <row r="175" spans="1:26" ht="12" customHeight="1">
      <c r="A175" s="140"/>
      <c r="B175" s="120"/>
      <c r="C175" s="120"/>
      <c r="D175" s="120"/>
      <c r="E175" s="120"/>
      <c r="F175" s="120"/>
      <c r="G175" s="120"/>
      <c r="H175" s="120"/>
      <c r="I175" s="120"/>
      <c r="J175" s="120"/>
      <c r="K175" s="120"/>
      <c r="L175" s="120"/>
      <c r="M175" s="120"/>
      <c r="N175" s="120"/>
      <c r="O175" s="120"/>
      <c r="P175" s="120"/>
      <c r="Q175" s="120"/>
      <c r="R175" s="120"/>
      <c r="S175" s="120"/>
      <c r="T175" s="120"/>
      <c r="U175" s="123"/>
      <c r="V175" s="120"/>
      <c r="W175" s="120"/>
      <c r="X175" s="120"/>
      <c r="Y175" s="120"/>
      <c r="Z175" s="120"/>
    </row>
    <row r="176" spans="1:26" ht="12" customHeight="1">
      <c r="A176" s="140"/>
      <c r="B176" s="120"/>
      <c r="C176" s="120"/>
      <c r="D176" s="120"/>
      <c r="E176" s="120"/>
      <c r="F176" s="120"/>
      <c r="G176" s="120"/>
      <c r="H176" s="120"/>
      <c r="I176" s="120"/>
      <c r="J176" s="120"/>
      <c r="K176" s="120"/>
      <c r="L176" s="120"/>
      <c r="M176" s="120"/>
      <c r="N176" s="120"/>
      <c r="O176" s="120"/>
      <c r="P176" s="120"/>
      <c r="Q176" s="120"/>
      <c r="R176" s="120"/>
      <c r="S176" s="120"/>
      <c r="T176" s="120"/>
      <c r="U176" s="123"/>
      <c r="V176" s="120"/>
      <c r="W176" s="120"/>
      <c r="X176" s="120"/>
      <c r="Y176" s="120"/>
      <c r="Z176" s="120"/>
    </row>
    <row r="177" spans="1:26" ht="12" customHeight="1">
      <c r="A177" s="140"/>
      <c r="B177" s="120"/>
      <c r="C177" s="120"/>
      <c r="D177" s="120"/>
      <c r="E177" s="120"/>
      <c r="F177" s="120"/>
      <c r="G177" s="120"/>
      <c r="H177" s="120"/>
      <c r="I177" s="120"/>
      <c r="J177" s="120"/>
      <c r="K177" s="120"/>
      <c r="L177" s="120"/>
      <c r="M177" s="120"/>
      <c r="N177" s="120"/>
      <c r="O177" s="120"/>
      <c r="P177" s="120"/>
      <c r="Q177" s="120"/>
      <c r="R177" s="120"/>
      <c r="S177" s="120"/>
      <c r="T177" s="120"/>
      <c r="U177" s="123"/>
      <c r="V177" s="120"/>
      <c r="W177" s="120"/>
      <c r="X177" s="120"/>
      <c r="Y177" s="120"/>
      <c r="Z177" s="120"/>
    </row>
    <row r="178" spans="1:26" ht="12" customHeight="1">
      <c r="A178" s="140"/>
      <c r="B178" s="120"/>
      <c r="C178" s="120"/>
      <c r="D178" s="120"/>
      <c r="E178" s="120"/>
      <c r="F178" s="120"/>
      <c r="G178" s="120"/>
      <c r="H178" s="120"/>
      <c r="I178" s="120"/>
      <c r="J178" s="120"/>
      <c r="K178" s="120"/>
      <c r="L178" s="120"/>
      <c r="M178" s="120"/>
      <c r="N178" s="120"/>
      <c r="O178" s="120"/>
      <c r="P178" s="120"/>
      <c r="Q178" s="120"/>
      <c r="R178" s="120"/>
      <c r="S178" s="120"/>
      <c r="T178" s="120"/>
      <c r="U178" s="123"/>
      <c r="V178" s="120"/>
      <c r="W178" s="120"/>
      <c r="X178" s="120"/>
      <c r="Y178" s="120"/>
      <c r="Z178" s="120"/>
    </row>
    <row r="179" spans="1:26" ht="12" customHeight="1">
      <c r="A179" s="140"/>
      <c r="B179" s="120"/>
      <c r="C179" s="120"/>
      <c r="D179" s="120"/>
      <c r="E179" s="120"/>
      <c r="F179" s="120"/>
      <c r="G179" s="120"/>
      <c r="H179" s="120"/>
      <c r="I179" s="120"/>
      <c r="J179" s="120"/>
      <c r="K179" s="120"/>
      <c r="L179" s="120"/>
      <c r="M179" s="120"/>
      <c r="N179" s="120"/>
      <c r="O179" s="120"/>
      <c r="P179" s="120"/>
      <c r="Q179" s="120"/>
      <c r="R179" s="120"/>
      <c r="S179" s="120"/>
      <c r="T179" s="120"/>
      <c r="U179" s="123"/>
      <c r="V179" s="120"/>
      <c r="W179" s="120"/>
      <c r="X179" s="120"/>
      <c r="Y179" s="120"/>
      <c r="Z179" s="120"/>
    </row>
    <row r="180" spans="1:26" ht="12" customHeight="1">
      <c r="A180" s="140"/>
      <c r="B180" s="120"/>
      <c r="C180" s="120"/>
      <c r="D180" s="120"/>
      <c r="E180" s="120"/>
      <c r="F180" s="120"/>
      <c r="G180" s="120"/>
      <c r="H180" s="120"/>
      <c r="I180" s="120"/>
      <c r="J180" s="120"/>
      <c r="K180" s="120"/>
      <c r="L180" s="120"/>
      <c r="M180" s="120"/>
      <c r="N180" s="120"/>
      <c r="O180" s="120"/>
      <c r="P180" s="120"/>
      <c r="Q180" s="120"/>
      <c r="R180" s="120"/>
      <c r="S180" s="120"/>
      <c r="T180" s="120"/>
      <c r="U180" s="123"/>
      <c r="V180" s="120"/>
      <c r="W180" s="120"/>
      <c r="X180" s="120"/>
      <c r="Y180" s="120"/>
      <c r="Z180" s="120"/>
    </row>
    <row r="181" spans="1:26" ht="12" customHeight="1">
      <c r="A181" s="140"/>
      <c r="B181" s="120"/>
      <c r="C181" s="120"/>
      <c r="D181" s="120"/>
      <c r="E181" s="120"/>
      <c r="F181" s="120"/>
      <c r="G181" s="120"/>
      <c r="H181" s="120"/>
      <c r="I181" s="120"/>
      <c r="J181" s="120"/>
      <c r="K181" s="120"/>
      <c r="L181" s="120"/>
      <c r="M181" s="120"/>
      <c r="N181" s="120"/>
      <c r="O181" s="120"/>
      <c r="P181" s="120"/>
      <c r="Q181" s="120"/>
      <c r="R181" s="120"/>
      <c r="S181" s="120"/>
      <c r="T181" s="120"/>
      <c r="U181" s="123"/>
      <c r="V181" s="120"/>
      <c r="W181" s="120"/>
      <c r="X181" s="120"/>
      <c r="Y181" s="120"/>
      <c r="Z181" s="120"/>
    </row>
    <row r="182" spans="1:26" ht="12" customHeight="1">
      <c r="A182" s="140"/>
      <c r="B182" s="120"/>
      <c r="C182" s="120"/>
      <c r="D182" s="120"/>
      <c r="E182" s="120"/>
      <c r="F182" s="120"/>
      <c r="G182" s="120"/>
      <c r="H182" s="120"/>
      <c r="I182" s="120"/>
      <c r="J182" s="120"/>
      <c r="K182" s="120"/>
      <c r="L182" s="120"/>
      <c r="M182" s="120"/>
      <c r="N182" s="120"/>
      <c r="O182" s="120"/>
      <c r="P182" s="120"/>
      <c r="Q182" s="120"/>
      <c r="R182" s="120"/>
      <c r="S182" s="120"/>
      <c r="T182" s="120"/>
      <c r="U182" s="123"/>
      <c r="V182" s="120"/>
      <c r="W182" s="120"/>
      <c r="X182" s="120"/>
      <c r="Y182" s="120"/>
      <c r="Z182" s="120"/>
    </row>
    <row r="183" spans="1:26" ht="12" customHeight="1">
      <c r="A183" s="140"/>
      <c r="B183" s="120"/>
      <c r="C183" s="120"/>
      <c r="D183" s="120"/>
      <c r="E183" s="120"/>
      <c r="F183" s="120"/>
      <c r="G183" s="120"/>
      <c r="H183" s="120"/>
      <c r="I183" s="120"/>
      <c r="J183" s="120"/>
      <c r="K183" s="120"/>
      <c r="L183" s="120"/>
      <c r="M183" s="120"/>
      <c r="N183" s="120"/>
      <c r="O183" s="120"/>
      <c r="P183" s="120"/>
      <c r="Q183" s="120"/>
      <c r="R183" s="120"/>
      <c r="S183" s="120"/>
      <c r="T183" s="120"/>
      <c r="U183" s="123"/>
      <c r="V183" s="120"/>
      <c r="W183" s="120"/>
      <c r="X183" s="120"/>
      <c r="Y183" s="120"/>
      <c r="Z183" s="120"/>
    </row>
    <row r="184" spans="1:26" ht="12" customHeight="1">
      <c r="A184" s="140"/>
      <c r="B184" s="120"/>
      <c r="C184" s="120"/>
      <c r="D184" s="120"/>
      <c r="E184" s="120"/>
      <c r="F184" s="120"/>
      <c r="G184" s="120"/>
      <c r="H184" s="120"/>
      <c r="I184" s="120"/>
      <c r="J184" s="120"/>
      <c r="K184" s="120"/>
      <c r="L184" s="120"/>
      <c r="M184" s="120"/>
      <c r="N184" s="120"/>
      <c r="O184" s="120"/>
      <c r="P184" s="120"/>
      <c r="Q184" s="120"/>
      <c r="R184" s="120"/>
      <c r="S184" s="120"/>
      <c r="T184" s="120"/>
      <c r="U184" s="123"/>
      <c r="V184" s="120"/>
      <c r="W184" s="120"/>
      <c r="X184" s="120"/>
      <c r="Y184" s="120"/>
      <c r="Z184" s="120"/>
    </row>
    <row r="185" spans="1:26" ht="12" customHeight="1">
      <c r="A185" s="140"/>
      <c r="B185" s="120"/>
      <c r="C185" s="120"/>
      <c r="D185" s="120"/>
      <c r="E185" s="120"/>
      <c r="F185" s="120"/>
      <c r="G185" s="120"/>
      <c r="H185" s="120"/>
      <c r="I185" s="120"/>
      <c r="J185" s="120"/>
      <c r="K185" s="120"/>
      <c r="L185" s="120"/>
      <c r="M185" s="120"/>
      <c r="N185" s="120"/>
      <c r="O185" s="120"/>
      <c r="P185" s="120"/>
      <c r="Q185" s="120"/>
      <c r="R185" s="120"/>
      <c r="S185" s="120"/>
      <c r="T185" s="120"/>
      <c r="U185" s="123"/>
      <c r="V185" s="120"/>
      <c r="W185" s="120"/>
      <c r="X185" s="120"/>
      <c r="Y185" s="120"/>
      <c r="Z185" s="120"/>
    </row>
    <row r="186" spans="1:26" ht="12" customHeight="1">
      <c r="A186" s="140"/>
      <c r="B186" s="120"/>
      <c r="C186" s="120"/>
      <c r="D186" s="120"/>
      <c r="E186" s="120"/>
      <c r="F186" s="120"/>
      <c r="G186" s="120"/>
      <c r="H186" s="120"/>
      <c r="I186" s="120"/>
      <c r="J186" s="120"/>
      <c r="K186" s="120"/>
      <c r="L186" s="120"/>
      <c r="M186" s="120"/>
      <c r="N186" s="120"/>
      <c r="O186" s="120"/>
      <c r="P186" s="120"/>
      <c r="Q186" s="120"/>
      <c r="R186" s="120"/>
      <c r="S186" s="120"/>
      <c r="T186" s="120"/>
      <c r="U186" s="123"/>
      <c r="V186" s="120"/>
      <c r="W186" s="120"/>
      <c r="X186" s="120"/>
      <c r="Y186" s="120"/>
      <c r="Z186" s="120"/>
    </row>
    <row r="187" spans="1:26" ht="12" customHeight="1">
      <c r="A187" s="140"/>
      <c r="B187" s="120"/>
      <c r="C187" s="120"/>
      <c r="D187" s="120"/>
      <c r="E187" s="120"/>
      <c r="F187" s="120"/>
      <c r="G187" s="120"/>
      <c r="H187" s="120"/>
      <c r="I187" s="120"/>
      <c r="J187" s="120"/>
      <c r="K187" s="120"/>
      <c r="L187" s="120"/>
      <c r="M187" s="120"/>
      <c r="N187" s="120"/>
      <c r="O187" s="120"/>
      <c r="P187" s="120"/>
      <c r="Q187" s="120"/>
      <c r="R187" s="120"/>
      <c r="S187" s="120"/>
      <c r="T187" s="120"/>
      <c r="U187" s="123"/>
      <c r="V187" s="120"/>
      <c r="W187" s="120"/>
      <c r="X187" s="120"/>
      <c r="Y187" s="120"/>
      <c r="Z187" s="120"/>
    </row>
    <row r="188" spans="1:26" ht="12" customHeight="1">
      <c r="A188" s="140"/>
      <c r="B188" s="120"/>
      <c r="C188" s="120"/>
      <c r="D188" s="120"/>
      <c r="E188" s="120"/>
      <c r="F188" s="120"/>
      <c r="G188" s="120"/>
      <c r="H188" s="120"/>
      <c r="I188" s="120"/>
      <c r="J188" s="120"/>
      <c r="K188" s="120"/>
      <c r="L188" s="120"/>
      <c r="M188" s="120"/>
      <c r="N188" s="120"/>
      <c r="O188" s="120"/>
      <c r="P188" s="120"/>
      <c r="Q188" s="120"/>
      <c r="R188" s="120"/>
      <c r="S188" s="120"/>
      <c r="T188" s="120"/>
      <c r="U188" s="123"/>
      <c r="V188" s="120"/>
      <c r="W188" s="120"/>
      <c r="X188" s="120"/>
      <c r="Y188" s="120"/>
      <c r="Z188" s="120"/>
    </row>
    <row r="189" spans="1:26" ht="12" customHeight="1">
      <c r="A189" s="140"/>
      <c r="B189" s="120"/>
      <c r="C189" s="120"/>
      <c r="D189" s="120"/>
      <c r="E189" s="120"/>
      <c r="F189" s="120"/>
      <c r="G189" s="120"/>
      <c r="H189" s="120"/>
      <c r="I189" s="120"/>
      <c r="J189" s="120"/>
      <c r="K189" s="120"/>
      <c r="L189" s="120"/>
      <c r="M189" s="120"/>
      <c r="N189" s="120"/>
      <c r="O189" s="120"/>
      <c r="P189" s="120"/>
      <c r="Q189" s="120"/>
      <c r="R189" s="120"/>
      <c r="S189" s="120"/>
      <c r="T189" s="120"/>
      <c r="U189" s="123"/>
      <c r="V189" s="120"/>
      <c r="W189" s="120"/>
      <c r="X189" s="120"/>
      <c r="Y189" s="120"/>
      <c r="Z189" s="120"/>
    </row>
    <row r="190" spans="1:26" ht="12" customHeight="1">
      <c r="A190" s="140"/>
      <c r="B190" s="120"/>
      <c r="C190" s="120"/>
      <c r="D190" s="120"/>
      <c r="E190" s="120"/>
      <c r="F190" s="120"/>
      <c r="G190" s="120"/>
      <c r="H190" s="120"/>
      <c r="I190" s="120"/>
      <c r="J190" s="120"/>
      <c r="K190" s="120"/>
      <c r="L190" s="120"/>
      <c r="M190" s="120"/>
      <c r="N190" s="120"/>
      <c r="O190" s="120"/>
      <c r="P190" s="120"/>
      <c r="Q190" s="120"/>
      <c r="R190" s="120"/>
      <c r="S190" s="120"/>
      <c r="T190" s="120"/>
      <c r="U190" s="123"/>
      <c r="V190" s="120"/>
      <c r="W190" s="120"/>
      <c r="X190" s="120"/>
      <c r="Y190" s="120"/>
      <c r="Z190" s="120"/>
    </row>
    <row r="191" spans="1:26" ht="12" customHeight="1">
      <c r="A191" s="140"/>
      <c r="B191" s="120"/>
      <c r="C191" s="120"/>
      <c r="D191" s="120"/>
      <c r="E191" s="120"/>
      <c r="F191" s="120"/>
      <c r="G191" s="120"/>
      <c r="H191" s="120"/>
      <c r="I191" s="120"/>
      <c r="J191" s="120"/>
      <c r="K191" s="120"/>
      <c r="L191" s="120"/>
      <c r="M191" s="120"/>
      <c r="N191" s="120"/>
      <c r="O191" s="120"/>
      <c r="P191" s="120"/>
      <c r="Q191" s="120"/>
      <c r="R191" s="120"/>
      <c r="S191" s="120"/>
      <c r="T191" s="120"/>
      <c r="U191" s="123"/>
      <c r="V191" s="120"/>
      <c r="W191" s="120"/>
      <c r="X191" s="120"/>
      <c r="Y191" s="120"/>
      <c r="Z191" s="120"/>
    </row>
    <row r="192" spans="1:26" ht="12" customHeight="1">
      <c r="A192" s="140"/>
      <c r="B192" s="120"/>
      <c r="C192" s="120"/>
      <c r="D192" s="120"/>
      <c r="E192" s="120"/>
      <c r="F192" s="120"/>
      <c r="G192" s="120"/>
      <c r="H192" s="120"/>
      <c r="I192" s="120"/>
      <c r="J192" s="120"/>
      <c r="K192" s="120"/>
      <c r="L192" s="120"/>
      <c r="M192" s="120"/>
      <c r="N192" s="120"/>
      <c r="O192" s="120"/>
      <c r="P192" s="120"/>
      <c r="Q192" s="120"/>
      <c r="R192" s="120"/>
      <c r="S192" s="120"/>
      <c r="T192" s="120"/>
      <c r="U192" s="123"/>
      <c r="V192" s="120"/>
      <c r="W192" s="120"/>
      <c r="X192" s="120"/>
      <c r="Y192" s="120"/>
      <c r="Z192" s="120"/>
    </row>
    <row r="193" spans="1:26" ht="12" customHeight="1">
      <c r="A193" s="140"/>
      <c r="B193" s="120"/>
      <c r="C193" s="120"/>
      <c r="D193" s="120"/>
      <c r="E193" s="120"/>
      <c r="F193" s="120"/>
      <c r="G193" s="120"/>
      <c r="H193" s="120"/>
      <c r="I193" s="120"/>
      <c r="J193" s="120"/>
      <c r="K193" s="120"/>
      <c r="L193" s="120"/>
      <c r="M193" s="120"/>
      <c r="N193" s="120"/>
      <c r="O193" s="120"/>
      <c r="P193" s="120"/>
      <c r="Q193" s="120"/>
      <c r="R193" s="120"/>
      <c r="S193" s="120"/>
      <c r="T193" s="120"/>
      <c r="U193" s="123"/>
      <c r="V193" s="120"/>
      <c r="W193" s="120"/>
      <c r="X193" s="120"/>
      <c r="Y193" s="120"/>
      <c r="Z193" s="120"/>
    </row>
    <row r="194" spans="1:26" ht="12" customHeight="1">
      <c r="A194" s="140"/>
      <c r="B194" s="120"/>
      <c r="C194" s="120"/>
      <c r="D194" s="120"/>
      <c r="E194" s="120"/>
      <c r="F194" s="120"/>
      <c r="G194" s="120"/>
      <c r="H194" s="120"/>
      <c r="I194" s="120"/>
      <c r="J194" s="120"/>
      <c r="K194" s="120"/>
      <c r="L194" s="120"/>
      <c r="M194" s="120"/>
      <c r="N194" s="120"/>
      <c r="O194" s="120"/>
      <c r="P194" s="120"/>
      <c r="Q194" s="120"/>
      <c r="R194" s="120"/>
      <c r="S194" s="120"/>
      <c r="T194" s="120"/>
      <c r="U194" s="123"/>
      <c r="V194" s="120"/>
      <c r="W194" s="120"/>
      <c r="X194" s="120"/>
      <c r="Y194" s="120"/>
      <c r="Z194" s="120"/>
    </row>
    <row r="195" spans="1:26" ht="12" customHeight="1">
      <c r="A195" s="140"/>
      <c r="B195" s="120"/>
      <c r="C195" s="120"/>
      <c r="D195" s="120"/>
      <c r="E195" s="120"/>
      <c r="F195" s="120"/>
      <c r="G195" s="120"/>
      <c r="H195" s="120"/>
      <c r="I195" s="120"/>
      <c r="J195" s="120"/>
      <c r="K195" s="120"/>
      <c r="L195" s="120"/>
      <c r="M195" s="120"/>
      <c r="N195" s="120"/>
      <c r="O195" s="120"/>
      <c r="P195" s="120"/>
      <c r="Q195" s="120"/>
      <c r="R195" s="120"/>
      <c r="S195" s="120"/>
      <c r="T195" s="120"/>
      <c r="U195" s="123"/>
      <c r="V195" s="120"/>
      <c r="W195" s="120"/>
      <c r="X195" s="120"/>
      <c r="Y195" s="120"/>
      <c r="Z195" s="120"/>
    </row>
    <row r="196" spans="1:26" ht="12" customHeight="1">
      <c r="A196" s="140"/>
      <c r="B196" s="120"/>
      <c r="C196" s="120"/>
      <c r="D196" s="120"/>
      <c r="E196" s="120"/>
      <c r="F196" s="120"/>
      <c r="G196" s="120"/>
      <c r="H196" s="120"/>
      <c r="I196" s="120"/>
      <c r="J196" s="120"/>
      <c r="K196" s="120"/>
      <c r="L196" s="120"/>
      <c r="M196" s="120"/>
      <c r="N196" s="120"/>
      <c r="O196" s="120"/>
      <c r="P196" s="120"/>
      <c r="Q196" s="120"/>
      <c r="R196" s="120"/>
      <c r="S196" s="120"/>
      <c r="T196" s="120"/>
      <c r="U196" s="123"/>
      <c r="V196" s="120"/>
      <c r="W196" s="120"/>
      <c r="X196" s="120"/>
      <c r="Y196" s="120"/>
      <c r="Z196" s="120"/>
    </row>
    <row r="197" spans="1:26" ht="12" customHeight="1">
      <c r="A197" s="140"/>
      <c r="B197" s="120"/>
      <c r="C197" s="120"/>
      <c r="D197" s="120"/>
      <c r="E197" s="120"/>
      <c r="F197" s="120"/>
      <c r="G197" s="120"/>
      <c r="H197" s="120"/>
      <c r="I197" s="120"/>
      <c r="J197" s="120"/>
      <c r="K197" s="120"/>
      <c r="L197" s="120"/>
      <c r="M197" s="120"/>
      <c r="N197" s="120"/>
      <c r="O197" s="120"/>
      <c r="P197" s="120"/>
      <c r="Q197" s="120"/>
      <c r="R197" s="120"/>
      <c r="S197" s="120"/>
      <c r="T197" s="120"/>
      <c r="U197" s="123"/>
      <c r="V197" s="120"/>
      <c r="W197" s="120"/>
      <c r="X197" s="120"/>
      <c r="Y197" s="120"/>
      <c r="Z197" s="120"/>
    </row>
    <row r="198" spans="1:26" ht="12" customHeight="1">
      <c r="A198" s="140"/>
      <c r="B198" s="120"/>
      <c r="C198" s="120"/>
      <c r="D198" s="120"/>
      <c r="E198" s="120"/>
      <c r="F198" s="120"/>
      <c r="G198" s="120"/>
      <c r="H198" s="120"/>
      <c r="I198" s="120"/>
      <c r="J198" s="120"/>
      <c r="K198" s="120"/>
      <c r="L198" s="120"/>
      <c r="M198" s="120"/>
      <c r="N198" s="120"/>
      <c r="O198" s="120"/>
      <c r="P198" s="120"/>
      <c r="Q198" s="120"/>
      <c r="R198" s="120"/>
      <c r="S198" s="120"/>
      <c r="T198" s="120"/>
      <c r="U198" s="123"/>
      <c r="V198" s="120"/>
      <c r="W198" s="120"/>
      <c r="X198" s="120"/>
      <c r="Y198" s="120"/>
      <c r="Z198" s="120"/>
    </row>
    <row r="199" spans="1:26" ht="12" customHeight="1">
      <c r="A199" s="140"/>
      <c r="B199" s="120"/>
      <c r="C199" s="120"/>
      <c r="D199" s="120"/>
      <c r="E199" s="120"/>
      <c r="F199" s="120"/>
      <c r="G199" s="120"/>
      <c r="H199" s="120"/>
      <c r="I199" s="120"/>
      <c r="J199" s="120"/>
      <c r="K199" s="120"/>
      <c r="L199" s="120"/>
      <c r="M199" s="120"/>
      <c r="N199" s="120"/>
      <c r="O199" s="120"/>
      <c r="P199" s="120"/>
      <c r="Q199" s="120"/>
      <c r="R199" s="120"/>
      <c r="S199" s="120"/>
      <c r="T199" s="120"/>
      <c r="U199" s="123"/>
      <c r="V199" s="120"/>
      <c r="W199" s="120"/>
      <c r="X199" s="120"/>
      <c r="Y199" s="120"/>
      <c r="Z199" s="120"/>
    </row>
    <row r="200" spans="1:26" ht="12" customHeight="1">
      <c r="A200" s="140"/>
      <c r="B200" s="120"/>
      <c r="C200" s="120"/>
      <c r="D200" s="120"/>
      <c r="E200" s="120"/>
      <c r="F200" s="120"/>
      <c r="G200" s="120"/>
      <c r="H200" s="120"/>
      <c r="I200" s="120"/>
      <c r="J200" s="120"/>
      <c r="K200" s="120"/>
      <c r="L200" s="120"/>
      <c r="M200" s="120"/>
      <c r="N200" s="120"/>
      <c r="O200" s="120"/>
      <c r="P200" s="120"/>
      <c r="Q200" s="120"/>
      <c r="R200" s="120"/>
      <c r="S200" s="120"/>
      <c r="T200" s="120"/>
      <c r="U200" s="123"/>
      <c r="V200" s="120"/>
      <c r="W200" s="120"/>
      <c r="X200" s="120"/>
      <c r="Y200" s="120"/>
      <c r="Z200" s="120"/>
    </row>
    <row r="201" spans="1:26" ht="12" customHeight="1">
      <c r="A201" s="140"/>
      <c r="B201" s="120"/>
      <c r="C201" s="120"/>
      <c r="D201" s="120"/>
      <c r="E201" s="120"/>
      <c r="F201" s="120"/>
      <c r="G201" s="120"/>
      <c r="H201" s="120"/>
      <c r="I201" s="120"/>
      <c r="J201" s="120"/>
      <c r="K201" s="120"/>
      <c r="L201" s="120"/>
      <c r="M201" s="120"/>
      <c r="N201" s="120"/>
      <c r="O201" s="120"/>
      <c r="P201" s="120"/>
      <c r="Q201" s="120"/>
      <c r="R201" s="120"/>
      <c r="S201" s="120"/>
      <c r="T201" s="120"/>
      <c r="U201" s="123"/>
      <c r="V201" s="120"/>
      <c r="W201" s="120"/>
      <c r="X201" s="120"/>
      <c r="Y201" s="120"/>
      <c r="Z201" s="120"/>
    </row>
    <row r="202" spans="1:26" ht="12" customHeight="1">
      <c r="A202" s="140"/>
      <c r="B202" s="120"/>
      <c r="C202" s="120"/>
      <c r="D202" s="120"/>
      <c r="E202" s="120"/>
      <c r="F202" s="120"/>
      <c r="G202" s="120"/>
      <c r="H202" s="120"/>
      <c r="I202" s="120"/>
      <c r="J202" s="120"/>
      <c r="K202" s="120"/>
      <c r="L202" s="120"/>
      <c r="M202" s="120"/>
      <c r="N202" s="120"/>
      <c r="O202" s="120"/>
      <c r="P202" s="120"/>
      <c r="Q202" s="120"/>
      <c r="R202" s="120"/>
      <c r="S202" s="120"/>
      <c r="T202" s="120"/>
      <c r="U202" s="123"/>
      <c r="V202" s="120"/>
      <c r="W202" s="120"/>
      <c r="X202" s="120"/>
      <c r="Y202" s="120"/>
      <c r="Z202" s="120"/>
    </row>
    <row r="203" spans="1:26" ht="12" customHeight="1">
      <c r="A203" s="140"/>
      <c r="B203" s="120"/>
      <c r="C203" s="120"/>
      <c r="D203" s="120"/>
      <c r="E203" s="120"/>
      <c r="F203" s="120"/>
      <c r="G203" s="120"/>
      <c r="H203" s="120"/>
      <c r="I203" s="120"/>
      <c r="J203" s="120"/>
      <c r="K203" s="120"/>
      <c r="L203" s="120"/>
      <c r="M203" s="120"/>
      <c r="N203" s="120"/>
      <c r="O203" s="120"/>
      <c r="P203" s="120"/>
      <c r="Q203" s="120"/>
      <c r="R203" s="120"/>
      <c r="S203" s="120"/>
      <c r="T203" s="120"/>
      <c r="U203" s="123"/>
      <c r="V203" s="120"/>
      <c r="W203" s="120"/>
      <c r="X203" s="120"/>
      <c r="Y203" s="120"/>
      <c r="Z203" s="120"/>
    </row>
    <row r="204" spans="1:26" ht="12" customHeight="1">
      <c r="A204" s="140"/>
      <c r="B204" s="120"/>
      <c r="C204" s="120"/>
      <c r="D204" s="120"/>
      <c r="E204" s="120"/>
      <c r="F204" s="120"/>
      <c r="G204" s="120"/>
      <c r="H204" s="120"/>
      <c r="I204" s="120"/>
      <c r="J204" s="120"/>
      <c r="K204" s="120"/>
      <c r="L204" s="120"/>
      <c r="M204" s="120"/>
      <c r="N204" s="120"/>
      <c r="O204" s="120"/>
      <c r="P204" s="120"/>
      <c r="Q204" s="120"/>
      <c r="R204" s="120"/>
      <c r="S204" s="120"/>
      <c r="T204" s="120"/>
      <c r="U204" s="123"/>
      <c r="V204" s="120"/>
      <c r="W204" s="120"/>
      <c r="X204" s="120"/>
      <c r="Y204" s="120"/>
      <c r="Z204" s="120"/>
    </row>
    <row r="205" spans="1:26" ht="12" customHeight="1">
      <c r="A205" s="140"/>
      <c r="B205" s="120"/>
      <c r="C205" s="120"/>
      <c r="D205" s="120"/>
      <c r="E205" s="120"/>
      <c r="F205" s="120"/>
      <c r="G205" s="120"/>
      <c r="H205" s="120"/>
      <c r="I205" s="120"/>
      <c r="J205" s="120"/>
      <c r="K205" s="120"/>
      <c r="L205" s="120"/>
      <c r="M205" s="120"/>
      <c r="N205" s="120"/>
      <c r="O205" s="120"/>
      <c r="P205" s="120"/>
      <c r="Q205" s="120"/>
      <c r="R205" s="120"/>
      <c r="S205" s="120"/>
      <c r="T205" s="120"/>
      <c r="U205" s="123"/>
      <c r="V205" s="120"/>
      <c r="W205" s="120"/>
      <c r="X205" s="120"/>
      <c r="Y205" s="120"/>
      <c r="Z205" s="120"/>
    </row>
    <row r="206" spans="1:26" ht="12" customHeight="1">
      <c r="A206" s="140"/>
      <c r="B206" s="120"/>
      <c r="C206" s="120"/>
      <c r="D206" s="120"/>
      <c r="E206" s="120"/>
      <c r="F206" s="120"/>
      <c r="G206" s="120"/>
      <c r="H206" s="120"/>
      <c r="I206" s="120"/>
      <c r="J206" s="120"/>
      <c r="K206" s="120"/>
      <c r="L206" s="120"/>
      <c r="M206" s="120"/>
      <c r="N206" s="120"/>
      <c r="O206" s="120"/>
      <c r="P206" s="120"/>
      <c r="Q206" s="120"/>
      <c r="R206" s="120"/>
      <c r="S206" s="120"/>
      <c r="T206" s="120"/>
      <c r="U206" s="123"/>
      <c r="V206" s="120"/>
      <c r="W206" s="120"/>
      <c r="X206" s="120"/>
      <c r="Y206" s="120"/>
      <c r="Z206" s="120"/>
    </row>
    <row r="207" spans="1:26" ht="12" customHeight="1">
      <c r="A207" s="140"/>
      <c r="B207" s="120"/>
      <c r="C207" s="120"/>
      <c r="D207" s="120"/>
      <c r="E207" s="120"/>
      <c r="F207" s="120"/>
      <c r="G207" s="120"/>
      <c r="H207" s="120"/>
      <c r="I207" s="120"/>
      <c r="J207" s="120"/>
      <c r="K207" s="120"/>
      <c r="L207" s="120"/>
      <c r="M207" s="120"/>
      <c r="N207" s="120"/>
      <c r="O207" s="120"/>
      <c r="P207" s="120"/>
      <c r="Q207" s="120"/>
      <c r="R207" s="120"/>
      <c r="S207" s="120"/>
      <c r="T207" s="120"/>
      <c r="U207" s="123"/>
      <c r="V207" s="120"/>
      <c r="W207" s="120"/>
      <c r="X207" s="120"/>
      <c r="Y207" s="120"/>
      <c r="Z207" s="120"/>
    </row>
    <row r="208" spans="1:26" ht="12" customHeight="1">
      <c r="A208" s="140"/>
      <c r="B208" s="120"/>
      <c r="C208" s="120"/>
      <c r="D208" s="120"/>
      <c r="E208" s="120"/>
      <c r="F208" s="120"/>
      <c r="G208" s="120"/>
      <c r="H208" s="120"/>
      <c r="I208" s="120"/>
      <c r="J208" s="120"/>
      <c r="K208" s="120"/>
      <c r="L208" s="120"/>
      <c r="M208" s="120"/>
      <c r="N208" s="120"/>
      <c r="O208" s="120"/>
      <c r="P208" s="120"/>
      <c r="Q208" s="120"/>
      <c r="R208" s="120"/>
      <c r="S208" s="120"/>
      <c r="T208" s="120"/>
      <c r="U208" s="123"/>
      <c r="V208" s="120"/>
      <c r="W208" s="120"/>
      <c r="X208" s="120"/>
      <c r="Y208" s="120"/>
      <c r="Z208" s="120"/>
    </row>
    <row r="209" spans="1:26" ht="12" customHeight="1">
      <c r="A209" s="140"/>
      <c r="B209" s="120"/>
      <c r="C209" s="120"/>
      <c r="D209" s="120"/>
      <c r="E209" s="120"/>
      <c r="F209" s="120"/>
      <c r="G209" s="120"/>
      <c r="H209" s="120"/>
      <c r="I209" s="120"/>
      <c r="J209" s="120"/>
      <c r="K209" s="120"/>
      <c r="L209" s="120"/>
      <c r="M209" s="120"/>
      <c r="N209" s="120"/>
      <c r="O209" s="120"/>
      <c r="P209" s="120"/>
      <c r="Q209" s="120"/>
      <c r="R209" s="120"/>
      <c r="S209" s="120"/>
      <c r="T209" s="120"/>
      <c r="U209" s="123"/>
      <c r="V209" s="120"/>
      <c r="W209" s="120"/>
      <c r="X209" s="120"/>
      <c r="Y209" s="120"/>
      <c r="Z209" s="120"/>
    </row>
    <row r="210" spans="1:26" ht="12" customHeight="1">
      <c r="A210" s="140"/>
      <c r="B210" s="120"/>
      <c r="C210" s="120"/>
      <c r="D210" s="120"/>
      <c r="E210" s="120"/>
      <c r="F210" s="120"/>
      <c r="G210" s="120"/>
      <c r="H210" s="120"/>
      <c r="I210" s="120"/>
      <c r="J210" s="120"/>
      <c r="K210" s="120"/>
      <c r="L210" s="120"/>
      <c r="M210" s="120"/>
      <c r="N210" s="120"/>
      <c r="O210" s="120"/>
      <c r="P210" s="120"/>
      <c r="Q210" s="120"/>
      <c r="R210" s="120"/>
      <c r="S210" s="120"/>
      <c r="T210" s="120"/>
      <c r="U210" s="123"/>
      <c r="V210" s="120"/>
      <c r="W210" s="120"/>
      <c r="X210" s="120"/>
      <c r="Y210" s="120"/>
      <c r="Z210" s="120"/>
    </row>
    <row r="211" spans="1:26" ht="12" customHeight="1">
      <c r="A211" s="140"/>
      <c r="B211" s="120"/>
      <c r="C211" s="120"/>
      <c r="D211" s="120"/>
      <c r="E211" s="120"/>
      <c r="F211" s="120"/>
      <c r="G211" s="120"/>
      <c r="H211" s="120"/>
      <c r="I211" s="120"/>
      <c r="J211" s="120"/>
      <c r="K211" s="120"/>
      <c r="L211" s="120"/>
      <c r="M211" s="120"/>
      <c r="N211" s="120"/>
      <c r="O211" s="120"/>
      <c r="P211" s="120"/>
      <c r="Q211" s="120"/>
      <c r="R211" s="120"/>
      <c r="S211" s="120"/>
      <c r="T211" s="120"/>
      <c r="U211" s="123"/>
      <c r="V211" s="120"/>
      <c r="W211" s="120"/>
      <c r="X211" s="120"/>
      <c r="Y211" s="120"/>
      <c r="Z211" s="120"/>
    </row>
    <row r="212" spans="1:26" ht="12" customHeight="1">
      <c r="A212" s="140"/>
      <c r="B212" s="120"/>
      <c r="C212" s="120"/>
      <c r="D212" s="120"/>
      <c r="E212" s="120"/>
      <c r="F212" s="120"/>
      <c r="G212" s="120"/>
      <c r="H212" s="120"/>
      <c r="I212" s="120"/>
      <c r="J212" s="120"/>
      <c r="K212" s="120"/>
      <c r="L212" s="120"/>
      <c r="M212" s="120"/>
      <c r="N212" s="120"/>
      <c r="O212" s="120"/>
      <c r="P212" s="120"/>
      <c r="Q212" s="120"/>
      <c r="R212" s="120"/>
      <c r="S212" s="120"/>
      <c r="T212" s="120"/>
      <c r="U212" s="123"/>
      <c r="V212" s="120"/>
      <c r="W212" s="120"/>
      <c r="X212" s="120"/>
      <c r="Y212" s="120"/>
      <c r="Z212" s="120"/>
    </row>
    <row r="213" spans="1:26" ht="12" customHeight="1">
      <c r="A213" s="140"/>
      <c r="B213" s="120"/>
      <c r="C213" s="120"/>
      <c r="D213" s="120"/>
      <c r="E213" s="120"/>
      <c r="F213" s="120"/>
      <c r="G213" s="120"/>
      <c r="H213" s="120"/>
      <c r="I213" s="120"/>
      <c r="J213" s="120"/>
      <c r="K213" s="120"/>
      <c r="L213" s="120"/>
      <c r="M213" s="120"/>
      <c r="N213" s="120"/>
      <c r="O213" s="120"/>
      <c r="P213" s="120"/>
      <c r="Q213" s="120"/>
      <c r="R213" s="120"/>
      <c r="S213" s="120"/>
      <c r="T213" s="120"/>
      <c r="U213" s="123"/>
      <c r="V213" s="120"/>
      <c r="W213" s="120"/>
      <c r="X213" s="120"/>
      <c r="Y213" s="120"/>
      <c r="Z213" s="120"/>
    </row>
    <row r="214" spans="1:26" ht="12" customHeight="1">
      <c r="A214" s="140"/>
      <c r="B214" s="120"/>
      <c r="C214" s="120"/>
      <c r="D214" s="120"/>
      <c r="E214" s="120"/>
      <c r="F214" s="120"/>
      <c r="G214" s="120"/>
      <c r="H214" s="120"/>
      <c r="I214" s="120"/>
      <c r="J214" s="120"/>
      <c r="K214" s="120"/>
      <c r="L214" s="120"/>
      <c r="M214" s="120"/>
      <c r="N214" s="120"/>
      <c r="O214" s="120"/>
      <c r="P214" s="120"/>
      <c r="Q214" s="120"/>
      <c r="R214" s="120"/>
      <c r="S214" s="120"/>
      <c r="T214" s="120"/>
      <c r="U214" s="123"/>
      <c r="V214" s="120"/>
      <c r="W214" s="120"/>
      <c r="X214" s="120"/>
      <c r="Y214" s="120"/>
      <c r="Z214" s="120"/>
    </row>
    <row r="215" spans="1:26" ht="12" customHeight="1">
      <c r="A215" s="140"/>
      <c r="B215" s="120"/>
      <c r="C215" s="120"/>
      <c r="D215" s="120"/>
      <c r="E215" s="120"/>
      <c r="F215" s="120"/>
      <c r="G215" s="120"/>
      <c r="H215" s="120"/>
      <c r="I215" s="120"/>
      <c r="J215" s="120"/>
      <c r="K215" s="120"/>
      <c r="L215" s="120"/>
      <c r="M215" s="120"/>
      <c r="N215" s="120"/>
      <c r="O215" s="120"/>
      <c r="P215" s="120"/>
      <c r="Q215" s="120"/>
      <c r="R215" s="120"/>
      <c r="S215" s="120"/>
      <c r="T215" s="120"/>
      <c r="U215" s="123"/>
      <c r="V215" s="120"/>
      <c r="W215" s="120"/>
      <c r="X215" s="120"/>
      <c r="Y215" s="120"/>
      <c r="Z215" s="120"/>
    </row>
    <row r="216" spans="1:26" ht="12" customHeight="1">
      <c r="A216" s="140"/>
      <c r="B216" s="120"/>
      <c r="C216" s="120"/>
      <c r="D216" s="120"/>
      <c r="E216" s="120"/>
      <c r="F216" s="120"/>
      <c r="G216" s="120"/>
      <c r="H216" s="120"/>
      <c r="I216" s="120"/>
      <c r="J216" s="120"/>
      <c r="K216" s="120"/>
      <c r="L216" s="120"/>
      <c r="M216" s="120"/>
      <c r="N216" s="120"/>
      <c r="O216" s="120"/>
      <c r="P216" s="120"/>
      <c r="Q216" s="120"/>
      <c r="R216" s="120"/>
      <c r="S216" s="120"/>
      <c r="T216" s="120"/>
      <c r="U216" s="123"/>
      <c r="V216" s="120"/>
      <c r="W216" s="120"/>
      <c r="X216" s="120"/>
      <c r="Y216" s="120"/>
      <c r="Z216" s="120"/>
    </row>
    <row r="217" spans="1:26" ht="12" customHeight="1">
      <c r="A217" s="140"/>
      <c r="B217" s="120"/>
      <c r="C217" s="120"/>
      <c r="D217" s="120"/>
      <c r="E217" s="120"/>
      <c r="F217" s="120"/>
      <c r="G217" s="120"/>
      <c r="H217" s="120"/>
      <c r="I217" s="120"/>
      <c r="J217" s="120"/>
      <c r="K217" s="120"/>
      <c r="L217" s="120"/>
      <c r="M217" s="120"/>
      <c r="N217" s="120"/>
      <c r="O217" s="120"/>
      <c r="P217" s="120"/>
      <c r="Q217" s="120"/>
      <c r="R217" s="120"/>
      <c r="S217" s="120"/>
      <c r="T217" s="120"/>
      <c r="U217" s="123"/>
      <c r="V217" s="120"/>
      <c r="W217" s="120"/>
      <c r="X217" s="120"/>
      <c r="Y217" s="120"/>
      <c r="Z217" s="120"/>
    </row>
    <row r="218" spans="1:26" ht="12" customHeight="1">
      <c r="A218" s="140"/>
      <c r="B218" s="120"/>
      <c r="C218" s="120"/>
      <c r="D218" s="120"/>
      <c r="E218" s="120"/>
      <c r="F218" s="120"/>
      <c r="G218" s="120"/>
      <c r="H218" s="120"/>
      <c r="I218" s="120"/>
      <c r="J218" s="120"/>
      <c r="K218" s="120"/>
      <c r="L218" s="120"/>
      <c r="M218" s="120"/>
      <c r="N218" s="120"/>
      <c r="O218" s="120"/>
      <c r="P218" s="120"/>
      <c r="Q218" s="120"/>
      <c r="R218" s="120"/>
      <c r="S218" s="120"/>
      <c r="T218" s="120"/>
      <c r="U218" s="123"/>
      <c r="V218" s="120"/>
      <c r="W218" s="120"/>
      <c r="X218" s="120"/>
      <c r="Y218" s="120"/>
      <c r="Z218" s="120"/>
    </row>
    <row r="219" spans="1:26" ht="12" customHeight="1">
      <c r="A219" s="140"/>
      <c r="B219" s="120"/>
      <c r="C219" s="120"/>
      <c r="D219" s="120"/>
      <c r="E219" s="120"/>
      <c r="F219" s="120"/>
      <c r="G219" s="120"/>
      <c r="H219" s="120"/>
      <c r="I219" s="120"/>
      <c r="J219" s="120"/>
      <c r="K219" s="120"/>
      <c r="L219" s="120"/>
      <c r="M219" s="120"/>
      <c r="N219" s="120"/>
      <c r="O219" s="120"/>
      <c r="P219" s="120"/>
      <c r="Q219" s="120"/>
      <c r="R219" s="120"/>
      <c r="S219" s="120"/>
      <c r="T219" s="120"/>
      <c r="U219" s="123"/>
      <c r="V219" s="120"/>
      <c r="W219" s="120"/>
      <c r="X219" s="120"/>
      <c r="Y219" s="120"/>
      <c r="Z219" s="120"/>
    </row>
    <row r="220" spans="1:26" ht="12" customHeight="1">
      <c r="A220" s="140"/>
      <c r="B220" s="120"/>
      <c r="C220" s="120"/>
      <c r="D220" s="120"/>
      <c r="E220" s="120"/>
      <c r="F220" s="120"/>
      <c r="G220" s="120"/>
      <c r="H220" s="120"/>
      <c r="I220" s="120"/>
      <c r="J220" s="120"/>
      <c r="K220" s="120"/>
      <c r="L220" s="120"/>
      <c r="M220" s="120"/>
      <c r="N220" s="120"/>
      <c r="O220" s="120"/>
      <c r="P220" s="120"/>
      <c r="Q220" s="120"/>
      <c r="R220" s="120"/>
      <c r="S220" s="120"/>
      <c r="T220" s="120"/>
      <c r="U220" s="123"/>
      <c r="V220" s="120"/>
      <c r="W220" s="120"/>
      <c r="X220" s="120"/>
      <c r="Y220" s="120"/>
      <c r="Z220" s="120"/>
    </row>
    <row r="221" spans="1:26" ht="12" customHeight="1">
      <c r="A221" s="140"/>
      <c r="B221" s="120"/>
      <c r="C221" s="120"/>
      <c r="D221" s="120"/>
      <c r="E221" s="120"/>
      <c r="F221" s="120"/>
      <c r="G221" s="120"/>
      <c r="H221" s="120"/>
      <c r="I221" s="120"/>
      <c r="J221" s="120"/>
      <c r="K221" s="120"/>
      <c r="L221" s="120"/>
      <c r="M221" s="120"/>
      <c r="N221" s="120"/>
      <c r="O221" s="120"/>
      <c r="P221" s="120"/>
      <c r="Q221" s="120"/>
      <c r="R221" s="120"/>
      <c r="S221" s="120"/>
      <c r="T221" s="120"/>
      <c r="U221" s="123"/>
      <c r="V221" s="120"/>
      <c r="W221" s="120"/>
      <c r="X221" s="120"/>
      <c r="Y221" s="120"/>
      <c r="Z221" s="120"/>
    </row>
    <row r="222" spans="1:26" ht="12" customHeight="1">
      <c r="A222" s="140"/>
      <c r="B222" s="120"/>
      <c r="C222" s="120"/>
      <c r="D222" s="120"/>
      <c r="E222" s="120"/>
      <c r="F222" s="120"/>
      <c r="G222" s="120"/>
      <c r="H222" s="120"/>
      <c r="I222" s="120"/>
      <c r="J222" s="120"/>
      <c r="K222" s="120"/>
      <c r="L222" s="120"/>
      <c r="M222" s="120"/>
      <c r="N222" s="120"/>
      <c r="O222" s="120"/>
      <c r="P222" s="120"/>
      <c r="Q222" s="120"/>
      <c r="R222" s="120"/>
      <c r="S222" s="120"/>
      <c r="T222" s="120"/>
      <c r="U222" s="123"/>
      <c r="V222" s="120"/>
      <c r="W222" s="120"/>
      <c r="X222" s="120"/>
      <c r="Y222" s="120"/>
      <c r="Z222" s="120"/>
    </row>
    <row r="223" spans="1:26" ht="12" customHeight="1">
      <c r="A223" s="140"/>
      <c r="B223" s="120"/>
      <c r="C223" s="120"/>
      <c r="D223" s="120"/>
      <c r="E223" s="120"/>
      <c r="F223" s="120"/>
      <c r="G223" s="120"/>
      <c r="H223" s="120"/>
      <c r="I223" s="120"/>
      <c r="J223" s="120"/>
      <c r="K223" s="120"/>
      <c r="L223" s="120"/>
      <c r="M223" s="120"/>
      <c r="N223" s="120"/>
      <c r="O223" s="120"/>
      <c r="P223" s="120"/>
      <c r="Q223" s="120"/>
      <c r="R223" s="120"/>
      <c r="S223" s="120"/>
      <c r="T223" s="120"/>
      <c r="U223" s="123"/>
      <c r="V223" s="120"/>
      <c r="W223" s="120"/>
      <c r="X223" s="120"/>
      <c r="Y223" s="120"/>
      <c r="Z223" s="120"/>
    </row>
    <row r="224" spans="1:26" ht="12" customHeight="1">
      <c r="A224" s="140"/>
      <c r="B224" s="120"/>
      <c r="C224" s="120"/>
      <c r="D224" s="120"/>
      <c r="E224" s="120"/>
      <c r="F224" s="120"/>
      <c r="G224" s="120"/>
      <c r="H224" s="120"/>
      <c r="I224" s="120"/>
      <c r="J224" s="120"/>
      <c r="K224" s="120"/>
      <c r="L224" s="120"/>
      <c r="M224" s="120"/>
      <c r="N224" s="120"/>
      <c r="O224" s="120"/>
      <c r="P224" s="120"/>
      <c r="Q224" s="120"/>
      <c r="R224" s="120"/>
      <c r="S224" s="120"/>
      <c r="T224" s="120"/>
      <c r="U224" s="123"/>
      <c r="V224" s="120"/>
      <c r="W224" s="120"/>
      <c r="X224" s="120"/>
      <c r="Y224" s="120"/>
      <c r="Z224" s="120"/>
    </row>
    <row r="225" spans="1:26" ht="12" customHeight="1">
      <c r="A225" s="140"/>
      <c r="B225" s="120"/>
      <c r="C225" s="120"/>
      <c r="D225" s="120"/>
      <c r="E225" s="120"/>
      <c r="F225" s="120"/>
      <c r="G225" s="120"/>
      <c r="H225" s="120"/>
      <c r="I225" s="120"/>
      <c r="J225" s="120"/>
      <c r="K225" s="120"/>
      <c r="L225" s="120"/>
      <c r="M225" s="120"/>
      <c r="N225" s="120"/>
      <c r="O225" s="120"/>
      <c r="P225" s="120"/>
      <c r="Q225" s="120"/>
      <c r="R225" s="120"/>
      <c r="S225" s="120"/>
      <c r="T225" s="120"/>
      <c r="U225" s="123"/>
      <c r="V225" s="120"/>
      <c r="W225" s="120"/>
      <c r="X225" s="120"/>
      <c r="Y225" s="120"/>
      <c r="Z225" s="120"/>
    </row>
    <row r="226" spans="1:26" ht="12" customHeight="1">
      <c r="A226" s="140"/>
      <c r="B226" s="120"/>
      <c r="C226" s="120"/>
      <c r="D226" s="120"/>
      <c r="E226" s="120"/>
      <c r="F226" s="120"/>
      <c r="G226" s="120"/>
      <c r="H226" s="120"/>
      <c r="I226" s="120"/>
      <c r="J226" s="120"/>
      <c r="K226" s="120"/>
      <c r="L226" s="120"/>
      <c r="M226" s="120"/>
      <c r="N226" s="120"/>
      <c r="O226" s="120"/>
      <c r="P226" s="120"/>
      <c r="Q226" s="120"/>
      <c r="R226" s="120"/>
      <c r="S226" s="120"/>
      <c r="T226" s="120"/>
      <c r="U226" s="123"/>
      <c r="V226" s="120"/>
      <c r="W226" s="120"/>
      <c r="X226" s="120"/>
      <c r="Y226" s="120"/>
      <c r="Z226" s="120"/>
    </row>
    <row r="227" spans="1:26" ht="12" customHeight="1">
      <c r="A227" s="140"/>
      <c r="B227" s="120"/>
      <c r="C227" s="120"/>
      <c r="D227" s="120"/>
      <c r="E227" s="120"/>
      <c r="F227" s="120"/>
      <c r="G227" s="120"/>
      <c r="H227" s="120"/>
      <c r="I227" s="120"/>
      <c r="J227" s="120"/>
      <c r="K227" s="120"/>
      <c r="L227" s="120"/>
      <c r="M227" s="120"/>
      <c r="N227" s="120"/>
      <c r="O227" s="120"/>
      <c r="P227" s="120"/>
      <c r="Q227" s="120"/>
      <c r="R227" s="120"/>
      <c r="S227" s="120"/>
      <c r="T227" s="120"/>
      <c r="U227" s="123"/>
      <c r="V227" s="120"/>
      <c r="W227" s="120"/>
      <c r="X227" s="120"/>
      <c r="Y227" s="120"/>
      <c r="Z227" s="120"/>
    </row>
    <row r="228" spans="1:26" ht="12" customHeight="1">
      <c r="A228" s="140"/>
      <c r="B228" s="120"/>
      <c r="C228" s="120"/>
      <c r="D228" s="120"/>
      <c r="E228" s="120"/>
      <c r="F228" s="120"/>
      <c r="G228" s="120"/>
      <c r="H228" s="120"/>
      <c r="I228" s="120"/>
      <c r="J228" s="120"/>
      <c r="K228" s="120"/>
      <c r="L228" s="120"/>
      <c r="M228" s="120"/>
      <c r="N228" s="120"/>
      <c r="O228" s="120"/>
      <c r="P228" s="120"/>
      <c r="Q228" s="120"/>
      <c r="R228" s="120"/>
      <c r="S228" s="120"/>
      <c r="T228" s="120"/>
      <c r="U228" s="123"/>
      <c r="V228" s="120"/>
      <c r="W228" s="120"/>
      <c r="X228" s="120"/>
      <c r="Y228" s="120"/>
      <c r="Z228" s="120"/>
    </row>
    <row r="229" spans="1:26" ht="12" customHeight="1">
      <c r="A229" s="140"/>
      <c r="B229" s="120"/>
      <c r="C229" s="120"/>
      <c r="D229" s="120"/>
      <c r="E229" s="120"/>
      <c r="F229" s="120"/>
      <c r="G229" s="120"/>
      <c r="H229" s="120"/>
      <c r="I229" s="120"/>
      <c r="J229" s="120"/>
      <c r="K229" s="120"/>
      <c r="L229" s="120"/>
      <c r="M229" s="120"/>
      <c r="N229" s="120"/>
      <c r="O229" s="120"/>
      <c r="P229" s="120"/>
      <c r="Q229" s="120"/>
      <c r="R229" s="120"/>
      <c r="S229" s="120"/>
      <c r="T229" s="120"/>
      <c r="U229" s="123"/>
      <c r="V229" s="120"/>
      <c r="W229" s="120"/>
      <c r="X229" s="120"/>
      <c r="Y229" s="120"/>
      <c r="Z229" s="120"/>
    </row>
    <row r="230" spans="1:26" ht="12" customHeight="1">
      <c r="A230" s="140"/>
      <c r="B230" s="120"/>
      <c r="C230" s="120"/>
      <c r="D230" s="120"/>
      <c r="E230" s="120"/>
      <c r="F230" s="120"/>
      <c r="G230" s="120"/>
      <c r="H230" s="120"/>
      <c r="I230" s="120"/>
      <c r="J230" s="120"/>
      <c r="K230" s="120"/>
      <c r="L230" s="120"/>
      <c r="M230" s="120"/>
      <c r="N230" s="120"/>
      <c r="O230" s="120"/>
      <c r="P230" s="120"/>
      <c r="Q230" s="120"/>
      <c r="R230" s="120"/>
      <c r="S230" s="120"/>
      <c r="T230" s="120"/>
      <c r="U230" s="123"/>
      <c r="V230" s="120"/>
      <c r="W230" s="120"/>
      <c r="X230" s="120"/>
      <c r="Y230" s="120"/>
      <c r="Z230" s="120"/>
    </row>
    <row r="231" spans="1:26" ht="12" customHeight="1">
      <c r="A231" s="140"/>
      <c r="B231" s="120"/>
      <c r="C231" s="120"/>
      <c r="D231" s="120"/>
      <c r="E231" s="120"/>
      <c r="F231" s="120"/>
      <c r="G231" s="120"/>
      <c r="H231" s="120"/>
      <c r="I231" s="120"/>
      <c r="J231" s="120"/>
      <c r="K231" s="120"/>
      <c r="L231" s="120"/>
      <c r="M231" s="120"/>
      <c r="N231" s="120"/>
      <c r="O231" s="120"/>
      <c r="P231" s="120"/>
      <c r="Q231" s="120"/>
      <c r="R231" s="120"/>
      <c r="S231" s="120"/>
      <c r="T231" s="120"/>
      <c r="U231" s="123"/>
      <c r="V231" s="120"/>
      <c r="W231" s="120"/>
      <c r="X231" s="120"/>
      <c r="Y231" s="120"/>
      <c r="Z231" s="120"/>
    </row>
    <row r="232" spans="1:26" ht="12" customHeight="1">
      <c r="A232" s="140"/>
      <c r="B232" s="120"/>
      <c r="C232" s="120"/>
      <c r="D232" s="120"/>
      <c r="E232" s="120"/>
      <c r="F232" s="120"/>
      <c r="G232" s="120"/>
      <c r="H232" s="120"/>
      <c r="I232" s="120"/>
      <c r="J232" s="120"/>
      <c r="K232" s="120"/>
      <c r="L232" s="120"/>
      <c r="M232" s="120"/>
      <c r="N232" s="120"/>
      <c r="O232" s="120"/>
      <c r="P232" s="120"/>
      <c r="Q232" s="120"/>
      <c r="R232" s="120"/>
      <c r="S232" s="120"/>
      <c r="T232" s="120"/>
      <c r="U232" s="123"/>
      <c r="V232" s="120"/>
      <c r="W232" s="120"/>
      <c r="X232" s="120"/>
      <c r="Y232" s="120"/>
      <c r="Z232" s="120"/>
    </row>
    <row r="233" spans="1:26" ht="12" customHeight="1">
      <c r="A233" s="140"/>
      <c r="B233" s="120"/>
      <c r="C233" s="120"/>
      <c r="D233" s="120"/>
      <c r="E233" s="120"/>
      <c r="F233" s="120"/>
      <c r="G233" s="120"/>
      <c r="H233" s="120"/>
      <c r="I233" s="120"/>
      <c r="J233" s="120"/>
      <c r="K233" s="120"/>
      <c r="L233" s="120"/>
      <c r="M233" s="120"/>
      <c r="N233" s="120"/>
      <c r="O233" s="120"/>
      <c r="P233" s="120"/>
      <c r="Q233" s="120"/>
      <c r="R233" s="120"/>
      <c r="S233" s="120"/>
      <c r="T233" s="120"/>
      <c r="U233" s="123"/>
      <c r="V233" s="120"/>
      <c r="W233" s="120"/>
      <c r="X233" s="120"/>
      <c r="Y233" s="120"/>
      <c r="Z233" s="120"/>
    </row>
    <row r="234" spans="1:26" ht="12" customHeight="1">
      <c r="A234" s="140"/>
      <c r="B234" s="120"/>
      <c r="C234" s="120"/>
      <c r="D234" s="120"/>
      <c r="E234" s="120"/>
      <c r="F234" s="120"/>
      <c r="G234" s="120"/>
      <c r="H234" s="120"/>
      <c r="I234" s="120"/>
      <c r="J234" s="120"/>
      <c r="K234" s="120"/>
      <c r="L234" s="120"/>
      <c r="M234" s="120"/>
      <c r="N234" s="120"/>
      <c r="O234" s="120"/>
      <c r="P234" s="120"/>
      <c r="Q234" s="120"/>
      <c r="R234" s="120"/>
      <c r="S234" s="120"/>
      <c r="T234" s="120"/>
      <c r="U234" s="123"/>
      <c r="V234" s="120"/>
      <c r="W234" s="120"/>
      <c r="X234" s="120"/>
      <c r="Y234" s="120"/>
      <c r="Z234" s="120"/>
    </row>
    <row r="235" spans="1:26" ht="12" customHeight="1">
      <c r="A235" s="140"/>
      <c r="B235" s="120"/>
      <c r="C235" s="120"/>
      <c r="D235" s="120"/>
      <c r="E235" s="120"/>
      <c r="F235" s="120"/>
      <c r="G235" s="120"/>
      <c r="H235" s="120"/>
      <c r="I235" s="120"/>
      <c r="J235" s="120"/>
      <c r="K235" s="120"/>
      <c r="L235" s="120"/>
      <c r="M235" s="120"/>
      <c r="N235" s="120"/>
      <c r="O235" s="120"/>
      <c r="P235" s="120"/>
      <c r="Q235" s="120"/>
      <c r="R235" s="120"/>
      <c r="S235" s="120"/>
      <c r="T235" s="120"/>
      <c r="U235" s="123"/>
      <c r="V235" s="120"/>
      <c r="W235" s="120"/>
      <c r="X235" s="120"/>
      <c r="Y235" s="120"/>
      <c r="Z235" s="120"/>
    </row>
    <row r="236" spans="1:26" ht="12" customHeight="1">
      <c r="A236" s="140"/>
      <c r="B236" s="120"/>
      <c r="C236" s="120"/>
      <c r="D236" s="120"/>
      <c r="E236" s="120"/>
      <c r="F236" s="120"/>
      <c r="G236" s="120"/>
      <c r="H236" s="120"/>
      <c r="I236" s="120"/>
      <c r="J236" s="120"/>
      <c r="K236" s="120"/>
      <c r="L236" s="120"/>
      <c r="M236" s="120"/>
      <c r="N236" s="120"/>
      <c r="O236" s="120"/>
      <c r="P236" s="120"/>
      <c r="Q236" s="120"/>
      <c r="R236" s="120"/>
      <c r="S236" s="120"/>
      <c r="T236" s="120"/>
      <c r="U236" s="123"/>
      <c r="V236" s="120"/>
      <c r="W236" s="120"/>
      <c r="X236" s="120"/>
      <c r="Y236" s="120"/>
      <c r="Z236" s="120"/>
    </row>
    <row r="237" spans="1:26" ht="12" customHeight="1">
      <c r="A237" s="140"/>
      <c r="B237" s="120"/>
      <c r="C237" s="120"/>
      <c r="D237" s="120"/>
      <c r="E237" s="120"/>
      <c r="F237" s="120"/>
      <c r="G237" s="120"/>
      <c r="H237" s="120"/>
      <c r="I237" s="120"/>
      <c r="J237" s="120"/>
      <c r="K237" s="120"/>
      <c r="L237" s="120"/>
      <c r="M237" s="120"/>
      <c r="N237" s="120"/>
      <c r="O237" s="120"/>
      <c r="P237" s="120"/>
      <c r="Q237" s="120"/>
      <c r="R237" s="120"/>
      <c r="S237" s="120"/>
      <c r="T237" s="120"/>
      <c r="U237" s="123"/>
      <c r="V237" s="120"/>
      <c r="W237" s="120"/>
      <c r="X237" s="120"/>
      <c r="Y237" s="120"/>
      <c r="Z237" s="120"/>
    </row>
    <row r="238" spans="1:26" ht="12" customHeight="1">
      <c r="A238" s="140"/>
      <c r="B238" s="120"/>
      <c r="C238" s="120"/>
      <c r="D238" s="120"/>
      <c r="E238" s="120"/>
      <c r="F238" s="120"/>
      <c r="G238" s="120"/>
      <c r="H238" s="120"/>
      <c r="I238" s="120"/>
      <c r="J238" s="120"/>
      <c r="K238" s="120"/>
      <c r="L238" s="120"/>
      <c r="M238" s="120"/>
      <c r="N238" s="120"/>
      <c r="O238" s="120"/>
      <c r="P238" s="120"/>
      <c r="Q238" s="120"/>
      <c r="R238" s="120"/>
      <c r="S238" s="120"/>
      <c r="T238" s="120"/>
      <c r="U238" s="123"/>
      <c r="V238" s="120"/>
      <c r="W238" s="120"/>
      <c r="X238" s="120"/>
      <c r="Y238" s="120"/>
      <c r="Z238" s="120"/>
    </row>
    <row r="239" spans="1:26" ht="12" customHeight="1">
      <c r="A239" s="140"/>
      <c r="B239" s="120"/>
      <c r="C239" s="120"/>
      <c r="D239" s="120"/>
      <c r="E239" s="120"/>
      <c r="F239" s="120"/>
      <c r="G239" s="120"/>
      <c r="H239" s="120"/>
      <c r="I239" s="120"/>
      <c r="J239" s="120"/>
      <c r="K239" s="120"/>
      <c r="L239" s="120"/>
      <c r="M239" s="120"/>
      <c r="N239" s="120"/>
      <c r="O239" s="120"/>
      <c r="P239" s="120"/>
      <c r="Q239" s="120"/>
      <c r="R239" s="120"/>
      <c r="S239" s="120"/>
      <c r="T239" s="120"/>
      <c r="U239" s="123"/>
      <c r="V239" s="120"/>
      <c r="W239" s="120"/>
      <c r="X239" s="120"/>
      <c r="Y239" s="120"/>
      <c r="Z239" s="120"/>
    </row>
    <row r="240" spans="1:26" ht="12" customHeight="1">
      <c r="A240" s="140"/>
      <c r="B240" s="120"/>
      <c r="C240" s="120"/>
      <c r="D240" s="120"/>
      <c r="E240" s="120"/>
      <c r="F240" s="120"/>
      <c r="G240" s="120"/>
      <c r="H240" s="120"/>
      <c r="I240" s="120"/>
      <c r="J240" s="120"/>
      <c r="K240" s="120"/>
      <c r="L240" s="120"/>
      <c r="M240" s="120"/>
      <c r="N240" s="120"/>
      <c r="O240" s="120"/>
      <c r="P240" s="120"/>
      <c r="Q240" s="120"/>
      <c r="R240" s="120"/>
      <c r="S240" s="120"/>
      <c r="T240" s="120"/>
      <c r="U240" s="123"/>
      <c r="V240" s="120"/>
      <c r="W240" s="120"/>
      <c r="X240" s="120"/>
      <c r="Y240" s="120"/>
      <c r="Z240" s="120"/>
    </row>
    <row r="241" spans="1:26" ht="12" customHeight="1">
      <c r="A241" s="140"/>
      <c r="B241" s="120"/>
      <c r="C241" s="120"/>
      <c r="D241" s="120"/>
      <c r="E241" s="120"/>
      <c r="F241" s="120"/>
      <c r="G241" s="120"/>
      <c r="H241" s="120"/>
      <c r="I241" s="120"/>
      <c r="J241" s="120"/>
      <c r="K241" s="120"/>
      <c r="L241" s="120"/>
      <c r="M241" s="120"/>
      <c r="N241" s="120"/>
      <c r="O241" s="120"/>
      <c r="P241" s="120"/>
      <c r="Q241" s="120"/>
      <c r="R241" s="120"/>
      <c r="S241" s="120"/>
      <c r="T241" s="120"/>
      <c r="U241" s="123"/>
      <c r="V241" s="120"/>
      <c r="W241" s="120"/>
      <c r="X241" s="120"/>
      <c r="Y241" s="120"/>
      <c r="Z241" s="120"/>
    </row>
    <row r="242" spans="1:26" ht="12" customHeight="1">
      <c r="A242" s="140"/>
      <c r="B242" s="120"/>
      <c r="C242" s="120"/>
      <c r="D242" s="120"/>
      <c r="E242" s="120"/>
      <c r="F242" s="120"/>
      <c r="G242" s="120"/>
      <c r="H242" s="120"/>
      <c r="I242" s="120"/>
      <c r="J242" s="120"/>
      <c r="K242" s="120"/>
      <c r="L242" s="120"/>
      <c r="M242" s="120"/>
      <c r="N242" s="120"/>
      <c r="O242" s="120"/>
      <c r="P242" s="120"/>
      <c r="Q242" s="120"/>
      <c r="R242" s="120"/>
      <c r="S242" s="120"/>
      <c r="T242" s="120"/>
      <c r="U242" s="123"/>
      <c r="V242" s="120"/>
      <c r="W242" s="120"/>
      <c r="X242" s="120"/>
      <c r="Y242" s="120"/>
      <c r="Z242" s="120"/>
    </row>
    <row r="243" spans="1:26" ht="12" customHeight="1">
      <c r="A243" s="140"/>
      <c r="B243" s="120"/>
      <c r="C243" s="120"/>
      <c r="D243" s="120"/>
      <c r="E243" s="120"/>
      <c r="F243" s="120"/>
      <c r="G243" s="120"/>
      <c r="H243" s="120"/>
      <c r="I243" s="120"/>
      <c r="J243" s="120"/>
      <c r="K243" s="120"/>
      <c r="L243" s="120"/>
      <c r="M243" s="120"/>
      <c r="N243" s="120"/>
      <c r="O243" s="120"/>
      <c r="P243" s="120"/>
      <c r="Q243" s="120"/>
      <c r="R243" s="120"/>
      <c r="S243" s="120"/>
      <c r="T243" s="120"/>
      <c r="U243" s="123"/>
      <c r="V243" s="120"/>
      <c r="W243" s="120"/>
      <c r="X243" s="120"/>
      <c r="Y243" s="120"/>
      <c r="Z243" s="120"/>
    </row>
    <row r="244" spans="1:26" ht="12" customHeight="1">
      <c r="A244" s="140"/>
      <c r="B244" s="120"/>
      <c r="C244" s="120"/>
      <c r="D244" s="120"/>
      <c r="E244" s="120"/>
      <c r="F244" s="120"/>
      <c r="G244" s="120"/>
      <c r="H244" s="120"/>
      <c r="I244" s="120"/>
      <c r="J244" s="120"/>
      <c r="K244" s="120"/>
      <c r="L244" s="120"/>
      <c r="M244" s="120"/>
      <c r="N244" s="120"/>
      <c r="O244" s="120"/>
      <c r="P244" s="120"/>
      <c r="Q244" s="120"/>
      <c r="R244" s="120"/>
      <c r="S244" s="120"/>
      <c r="T244" s="120"/>
      <c r="U244" s="123"/>
      <c r="V244" s="120"/>
      <c r="W244" s="120"/>
      <c r="X244" s="120"/>
      <c r="Y244" s="120"/>
      <c r="Z244" s="120"/>
    </row>
    <row r="245" spans="1:26" ht="12" customHeight="1">
      <c r="A245" s="140"/>
      <c r="B245" s="120"/>
      <c r="C245" s="120"/>
      <c r="D245" s="120"/>
      <c r="E245" s="120"/>
      <c r="F245" s="120"/>
      <c r="G245" s="120"/>
      <c r="H245" s="120"/>
      <c r="I245" s="120"/>
      <c r="J245" s="120"/>
      <c r="K245" s="120"/>
      <c r="L245" s="120"/>
      <c r="M245" s="120"/>
      <c r="N245" s="120"/>
      <c r="O245" s="120"/>
      <c r="P245" s="120"/>
      <c r="Q245" s="120"/>
      <c r="R245" s="120"/>
      <c r="S245" s="120"/>
      <c r="T245" s="120"/>
      <c r="U245" s="123"/>
      <c r="V245" s="120"/>
      <c r="W245" s="120"/>
      <c r="X245" s="120"/>
      <c r="Y245" s="120"/>
      <c r="Z245" s="120"/>
    </row>
    <row r="246" spans="1:26" ht="12" customHeight="1">
      <c r="A246" s="140"/>
      <c r="B246" s="120"/>
      <c r="C246" s="120"/>
      <c r="D246" s="120"/>
      <c r="E246" s="120"/>
      <c r="F246" s="120"/>
      <c r="G246" s="120"/>
      <c r="H246" s="120"/>
      <c r="I246" s="120"/>
      <c r="J246" s="120"/>
      <c r="K246" s="120"/>
      <c r="L246" s="120"/>
      <c r="M246" s="120"/>
      <c r="N246" s="120"/>
      <c r="O246" s="120"/>
      <c r="P246" s="120"/>
      <c r="Q246" s="120"/>
      <c r="R246" s="120"/>
      <c r="S246" s="120"/>
      <c r="T246" s="120"/>
      <c r="U246" s="123"/>
      <c r="V246" s="120"/>
      <c r="W246" s="120"/>
      <c r="X246" s="120"/>
      <c r="Y246" s="120"/>
      <c r="Z246" s="120"/>
    </row>
    <row r="247" spans="1:26" ht="12" customHeight="1">
      <c r="A247" s="140"/>
      <c r="B247" s="120"/>
      <c r="C247" s="120"/>
      <c r="D247" s="120"/>
      <c r="E247" s="120"/>
      <c r="F247" s="120"/>
      <c r="G247" s="120"/>
      <c r="H247" s="120"/>
      <c r="I247" s="120"/>
      <c r="J247" s="120"/>
      <c r="K247" s="120"/>
      <c r="L247" s="120"/>
      <c r="M247" s="120"/>
      <c r="N247" s="120"/>
      <c r="O247" s="120"/>
      <c r="P247" s="120"/>
      <c r="Q247" s="120"/>
      <c r="R247" s="120"/>
      <c r="S247" s="120"/>
      <c r="T247" s="120"/>
      <c r="U247" s="123"/>
      <c r="V247" s="120"/>
      <c r="W247" s="120"/>
      <c r="X247" s="120"/>
      <c r="Y247" s="120"/>
      <c r="Z247" s="120"/>
    </row>
    <row r="248" spans="1:26" ht="12" customHeight="1">
      <c r="A248" s="140"/>
      <c r="B248" s="120"/>
      <c r="C248" s="120"/>
      <c r="D248" s="120"/>
      <c r="E248" s="120"/>
      <c r="F248" s="120"/>
      <c r="G248" s="120"/>
      <c r="H248" s="120"/>
      <c r="I248" s="120"/>
      <c r="J248" s="120"/>
      <c r="K248" s="120"/>
      <c r="L248" s="120"/>
      <c r="M248" s="120"/>
      <c r="N248" s="120"/>
      <c r="O248" s="120"/>
      <c r="P248" s="120"/>
      <c r="Q248" s="120"/>
      <c r="R248" s="120"/>
      <c r="S248" s="120"/>
      <c r="T248" s="120"/>
      <c r="U248" s="123"/>
      <c r="V248" s="120"/>
      <c r="W248" s="120"/>
      <c r="X248" s="120"/>
      <c r="Y248" s="120"/>
      <c r="Z248" s="120"/>
    </row>
    <row r="249" spans="1:26" ht="12" customHeight="1">
      <c r="A249" s="140"/>
      <c r="B249" s="120"/>
      <c r="C249" s="120"/>
      <c r="D249" s="120"/>
      <c r="E249" s="120"/>
      <c r="F249" s="120"/>
      <c r="G249" s="120"/>
      <c r="H249" s="120"/>
      <c r="I249" s="120"/>
      <c r="J249" s="120"/>
      <c r="K249" s="120"/>
      <c r="L249" s="120"/>
      <c r="M249" s="120"/>
      <c r="N249" s="120"/>
      <c r="O249" s="120"/>
      <c r="P249" s="120"/>
      <c r="Q249" s="120"/>
      <c r="R249" s="120"/>
      <c r="S249" s="120"/>
      <c r="T249" s="120"/>
      <c r="U249" s="123"/>
      <c r="V249" s="120"/>
      <c r="W249" s="120"/>
      <c r="X249" s="120"/>
      <c r="Y249" s="120"/>
      <c r="Z249" s="120"/>
    </row>
    <row r="250" spans="1:26" ht="12" customHeight="1">
      <c r="A250" s="140"/>
      <c r="B250" s="120"/>
      <c r="C250" s="120"/>
      <c r="D250" s="120"/>
      <c r="E250" s="120"/>
      <c r="F250" s="120"/>
      <c r="G250" s="120"/>
      <c r="H250" s="120"/>
      <c r="I250" s="120"/>
      <c r="J250" s="120"/>
      <c r="K250" s="120"/>
      <c r="L250" s="120"/>
      <c r="M250" s="120"/>
      <c r="N250" s="120"/>
      <c r="O250" s="120"/>
      <c r="P250" s="120"/>
      <c r="Q250" s="120"/>
      <c r="R250" s="120"/>
      <c r="S250" s="120"/>
      <c r="T250" s="120"/>
      <c r="U250" s="123"/>
      <c r="V250" s="120"/>
      <c r="W250" s="120"/>
      <c r="X250" s="120"/>
      <c r="Y250" s="120"/>
      <c r="Z250" s="120"/>
    </row>
    <row r="251" spans="1:26" ht="12" customHeight="1">
      <c r="A251" s="140"/>
      <c r="B251" s="120"/>
      <c r="C251" s="120"/>
      <c r="D251" s="120"/>
      <c r="E251" s="120"/>
      <c r="F251" s="120"/>
      <c r="G251" s="120"/>
      <c r="H251" s="120"/>
      <c r="I251" s="120"/>
      <c r="J251" s="120"/>
      <c r="K251" s="120"/>
      <c r="L251" s="120"/>
      <c r="M251" s="120"/>
      <c r="N251" s="120"/>
      <c r="O251" s="120"/>
      <c r="P251" s="120"/>
      <c r="Q251" s="120"/>
      <c r="R251" s="120"/>
      <c r="S251" s="120"/>
      <c r="T251" s="120"/>
      <c r="U251" s="123"/>
      <c r="V251" s="120"/>
      <c r="W251" s="120"/>
      <c r="X251" s="120"/>
      <c r="Y251" s="120"/>
      <c r="Z251" s="120"/>
    </row>
    <row r="252" spans="1:26" ht="12" customHeight="1">
      <c r="A252" s="140"/>
      <c r="B252" s="120"/>
      <c r="C252" s="120"/>
      <c r="D252" s="120"/>
      <c r="E252" s="120"/>
      <c r="F252" s="120"/>
      <c r="G252" s="120"/>
      <c r="H252" s="120"/>
      <c r="I252" s="120"/>
      <c r="J252" s="120"/>
      <c r="K252" s="120"/>
      <c r="L252" s="120"/>
      <c r="M252" s="120"/>
      <c r="N252" s="120"/>
      <c r="O252" s="120"/>
      <c r="P252" s="120"/>
      <c r="Q252" s="120"/>
      <c r="R252" s="120"/>
      <c r="S252" s="120"/>
      <c r="T252" s="120"/>
      <c r="U252" s="123"/>
      <c r="V252" s="120"/>
      <c r="W252" s="120"/>
      <c r="X252" s="120"/>
      <c r="Y252" s="120"/>
      <c r="Z252" s="120"/>
    </row>
    <row r="253" spans="1:26" ht="12" customHeight="1">
      <c r="A253" s="140"/>
      <c r="B253" s="120"/>
      <c r="C253" s="120"/>
      <c r="D253" s="120"/>
      <c r="E253" s="120"/>
      <c r="F253" s="120"/>
      <c r="G253" s="120"/>
      <c r="H253" s="120"/>
      <c r="I253" s="120"/>
      <c r="J253" s="120"/>
      <c r="K253" s="120"/>
      <c r="L253" s="120"/>
      <c r="M253" s="120"/>
      <c r="N253" s="120"/>
      <c r="O253" s="120"/>
      <c r="P253" s="120"/>
      <c r="Q253" s="120"/>
      <c r="R253" s="120"/>
      <c r="S253" s="120"/>
      <c r="T253" s="120"/>
      <c r="U253" s="123"/>
      <c r="V253" s="120"/>
      <c r="W253" s="120"/>
      <c r="X253" s="120"/>
      <c r="Y253" s="120"/>
      <c r="Z253" s="120"/>
    </row>
    <row r="254" spans="1:26" ht="12" customHeight="1">
      <c r="A254" s="140"/>
      <c r="B254" s="120"/>
      <c r="C254" s="120"/>
      <c r="D254" s="120"/>
      <c r="E254" s="120"/>
      <c r="F254" s="120"/>
      <c r="G254" s="120"/>
      <c r="H254" s="120"/>
      <c r="I254" s="120"/>
      <c r="J254" s="120"/>
      <c r="K254" s="120"/>
      <c r="L254" s="120"/>
      <c r="M254" s="120"/>
      <c r="N254" s="120"/>
      <c r="O254" s="120"/>
      <c r="P254" s="120"/>
      <c r="Q254" s="120"/>
      <c r="R254" s="120"/>
      <c r="S254" s="120"/>
      <c r="T254" s="120"/>
      <c r="U254" s="123"/>
      <c r="V254" s="120"/>
      <c r="W254" s="120"/>
      <c r="X254" s="120"/>
      <c r="Y254" s="120"/>
      <c r="Z254" s="120"/>
    </row>
    <row r="255" spans="1:26" ht="12" customHeight="1">
      <c r="A255" s="140"/>
      <c r="B255" s="120"/>
      <c r="C255" s="120"/>
      <c r="D255" s="120"/>
      <c r="E255" s="120"/>
      <c r="F255" s="120"/>
      <c r="G255" s="120"/>
      <c r="H255" s="120"/>
      <c r="I255" s="120"/>
      <c r="J255" s="120"/>
      <c r="K255" s="120"/>
      <c r="L255" s="120"/>
      <c r="M255" s="120"/>
      <c r="N255" s="120"/>
      <c r="O255" s="120"/>
      <c r="P255" s="120"/>
      <c r="Q255" s="120"/>
      <c r="R255" s="120"/>
      <c r="S255" s="120"/>
      <c r="T255" s="120"/>
      <c r="U255" s="123"/>
      <c r="V255" s="120"/>
      <c r="W255" s="120"/>
      <c r="X255" s="120"/>
      <c r="Y255" s="120"/>
      <c r="Z255" s="120"/>
    </row>
    <row r="256" spans="1:26" ht="12" customHeight="1">
      <c r="A256" s="140"/>
      <c r="B256" s="120"/>
      <c r="C256" s="120"/>
      <c r="D256" s="120"/>
      <c r="E256" s="120"/>
      <c r="F256" s="120"/>
      <c r="G256" s="120"/>
      <c r="H256" s="120"/>
      <c r="I256" s="120"/>
      <c r="J256" s="120"/>
      <c r="K256" s="120"/>
      <c r="L256" s="120"/>
      <c r="M256" s="120"/>
      <c r="N256" s="120"/>
      <c r="O256" s="120"/>
      <c r="P256" s="120"/>
      <c r="Q256" s="120"/>
      <c r="R256" s="120"/>
      <c r="S256" s="120"/>
      <c r="T256" s="120"/>
      <c r="U256" s="123"/>
      <c r="V256" s="120"/>
      <c r="W256" s="120"/>
      <c r="X256" s="120"/>
      <c r="Y256" s="120"/>
      <c r="Z256" s="120"/>
    </row>
    <row r="257" spans="1:26" ht="12" customHeight="1">
      <c r="A257" s="140"/>
      <c r="B257" s="120"/>
      <c r="C257" s="120"/>
      <c r="D257" s="120"/>
      <c r="E257" s="120"/>
      <c r="F257" s="120"/>
      <c r="G257" s="120"/>
      <c r="H257" s="120"/>
      <c r="I257" s="120"/>
      <c r="J257" s="120"/>
      <c r="K257" s="120"/>
      <c r="L257" s="120"/>
      <c r="M257" s="120"/>
      <c r="N257" s="120"/>
      <c r="O257" s="120"/>
      <c r="P257" s="120"/>
      <c r="Q257" s="120"/>
      <c r="R257" s="120"/>
      <c r="S257" s="120"/>
      <c r="T257" s="120"/>
      <c r="U257" s="123"/>
      <c r="V257" s="120"/>
      <c r="W257" s="120"/>
      <c r="X257" s="120"/>
      <c r="Y257" s="120"/>
      <c r="Z257" s="120"/>
    </row>
    <row r="258" spans="1:26" ht="12" customHeight="1">
      <c r="A258" s="140"/>
      <c r="B258" s="120"/>
      <c r="C258" s="120"/>
      <c r="D258" s="120"/>
      <c r="E258" s="120"/>
      <c r="F258" s="120"/>
      <c r="G258" s="120"/>
      <c r="H258" s="120"/>
      <c r="I258" s="120"/>
      <c r="J258" s="120"/>
      <c r="K258" s="120"/>
      <c r="L258" s="120"/>
      <c r="M258" s="120"/>
      <c r="N258" s="120"/>
      <c r="O258" s="120"/>
      <c r="P258" s="120"/>
      <c r="Q258" s="120"/>
      <c r="R258" s="120"/>
      <c r="S258" s="120"/>
      <c r="T258" s="120"/>
      <c r="U258" s="123"/>
      <c r="V258" s="120"/>
      <c r="W258" s="120"/>
      <c r="X258" s="120"/>
      <c r="Y258" s="120"/>
      <c r="Z258" s="120"/>
    </row>
    <row r="259" spans="1:26" ht="12" customHeight="1">
      <c r="A259" s="140"/>
      <c r="B259" s="120"/>
      <c r="C259" s="120"/>
      <c r="D259" s="120"/>
      <c r="E259" s="120"/>
      <c r="F259" s="120"/>
      <c r="G259" s="120"/>
      <c r="H259" s="120"/>
      <c r="I259" s="120"/>
      <c r="J259" s="120"/>
      <c r="K259" s="120"/>
      <c r="L259" s="120"/>
      <c r="M259" s="120"/>
      <c r="N259" s="120"/>
      <c r="O259" s="120"/>
      <c r="P259" s="120"/>
      <c r="Q259" s="120"/>
      <c r="R259" s="120"/>
      <c r="S259" s="120"/>
      <c r="T259" s="120"/>
      <c r="U259" s="123"/>
      <c r="V259" s="120"/>
      <c r="W259" s="120"/>
      <c r="X259" s="120"/>
      <c r="Y259" s="120"/>
      <c r="Z259" s="120"/>
    </row>
    <row r="260" spans="1:26" ht="12" customHeight="1">
      <c r="A260" s="140"/>
      <c r="B260" s="120"/>
      <c r="C260" s="120"/>
      <c r="D260" s="120"/>
      <c r="E260" s="120"/>
      <c r="F260" s="120"/>
      <c r="G260" s="120"/>
      <c r="H260" s="120"/>
      <c r="I260" s="120"/>
      <c r="J260" s="120"/>
      <c r="K260" s="120"/>
      <c r="L260" s="120"/>
      <c r="M260" s="120"/>
      <c r="N260" s="120"/>
      <c r="O260" s="120"/>
      <c r="P260" s="120"/>
      <c r="Q260" s="120"/>
      <c r="R260" s="120"/>
      <c r="S260" s="120"/>
      <c r="T260" s="120"/>
      <c r="U260" s="123"/>
      <c r="V260" s="120"/>
      <c r="W260" s="120"/>
      <c r="X260" s="120"/>
      <c r="Y260" s="120"/>
      <c r="Z260" s="120"/>
    </row>
    <row r="261" spans="1:26" ht="12" customHeight="1">
      <c r="A261" s="140"/>
      <c r="B261" s="120"/>
      <c r="C261" s="120"/>
      <c r="D261" s="120"/>
      <c r="E261" s="120"/>
      <c r="F261" s="120"/>
      <c r="G261" s="120"/>
      <c r="H261" s="120"/>
      <c r="I261" s="120"/>
      <c r="J261" s="120"/>
      <c r="K261" s="120"/>
      <c r="L261" s="120"/>
      <c r="M261" s="120"/>
      <c r="N261" s="120"/>
      <c r="O261" s="120"/>
      <c r="P261" s="120"/>
      <c r="Q261" s="120"/>
      <c r="R261" s="120"/>
      <c r="S261" s="120"/>
      <c r="T261" s="120"/>
      <c r="U261" s="123"/>
      <c r="V261" s="120"/>
      <c r="W261" s="120"/>
      <c r="X261" s="120"/>
      <c r="Y261" s="120"/>
      <c r="Z261" s="120"/>
    </row>
    <row r="262" spans="1:26" ht="12" customHeight="1">
      <c r="A262" s="140"/>
      <c r="B262" s="120"/>
      <c r="C262" s="120"/>
      <c r="D262" s="120"/>
      <c r="E262" s="120"/>
      <c r="F262" s="120"/>
      <c r="G262" s="120"/>
      <c r="H262" s="120"/>
      <c r="I262" s="120"/>
      <c r="J262" s="120"/>
      <c r="K262" s="120"/>
      <c r="L262" s="120"/>
      <c r="M262" s="120"/>
      <c r="N262" s="120"/>
      <c r="O262" s="120"/>
      <c r="P262" s="120"/>
      <c r="Q262" s="120"/>
      <c r="R262" s="120"/>
      <c r="S262" s="120"/>
      <c r="T262" s="120"/>
      <c r="U262" s="123"/>
      <c r="V262" s="120"/>
      <c r="W262" s="120"/>
      <c r="X262" s="120"/>
      <c r="Y262" s="120"/>
      <c r="Z262" s="120"/>
    </row>
    <row r="263" spans="1:26" ht="12" customHeight="1">
      <c r="A263" s="140"/>
      <c r="B263" s="120"/>
      <c r="C263" s="120"/>
      <c r="D263" s="120"/>
      <c r="E263" s="120"/>
      <c r="F263" s="120"/>
      <c r="G263" s="120"/>
      <c r="H263" s="120"/>
      <c r="I263" s="120"/>
      <c r="J263" s="120"/>
      <c r="K263" s="120"/>
      <c r="L263" s="120"/>
      <c r="M263" s="120"/>
      <c r="N263" s="120"/>
      <c r="O263" s="120"/>
      <c r="P263" s="120"/>
      <c r="Q263" s="120"/>
      <c r="R263" s="120"/>
      <c r="S263" s="120"/>
      <c r="T263" s="120"/>
      <c r="U263" s="123"/>
      <c r="V263" s="120"/>
      <c r="W263" s="120"/>
      <c r="X263" s="120"/>
      <c r="Y263" s="120"/>
      <c r="Z263" s="120"/>
    </row>
    <row r="264" spans="1:26" ht="12" customHeight="1">
      <c r="A264" s="140"/>
      <c r="B264" s="120"/>
      <c r="C264" s="120"/>
      <c r="D264" s="120"/>
      <c r="E264" s="120"/>
      <c r="F264" s="120"/>
      <c r="G264" s="120"/>
      <c r="H264" s="120"/>
      <c r="I264" s="120"/>
      <c r="J264" s="120"/>
      <c r="K264" s="120"/>
      <c r="L264" s="120"/>
      <c r="M264" s="120"/>
      <c r="N264" s="120"/>
      <c r="O264" s="120"/>
      <c r="P264" s="120"/>
      <c r="Q264" s="120"/>
      <c r="R264" s="120"/>
      <c r="S264" s="120"/>
      <c r="T264" s="120"/>
      <c r="U264" s="123"/>
      <c r="V264" s="120"/>
      <c r="W264" s="120"/>
      <c r="X264" s="120"/>
      <c r="Y264" s="120"/>
      <c r="Z264" s="120"/>
    </row>
    <row r="265" spans="1:26" ht="12" customHeight="1">
      <c r="A265" s="140"/>
      <c r="B265" s="120"/>
      <c r="C265" s="120"/>
      <c r="D265" s="120"/>
      <c r="E265" s="120"/>
      <c r="F265" s="120"/>
      <c r="G265" s="120"/>
      <c r="H265" s="120"/>
      <c r="I265" s="120"/>
      <c r="J265" s="120"/>
      <c r="K265" s="120"/>
      <c r="L265" s="120"/>
      <c r="M265" s="120"/>
      <c r="N265" s="120"/>
      <c r="O265" s="120"/>
      <c r="P265" s="120"/>
      <c r="Q265" s="120"/>
      <c r="R265" s="120"/>
      <c r="S265" s="120"/>
      <c r="T265" s="120"/>
      <c r="U265" s="123"/>
      <c r="V265" s="120"/>
      <c r="W265" s="120"/>
      <c r="X265" s="120"/>
      <c r="Y265" s="120"/>
      <c r="Z265" s="120"/>
    </row>
    <row r="266" spans="1:26" ht="12" customHeight="1">
      <c r="A266" s="140"/>
      <c r="B266" s="120"/>
      <c r="C266" s="120"/>
      <c r="D266" s="120"/>
      <c r="E266" s="120"/>
      <c r="F266" s="120"/>
      <c r="G266" s="120"/>
      <c r="H266" s="120"/>
      <c r="I266" s="120"/>
      <c r="J266" s="120"/>
      <c r="K266" s="120"/>
      <c r="L266" s="120"/>
      <c r="M266" s="120"/>
      <c r="N266" s="120"/>
      <c r="O266" s="120"/>
      <c r="P266" s="120"/>
      <c r="Q266" s="120"/>
      <c r="R266" s="120"/>
      <c r="S266" s="120"/>
      <c r="T266" s="120"/>
      <c r="U266" s="123"/>
      <c r="V266" s="120"/>
      <c r="W266" s="120"/>
      <c r="X266" s="120"/>
      <c r="Y266" s="120"/>
      <c r="Z266" s="120"/>
    </row>
    <row r="267" spans="1:26" ht="12" customHeight="1">
      <c r="A267" s="140"/>
      <c r="B267" s="120"/>
      <c r="C267" s="120"/>
      <c r="D267" s="120"/>
      <c r="E267" s="120"/>
      <c r="F267" s="120"/>
      <c r="G267" s="120"/>
      <c r="H267" s="120"/>
      <c r="I267" s="120"/>
      <c r="J267" s="120"/>
      <c r="K267" s="120"/>
      <c r="L267" s="120"/>
      <c r="M267" s="120"/>
      <c r="N267" s="120"/>
      <c r="O267" s="120"/>
      <c r="P267" s="120"/>
      <c r="Q267" s="120"/>
      <c r="R267" s="120"/>
      <c r="S267" s="120"/>
      <c r="T267" s="120"/>
      <c r="U267" s="123"/>
      <c r="V267" s="120"/>
      <c r="W267" s="120"/>
      <c r="X267" s="120"/>
      <c r="Y267" s="120"/>
      <c r="Z267" s="120"/>
    </row>
    <row r="268" spans="1:26" ht="12" customHeight="1">
      <c r="A268" s="140"/>
      <c r="B268" s="120"/>
      <c r="C268" s="120"/>
      <c r="D268" s="120"/>
      <c r="E268" s="120"/>
      <c r="F268" s="120"/>
      <c r="G268" s="120"/>
      <c r="H268" s="120"/>
      <c r="I268" s="120"/>
      <c r="J268" s="120"/>
      <c r="K268" s="120"/>
      <c r="L268" s="120"/>
      <c r="M268" s="120"/>
      <c r="N268" s="120"/>
      <c r="O268" s="120"/>
      <c r="P268" s="120"/>
      <c r="Q268" s="120"/>
      <c r="R268" s="120"/>
      <c r="S268" s="120"/>
      <c r="T268" s="120"/>
      <c r="U268" s="123"/>
      <c r="V268" s="120"/>
      <c r="W268" s="120"/>
      <c r="X268" s="120"/>
      <c r="Y268" s="120"/>
      <c r="Z268" s="120"/>
    </row>
    <row r="269" spans="1:26" ht="12" customHeight="1">
      <c r="A269" s="140"/>
      <c r="B269" s="120"/>
      <c r="C269" s="120"/>
      <c r="D269" s="120"/>
      <c r="E269" s="120"/>
      <c r="F269" s="120"/>
      <c r="G269" s="120"/>
      <c r="H269" s="120"/>
      <c r="I269" s="120"/>
      <c r="J269" s="120"/>
      <c r="K269" s="120"/>
      <c r="L269" s="120"/>
      <c r="M269" s="120"/>
      <c r="N269" s="120"/>
      <c r="O269" s="120"/>
      <c r="P269" s="120"/>
      <c r="Q269" s="120"/>
      <c r="R269" s="120"/>
      <c r="S269" s="120"/>
      <c r="T269" s="120"/>
      <c r="U269" s="123"/>
      <c r="V269" s="120"/>
      <c r="W269" s="120"/>
      <c r="X269" s="120"/>
      <c r="Y269" s="120"/>
      <c r="Z269" s="120"/>
    </row>
    <row r="270" spans="1:26" ht="12" customHeight="1">
      <c r="A270" s="140"/>
      <c r="B270" s="120"/>
      <c r="C270" s="120"/>
      <c r="D270" s="120"/>
      <c r="E270" s="120"/>
      <c r="F270" s="120"/>
      <c r="G270" s="120"/>
      <c r="H270" s="120"/>
      <c r="I270" s="120"/>
      <c r="J270" s="120"/>
      <c r="K270" s="120"/>
      <c r="L270" s="120"/>
      <c r="M270" s="120"/>
      <c r="N270" s="120"/>
      <c r="O270" s="120"/>
      <c r="P270" s="120"/>
      <c r="Q270" s="120"/>
      <c r="R270" s="120"/>
      <c r="S270" s="120"/>
      <c r="T270" s="120"/>
      <c r="U270" s="123"/>
      <c r="V270" s="120"/>
      <c r="W270" s="120"/>
      <c r="X270" s="120"/>
      <c r="Y270" s="120"/>
      <c r="Z270" s="120"/>
    </row>
    <row r="271" spans="1:26" ht="12" customHeight="1">
      <c r="A271" s="140"/>
      <c r="B271" s="120"/>
      <c r="C271" s="120"/>
      <c r="D271" s="120"/>
      <c r="E271" s="120"/>
      <c r="F271" s="120"/>
      <c r="G271" s="120"/>
      <c r="H271" s="120"/>
      <c r="I271" s="120"/>
      <c r="J271" s="120"/>
      <c r="K271" s="120"/>
      <c r="L271" s="120"/>
      <c r="M271" s="120"/>
      <c r="N271" s="120"/>
      <c r="O271" s="120"/>
      <c r="P271" s="120"/>
      <c r="Q271" s="120"/>
      <c r="R271" s="120"/>
      <c r="S271" s="120"/>
      <c r="T271" s="120"/>
      <c r="U271" s="123"/>
      <c r="V271" s="120"/>
      <c r="W271" s="120"/>
      <c r="X271" s="120"/>
      <c r="Y271" s="120"/>
      <c r="Z271" s="120"/>
    </row>
    <row r="272" spans="1:26" ht="12" customHeight="1">
      <c r="A272" s="140"/>
      <c r="B272" s="120"/>
      <c r="C272" s="120"/>
      <c r="D272" s="120"/>
      <c r="E272" s="120"/>
      <c r="F272" s="120"/>
      <c r="G272" s="120"/>
      <c r="H272" s="120"/>
      <c r="I272" s="120"/>
      <c r="J272" s="120"/>
      <c r="K272" s="120"/>
      <c r="L272" s="120"/>
      <c r="M272" s="120"/>
      <c r="N272" s="120"/>
      <c r="O272" s="120"/>
      <c r="P272" s="120"/>
      <c r="Q272" s="120"/>
      <c r="R272" s="120"/>
      <c r="S272" s="120"/>
      <c r="T272" s="120"/>
      <c r="U272" s="123"/>
      <c r="V272" s="120"/>
      <c r="W272" s="120"/>
      <c r="X272" s="120"/>
      <c r="Y272" s="120"/>
      <c r="Z272" s="120"/>
    </row>
    <row r="273" spans="1:26" ht="12" customHeight="1">
      <c r="A273" s="140"/>
      <c r="B273" s="120"/>
      <c r="C273" s="120"/>
      <c r="D273" s="120"/>
      <c r="E273" s="120"/>
      <c r="F273" s="120"/>
      <c r="G273" s="120"/>
      <c r="H273" s="120"/>
      <c r="I273" s="120"/>
      <c r="J273" s="120"/>
      <c r="K273" s="120"/>
      <c r="L273" s="120"/>
      <c r="M273" s="120"/>
      <c r="N273" s="120"/>
      <c r="O273" s="120"/>
      <c r="P273" s="120"/>
      <c r="Q273" s="120"/>
      <c r="R273" s="120"/>
      <c r="S273" s="120"/>
      <c r="T273" s="120"/>
      <c r="U273" s="123"/>
      <c r="V273" s="120"/>
      <c r="W273" s="120"/>
      <c r="X273" s="120"/>
      <c r="Y273" s="120"/>
      <c r="Z273" s="120"/>
    </row>
    <row r="274" spans="1:26" ht="12" customHeight="1">
      <c r="A274" s="140"/>
      <c r="B274" s="120"/>
      <c r="C274" s="120"/>
      <c r="D274" s="120"/>
      <c r="E274" s="120"/>
      <c r="F274" s="120"/>
      <c r="G274" s="120"/>
      <c r="H274" s="120"/>
      <c r="I274" s="120"/>
      <c r="J274" s="120"/>
      <c r="K274" s="120"/>
      <c r="L274" s="120"/>
      <c r="M274" s="120"/>
      <c r="N274" s="120"/>
      <c r="O274" s="120"/>
      <c r="P274" s="120"/>
      <c r="Q274" s="120"/>
      <c r="R274" s="120"/>
      <c r="S274" s="120"/>
      <c r="T274" s="120"/>
      <c r="U274" s="123"/>
      <c r="V274" s="120"/>
      <c r="W274" s="120"/>
      <c r="X274" s="120"/>
      <c r="Y274" s="120"/>
      <c r="Z274" s="120"/>
    </row>
    <row r="275" spans="1:26" ht="12" customHeight="1">
      <c r="A275" s="140"/>
      <c r="B275" s="120"/>
      <c r="C275" s="120"/>
      <c r="D275" s="120"/>
      <c r="E275" s="120"/>
      <c r="F275" s="120"/>
      <c r="G275" s="120"/>
      <c r="H275" s="120"/>
      <c r="I275" s="120"/>
      <c r="J275" s="120"/>
      <c r="K275" s="120"/>
      <c r="L275" s="120"/>
      <c r="M275" s="120"/>
      <c r="N275" s="120"/>
      <c r="O275" s="120"/>
      <c r="P275" s="120"/>
      <c r="Q275" s="120"/>
      <c r="R275" s="120"/>
      <c r="S275" s="120"/>
      <c r="T275" s="120"/>
      <c r="U275" s="123"/>
      <c r="V275" s="120"/>
      <c r="W275" s="120"/>
      <c r="X275" s="120"/>
      <c r="Y275" s="120"/>
      <c r="Z275" s="120"/>
    </row>
    <row r="276" spans="1:26" ht="12" customHeight="1">
      <c r="A276" s="140"/>
      <c r="B276" s="120"/>
      <c r="C276" s="120"/>
      <c r="D276" s="120"/>
      <c r="E276" s="120"/>
      <c r="F276" s="120"/>
      <c r="G276" s="120"/>
      <c r="H276" s="120"/>
      <c r="I276" s="120"/>
      <c r="J276" s="120"/>
      <c r="K276" s="120"/>
      <c r="L276" s="120"/>
      <c r="M276" s="120"/>
      <c r="N276" s="120"/>
      <c r="O276" s="120"/>
      <c r="P276" s="120"/>
      <c r="Q276" s="120"/>
      <c r="R276" s="120"/>
      <c r="S276" s="120"/>
      <c r="T276" s="120"/>
      <c r="U276" s="123"/>
      <c r="V276" s="120"/>
      <c r="W276" s="120"/>
      <c r="X276" s="120"/>
      <c r="Y276" s="120"/>
      <c r="Z276" s="120"/>
    </row>
    <row r="277" spans="1:26" ht="12" customHeight="1">
      <c r="A277" s="140"/>
      <c r="B277" s="120"/>
      <c r="C277" s="120"/>
      <c r="D277" s="120"/>
      <c r="E277" s="120"/>
      <c r="F277" s="120"/>
      <c r="G277" s="120"/>
      <c r="H277" s="120"/>
      <c r="I277" s="120"/>
      <c r="J277" s="120"/>
      <c r="K277" s="120"/>
      <c r="L277" s="120"/>
      <c r="M277" s="120"/>
      <c r="N277" s="120"/>
      <c r="O277" s="120"/>
      <c r="P277" s="120"/>
      <c r="Q277" s="120"/>
      <c r="R277" s="120"/>
      <c r="S277" s="120"/>
      <c r="T277" s="120"/>
      <c r="U277" s="123"/>
      <c r="V277" s="120"/>
      <c r="W277" s="120"/>
      <c r="X277" s="120"/>
      <c r="Y277" s="120"/>
      <c r="Z277" s="120"/>
    </row>
    <row r="278" spans="1:26" ht="12" customHeight="1">
      <c r="A278" s="140"/>
      <c r="B278" s="120"/>
      <c r="C278" s="120"/>
      <c r="D278" s="120"/>
      <c r="E278" s="120"/>
      <c r="F278" s="120"/>
      <c r="G278" s="120"/>
      <c r="H278" s="120"/>
      <c r="I278" s="120"/>
      <c r="J278" s="120"/>
      <c r="K278" s="120"/>
      <c r="L278" s="120"/>
      <c r="M278" s="120"/>
      <c r="N278" s="120"/>
      <c r="O278" s="120"/>
      <c r="P278" s="120"/>
      <c r="Q278" s="120"/>
      <c r="R278" s="120"/>
      <c r="S278" s="120"/>
      <c r="T278" s="120"/>
      <c r="U278" s="123"/>
      <c r="V278" s="120"/>
      <c r="W278" s="120"/>
      <c r="X278" s="120"/>
      <c r="Y278" s="120"/>
      <c r="Z278" s="120"/>
    </row>
    <row r="279" spans="1:26" ht="12" customHeight="1">
      <c r="A279" s="140"/>
      <c r="B279" s="120"/>
      <c r="C279" s="120"/>
      <c r="D279" s="120"/>
      <c r="E279" s="120"/>
      <c r="F279" s="120"/>
      <c r="G279" s="120"/>
      <c r="H279" s="120"/>
      <c r="I279" s="120"/>
      <c r="J279" s="120"/>
      <c r="K279" s="120"/>
      <c r="L279" s="120"/>
      <c r="M279" s="120"/>
      <c r="N279" s="120"/>
      <c r="O279" s="120"/>
      <c r="P279" s="120"/>
      <c r="Q279" s="120"/>
      <c r="R279" s="120"/>
      <c r="S279" s="120"/>
      <c r="T279" s="120"/>
      <c r="U279" s="123"/>
      <c r="V279" s="120"/>
      <c r="W279" s="120"/>
      <c r="X279" s="120"/>
      <c r="Y279" s="120"/>
      <c r="Z279" s="120"/>
    </row>
    <row r="280" spans="1:26" ht="12" customHeight="1">
      <c r="A280" s="140"/>
      <c r="B280" s="120"/>
      <c r="C280" s="120"/>
      <c r="D280" s="120"/>
      <c r="E280" s="120"/>
      <c r="F280" s="120"/>
      <c r="G280" s="120"/>
      <c r="H280" s="120"/>
      <c r="I280" s="120"/>
      <c r="J280" s="120"/>
      <c r="K280" s="120"/>
      <c r="L280" s="120"/>
      <c r="M280" s="120"/>
      <c r="N280" s="120"/>
      <c r="O280" s="120"/>
      <c r="P280" s="120"/>
      <c r="Q280" s="120"/>
      <c r="R280" s="120"/>
      <c r="S280" s="120"/>
      <c r="T280" s="120"/>
      <c r="U280" s="123"/>
      <c r="V280" s="120"/>
      <c r="W280" s="120"/>
      <c r="X280" s="120"/>
      <c r="Y280" s="120"/>
      <c r="Z280" s="120"/>
    </row>
    <row r="281" spans="1:26" ht="12" customHeight="1">
      <c r="A281" s="140"/>
      <c r="B281" s="120"/>
      <c r="C281" s="120"/>
      <c r="D281" s="120"/>
      <c r="E281" s="120"/>
      <c r="F281" s="120"/>
      <c r="G281" s="120"/>
      <c r="H281" s="120"/>
      <c r="I281" s="120"/>
      <c r="J281" s="120"/>
      <c r="K281" s="120"/>
      <c r="L281" s="120"/>
      <c r="M281" s="120"/>
      <c r="N281" s="120"/>
      <c r="O281" s="120"/>
      <c r="P281" s="120"/>
      <c r="Q281" s="120"/>
      <c r="R281" s="120"/>
      <c r="S281" s="120"/>
      <c r="T281" s="120"/>
      <c r="U281" s="123"/>
      <c r="V281" s="120"/>
      <c r="W281" s="120"/>
      <c r="X281" s="120"/>
      <c r="Y281" s="120"/>
      <c r="Z281" s="120"/>
    </row>
    <row r="282" spans="1:26" ht="12" customHeight="1">
      <c r="A282" s="140"/>
      <c r="B282" s="120"/>
      <c r="C282" s="120"/>
      <c r="D282" s="120"/>
      <c r="E282" s="120"/>
      <c r="F282" s="120"/>
      <c r="G282" s="120"/>
      <c r="H282" s="120"/>
      <c r="I282" s="120"/>
      <c r="J282" s="120"/>
      <c r="K282" s="120"/>
      <c r="L282" s="120"/>
      <c r="M282" s="120"/>
      <c r="N282" s="120"/>
      <c r="O282" s="120"/>
      <c r="P282" s="120"/>
      <c r="Q282" s="120"/>
      <c r="R282" s="120"/>
      <c r="S282" s="120"/>
      <c r="T282" s="120"/>
      <c r="U282" s="123"/>
      <c r="V282" s="120"/>
      <c r="W282" s="120"/>
      <c r="X282" s="120"/>
      <c r="Y282" s="120"/>
      <c r="Z282" s="120"/>
    </row>
    <row r="283" spans="1:26" ht="12" customHeight="1">
      <c r="A283" s="140"/>
      <c r="B283" s="120"/>
      <c r="C283" s="120"/>
      <c r="D283" s="120"/>
      <c r="E283" s="120"/>
      <c r="F283" s="120"/>
      <c r="G283" s="120"/>
      <c r="H283" s="120"/>
      <c r="I283" s="120"/>
      <c r="J283" s="120"/>
      <c r="K283" s="120"/>
      <c r="L283" s="120"/>
      <c r="M283" s="120"/>
      <c r="N283" s="120"/>
      <c r="O283" s="120"/>
      <c r="P283" s="120"/>
      <c r="Q283" s="120"/>
      <c r="R283" s="120"/>
      <c r="S283" s="120"/>
      <c r="T283" s="120"/>
      <c r="U283" s="123"/>
      <c r="V283" s="120"/>
      <c r="W283" s="120"/>
      <c r="X283" s="120"/>
      <c r="Y283" s="120"/>
      <c r="Z283" s="120"/>
    </row>
    <row r="284" spans="1:26" ht="12" customHeight="1">
      <c r="A284" s="140"/>
      <c r="B284" s="120"/>
      <c r="C284" s="120"/>
      <c r="D284" s="120"/>
      <c r="E284" s="120"/>
      <c r="F284" s="120"/>
      <c r="G284" s="120"/>
      <c r="H284" s="120"/>
      <c r="I284" s="120"/>
      <c r="J284" s="120"/>
      <c r="K284" s="120"/>
      <c r="L284" s="120"/>
      <c r="M284" s="120"/>
      <c r="N284" s="120"/>
      <c r="O284" s="120"/>
      <c r="P284" s="120"/>
      <c r="Q284" s="120"/>
      <c r="R284" s="120"/>
      <c r="S284" s="120"/>
      <c r="T284" s="120"/>
      <c r="U284" s="123"/>
      <c r="V284" s="120"/>
      <c r="W284" s="120"/>
      <c r="X284" s="120"/>
      <c r="Y284" s="120"/>
      <c r="Z284" s="120"/>
    </row>
    <row r="285" spans="1:26" ht="12" customHeight="1">
      <c r="A285" s="140"/>
      <c r="B285" s="120"/>
      <c r="C285" s="120"/>
      <c r="D285" s="120"/>
      <c r="E285" s="120"/>
      <c r="F285" s="120"/>
      <c r="G285" s="120"/>
      <c r="H285" s="120"/>
      <c r="I285" s="120"/>
      <c r="J285" s="120"/>
      <c r="K285" s="120"/>
      <c r="L285" s="120"/>
      <c r="M285" s="120"/>
      <c r="N285" s="120"/>
      <c r="O285" s="120"/>
      <c r="P285" s="120"/>
      <c r="Q285" s="120"/>
      <c r="R285" s="120"/>
      <c r="S285" s="120"/>
      <c r="T285" s="120"/>
      <c r="U285" s="123"/>
      <c r="V285" s="120"/>
      <c r="W285" s="120"/>
      <c r="X285" s="120"/>
      <c r="Y285" s="120"/>
      <c r="Z285" s="120"/>
    </row>
    <row r="286" spans="1:26" ht="12" customHeight="1">
      <c r="A286" s="140"/>
      <c r="B286" s="120"/>
      <c r="C286" s="120"/>
      <c r="D286" s="120"/>
      <c r="E286" s="120"/>
      <c r="F286" s="120"/>
      <c r="G286" s="120"/>
      <c r="H286" s="120"/>
      <c r="I286" s="120"/>
      <c r="J286" s="120"/>
      <c r="K286" s="120"/>
      <c r="L286" s="120"/>
      <c r="M286" s="120"/>
      <c r="N286" s="120"/>
      <c r="O286" s="120"/>
      <c r="P286" s="120"/>
      <c r="Q286" s="120"/>
      <c r="R286" s="120"/>
      <c r="S286" s="120"/>
      <c r="T286" s="120"/>
      <c r="U286" s="123"/>
      <c r="V286" s="120"/>
      <c r="W286" s="120"/>
      <c r="X286" s="120"/>
      <c r="Y286" s="120"/>
      <c r="Z286" s="120"/>
    </row>
    <row r="287" spans="1:26" ht="12" customHeight="1">
      <c r="A287" s="140"/>
      <c r="B287" s="120"/>
      <c r="C287" s="120"/>
      <c r="D287" s="120"/>
      <c r="E287" s="120"/>
      <c r="F287" s="120"/>
      <c r="G287" s="120"/>
      <c r="H287" s="120"/>
      <c r="I287" s="120"/>
      <c r="J287" s="120"/>
      <c r="K287" s="120"/>
      <c r="L287" s="120"/>
      <c r="M287" s="120"/>
      <c r="N287" s="120"/>
      <c r="O287" s="120"/>
      <c r="P287" s="120"/>
      <c r="Q287" s="120"/>
      <c r="R287" s="120"/>
      <c r="S287" s="120"/>
      <c r="T287" s="120"/>
      <c r="U287" s="123"/>
      <c r="V287" s="120"/>
      <c r="W287" s="120"/>
      <c r="X287" s="120"/>
      <c r="Y287" s="120"/>
      <c r="Z287" s="120"/>
    </row>
    <row r="288" spans="1:26" ht="12" customHeight="1">
      <c r="A288" s="140"/>
      <c r="B288" s="120"/>
      <c r="C288" s="120"/>
      <c r="D288" s="120"/>
      <c r="E288" s="120"/>
      <c r="F288" s="120"/>
      <c r="G288" s="120"/>
      <c r="H288" s="120"/>
      <c r="I288" s="120"/>
      <c r="J288" s="120"/>
      <c r="K288" s="120"/>
      <c r="L288" s="120"/>
      <c r="M288" s="120"/>
      <c r="N288" s="120"/>
      <c r="O288" s="120"/>
      <c r="P288" s="120"/>
      <c r="Q288" s="120"/>
      <c r="R288" s="120"/>
      <c r="S288" s="120"/>
      <c r="T288" s="120"/>
      <c r="U288" s="123"/>
      <c r="V288" s="120"/>
      <c r="W288" s="120"/>
      <c r="X288" s="120"/>
      <c r="Y288" s="120"/>
      <c r="Z288" s="120"/>
    </row>
    <row r="289" spans="1:26" ht="12" customHeight="1">
      <c r="A289" s="140"/>
      <c r="B289" s="120"/>
      <c r="C289" s="120"/>
      <c r="D289" s="120"/>
      <c r="E289" s="120"/>
      <c r="F289" s="120"/>
      <c r="G289" s="120"/>
      <c r="H289" s="120"/>
      <c r="I289" s="120"/>
      <c r="J289" s="120"/>
      <c r="K289" s="120"/>
      <c r="L289" s="120"/>
      <c r="M289" s="120"/>
      <c r="N289" s="120"/>
      <c r="O289" s="120"/>
      <c r="P289" s="120"/>
      <c r="Q289" s="120"/>
      <c r="R289" s="120"/>
      <c r="S289" s="120"/>
      <c r="T289" s="120"/>
      <c r="U289" s="123"/>
      <c r="V289" s="120"/>
      <c r="W289" s="120"/>
      <c r="X289" s="120"/>
      <c r="Y289" s="120"/>
      <c r="Z289" s="120"/>
    </row>
    <row r="290" spans="1:26" ht="12" customHeight="1">
      <c r="A290" s="140"/>
      <c r="B290" s="120"/>
      <c r="C290" s="120"/>
      <c r="D290" s="120"/>
      <c r="E290" s="120"/>
      <c r="F290" s="120"/>
      <c r="G290" s="120"/>
      <c r="H290" s="120"/>
      <c r="I290" s="120"/>
      <c r="J290" s="120"/>
      <c r="K290" s="120"/>
      <c r="L290" s="120"/>
      <c r="M290" s="120"/>
      <c r="N290" s="120"/>
      <c r="O290" s="120"/>
      <c r="P290" s="120"/>
      <c r="Q290" s="120"/>
      <c r="R290" s="120"/>
      <c r="S290" s="120"/>
      <c r="T290" s="120"/>
      <c r="U290" s="123"/>
      <c r="V290" s="120"/>
      <c r="W290" s="120"/>
      <c r="X290" s="120"/>
      <c r="Y290" s="120"/>
      <c r="Z290" s="120"/>
    </row>
    <row r="291" spans="1:26" ht="12" customHeight="1">
      <c r="A291" s="140"/>
      <c r="B291" s="120"/>
      <c r="C291" s="120"/>
      <c r="D291" s="120"/>
      <c r="E291" s="120"/>
      <c r="F291" s="120"/>
      <c r="G291" s="120"/>
      <c r="H291" s="120"/>
      <c r="I291" s="120"/>
      <c r="J291" s="120"/>
      <c r="K291" s="120"/>
      <c r="L291" s="120"/>
      <c r="M291" s="120"/>
      <c r="N291" s="120"/>
      <c r="O291" s="120"/>
      <c r="P291" s="120"/>
      <c r="Q291" s="120"/>
      <c r="R291" s="120"/>
      <c r="S291" s="120"/>
      <c r="T291" s="120"/>
      <c r="U291" s="123"/>
      <c r="V291" s="120"/>
      <c r="W291" s="120"/>
      <c r="X291" s="120"/>
      <c r="Y291" s="120"/>
      <c r="Z291" s="120"/>
    </row>
    <row r="292" spans="1:26" ht="12" customHeight="1">
      <c r="A292" s="140"/>
      <c r="B292" s="120"/>
      <c r="C292" s="120"/>
      <c r="D292" s="120"/>
      <c r="E292" s="120"/>
      <c r="F292" s="120"/>
      <c r="G292" s="120"/>
      <c r="H292" s="120"/>
      <c r="I292" s="120"/>
      <c r="J292" s="120"/>
      <c r="K292" s="120"/>
      <c r="L292" s="120"/>
      <c r="M292" s="120"/>
      <c r="N292" s="120"/>
      <c r="O292" s="120"/>
      <c r="P292" s="120"/>
      <c r="Q292" s="120"/>
      <c r="R292" s="120"/>
      <c r="S292" s="120"/>
      <c r="T292" s="120"/>
      <c r="U292" s="123"/>
      <c r="V292" s="120"/>
      <c r="W292" s="120"/>
      <c r="X292" s="120"/>
      <c r="Y292" s="120"/>
      <c r="Z292" s="120"/>
    </row>
    <row r="293" spans="1:26" ht="12" customHeight="1">
      <c r="A293" s="140"/>
      <c r="B293" s="120"/>
      <c r="C293" s="120"/>
      <c r="D293" s="120"/>
      <c r="E293" s="120"/>
      <c r="F293" s="120"/>
      <c r="G293" s="120"/>
      <c r="H293" s="120"/>
      <c r="I293" s="120"/>
      <c r="J293" s="120"/>
      <c r="K293" s="120"/>
      <c r="L293" s="120"/>
      <c r="M293" s="120"/>
      <c r="N293" s="120"/>
      <c r="O293" s="120"/>
      <c r="P293" s="120"/>
      <c r="Q293" s="120"/>
      <c r="R293" s="120"/>
      <c r="S293" s="120"/>
      <c r="T293" s="120"/>
      <c r="U293" s="123"/>
      <c r="V293" s="120"/>
      <c r="W293" s="120"/>
      <c r="X293" s="120"/>
      <c r="Y293" s="120"/>
      <c r="Z293" s="120"/>
    </row>
    <row r="294" spans="1:26" ht="12" customHeight="1">
      <c r="A294" s="140"/>
      <c r="B294" s="120"/>
      <c r="C294" s="120"/>
      <c r="D294" s="120"/>
      <c r="E294" s="120"/>
      <c r="F294" s="120"/>
      <c r="G294" s="120"/>
      <c r="H294" s="120"/>
      <c r="I294" s="120"/>
      <c r="J294" s="120"/>
      <c r="K294" s="120"/>
      <c r="L294" s="120"/>
      <c r="M294" s="120"/>
      <c r="N294" s="120"/>
      <c r="O294" s="120"/>
      <c r="P294" s="120"/>
      <c r="Q294" s="120"/>
      <c r="R294" s="120"/>
      <c r="S294" s="120"/>
      <c r="T294" s="120"/>
      <c r="U294" s="123"/>
      <c r="V294" s="120"/>
      <c r="W294" s="120"/>
      <c r="X294" s="120"/>
      <c r="Y294" s="120"/>
      <c r="Z294" s="120"/>
    </row>
    <row r="295" spans="1:26" ht="12" customHeight="1">
      <c r="A295" s="140"/>
      <c r="B295" s="120"/>
      <c r="C295" s="120"/>
      <c r="D295" s="120"/>
      <c r="E295" s="120"/>
      <c r="F295" s="120"/>
      <c r="G295" s="120"/>
      <c r="H295" s="120"/>
      <c r="I295" s="120"/>
      <c r="J295" s="120"/>
      <c r="K295" s="120"/>
      <c r="L295" s="120"/>
      <c r="M295" s="120"/>
      <c r="N295" s="120"/>
      <c r="O295" s="120"/>
      <c r="P295" s="120"/>
      <c r="Q295" s="120"/>
      <c r="R295" s="120"/>
      <c r="S295" s="120"/>
      <c r="T295" s="120"/>
      <c r="U295" s="123"/>
      <c r="V295" s="120"/>
      <c r="W295" s="120"/>
      <c r="X295" s="120"/>
      <c r="Y295" s="120"/>
      <c r="Z295" s="120"/>
    </row>
    <row r="296" spans="1:26" ht="12" customHeight="1">
      <c r="A296" s="140"/>
      <c r="B296" s="120"/>
      <c r="C296" s="120"/>
      <c r="D296" s="120"/>
      <c r="E296" s="120"/>
      <c r="F296" s="120"/>
      <c r="G296" s="120"/>
      <c r="H296" s="120"/>
      <c r="I296" s="120"/>
      <c r="J296" s="120"/>
      <c r="K296" s="120"/>
      <c r="L296" s="120"/>
      <c r="M296" s="120"/>
      <c r="N296" s="120"/>
      <c r="O296" s="120"/>
      <c r="P296" s="120"/>
      <c r="Q296" s="120"/>
      <c r="R296" s="120"/>
      <c r="S296" s="120"/>
      <c r="T296" s="120"/>
      <c r="U296" s="123"/>
      <c r="V296" s="120"/>
      <c r="W296" s="120"/>
      <c r="X296" s="120"/>
      <c r="Y296" s="120"/>
      <c r="Z296" s="120"/>
    </row>
    <row r="297" spans="1:26" ht="12" customHeight="1">
      <c r="A297" s="140"/>
      <c r="B297" s="120"/>
      <c r="C297" s="120"/>
      <c r="D297" s="120"/>
      <c r="E297" s="120"/>
      <c r="F297" s="120"/>
      <c r="G297" s="120"/>
      <c r="H297" s="120"/>
      <c r="I297" s="120"/>
      <c r="J297" s="120"/>
      <c r="K297" s="120"/>
      <c r="L297" s="120"/>
      <c r="M297" s="120"/>
      <c r="N297" s="120"/>
      <c r="O297" s="120"/>
      <c r="P297" s="120"/>
      <c r="Q297" s="120"/>
      <c r="R297" s="120"/>
      <c r="S297" s="120"/>
      <c r="T297" s="120"/>
      <c r="U297" s="123"/>
      <c r="V297" s="120"/>
      <c r="W297" s="120"/>
      <c r="X297" s="120"/>
      <c r="Y297" s="120"/>
      <c r="Z297" s="120"/>
    </row>
    <row r="298" spans="1:26" ht="12" customHeight="1">
      <c r="A298" s="140"/>
      <c r="B298" s="120"/>
      <c r="C298" s="120"/>
      <c r="D298" s="120"/>
      <c r="E298" s="120"/>
      <c r="F298" s="120"/>
      <c r="G298" s="120"/>
      <c r="H298" s="120"/>
      <c r="I298" s="120"/>
      <c r="J298" s="120"/>
      <c r="K298" s="120"/>
      <c r="L298" s="120"/>
      <c r="M298" s="120"/>
      <c r="N298" s="120"/>
      <c r="O298" s="120"/>
      <c r="P298" s="120"/>
      <c r="Q298" s="120"/>
      <c r="R298" s="120"/>
      <c r="S298" s="120"/>
      <c r="T298" s="120"/>
      <c r="U298" s="123"/>
      <c r="V298" s="120"/>
      <c r="W298" s="120"/>
      <c r="X298" s="120"/>
      <c r="Y298" s="120"/>
      <c r="Z298" s="120"/>
    </row>
    <row r="299" spans="1:26" ht="12" customHeight="1">
      <c r="A299" s="140"/>
      <c r="B299" s="120"/>
      <c r="C299" s="120"/>
      <c r="D299" s="120"/>
      <c r="E299" s="120"/>
      <c r="F299" s="120"/>
      <c r="G299" s="120"/>
      <c r="H299" s="120"/>
      <c r="I299" s="120"/>
      <c r="J299" s="120"/>
      <c r="K299" s="120"/>
      <c r="L299" s="120"/>
      <c r="M299" s="120"/>
      <c r="N299" s="120"/>
      <c r="O299" s="120"/>
      <c r="P299" s="120"/>
      <c r="Q299" s="120"/>
      <c r="R299" s="120"/>
      <c r="S299" s="120"/>
      <c r="T299" s="120"/>
      <c r="U299" s="123"/>
      <c r="V299" s="120"/>
      <c r="W299" s="120"/>
      <c r="X299" s="120"/>
      <c r="Y299" s="120"/>
      <c r="Z299" s="120"/>
    </row>
    <row r="300" spans="1:26" ht="12" customHeight="1">
      <c r="A300" s="140"/>
      <c r="B300" s="120"/>
      <c r="C300" s="120"/>
      <c r="D300" s="120"/>
      <c r="E300" s="120"/>
      <c r="F300" s="120"/>
      <c r="G300" s="120"/>
      <c r="H300" s="120"/>
      <c r="I300" s="120"/>
      <c r="J300" s="120"/>
      <c r="K300" s="120"/>
      <c r="L300" s="120"/>
      <c r="M300" s="120"/>
      <c r="N300" s="120"/>
      <c r="O300" s="120"/>
      <c r="P300" s="120"/>
      <c r="Q300" s="120"/>
      <c r="R300" s="120"/>
      <c r="S300" s="120"/>
      <c r="T300" s="120"/>
      <c r="U300" s="123"/>
      <c r="V300" s="120"/>
      <c r="W300" s="120"/>
      <c r="X300" s="120"/>
      <c r="Y300" s="120"/>
      <c r="Z300" s="120"/>
    </row>
    <row r="301" spans="1:26" ht="12" customHeight="1">
      <c r="A301" s="140"/>
      <c r="B301" s="120"/>
      <c r="C301" s="120"/>
      <c r="D301" s="120"/>
      <c r="E301" s="120"/>
      <c r="F301" s="120"/>
      <c r="G301" s="120"/>
      <c r="H301" s="120"/>
      <c r="I301" s="120"/>
      <c r="J301" s="120"/>
      <c r="K301" s="120"/>
      <c r="L301" s="120"/>
      <c r="M301" s="120"/>
      <c r="N301" s="120"/>
      <c r="O301" s="120"/>
      <c r="P301" s="120"/>
      <c r="Q301" s="120"/>
      <c r="R301" s="120"/>
      <c r="S301" s="120"/>
      <c r="T301" s="120"/>
      <c r="U301" s="123"/>
      <c r="V301" s="120"/>
      <c r="W301" s="120"/>
      <c r="X301" s="120"/>
      <c r="Y301" s="120"/>
      <c r="Z301" s="120"/>
    </row>
    <row r="302" spans="1:26" ht="12" customHeight="1">
      <c r="A302" s="140"/>
      <c r="B302" s="120"/>
      <c r="C302" s="120"/>
      <c r="D302" s="120"/>
      <c r="E302" s="120"/>
      <c r="F302" s="120"/>
      <c r="G302" s="120"/>
      <c r="H302" s="120"/>
      <c r="I302" s="120"/>
      <c r="J302" s="120"/>
      <c r="K302" s="120"/>
      <c r="L302" s="120"/>
      <c r="M302" s="120"/>
      <c r="N302" s="120"/>
      <c r="O302" s="120"/>
      <c r="P302" s="120"/>
      <c r="Q302" s="120"/>
      <c r="R302" s="120"/>
      <c r="S302" s="120"/>
      <c r="T302" s="120"/>
      <c r="U302" s="123"/>
      <c r="V302" s="120"/>
      <c r="W302" s="120"/>
      <c r="X302" s="120"/>
      <c r="Y302" s="120"/>
      <c r="Z302" s="120"/>
    </row>
    <row r="303" spans="1:26" ht="12" customHeight="1">
      <c r="A303" s="140"/>
      <c r="B303" s="120"/>
      <c r="C303" s="120"/>
      <c r="D303" s="120"/>
      <c r="E303" s="120"/>
      <c r="F303" s="120"/>
      <c r="G303" s="120"/>
      <c r="H303" s="120"/>
      <c r="I303" s="120"/>
      <c r="J303" s="120"/>
      <c r="K303" s="120"/>
      <c r="L303" s="120"/>
      <c r="M303" s="120"/>
      <c r="N303" s="120"/>
      <c r="O303" s="120"/>
      <c r="P303" s="120"/>
      <c r="Q303" s="120"/>
      <c r="R303" s="120"/>
      <c r="S303" s="120"/>
      <c r="T303" s="120"/>
      <c r="U303" s="123"/>
      <c r="V303" s="120"/>
      <c r="W303" s="120"/>
      <c r="X303" s="120"/>
      <c r="Y303" s="120"/>
      <c r="Z303" s="120"/>
    </row>
    <row r="304" spans="1:26" ht="12" customHeight="1">
      <c r="A304" s="140"/>
      <c r="B304" s="120"/>
      <c r="C304" s="120"/>
      <c r="D304" s="120"/>
      <c r="E304" s="120"/>
      <c r="F304" s="120"/>
      <c r="G304" s="120"/>
      <c r="H304" s="120"/>
      <c r="I304" s="120"/>
      <c r="J304" s="120"/>
      <c r="K304" s="120"/>
      <c r="L304" s="120"/>
      <c r="M304" s="120"/>
      <c r="N304" s="120"/>
      <c r="O304" s="120"/>
      <c r="P304" s="120"/>
      <c r="Q304" s="120"/>
      <c r="R304" s="120"/>
      <c r="S304" s="120"/>
      <c r="T304" s="120"/>
      <c r="U304" s="123"/>
      <c r="V304" s="120"/>
      <c r="W304" s="120"/>
      <c r="X304" s="120"/>
      <c r="Y304" s="120"/>
      <c r="Z304" s="120"/>
    </row>
    <row r="305" spans="1:26" ht="12" customHeight="1">
      <c r="A305" s="140"/>
      <c r="B305" s="120"/>
      <c r="C305" s="120"/>
      <c r="D305" s="120"/>
      <c r="E305" s="120"/>
      <c r="F305" s="120"/>
      <c r="G305" s="120"/>
      <c r="H305" s="120"/>
      <c r="I305" s="120"/>
      <c r="J305" s="120"/>
      <c r="K305" s="120"/>
      <c r="L305" s="120"/>
      <c r="M305" s="120"/>
      <c r="N305" s="120"/>
      <c r="O305" s="120"/>
      <c r="P305" s="120"/>
      <c r="Q305" s="120"/>
      <c r="R305" s="120"/>
      <c r="S305" s="120"/>
      <c r="T305" s="120"/>
      <c r="U305" s="123"/>
      <c r="V305" s="120"/>
      <c r="W305" s="120"/>
      <c r="X305" s="120"/>
      <c r="Y305" s="120"/>
      <c r="Z305" s="120"/>
    </row>
    <row r="306" spans="1:26" ht="12" customHeight="1">
      <c r="A306" s="140"/>
      <c r="B306" s="120"/>
      <c r="C306" s="120"/>
      <c r="D306" s="120"/>
      <c r="E306" s="120"/>
      <c r="F306" s="120"/>
      <c r="G306" s="120"/>
      <c r="H306" s="120"/>
      <c r="I306" s="120"/>
      <c r="J306" s="120"/>
      <c r="K306" s="120"/>
      <c r="L306" s="120"/>
      <c r="M306" s="120"/>
      <c r="N306" s="120"/>
      <c r="O306" s="120"/>
      <c r="P306" s="120"/>
      <c r="Q306" s="120"/>
      <c r="R306" s="120"/>
      <c r="S306" s="120"/>
      <c r="T306" s="120"/>
      <c r="U306" s="123"/>
      <c r="V306" s="120"/>
      <c r="W306" s="120"/>
      <c r="X306" s="120"/>
      <c r="Y306" s="120"/>
      <c r="Z306" s="120"/>
    </row>
    <row r="307" spans="1:26" ht="12" customHeight="1">
      <c r="A307" s="140"/>
      <c r="B307" s="120"/>
      <c r="C307" s="120"/>
      <c r="D307" s="120"/>
      <c r="E307" s="120"/>
      <c r="F307" s="120"/>
      <c r="G307" s="120"/>
      <c r="H307" s="120"/>
      <c r="I307" s="120"/>
      <c r="J307" s="120"/>
      <c r="K307" s="120"/>
      <c r="L307" s="120"/>
      <c r="M307" s="120"/>
      <c r="N307" s="120"/>
      <c r="O307" s="120"/>
      <c r="P307" s="120"/>
      <c r="Q307" s="120"/>
      <c r="R307" s="120"/>
      <c r="S307" s="120"/>
      <c r="T307" s="120"/>
      <c r="U307" s="123"/>
      <c r="V307" s="120"/>
      <c r="W307" s="120"/>
      <c r="X307" s="120"/>
      <c r="Y307" s="120"/>
      <c r="Z307" s="120"/>
    </row>
    <row r="308" spans="1:26" ht="12" customHeight="1">
      <c r="A308" s="140"/>
      <c r="B308" s="120"/>
      <c r="C308" s="120"/>
      <c r="D308" s="120"/>
      <c r="E308" s="120"/>
      <c r="F308" s="120"/>
      <c r="G308" s="120"/>
      <c r="H308" s="120"/>
      <c r="I308" s="120"/>
      <c r="J308" s="120"/>
      <c r="K308" s="120"/>
      <c r="L308" s="120"/>
      <c r="M308" s="120"/>
      <c r="N308" s="120"/>
      <c r="O308" s="120"/>
      <c r="P308" s="120"/>
      <c r="Q308" s="120"/>
      <c r="R308" s="120"/>
      <c r="S308" s="120"/>
      <c r="T308" s="120"/>
      <c r="U308" s="123"/>
      <c r="V308" s="120"/>
      <c r="W308" s="120"/>
      <c r="X308" s="120"/>
      <c r="Y308" s="120"/>
      <c r="Z308" s="120"/>
    </row>
    <row r="309" spans="1:26" ht="12" customHeight="1">
      <c r="A309" s="140"/>
      <c r="B309" s="120"/>
      <c r="C309" s="120"/>
      <c r="D309" s="120"/>
      <c r="E309" s="120"/>
      <c r="F309" s="120"/>
      <c r="G309" s="120"/>
      <c r="H309" s="120"/>
      <c r="I309" s="120"/>
      <c r="J309" s="120"/>
      <c r="K309" s="120"/>
      <c r="L309" s="120"/>
      <c r="M309" s="120"/>
      <c r="N309" s="120"/>
      <c r="O309" s="120"/>
      <c r="P309" s="120"/>
      <c r="Q309" s="120"/>
      <c r="R309" s="120"/>
      <c r="S309" s="120"/>
      <c r="T309" s="120"/>
      <c r="U309" s="123"/>
      <c r="V309" s="120"/>
      <c r="W309" s="120"/>
      <c r="X309" s="120"/>
      <c r="Y309" s="120"/>
      <c r="Z309" s="120"/>
    </row>
    <row r="310" spans="1:26" ht="12" customHeight="1">
      <c r="A310" s="140"/>
      <c r="B310" s="120"/>
      <c r="C310" s="120"/>
      <c r="D310" s="120"/>
      <c r="E310" s="120"/>
      <c r="F310" s="120"/>
      <c r="G310" s="120"/>
      <c r="H310" s="120"/>
      <c r="I310" s="120"/>
      <c r="J310" s="120"/>
      <c r="K310" s="120"/>
      <c r="L310" s="120"/>
      <c r="M310" s="120"/>
      <c r="N310" s="120"/>
      <c r="O310" s="120"/>
      <c r="P310" s="120"/>
      <c r="Q310" s="120"/>
      <c r="R310" s="120"/>
      <c r="S310" s="120"/>
      <c r="T310" s="120"/>
      <c r="U310" s="123"/>
      <c r="V310" s="120"/>
      <c r="W310" s="120"/>
      <c r="X310" s="120"/>
      <c r="Y310" s="120"/>
      <c r="Z310" s="120"/>
    </row>
    <row r="311" spans="1:26" ht="12" customHeight="1">
      <c r="A311" s="140"/>
      <c r="B311" s="120"/>
      <c r="C311" s="120"/>
      <c r="D311" s="120"/>
      <c r="E311" s="120"/>
      <c r="F311" s="120"/>
      <c r="G311" s="120"/>
      <c r="H311" s="120"/>
      <c r="I311" s="120"/>
      <c r="J311" s="120"/>
      <c r="K311" s="120"/>
      <c r="L311" s="120"/>
      <c r="M311" s="120"/>
      <c r="N311" s="120"/>
      <c r="O311" s="120"/>
      <c r="P311" s="120"/>
      <c r="Q311" s="120"/>
      <c r="R311" s="120"/>
      <c r="S311" s="120"/>
      <c r="T311" s="120"/>
      <c r="U311" s="123"/>
      <c r="V311" s="120"/>
      <c r="W311" s="120"/>
      <c r="X311" s="120"/>
      <c r="Y311" s="120"/>
      <c r="Z311" s="120"/>
    </row>
    <row r="312" spans="1:26" ht="12" customHeight="1">
      <c r="A312" s="140"/>
      <c r="B312" s="120"/>
      <c r="C312" s="120"/>
      <c r="D312" s="120"/>
      <c r="E312" s="120"/>
      <c r="F312" s="120"/>
      <c r="G312" s="120"/>
      <c r="H312" s="120"/>
      <c r="I312" s="120"/>
      <c r="J312" s="120"/>
      <c r="K312" s="120"/>
      <c r="L312" s="120"/>
      <c r="M312" s="120"/>
      <c r="N312" s="120"/>
      <c r="O312" s="120"/>
      <c r="P312" s="120"/>
      <c r="Q312" s="120"/>
      <c r="R312" s="120"/>
      <c r="S312" s="120"/>
      <c r="T312" s="120"/>
      <c r="U312" s="123"/>
      <c r="V312" s="120"/>
      <c r="W312" s="120"/>
      <c r="X312" s="120"/>
      <c r="Y312" s="120"/>
      <c r="Z312" s="120"/>
    </row>
    <row r="313" spans="1:26" ht="12" customHeight="1">
      <c r="A313" s="140"/>
      <c r="B313" s="120"/>
      <c r="C313" s="120"/>
      <c r="D313" s="120"/>
      <c r="E313" s="120"/>
      <c r="F313" s="120"/>
      <c r="G313" s="120"/>
      <c r="H313" s="120"/>
      <c r="I313" s="120"/>
      <c r="J313" s="120"/>
      <c r="K313" s="120"/>
      <c r="L313" s="120"/>
      <c r="M313" s="120"/>
      <c r="N313" s="120"/>
      <c r="O313" s="120"/>
      <c r="P313" s="120"/>
      <c r="Q313" s="120"/>
      <c r="R313" s="120"/>
      <c r="S313" s="120"/>
      <c r="T313" s="120"/>
      <c r="U313" s="123"/>
      <c r="V313" s="120"/>
      <c r="W313" s="120"/>
      <c r="X313" s="120"/>
      <c r="Y313" s="120"/>
      <c r="Z313" s="120"/>
    </row>
    <row r="314" spans="1:26" ht="12" customHeight="1">
      <c r="A314" s="140"/>
      <c r="B314" s="120"/>
      <c r="C314" s="120"/>
      <c r="D314" s="120"/>
      <c r="E314" s="120"/>
      <c r="F314" s="120"/>
      <c r="G314" s="120"/>
      <c r="H314" s="120"/>
      <c r="I314" s="120"/>
      <c r="J314" s="120"/>
      <c r="K314" s="120"/>
      <c r="L314" s="120"/>
      <c r="M314" s="120"/>
      <c r="N314" s="120"/>
      <c r="O314" s="120"/>
      <c r="P314" s="120"/>
      <c r="Q314" s="120"/>
      <c r="R314" s="120"/>
      <c r="S314" s="120"/>
      <c r="T314" s="120"/>
      <c r="U314" s="123"/>
      <c r="V314" s="120"/>
      <c r="W314" s="120"/>
      <c r="X314" s="120"/>
      <c r="Y314" s="120"/>
      <c r="Z314" s="120"/>
    </row>
    <row r="315" spans="1:26" ht="12" customHeight="1">
      <c r="A315" s="140"/>
      <c r="B315" s="120"/>
      <c r="C315" s="120"/>
      <c r="D315" s="120"/>
      <c r="E315" s="120"/>
      <c r="F315" s="120"/>
      <c r="G315" s="120"/>
      <c r="H315" s="120"/>
      <c r="I315" s="120"/>
      <c r="J315" s="120"/>
      <c r="K315" s="120"/>
      <c r="L315" s="120"/>
      <c r="M315" s="120"/>
      <c r="N315" s="120"/>
      <c r="O315" s="120"/>
      <c r="P315" s="120"/>
      <c r="Q315" s="120"/>
      <c r="R315" s="120"/>
      <c r="S315" s="120"/>
      <c r="T315" s="120"/>
      <c r="U315" s="123"/>
      <c r="V315" s="120"/>
      <c r="W315" s="120"/>
      <c r="X315" s="120"/>
      <c r="Y315" s="120"/>
      <c r="Z315" s="120"/>
    </row>
    <row r="316" spans="1:26" ht="12" customHeight="1">
      <c r="A316" s="140"/>
      <c r="B316" s="120"/>
      <c r="C316" s="120"/>
      <c r="D316" s="120"/>
      <c r="E316" s="120"/>
      <c r="F316" s="120"/>
      <c r="G316" s="120"/>
      <c r="H316" s="120"/>
      <c r="I316" s="120"/>
      <c r="J316" s="120"/>
      <c r="K316" s="120"/>
      <c r="L316" s="120"/>
      <c r="M316" s="120"/>
      <c r="N316" s="120"/>
      <c r="O316" s="120"/>
      <c r="P316" s="120"/>
      <c r="Q316" s="120"/>
      <c r="R316" s="120"/>
      <c r="S316" s="120"/>
      <c r="T316" s="120"/>
      <c r="U316" s="123"/>
      <c r="V316" s="120"/>
      <c r="W316" s="120"/>
      <c r="X316" s="120"/>
      <c r="Y316" s="120"/>
      <c r="Z316" s="120"/>
    </row>
    <row r="317" spans="1:26" ht="12" customHeight="1">
      <c r="A317" s="140"/>
      <c r="B317" s="120"/>
      <c r="C317" s="120"/>
      <c r="D317" s="120"/>
      <c r="E317" s="120"/>
      <c r="F317" s="120"/>
      <c r="G317" s="120"/>
      <c r="H317" s="120"/>
      <c r="I317" s="120"/>
      <c r="J317" s="120"/>
      <c r="K317" s="120"/>
      <c r="L317" s="120"/>
      <c r="M317" s="120"/>
      <c r="N317" s="120"/>
      <c r="O317" s="120"/>
      <c r="P317" s="120"/>
      <c r="Q317" s="120"/>
      <c r="R317" s="120"/>
      <c r="S317" s="120"/>
      <c r="T317" s="120"/>
      <c r="U317" s="123"/>
      <c r="V317" s="120"/>
      <c r="W317" s="120"/>
      <c r="X317" s="120"/>
      <c r="Y317" s="120"/>
      <c r="Z317" s="120"/>
    </row>
    <row r="318" spans="1:26" ht="12" customHeight="1">
      <c r="A318" s="140"/>
      <c r="B318" s="120"/>
      <c r="C318" s="120"/>
      <c r="D318" s="120"/>
      <c r="E318" s="120"/>
      <c r="F318" s="120"/>
      <c r="G318" s="120"/>
      <c r="H318" s="120"/>
      <c r="I318" s="120"/>
      <c r="J318" s="120"/>
      <c r="K318" s="120"/>
      <c r="L318" s="120"/>
      <c r="M318" s="120"/>
      <c r="N318" s="120"/>
      <c r="O318" s="120"/>
      <c r="P318" s="120"/>
      <c r="Q318" s="120"/>
      <c r="R318" s="120"/>
      <c r="S318" s="120"/>
      <c r="T318" s="120"/>
      <c r="U318" s="123"/>
      <c r="V318" s="120"/>
      <c r="W318" s="120"/>
      <c r="X318" s="120"/>
      <c r="Y318" s="120"/>
      <c r="Z318" s="120"/>
    </row>
    <row r="319" spans="1:26" ht="12" customHeight="1">
      <c r="A319" s="140"/>
      <c r="B319" s="120"/>
      <c r="C319" s="120"/>
      <c r="D319" s="120"/>
      <c r="E319" s="120"/>
      <c r="F319" s="120"/>
      <c r="G319" s="120"/>
      <c r="H319" s="120"/>
      <c r="I319" s="120"/>
      <c r="J319" s="120"/>
      <c r="K319" s="120"/>
      <c r="L319" s="120"/>
      <c r="M319" s="120"/>
      <c r="N319" s="120"/>
      <c r="O319" s="120"/>
      <c r="P319" s="120"/>
      <c r="Q319" s="120"/>
      <c r="R319" s="120"/>
      <c r="S319" s="120"/>
      <c r="T319" s="120"/>
      <c r="U319" s="123"/>
      <c r="V319" s="120"/>
      <c r="W319" s="120"/>
      <c r="X319" s="120"/>
      <c r="Y319" s="120"/>
      <c r="Z319" s="120"/>
    </row>
    <row r="320" spans="1:26" ht="12" customHeight="1">
      <c r="A320" s="140"/>
      <c r="B320" s="120"/>
      <c r="C320" s="120"/>
      <c r="D320" s="120"/>
      <c r="E320" s="120"/>
      <c r="F320" s="120"/>
      <c r="G320" s="120"/>
      <c r="H320" s="120"/>
      <c r="I320" s="120"/>
      <c r="J320" s="120"/>
      <c r="K320" s="120"/>
      <c r="L320" s="120"/>
      <c r="M320" s="120"/>
      <c r="N320" s="120"/>
      <c r="O320" s="120"/>
      <c r="P320" s="120"/>
      <c r="Q320" s="120"/>
      <c r="R320" s="120"/>
      <c r="S320" s="120"/>
      <c r="T320" s="120"/>
      <c r="U320" s="123"/>
      <c r="V320" s="120"/>
      <c r="W320" s="120"/>
      <c r="X320" s="120"/>
      <c r="Y320" s="120"/>
      <c r="Z320" s="120"/>
    </row>
    <row r="321" spans="1:26" ht="12" customHeight="1">
      <c r="A321" s="140"/>
      <c r="B321" s="120"/>
      <c r="C321" s="120"/>
      <c r="D321" s="120"/>
      <c r="E321" s="120"/>
      <c r="F321" s="120"/>
      <c r="G321" s="120"/>
      <c r="H321" s="120"/>
      <c r="I321" s="120"/>
      <c r="J321" s="120"/>
      <c r="K321" s="120"/>
      <c r="L321" s="120"/>
      <c r="M321" s="120"/>
      <c r="N321" s="120"/>
      <c r="O321" s="120"/>
      <c r="P321" s="120"/>
      <c r="Q321" s="120"/>
      <c r="R321" s="120"/>
      <c r="S321" s="120"/>
      <c r="T321" s="120"/>
      <c r="U321" s="123"/>
      <c r="V321" s="120"/>
      <c r="W321" s="120"/>
      <c r="X321" s="120"/>
      <c r="Y321" s="120"/>
      <c r="Z321" s="120"/>
    </row>
    <row r="322" spans="1:26" ht="12" customHeight="1">
      <c r="A322" s="140"/>
      <c r="B322" s="120"/>
      <c r="C322" s="120"/>
      <c r="D322" s="120"/>
      <c r="E322" s="120"/>
      <c r="F322" s="120"/>
      <c r="G322" s="120"/>
      <c r="H322" s="120"/>
      <c r="I322" s="120"/>
      <c r="J322" s="120"/>
      <c r="K322" s="120"/>
      <c r="L322" s="120"/>
      <c r="M322" s="120"/>
      <c r="N322" s="120"/>
      <c r="O322" s="120"/>
      <c r="P322" s="120"/>
      <c r="Q322" s="120"/>
      <c r="R322" s="120"/>
      <c r="S322" s="120"/>
      <c r="T322" s="120"/>
      <c r="U322" s="123"/>
      <c r="V322" s="120"/>
      <c r="W322" s="120"/>
      <c r="X322" s="120"/>
      <c r="Y322" s="120"/>
      <c r="Z322" s="120"/>
    </row>
    <row r="323" spans="1:26" ht="12" customHeight="1">
      <c r="A323" s="140"/>
      <c r="B323" s="120"/>
      <c r="C323" s="120"/>
      <c r="D323" s="120"/>
      <c r="E323" s="120"/>
      <c r="F323" s="120"/>
      <c r="G323" s="120"/>
      <c r="H323" s="120"/>
      <c r="I323" s="120"/>
      <c r="J323" s="120"/>
      <c r="K323" s="120"/>
      <c r="L323" s="120"/>
      <c r="M323" s="120"/>
      <c r="N323" s="120"/>
      <c r="O323" s="120"/>
      <c r="P323" s="120"/>
      <c r="Q323" s="120"/>
      <c r="R323" s="120"/>
      <c r="S323" s="120"/>
      <c r="T323" s="120"/>
      <c r="U323" s="123"/>
      <c r="V323" s="120"/>
      <c r="W323" s="120"/>
      <c r="X323" s="120"/>
      <c r="Y323" s="120"/>
      <c r="Z323" s="120"/>
    </row>
    <row r="324" spans="1:26" ht="12" customHeight="1">
      <c r="A324" s="140"/>
      <c r="B324" s="120"/>
      <c r="C324" s="120"/>
      <c r="D324" s="120"/>
      <c r="E324" s="120"/>
      <c r="F324" s="120"/>
      <c r="G324" s="120"/>
      <c r="H324" s="120"/>
      <c r="I324" s="120"/>
      <c r="J324" s="120"/>
      <c r="K324" s="120"/>
      <c r="L324" s="120"/>
      <c r="M324" s="120"/>
      <c r="N324" s="120"/>
      <c r="O324" s="120"/>
      <c r="P324" s="120"/>
      <c r="Q324" s="120"/>
      <c r="R324" s="120"/>
      <c r="S324" s="120"/>
      <c r="T324" s="120"/>
      <c r="U324" s="123"/>
      <c r="V324" s="120"/>
      <c r="W324" s="120"/>
      <c r="X324" s="120"/>
      <c r="Y324" s="120"/>
      <c r="Z324" s="120"/>
    </row>
    <row r="325" spans="1:26" ht="12" customHeight="1">
      <c r="A325" s="140"/>
      <c r="B325" s="120"/>
      <c r="C325" s="120"/>
      <c r="D325" s="120"/>
      <c r="E325" s="120"/>
      <c r="F325" s="120"/>
      <c r="G325" s="120"/>
      <c r="H325" s="120"/>
      <c r="I325" s="120"/>
      <c r="J325" s="120"/>
      <c r="K325" s="120"/>
      <c r="L325" s="120"/>
      <c r="M325" s="120"/>
      <c r="N325" s="120"/>
      <c r="O325" s="120"/>
      <c r="P325" s="120"/>
      <c r="Q325" s="120"/>
      <c r="R325" s="120"/>
      <c r="S325" s="120"/>
      <c r="T325" s="120"/>
      <c r="U325" s="123"/>
      <c r="V325" s="120"/>
      <c r="W325" s="120"/>
      <c r="X325" s="120"/>
      <c r="Y325" s="120"/>
      <c r="Z325" s="120"/>
    </row>
    <row r="326" spans="1:26" ht="12" customHeight="1">
      <c r="A326" s="140"/>
      <c r="B326" s="120"/>
      <c r="C326" s="120"/>
      <c r="D326" s="120"/>
      <c r="E326" s="120"/>
      <c r="F326" s="120"/>
      <c r="G326" s="120"/>
      <c r="H326" s="120"/>
      <c r="I326" s="120"/>
      <c r="J326" s="120"/>
      <c r="K326" s="120"/>
      <c r="L326" s="120"/>
      <c r="M326" s="120"/>
      <c r="N326" s="120"/>
      <c r="O326" s="120"/>
      <c r="P326" s="120"/>
      <c r="Q326" s="120"/>
      <c r="R326" s="120"/>
      <c r="S326" s="120"/>
      <c r="T326" s="120"/>
      <c r="U326" s="123"/>
      <c r="V326" s="120"/>
      <c r="W326" s="120"/>
      <c r="X326" s="120"/>
      <c r="Y326" s="120"/>
      <c r="Z326" s="120"/>
    </row>
    <row r="327" spans="1:26" ht="12" customHeight="1">
      <c r="A327" s="140"/>
      <c r="B327" s="120"/>
      <c r="C327" s="120"/>
      <c r="D327" s="120"/>
      <c r="E327" s="120"/>
      <c r="F327" s="120"/>
      <c r="G327" s="120"/>
      <c r="H327" s="120"/>
      <c r="I327" s="120"/>
      <c r="J327" s="120"/>
      <c r="K327" s="120"/>
      <c r="L327" s="120"/>
      <c r="M327" s="120"/>
      <c r="N327" s="120"/>
      <c r="O327" s="120"/>
      <c r="P327" s="120"/>
      <c r="Q327" s="120"/>
      <c r="R327" s="120"/>
      <c r="S327" s="120"/>
      <c r="T327" s="120"/>
      <c r="U327" s="123"/>
      <c r="V327" s="120"/>
      <c r="W327" s="120"/>
      <c r="X327" s="120"/>
      <c r="Y327" s="120"/>
      <c r="Z327" s="120"/>
    </row>
    <row r="328" spans="1:26" ht="12" customHeight="1">
      <c r="A328" s="140"/>
      <c r="B328" s="120"/>
      <c r="C328" s="120"/>
      <c r="D328" s="120"/>
      <c r="E328" s="120"/>
      <c r="F328" s="120"/>
      <c r="G328" s="120"/>
      <c r="H328" s="120"/>
      <c r="I328" s="120"/>
      <c r="J328" s="120"/>
      <c r="K328" s="120"/>
      <c r="L328" s="120"/>
      <c r="M328" s="120"/>
      <c r="N328" s="120"/>
      <c r="O328" s="120"/>
      <c r="P328" s="120"/>
      <c r="Q328" s="120"/>
      <c r="R328" s="120"/>
      <c r="S328" s="120"/>
      <c r="T328" s="120"/>
      <c r="U328" s="123"/>
      <c r="V328" s="120"/>
      <c r="W328" s="120"/>
      <c r="X328" s="120"/>
      <c r="Y328" s="120"/>
      <c r="Z328" s="120"/>
    </row>
    <row r="329" spans="1:26" ht="12" customHeight="1">
      <c r="A329" s="140"/>
      <c r="B329" s="120"/>
      <c r="C329" s="120"/>
      <c r="D329" s="120"/>
      <c r="E329" s="120"/>
      <c r="F329" s="120"/>
      <c r="G329" s="120"/>
      <c r="H329" s="120"/>
      <c r="I329" s="120"/>
      <c r="J329" s="120"/>
      <c r="K329" s="120"/>
      <c r="L329" s="120"/>
      <c r="M329" s="120"/>
      <c r="N329" s="120"/>
      <c r="O329" s="120"/>
      <c r="P329" s="120"/>
      <c r="Q329" s="120"/>
      <c r="R329" s="120"/>
      <c r="S329" s="120"/>
      <c r="T329" s="120"/>
      <c r="U329" s="123"/>
      <c r="V329" s="120"/>
      <c r="W329" s="120"/>
      <c r="X329" s="120"/>
      <c r="Y329" s="120"/>
      <c r="Z329" s="120"/>
    </row>
    <row r="330" spans="1:26" ht="12" customHeight="1">
      <c r="A330" s="140"/>
      <c r="B330" s="120"/>
      <c r="C330" s="120"/>
      <c r="D330" s="120"/>
      <c r="E330" s="120"/>
      <c r="F330" s="120"/>
      <c r="G330" s="120"/>
      <c r="H330" s="120"/>
      <c r="I330" s="120"/>
      <c r="J330" s="120"/>
      <c r="K330" s="120"/>
      <c r="L330" s="120"/>
      <c r="M330" s="120"/>
      <c r="N330" s="120"/>
      <c r="O330" s="120"/>
      <c r="P330" s="120"/>
      <c r="Q330" s="120"/>
      <c r="R330" s="120"/>
      <c r="S330" s="120"/>
      <c r="T330" s="120"/>
      <c r="U330" s="123"/>
      <c r="V330" s="120"/>
      <c r="W330" s="120"/>
      <c r="X330" s="120"/>
      <c r="Y330" s="120"/>
      <c r="Z330" s="120"/>
    </row>
    <row r="331" spans="1:26" ht="12" customHeight="1">
      <c r="A331" s="140"/>
      <c r="B331" s="120"/>
      <c r="C331" s="120"/>
      <c r="D331" s="120"/>
      <c r="E331" s="120"/>
      <c r="F331" s="120"/>
      <c r="G331" s="120"/>
      <c r="H331" s="120"/>
      <c r="I331" s="120"/>
      <c r="J331" s="120"/>
      <c r="K331" s="120"/>
      <c r="L331" s="120"/>
      <c r="M331" s="120"/>
      <c r="N331" s="120"/>
      <c r="O331" s="120"/>
      <c r="P331" s="120"/>
      <c r="Q331" s="120"/>
      <c r="R331" s="120"/>
      <c r="S331" s="120"/>
      <c r="T331" s="120"/>
      <c r="U331" s="123"/>
      <c r="V331" s="120"/>
      <c r="W331" s="120"/>
      <c r="X331" s="120"/>
      <c r="Y331" s="120"/>
      <c r="Z331" s="120"/>
    </row>
    <row r="332" spans="1:26" ht="12" customHeight="1">
      <c r="A332" s="140"/>
      <c r="B332" s="120"/>
      <c r="C332" s="120"/>
      <c r="D332" s="120"/>
      <c r="E332" s="120"/>
      <c r="F332" s="120"/>
      <c r="G332" s="120"/>
      <c r="H332" s="120"/>
      <c r="I332" s="120"/>
      <c r="J332" s="120"/>
      <c r="K332" s="120"/>
      <c r="L332" s="120"/>
      <c r="M332" s="120"/>
      <c r="N332" s="120"/>
      <c r="O332" s="120"/>
      <c r="P332" s="120"/>
      <c r="Q332" s="120"/>
      <c r="R332" s="120"/>
      <c r="S332" s="120"/>
      <c r="T332" s="120"/>
      <c r="U332" s="123"/>
      <c r="V332" s="120"/>
      <c r="W332" s="120"/>
      <c r="X332" s="120"/>
      <c r="Y332" s="120"/>
      <c r="Z332" s="120"/>
    </row>
    <row r="333" spans="1:26" ht="12" customHeight="1">
      <c r="A333" s="140"/>
      <c r="B333" s="120"/>
      <c r="C333" s="120"/>
      <c r="D333" s="120"/>
      <c r="E333" s="120"/>
      <c r="F333" s="120"/>
      <c r="G333" s="120"/>
      <c r="H333" s="120"/>
      <c r="I333" s="120"/>
      <c r="J333" s="120"/>
      <c r="K333" s="120"/>
      <c r="L333" s="120"/>
      <c r="M333" s="120"/>
      <c r="N333" s="120"/>
      <c r="O333" s="120"/>
      <c r="P333" s="120"/>
      <c r="Q333" s="120"/>
      <c r="R333" s="120"/>
      <c r="S333" s="120"/>
      <c r="T333" s="120"/>
      <c r="U333" s="123"/>
      <c r="V333" s="120"/>
      <c r="W333" s="120"/>
      <c r="X333" s="120"/>
      <c r="Y333" s="120"/>
      <c r="Z333" s="120"/>
    </row>
    <row r="334" spans="1:26" ht="12" customHeight="1">
      <c r="A334" s="140"/>
      <c r="B334" s="120"/>
      <c r="C334" s="120"/>
      <c r="D334" s="120"/>
      <c r="E334" s="120"/>
      <c r="F334" s="120"/>
      <c r="G334" s="120"/>
      <c r="H334" s="120"/>
      <c r="I334" s="120"/>
      <c r="J334" s="120"/>
      <c r="K334" s="120"/>
      <c r="L334" s="120"/>
      <c r="M334" s="120"/>
      <c r="N334" s="120"/>
      <c r="O334" s="120"/>
      <c r="P334" s="120"/>
      <c r="Q334" s="120"/>
      <c r="R334" s="120"/>
      <c r="S334" s="120"/>
      <c r="T334" s="120"/>
      <c r="U334" s="123"/>
      <c r="V334" s="120"/>
      <c r="W334" s="120"/>
      <c r="X334" s="120"/>
      <c r="Y334" s="120"/>
      <c r="Z334" s="120"/>
    </row>
    <row r="335" spans="1:26" ht="12" customHeight="1">
      <c r="A335" s="140"/>
      <c r="B335" s="120"/>
      <c r="C335" s="120"/>
      <c r="D335" s="120"/>
      <c r="E335" s="120"/>
      <c r="F335" s="120"/>
      <c r="G335" s="120"/>
      <c r="H335" s="120"/>
      <c r="I335" s="120"/>
      <c r="J335" s="120"/>
      <c r="K335" s="120"/>
      <c r="L335" s="120"/>
      <c r="M335" s="120"/>
      <c r="N335" s="120"/>
      <c r="O335" s="120"/>
      <c r="P335" s="120"/>
      <c r="Q335" s="120"/>
      <c r="R335" s="120"/>
      <c r="S335" s="120"/>
      <c r="T335" s="120"/>
      <c r="U335" s="123"/>
      <c r="V335" s="120"/>
      <c r="W335" s="120"/>
      <c r="X335" s="120"/>
      <c r="Y335" s="120"/>
      <c r="Z335" s="120"/>
    </row>
    <row r="336" spans="1:26" ht="12" customHeight="1">
      <c r="A336" s="140"/>
      <c r="B336" s="120"/>
      <c r="C336" s="120"/>
      <c r="D336" s="120"/>
      <c r="E336" s="120"/>
      <c r="F336" s="120"/>
      <c r="G336" s="120"/>
      <c r="H336" s="120"/>
      <c r="I336" s="120"/>
      <c r="J336" s="120"/>
      <c r="K336" s="120"/>
      <c r="L336" s="120"/>
      <c r="M336" s="120"/>
      <c r="N336" s="120"/>
      <c r="O336" s="120"/>
      <c r="P336" s="120"/>
      <c r="Q336" s="120"/>
      <c r="R336" s="120"/>
      <c r="S336" s="120"/>
      <c r="T336" s="120"/>
      <c r="U336" s="123"/>
      <c r="V336" s="120"/>
      <c r="W336" s="120"/>
      <c r="X336" s="120"/>
      <c r="Y336" s="120"/>
      <c r="Z336" s="120"/>
    </row>
    <row r="337" spans="1:26" ht="12" customHeight="1">
      <c r="A337" s="140"/>
      <c r="B337" s="120"/>
      <c r="C337" s="120"/>
      <c r="D337" s="120"/>
      <c r="E337" s="120"/>
      <c r="F337" s="120"/>
      <c r="G337" s="120"/>
      <c r="H337" s="120"/>
      <c r="I337" s="120"/>
      <c r="J337" s="120"/>
      <c r="K337" s="120"/>
      <c r="L337" s="120"/>
      <c r="M337" s="120"/>
      <c r="N337" s="120"/>
      <c r="O337" s="120"/>
      <c r="P337" s="120"/>
      <c r="Q337" s="120"/>
      <c r="R337" s="120"/>
      <c r="S337" s="120"/>
      <c r="T337" s="120"/>
      <c r="U337" s="123"/>
      <c r="V337" s="120"/>
      <c r="W337" s="120"/>
      <c r="X337" s="120"/>
      <c r="Y337" s="120"/>
      <c r="Z337" s="120"/>
    </row>
    <row r="338" spans="1:26" ht="12" customHeight="1">
      <c r="A338" s="140"/>
      <c r="B338" s="120"/>
      <c r="C338" s="120"/>
      <c r="D338" s="120"/>
      <c r="E338" s="120"/>
      <c r="F338" s="120"/>
      <c r="G338" s="120"/>
      <c r="H338" s="120"/>
      <c r="I338" s="120"/>
      <c r="J338" s="120"/>
      <c r="K338" s="120"/>
      <c r="L338" s="120"/>
      <c r="M338" s="120"/>
      <c r="N338" s="120"/>
      <c r="O338" s="120"/>
      <c r="P338" s="120"/>
      <c r="Q338" s="120"/>
      <c r="R338" s="120"/>
      <c r="S338" s="120"/>
      <c r="T338" s="120"/>
      <c r="U338" s="123"/>
      <c r="V338" s="120"/>
      <c r="W338" s="120"/>
      <c r="X338" s="120"/>
      <c r="Y338" s="120"/>
      <c r="Z338" s="120"/>
    </row>
    <row r="339" spans="1:26" ht="12" customHeight="1">
      <c r="A339" s="140"/>
      <c r="B339" s="120"/>
      <c r="C339" s="120"/>
      <c r="D339" s="120"/>
      <c r="E339" s="120"/>
      <c r="F339" s="120"/>
      <c r="G339" s="120"/>
      <c r="H339" s="120"/>
      <c r="I339" s="120"/>
      <c r="J339" s="120"/>
      <c r="K339" s="120"/>
      <c r="L339" s="120"/>
      <c r="M339" s="120"/>
      <c r="N339" s="120"/>
      <c r="O339" s="120"/>
      <c r="P339" s="120"/>
      <c r="Q339" s="120"/>
      <c r="R339" s="120"/>
      <c r="S339" s="120"/>
      <c r="T339" s="120"/>
      <c r="U339" s="123"/>
      <c r="V339" s="120"/>
      <c r="W339" s="120"/>
      <c r="X339" s="120"/>
      <c r="Y339" s="120"/>
      <c r="Z339" s="120"/>
    </row>
    <row r="340" spans="1:26" ht="12" customHeight="1">
      <c r="A340" s="140"/>
      <c r="B340" s="120"/>
      <c r="C340" s="120"/>
      <c r="D340" s="120"/>
      <c r="E340" s="120"/>
      <c r="F340" s="120"/>
      <c r="G340" s="120"/>
      <c r="H340" s="120"/>
      <c r="I340" s="120"/>
      <c r="J340" s="120"/>
      <c r="K340" s="120"/>
      <c r="L340" s="120"/>
      <c r="M340" s="120"/>
      <c r="N340" s="120"/>
      <c r="O340" s="120"/>
      <c r="P340" s="120"/>
      <c r="Q340" s="120"/>
      <c r="R340" s="120"/>
      <c r="S340" s="120"/>
      <c r="T340" s="120"/>
      <c r="U340" s="123"/>
      <c r="V340" s="120"/>
      <c r="W340" s="120"/>
      <c r="X340" s="120"/>
      <c r="Y340" s="120"/>
      <c r="Z340" s="120"/>
    </row>
    <row r="341" spans="1:26" ht="12" customHeight="1">
      <c r="A341" s="140"/>
      <c r="B341" s="120"/>
      <c r="C341" s="120"/>
      <c r="D341" s="120"/>
      <c r="E341" s="120"/>
      <c r="F341" s="120"/>
      <c r="G341" s="120"/>
      <c r="H341" s="120"/>
      <c r="I341" s="120"/>
      <c r="J341" s="120"/>
      <c r="K341" s="120"/>
      <c r="L341" s="120"/>
      <c r="M341" s="120"/>
      <c r="N341" s="120"/>
      <c r="O341" s="120"/>
      <c r="P341" s="120"/>
      <c r="Q341" s="120"/>
      <c r="R341" s="120"/>
      <c r="S341" s="120"/>
      <c r="T341" s="120"/>
      <c r="U341" s="123"/>
      <c r="V341" s="120"/>
      <c r="W341" s="120"/>
      <c r="X341" s="120"/>
      <c r="Y341" s="120"/>
      <c r="Z341" s="120"/>
    </row>
    <row r="342" spans="1:26" ht="12" customHeight="1">
      <c r="A342" s="140"/>
      <c r="B342" s="120"/>
      <c r="C342" s="120"/>
      <c r="D342" s="120"/>
      <c r="E342" s="120"/>
      <c r="F342" s="120"/>
      <c r="G342" s="120"/>
      <c r="H342" s="120"/>
      <c r="I342" s="120"/>
      <c r="J342" s="120"/>
      <c r="K342" s="120"/>
      <c r="L342" s="120"/>
      <c r="M342" s="120"/>
      <c r="N342" s="120"/>
      <c r="O342" s="120"/>
      <c r="P342" s="120"/>
      <c r="Q342" s="120"/>
      <c r="R342" s="120"/>
      <c r="S342" s="120"/>
      <c r="T342" s="120"/>
      <c r="U342" s="123"/>
      <c r="V342" s="120"/>
      <c r="W342" s="120"/>
      <c r="X342" s="120"/>
      <c r="Y342" s="120"/>
      <c r="Z342" s="120"/>
    </row>
    <row r="343" spans="1:26" ht="12" customHeight="1">
      <c r="A343" s="140"/>
      <c r="B343" s="120"/>
      <c r="C343" s="120"/>
      <c r="D343" s="120"/>
      <c r="E343" s="120"/>
      <c r="F343" s="120"/>
      <c r="G343" s="120"/>
      <c r="H343" s="120"/>
      <c r="I343" s="120"/>
      <c r="J343" s="120"/>
      <c r="K343" s="120"/>
      <c r="L343" s="120"/>
      <c r="M343" s="120"/>
      <c r="N343" s="120"/>
      <c r="O343" s="120"/>
      <c r="P343" s="120"/>
      <c r="Q343" s="120"/>
      <c r="R343" s="120"/>
      <c r="S343" s="120"/>
      <c r="T343" s="120"/>
      <c r="U343" s="123"/>
      <c r="V343" s="120"/>
      <c r="W343" s="120"/>
      <c r="X343" s="120"/>
      <c r="Y343" s="120"/>
      <c r="Z343" s="120"/>
    </row>
    <row r="344" spans="1:26" ht="12" customHeight="1">
      <c r="A344" s="140"/>
      <c r="B344" s="120"/>
      <c r="C344" s="120"/>
      <c r="D344" s="120"/>
      <c r="E344" s="120"/>
      <c r="F344" s="120"/>
      <c r="G344" s="120"/>
      <c r="H344" s="120"/>
      <c r="I344" s="120"/>
      <c r="J344" s="120"/>
      <c r="K344" s="120"/>
      <c r="L344" s="120"/>
      <c r="M344" s="120"/>
      <c r="N344" s="120"/>
      <c r="O344" s="120"/>
      <c r="P344" s="120"/>
      <c r="Q344" s="120"/>
      <c r="R344" s="120"/>
      <c r="S344" s="120"/>
      <c r="T344" s="120"/>
      <c r="U344" s="123"/>
      <c r="V344" s="120"/>
      <c r="W344" s="120"/>
      <c r="X344" s="120"/>
      <c r="Y344" s="120"/>
      <c r="Z344" s="120"/>
    </row>
    <row r="345" spans="1:26" ht="12" customHeight="1">
      <c r="A345" s="140"/>
      <c r="B345" s="120"/>
      <c r="C345" s="120"/>
      <c r="D345" s="120"/>
      <c r="E345" s="120"/>
      <c r="F345" s="120"/>
      <c r="G345" s="120"/>
      <c r="H345" s="120"/>
      <c r="I345" s="120"/>
      <c r="J345" s="120"/>
      <c r="K345" s="120"/>
      <c r="L345" s="120"/>
      <c r="M345" s="120"/>
      <c r="N345" s="120"/>
      <c r="O345" s="120"/>
      <c r="P345" s="120"/>
      <c r="Q345" s="120"/>
      <c r="R345" s="120"/>
      <c r="S345" s="120"/>
      <c r="T345" s="120"/>
      <c r="U345" s="123"/>
      <c r="V345" s="120"/>
      <c r="W345" s="120"/>
      <c r="X345" s="120"/>
      <c r="Y345" s="120"/>
      <c r="Z345" s="120"/>
    </row>
    <row r="346" spans="1:26" ht="12" customHeight="1">
      <c r="A346" s="140"/>
      <c r="B346" s="120"/>
      <c r="C346" s="120"/>
      <c r="D346" s="120"/>
      <c r="E346" s="120"/>
      <c r="F346" s="120"/>
      <c r="G346" s="120"/>
      <c r="H346" s="120"/>
      <c r="I346" s="120"/>
      <c r="J346" s="120"/>
      <c r="K346" s="120"/>
      <c r="L346" s="120"/>
      <c r="M346" s="120"/>
      <c r="N346" s="120"/>
      <c r="O346" s="120"/>
      <c r="P346" s="120"/>
      <c r="Q346" s="120"/>
      <c r="R346" s="120"/>
      <c r="S346" s="120"/>
      <c r="T346" s="120"/>
      <c r="U346" s="123"/>
      <c r="V346" s="120"/>
      <c r="W346" s="120"/>
      <c r="X346" s="120"/>
      <c r="Y346" s="120"/>
      <c r="Z346" s="120"/>
    </row>
    <row r="347" spans="1:26" ht="12" customHeight="1">
      <c r="A347" s="140"/>
      <c r="B347" s="120"/>
      <c r="C347" s="120"/>
      <c r="D347" s="120"/>
      <c r="E347" s="120"/>
      <c r="F347" s="120"/>
      <c r="G347" s="120"/>
      <c r="H347" s="120"/>
      <c r="I347" s="120"/>
      <c r="J347" s="120"/>
      <c r="K347" s="120"/>
      <c r="L347" s="120"/>
      <c r="M347" s="120"/>
      <c r="N347" s="120"/>
      <c r="O347" s="120"/>
      <c r="P347" s="120"/>
      <c r="Q347" s="120"/>
      <c r="R347" s="120"/>
      <c r="S347" s="120"/>
      <c r="T347" s="120"/>
      <c r="U347" s="123"/>
      <c r="V347" s="120"/>
      <c r="W347" s="120"/>
      <c r="X347" s="120"/>
      <c r="Y347" s="120"/>
      <c r="Z347" s="120"/>
    </row>
    <row r="348" spans="1:26" ht="12" customHeight="1">
      <c r="A348" s="140"/>
      <c r="B348" s="120"/>
      <c r="C348" s="120"/>
      <c r="D348" s="120"/>
      <c r="E348" s="120"/>
      <c r="F348" s="120"/>
      <c r="G348" s="120"/>
      <c r="H348" s="120"/>
      <c r="I348" s="120"/>
      <c r="J348" s="120"/>
      <c r="K348" s="120"/>
      <c r="L348" s="120"/>
      <c r="M348" s="120"/>
      <c r="N348" s="120"/>
      <c r="O348" s="120"/>
      <c r="P348" s="120"/>
      <c r="Q348" s="120"/>
      <c r="R348" s="120"/>
      <c r="S348" s="120"/>
      <c r="T348" s="120"/>
      <c r="U348" s="123"/>
      <c r="V348" s="120"/>
      <c r="W348" s="120"/>
      <c r="X348" s="120"/>
      <c r="Y348" s="120"/>
      <c r="Z348" s="120"/>
    </row>
    <row r="349" spans="1:26" ht="12" customHeight="1">
      <c r="A349" s="140"/>
      <c r="B349" s="120"/>
      <c r="C349" s="120"/>
      <c r="D349" s="120"/>
      <c r="E349" s="120"/>
      <c r="F349" s="120"/>
      <c r="G349" s="120"/>
      <c r="H349" s="120"/>
      <c r="I349" s="120"/>
      <c r="J349" s="120"/>
      <c r="K349" s="120"/>
      <c r="L349" s="120"/>
      <c r="M349" s="120"/>
      <c r="N349" s="120"/>
      <c r="O349" s="120"/>
      <c r="P349" s="120"/>
      <c r="Q349" s="120"/>
      <c r="R349" s="120"/>
      <c r="S349" s="120"/>
      <c r="T349" s="120"/>
      <c r="U349" s="123"/>
      <c r="V349" s="120"/>
      <c r="W349" s="120"/>
      <c r="X349" s="120"/>
      <c r="Y349" s="120"/>
      <c r="Z349" s="120"/>
    </row>
    <row r="350" spans="1:26" ht="12" customHeight="1">
      <c r="A350" s="140"/>
      <c r="B350" s="120"/>
      <c r="C350" s="120"/>
      <c r="D350" s="120"/>
      <c r="E350" s="120"/>
      <c r="F350" s="120"/>
      <c r="G350" s="120"/>
      <c r="H350" s="120"/>
      <c r="I350" s="120"/>
      <c r="J350" s="120"/>
      <c r="K350" s="120"/>
      <c r="L350" s="120"/>
      <c r="M350" s="120"/>
      <c r="N350" s="120"/>
      <c r="O350" s="120"/>
      <c r="P350" s="120"/>
      <c r="Q350" s="120"/>
      <c r="R350" s="120"/>
      <c r="S350" s="120"/>
      <c r="T350" s="120"/>
      <c r="U350" s="123"/>
      <c r="V350" s="120"/>
      <c r="W350" s="120"/>
      <c r="X350" s="120"/>
      <c r="Y350" s="120"/>
      <c r="Z350" s="120"/>
    </row>
    <row r="351" spans="1:26" ht="12" customHeight="1">
      <c r="A351" s="140"/>
      <c r="B351" s="120"/>
      <c r="C351" s="120"/>
      <c r="D351" s="120"/>
      <c r="E351" s="120"/>
      <c r="F351" s="120"/>
      <c r="G351" s="120"/>
      <c r="H351" s="120"/>
      <c r="I351" s="120"/>
      <c r="J351" s="120"/>
      <c r="K351" s="120"/>
      <c r="L351" s="120"/>
      <c r="M351" s="120"/>
      <c r="N351" s="120"/>
      <c r="O351" s="120"/>
      <c r="P351" s="120"/>
      <c r="Q351" s="120"/>
      <c r="R351" s="120"/>
      <c r="S351" s="120"/>
      <c r="T351" s="120"/>
      <c r="U351" s="123"/>
      <c r="V351" s="120"/>
      <c r="W351" s="120"/>
      <c r="X351" s="120"/>
      <c r="Y351" s="120"/>
      <c r="Z351" s="120"/>
    </row>
    <row r="352" spans="1:26" ht="12" customHeight="1">
      <c r="A352" s="140"/>
      <c r="B352" s="120"/>
      <c r="C352" s="120"/>
      <c r="D352" s="120"/>
      <c r="E352" s="120"/>
      <c r="F352" s="120"/>
      <c r="G352" s="120"/>
      <c r="H352" s="120"/>
      <c r="I352" s="120"/>
      <c r="J352" s="120"/>
      <c r="K352" s="120"/>
      <c r="L352" s="120"/>
      <c r="M352" s="120"/>
      <c r="N352" s="120"/>
      <c r="O352" s="120"/>
      <c r="P352" s="120"/>
      <c r="Q352" s="120"/>
      <c r="R352" s="120"/>
      <c r="S352" s="120"/>
      <c r="T352" s="120"/>
      <c r="U352" s="123"/>
      <c r="V352" s="120"/>
      <c r="W352" s="120"/>
      <c r="X352" s="120"/>
      <c r="Y352" s="120"/>
      <c r="Z352" s="120"/>
    </row>
    <row r="353" spans="1:26" ht="12" customHeight="1">
      <c r="A353" s="140"/>
      <c r="B353" s="120"/>
      <c r="C353" s="120"/>
      <c r="D353" s="120"/>
      <c r="E353" s="120"/>
      <c r="F353" s="120"/>
      <c r="G353" s="120"/>
      <c r="H353" s="120"/>
      <c r="I353" s="120"/>
      <c r="J353" s="120"/>
      <c r="K353" s="120"/>
      <c r="L353" s="120"/>
      <c r="M353" s="120"/>
      <c r="N353" s="120"/>
      <c r="O353" s="120"/>
      <c r="P353" s="120"/>
      <c r="Q353" s="120"/>
      <c r="R353" s="120"/>
      <c r="S353" s="120"/>
      <c r="T353" s="120"/>
      <c r="U353" s="123"/>
      <c r="V353" s="120"/>
      <c r="W353" s="120"/>
      <c r="X353" s="120"/>
      <c r="Y353" s="120"/>
      <c r="Z353" s="120"/>
    </row>
    <row r="354" spans="1:26" ht="12" customHeight="1">
      <c r="A354" s="140"/>
      <c r="B354" s="120"/>
      <c r="C354" s="120"/>
      <c r="D354" s="120"/>
      <c r="E354" s="120"/>
      <c r="F354" s="120"/>
      <c r="G354" s="120"/>
      <c r="H354" s="120"/>
      <c r="I354" s="120"/>
      <c r="J354" s="120"/>
      <c r="K354" s="120"/>
      <c r="L354" s="120"/>
      <c r="M354" s="120"/>
      <c r="N354" s="120"/>
      <c r="O354" s="120"/>
      <c r="P354" s="120"/>
      <c r="Q354" s="120"/>
      <c r="R354" s="120"/>
      <c r="S354" s="120"/>
      <c r="T354" s="120"/>
      <c r="U354" s="123"/>
      <c r="V354" s="120"/>
      <c r="W354" s="120"/>
      <c r="X354" s="120"/>
      <c r="Y354" s="120"/>
      <c r="Z354" s="120"/>
    </row>
    <row r="355" spans="1:26" ht="12" customHeight="1">
      <c r="A355" s="140"/>
      <c r="B355" s="120"/>
      <c r="C355" s="120"/>
      <c r="D355" s="120"/>
      <c r="E355" s="120"/>
      <c r="F355" s="120"/>
      <c r="G355" s="120"/>
      <c r="H355" s="120"/>
      <c r="I355" s="120"/>
      <c r="J355" s="120"/>
      <c r="K355" s="120"/>
      <c r="L355" s="120"/>
      <c r="M355" s="120"/>
      <c r="N355" s="120"/>
      <c r="O355" s="120"/>
      <c r="P355" s="120"/>
      <c r="Q355" s="120"/>
      <c r="R355" s="120"/>
      <c r="S355" s="120"/>
      <c r="T355" s="120"/>
      <c r="U355" s="123"/>
      <c r="V355" s="120"/>
      <c r="W355" s="120"/>
      <c r="X355" s="120"/>
      <c r="Y355" s="120"/>
      <c r="Z355" s="120"/>
    </row>
    <row r="356" spans="1:26" ht="12" customHeight="1">
      <c r="A356" s="140"/>
      <c r="B356" s="120"/>
      <c r="C356" s="120"/>
      <c r="D356" s="120"/>
      <c r="E356" s="120"/>
      <c r="F356" s="120"/>
      <c r="G356" s="120"/>
      <c r="H356" s="120"/>
      <c r="I356" s="120"/>
      <c r="J356" s="120"/>
      <c r="K356" s="120"/>
      <c r="L356" s="120"/>
      <c r="M356" s="120"/>
      <c r="N356" s="120"/>
      <c r="O356" s="120"/>
      <c r="P356" s="120"/>
      <c r="Q356" s="120"/>
      <c r="R356" s="120"/>
      <c r="S356" s="120"/>
      <c r="T356" s="120"/>
      <c r="U356" s="123"/>
      <c r="V356" s="120"/>
      <c r="W356" s="120"/>
      <c r="X356" s="120"/>
      <c r="Y356" s="120"/>
      <c r="Z356" s="120"/>
    </row>
    <row r="357" spans="1:26" ht="12" customHeight="1">
      <c r="A357" s="140"/>
      <c r="B357" s="120"/>
      <c r="C357" s="120"/>
      <c r="D357" s="120"/>
      <c r="E357" s="120"/>
      <c r="F357" s="120"/>
      <c r="G357" s="120"/>
      <c r="H357" s="120"/>
      <c r="I357" s="120"/>
      <c r="J357" s="120"/>
      <c r="K357" s="120"/>
      <c r="L357" s="120"/>
      <c r="M357" s="120"/>
      <c r="N357" s="120"/>
      <c r="O357" s="120"/>
      <c r="P357" s="120"/>
      <c r="Q357" s="120"/>
      <c r="R357" s="120"/>
      <c r="S357" s="120"/>
      <c r="T357" s="120"/>
      <c r="U357" s="123"/>
      <c r="V357" s="120"/>
      <c r="W357" s="120"/>
      <c r="X357" s="120"/>
      <c r="Y357" s="120"/>
      <c r="Z357" s="120"/>
    </row>
    <row r="358" spans="1:26" ht="12" customHeight="1">
      <c r="A358" s="140"/>
      <c r="B358" s="120"/>
      <c r="C358" s="120"/>
      <c r="D358" s="120"/>
      <c r="E358" s="120"/>
      <c r="F358" s="120"/>
      <c r="G358" s="120"/>
      <c r="H358" s="120"/>
      <c r="I358" s="120"/>
      <c r="J358" s="120"/>
      <c r="K358" s="120"/>
      <c r="L358" s="120"/>
      <c r="M358" s="120"/>
      <c r="N358" s="120"/>
      <c r="O358" s="120"/>
      <c r="P358" s="120"/>
      <c r="Q358" s="120"/>
      <c r="R358" s="120"/>
      <c r="S358" s="120"/>
      <c r="T358" s="120"/>
      <c r="U358" s="123"/>
      <c r="V358" s="120"/>
      <c r="W358" s="120"/>
      <c r="X358" s="120"/>
      <c r="Y358" s="120"/>
      <c r="Z358" s="120"/>
    </row>
    <row r="359" spans="1:26" ht="12" customHeight="1">
      <c r="A359" s="140"/>
      <c r="B359" s="120"/>
      <c r="C359" s="120"/>
      <c r="D359" s="120"/>
      <c r="E359" s="120"/>
      <c r="F359" s="120"/>
      <c r="G359" s="120"/>
      <c r="H359" s="120"/>
      <c r="I359" s="120"/>
      <c r="J359" s="120"/>
      <c r="K359" s="120"/>
      <c r="L359" s="120"/>
      <c r="M359" s="120"/>
      <c r="N359" s="120"/>
      <c r="O359" s="120"/>
      <c r="P359" s="120"/>
      <c r="Q359" s="120"/>
      <c r="R359" s="120"/>
      <c r="S359" s="120"/>
      <c r="T359" s="120"/>
      <c r="U359" s="123"/>
      <c r="V359" s="120"/>
      <c r="W359" s="120"/>
      <c r="X359" s="120"/>
      <c r="Y359" s="120"/>
      <c r="Z359" s="120"/>
    </row>
    <row r="360" spans="1:26" ht="12" customHeight="1">
      <c r="A360" s="140"/>
      <c r="B360" s="120"/>
      <c r="C360" s="120"/>
      <c r="D360" s="120"/>
      <c r="E360" s="120"/>
      <c r="F360" s="120"/>
      <c r="G360" s="120"/>
      <c r="H360" s="120"/>
      <c r="I360" s="120"/>
      <c r="J360" s="120"/>
      <c r="K360" s="120"/>
      <c r="L360" s="120"/>
      <c r="M360" s="120"/>
      <c r="N360" s="120"/>
      <c r="O360" s="120"/>
      <c r="P360" s="120"/>
      <c r="Q360" s="120"/>
      <c r="R360" s="120"/>
      <c r="S360" s="120"/>
      <c r="T360" s="120"/>
      <c r="U360" s="123"/>
      <c r="V360" s="120"/>
      <c r="W360" s="120"/>
      <c r="X360" s="120"/>
      <c r="Y360" s="120"/>
      <c r="Z360" s="120"/>
    </row>
    <row r="361" spans="1:26" ht="12" customHeight="1">
      <c r="A361" s="140"/>
      <c r="B361" s="120"/>
      <c r="C361" s="120"/>
      <c r="D361" s="120"/>
      <c r="E361" s="120"/>
      <c r="F361" s="120"/>
      <c r="G361" s="120"/>
      <c r="H361" s="120"/>
      <c r="I361" s="120"/>
      <c r="J361" s="120"/>
      <c r="K361" s="120"/>
      <c r="L361" s="120"/>
      <c r="M361" s="120"/>
      <c r="N361" s="120"/>
      <c r="O361" s="120"/>
      <c r="P361" s="120"/>
      <c r="Q361" s="120"/>
      <c r="R361" s="120"/>
      <c r="S361" s="120"/>
      <c r="T361" s="120"/>
      <c r="U361" s="123"/>
      <c r="V361" s="120"/>
      <c r="W361" s="120"/>
      <c r="X361" s="120"/>
      <c r="Y361" s="120"/>
      <c r="Z361" s="120"/>
    </row>
    <row r="362" spans="1:26" ht="12" customHeight="1">
      <c r="A362" s="140"/>
      <c r="B362" s="120"/>
      <c r="C362" s="120"/>
      <c r="D362" s="120"/>
      <c r="E362" s="120"/>
      <c r="F362" s="120"/>
      <c r="G362" s="120"/>
      <c r="H362" s="120"/>
      <c r="I362" s="120"/>
      <c r="J362" s="120"/>
      <c r="K362" s="120"/>
      <c r="L362" s="120"/>
      <c r="M362" s="120"/>
      <c r="N362" s="120"/>
      <c r="O362" s="120"/>
      <c r="P362" s="120"/>
      <c r="Q362" s="120"/>
      <c r="R362" s="120"/>
      <c r="S362" s="120"/>
      <c r="T362" s="120"/>
      <c r="U362" s="123"/>
      <c r="V362" s="120"/>
      <c r="W362" s="120"/>
      <c r="X362" s="120"/>
      <c r="Y362" s="120"/>
      <c r="Z362" s="120"/>
    </row>
    <row r="363" spans="1:26" ht="12" customHeight="1">
      <c r="A363" s="140"/>
      <c r="B363" s="120"/>
      <c r="C363" s="120"/>
      <c r="D363" s="120"/>
      <c r="E363" s="120"/>
      <c r="F363" s="120"/>
      <c r="G363" s="120"/>
      <c r="H363" s="120"/>
      <c r="I363" s="120"/>
      <c r="J363" s="120"/>
      <c r="K363" s="120"/>
      <c r="L363" s="120"/>
      <c r="M363" s="120"/>
      <c r="N363" s="120"/>
      <c r="O363" s="120"/>
      <c r="P363" s="120"/>
      <c r="Q363" s="120"/>
      <c r="R363" s="120"/>
      <c r="S363" s="120"/>
      <c r="T363" s="120"/>
      <c r="U363" s="123"/>
      <c r="V363" s="120"/>
      <c r="W363" s="120"/>
      <c r="X363" s="120"/>
      <c r="Y363" s="120"/>
      <c r="Z363" s="120"/>
    </row>
    <row r="364" spans="1:26" ht="12" customHeight="1">
      <c r="A364" s="140"/>
      <c r="B364" s="120"/>
      <c r="C364" s="120"/>
      <c r="D364" s="120"/>
      <c r="E364" s="120"/>
      <c r="F364" s="120"/>
      <c r="G364" s="120"/>
      <c r="H364" s="120"/>
      <c r="I364" s="120"/>
      <c r="J364" s="120"/>
      <c r="K364" s="120"/>
      <c r="L364" s="120"/>
      <c r="M364" s="120"/>
      <c r="N364" s="120"/>
      <c r="O364" s="120"/>
      <c r="P364" s="120"/>
      <c r="Q364" s="120"/>
      <c r="R364" s="120"/>
      <c r="S364" s="120"/>
      <c r="T364" s="120"/>
      <c r="U364" s="123"/>
      <c r="V364" s="120"/>
      <c r="W364" s="120"/>
      <c r="X364" s="120"/>
      <c r="Y364" s="120"/>
      <c r="Z364" s="120"/>
    </row>
    <row r="365" spans="1:26" ht="12" customHeight="1">
      <c r="A365" s="140"/>
      <c r="B365" s="120"/>
      <c r="C365" s="120"/>
      <c r="D365" s="120"/>
      <c r="E365" s="120"/>
      <c r="F365" s="120"/>
      <c r="G365" s="120"/>
      <c r="H365" s="120"/>
      <c r="I365" s="120"/>
      <c r="J365" s="120"/>
      <c r="K365" s="120"/>
      <c r="L365" s="120"/>
      <c r="M365" s="120"/>
      <c r="N365" s="120"/>
      <c r="O365" s="120"/>
      <c r="P365" s="120"/>
      <c r="Q365" s="120"/>
      <c r="R365" s="120"/>
      <c r="S365" s="120"/>
      <c r="T365" s="120"/>
      <c r="U365" s="123"/>
      <c r="V365" s="120"/>
      <c r="W365" s="120"/>
      <c r="X365" s="120"/>
      <c r="Y365" s="120"/>
      <c r="Z365" s="120"/>
    </row>
    <row r="366" spans="1:26" ht="12" customHeight="1">
      <c r="A366" s="140"/>
      <c r="B366" s="120"/>
      <c r="C366" s="120"/>
      <c r="D366" s="120"/>
      <c r="E366" s="120"/>
      <c r="F366" s="120"/>
      <c r="G366" s="120"/>
      <c r="H366" s="120"/>
      <c r="I366" s="120"/>
      <c r="J366" s="120"/>
      <c r="K366" s="120"/>
      <c r="L366" s="120"/>
      <c r="M366" s="120"/>
      <c r="N366" s="120"/>
      <c r="O366" s="120"/>
      <c r="P366" s="120"/>
      <c r="Q366" s="120"/>
      <c r="R366" s="120"/>
      <c r="S366" s="120"/>
      <c r="T366" s="120"/>
      <c r="U366" s="123"/>
      <c r="V366" s="120"/>
      <c r="W366" s="120"/>
      <c r="X366" s="120"/>
      <c r="Y366" s="120"/>
      <c r="Z366" s="120"/>
    </row>
    <row r="367" spans="1:26" ht="12" customHeight="1">
      <c r="A367" s="140"/>
      <c r="B367" s="120"/>
      <c r="C367" s="120"/>
      <c r="D367" s="120"/>
      <c r="E367" s="120"/>
      <c r="F367" s="120"/>
      <c r="G367" s="120"/>
      <c r="H367" s="120"/>
      <c r="I367" s="120"/>
      <c r="J367" s="120"/>
      <c r="K367" s="120"/>
      <c r="L367" s="120"/>
      <c r="M367" s="120"/>
      <c r="N367" s="120"/>
      <c r="O367" s="120"/>
      <c r="P367" s="120"/>
      <c r="Q367" s="120"/>
      <c r="R367" s="120"/>
      <c r="S367" s="120"/>
      <c r="T367" s="120"/>
      <c r="U367" s="123"/>
      <c r="V367" s="120"/>
      <c r="W367" s="120"/>
      <c r="X367" s="120"/>
      <c r="Y367" s="120"/>
      <c r="Z367" s="120"/>
    </row>
    <row r="368" spans="1:26" ht="12" customHeight="1">
      <c r="A368" s="140"/>
      <c r="B368" s="120"/>
      <c r="C368" s="120"/>
      <c r="D368" s="120"/>
      <c r="E368" s="120"/>
      <c r="F368" s="120"/>
      <c r="G368" s="120"/>
      <c r="H368" s="120"/>
      <c r="I368" s="120"/>
      <c r="J368" s="120"/>
      <c r="K368" s="120"/>
      <c r="L368" s="120"/>
      <c r="M368" s="120"/>
      <c r="N368" s="120"/>
      <c r="O368" s="120"/>
      <c r="P368" s="120"/>
      <c r="Q368" s="120"/>
      <c r="R368" s="120"/>
      <c r="S368" s="120"/>
      <c r="T368" s="120"/>
      <c r="U368" s="123"/>
      <c r="V368" s="120"/>
      <c r="W368" s="120"/>
      <c r="X368" s="120"/>
      <c r="Y368" s="120"/>
      <c r="Z368" s="120"/>
    </row>
    <row r="369" spans="1:26" ht="12" customHeight="1">
      <c r="A369" s="140"/>
      <c r="B369" s="120"/>
      <c r="C369" s="120"/>
      <c r="D369" s="120"/>
      <c r="E369" s="120"/>
      <c r="F369" s="120"/>
      <c r="G369" s="120"/>
      <c r="H369" s="120"/>
      <c r="I369" s="120"/>
      <c r="J369" s="120"/>
      <c r="K369" s="120"/>
      <c r="L369" s="120"/>
      <c r="M369" s="120"/>
      <c r="N369" s="120"/>
      <c r="O369" s="120"/>
      <c r="P369" s="120"/>
      <c r="Q369" s="120"/>
      <c r="R369" s="120"/>
      <c r="S369" s="120"/>
      <c r="T369" s="120"/>
      <c r="U369" s="123"/>
      <c r="V369" s="120"/>
      <c r="W369" s="120"/>
      <c r="X369" s="120"/>
      <c r="Y369" s="120"/>
      <c r="Z369" s="120"/>
    </row>
    <row r="370" spans="1:26" ht="12" customHeight="1">
      <c r="A370" s="140"/>
      <c r="B370" s="120"/>
      <c r="C370" s="120"/>
      <c r="D370" s="120"/>
      <c r="E370" s="120"/>
      <c r="F370" s="120"/>
      <c r="G370" s="120"/>
      <c r="H370" s="120"/>
      <c r="I370" s="120"/>
      <c r="J370" s="120"/>
      <c r="K370" s="120"/>
      <c r="L370" s="120"/>
      <c r="M370" s="120"/>
      <c r="N370" s="120"/>
      <c r="O370" s="120"/>
      <c r="P370" s="120"/>
      <c r="Q370" s="120"/>
      <c r="R370" s="120"/>
      <c r="S370" s="120"/>
      <c r="T370" s="120"/>
      <c r="U370" s="123"/>
      <c r="V370" s="120"/>
      <c r="W370" s="120"/>
      <c r="X370" s="120"/>
      <c r="Y370" s="120"/>
      <c r="Z370" s="120"/>
    </row>
    <row r="371" spans="1:26" ht="12" customHeight="1">
      <c r="A371" s="140"/>
      <c r="B371" s="120"/>
      <c r="C371" s="120"/>
      <c r="D371" s="120"/>
      <c r="E371" s="120"/>
      <c r="F371" s="120"/>
      <c r="G371" s="120"/>
      <c r="H371" s="120"/>
      <c r="I371" s="120"/>
      <c r="J371" s="120"/>
      <c r="K371" s="120"/>
      <c r="L371" s="120"/>
      <c r="M371" s="120"/>
      <c r="N371" s="120"/>
      <c r="O371" s="120"/>
      <c r="P371" s="120"/>
      <c r="Q371" s="120"/>
      <c r="R371" s="120"/>
      <c r="S371" s="120"/>
      <c r="T371" s="120"/>
      <c r="U371" s="123"/>
      <c r="V371" s="120"/>
      <c r="W371" s="120"/>
      <c r="X371" s="120"/>
      <c r="Y371" s="120"/>
      <c r="Z371" s="120"/>
    </row>
    <row r="372" spans="1:26" ht="12" customHeight="1">
      <c r="A372" s="140"/>
      <c r="B372" s="120"/>
      <c r="C372" s="120"/>
      <c r="D372" s="120"/>
      <c r="E372" s="120"/>
      <c r="F372" s="120"/>
      <c r="G372" s="120"/>
      <c r="H372" s="120"/>
      <c r="I372" s="120"/>
      <c r="J372" s="120"/>
      <c r="K372" s="120"/>
      <c r="L372" s="120"/>
      <c r="M372" s="120"/>
      <c r="N372" s="120"/>
      <c r="O372" s="120"/>
      <c r="P372" s="120"/>
      <c r="Q372" s="120"/>
      <c r="R372" s="120"/>
      <c r="S372" s="120"/>
      <c r="T372" s="120"/>
      <c r="U372" s="123"/>
      <c r="V372" s="120"/>
      <c r="W372" s="120"/>
      <c r="X372" s="120"/>
      <c r="Y372" s="120"/>
      <c r="Z372" s="120"/>
    </row>
    <row r="373" spans="1:26" ht="12" customHeight="1">
      <c r="A373" s="140"/>
      <c r="B373" s="120"/>
      <c r="C373" s="120"/>
      <c r="D373" s="120"/>
      <c r="E373" s="120"/>
      <c r="F373" s="120"/>
      <c r="G373" s="120"/>
      <c r="H373" s="120"/>
      <c r="I373" s="120"/>
      <c r="J373" s="120"/>
      <c r="K373" s="120"/>
      <c r="L373" s="120"/>
      <c r="M373" s="120"/>
      <c r="N373" s="120"/>
      <c r="O373" s="120"/>
      <c r="P373" s="120"/>
      <c r="Q373" s="120"/>
      <c r="R373" s="120"/>
      <c r="S373" s="120"/>
      <c r="T373" s="120"/>
      <c r="U373" s="123"/>
      <c r="V373" s="120"/>
      <c r="W373" s="120"/>
      <c r="X373" s="120"/>
      <c r="Y373" s="120"/>
      <c r="Z373" s="120"/>
    </row>
    <row r="374" spans="1:26" ht="12" customHeight="1">
      <c r="A374" s="140"/>
      <c r="B374" s="120"/>
      <c r="C374" s="120"/>
      <c r="D374" s="120"/>
      <c r="E374" s="120"/>
      <c r="F374" s="120"/>
      <c r="G374" s="120"/>
      <c r="H374" s="120"/>
      <c r="I374" s="120"/>
      <c r="J374" s="120"/>
      <c r="K374" s="120"/>
      <c r="L374" s="120"/>
      <c r="M374" s="120"/>
      <c r="N374" s="120"/>
      <c r="O374" s="120"/>
      <c r="P374" s="120"/>
      <c r="Q374" s="120"/>
      <c r="R374" s="120"/>
      <c r="S374" s="120"/>
      <c r="T374" s="120"/>
      <c r="U374" s="123"/>
      <c r="V374" s="120"/>
      <c r="W374" s="120"/>
      <c r="X374" s="120"/>
      <c r="Y374" s="120"/>
      <c r="Z374" s="120"/>
    </row>
    <row r="375" spans="1:26" ht="12" customHeight="1">
      <c r="A375" s="140"/>
      <c r="B375" s="120"/>
      <c r="C375" s="120"/>
      <c r="D375" s="120"/>
      <c r="E375" s="120"/>
      <c r="F375" s="120"/>
      <c r="G375" s="120"/>
      <c r="H375" s="120"/>
      <c r="I375" s="120"/>
      <c r="J375" s="120"/>
      <c r="K375" s="120"/>
      <c r="L375" s="120"/>
      <c r="M375" s="120"/>
      <c r="N375" s="120"/>
      <c r="O375" s="120"/>
      <c r="P375" s="120"/>
      <c r="Q375" s="120"/>
      <c r="R375" s="120"/>
      <c r="S375" s="120"/>
      <c r="T375" s="120"/>
      <c r="U375" s="123"/>
      <c r="V375" s="120"/>
      <c r="W375" s="120"/>
      <c r="X375" s="120"/>
      <c r="Y375" s="120"/>
      <c r="Z375" s="120"/>
    </row>
    <row r="376" spans="1:26" ht="12" customHeight="1">
      <c r="A376" s="140"/>
      <c r="B376" s="120"/>
      <c r="C376" s="120"/>
      <c r="D376" s="120"/>
      <c r="E376" s="120"/>
      <c r="F376" s="120"/>
      <c r="G376" s="120"/>
      <c r="H376" s="120"/>
      <c r="I376" s="120"/>
      <c r="J376" s="120"/>
      <c r="K376" s="120"/>
      <c r="L376" s="120"/>
      <c r="M376" s="120"/>
      <c r="N376" s="120"/>
      <c r="O376" s="120"/>
      <c r="P376" s="120"/>
      <c r="Q376" s="120"/>
      <c r="R376" s="120"/>
      <c r="S376" s="120"/>
      <c r="T376" s="120"/>
      <c r="U376" s="123"/>
      <c r="V376" s="120"/>
      <c r="W376" s="120"/>
      <c r="X376" s="120"/>
      <c r="Y376" s="120"/>
      <c r="Z376" s="120"/>
    </row>
    <row r="377" spans="1:26" ht="12" customHeight="1">
      <c r="A377" s="140"/>
      <c r="B377" s="120"/>
      <c r="C377" s="120"/>
      <c r="D377" s="120"/>
      <c r="E377" s="120"/>
      <c r="F377" s="120"/>
      <c r="G377" s="120"/>
      <c r="H377" s="120"/>
      <c r="I377" s="120"/>
      <c r="J377" s="120"/>
      <c r="K377" s="120"/>
      <c r="L377" s="120"/>
      <c r="M377" s="120"/>
      <c r="N377" s="120"/>
      <c r="O377" s="120"/>
      <c r="P377" s="120"/>
      <c r="Q377" s="120"/>
      <c r="R377" s="120"/>
      <c r="S377" s="120"/>
      <c r="T377" s="120"/>
      <c r="U377" s="123"/>
      <c r="V377" s="120"/>
      <c r="W377" s="120"/>
      <c r="X377" s="120"/>
      <c r="Y377" s="120"/>
      <c r="Z377" s="120"/>
    </row>
    <row r="378" spans="1:26" ht="12" customHeight="1">
      <c r="A378" s="140"/>
      <c r="B378" s="120"/>
      <c r="C378" s="120"/>
      <c r="D378" s="120"/>
      <c r="E378" s="120"/>
      <c r="F378" s="120"/>
      <c r="G378" s="120"/>
      <c r="H378" s="120"/>
      <c r="I378" s="120"/>
      <c r="J378" s="120"/>
      <c r="K378" s="120"/>
      <c r="L378" s="120"/>
      <c r="M378" s="120"/>
      <c r="N378" s="120"/>
      <c r="O378" s="120"/>
      <c r="P378" s="120"/>
      <c r="Q378" s="120"/>
      <c r="R378" s="120"/>
      <c r="S378" s="120"/>
      <c r="T378" s="120"/>
      <c r="U378" s="123"/>
      <c r="V378" s="120"/>
      <c r="W378" s="120"/>
      <c r="X378" s="120"/>
      <c r="Y378" s="120"/>
      <c r="Z378" s="120"/>
    </row>
    <row r="379" spans="1:26" ht="12" customHeight="1">
      <c r="A379" s="140"/>
      <c r="B379" s="120"/>
      <c r="C379" s="120"/>
      <c r="D379" s="120"/>
      <c r="E379" s="120"/>
      <c r="F379" s="120"/>
      <c r="G379" s="120"/>
      <c r="H379" s="120"/>
      <c r="I379" s="120"/>
      <c r="J379" s="120"/>
      <c r="K379" s="120"/>
      <c r="L379" s="120"/>
      <c r="M379" s="120"/>
      <c r="N379" s="120"/>
      <c r="O379" s="120"/>
      <c r="P379" s="120"/>
      <c r="Q379" s="120"/>
      <c r="R379" s="120"/>
      <c r="S379" s="120"/>
      <c r="T379" s="120"/>
      <c r="U379" s="123"/>
      <c r="V379" s="120"/>
      <c r="W379" s="120"/>
      <c r="X379" s="120"/>
      <c r="Y379" s="120"/>
      <c r="Z379" s="120"/>
    </row>
    <row r="380" spans="1:26" ht="12" customHeight="1">
      <c r="A380" s="140"/>
      <c r="B380" s="120"/>
      <c r="C380" s="120"/>
      <c r="D380" s="120"/>
      <c r="E380" s="120"/>
      <c r="F380" s="120"/>
      <c r="G380" s="120"/>
      <c r="H380" s="120"/>
      <c r="I380" s="120"/>
      <c r="J380" s="120"/>
      <c r="K380" s="120"/>
      <c r="L380" s="120"/>
      <c r="M380" s="120"/>
      <c r="N380" s="120"/>
      <c r="O380" s="120"/>
      <c r="P380" s="120"/>
      <c r="Q380" s="120"/>
      <c r="R380" s="120"/>
      <c r="S380" s="120"/>
      <c r="T380" s="120"/>
      <c r="U380" s="123"/>
      <c r="V380" s="120"/>
      <c r="W380" s="120"/>
      <c r="X380" s="120"/>
      <c r="Y380" s="120"/>
      <c r="Z380" s="120"/>
    </row>
    <row r="381" spans="1:26" ht="12" customHeight="1">
      <c r="A381" s="140"/>
      <c r="B381" s="120"/>
      <c r="C381" s="120"/>
      <c r="D381" s="120"/>
      <c r="E381" s="120"/>
      <c r="F381" s="120"/>
      <c r="G381" s="120"/>
      <c r="H381" s="120"/>
      <c r="I381" s="120"/>
      <c r="J381" s="120"/>
      <c r="K381" s="120"/>
      <c r="L381" s="120"/>
      <c r="M381" s="120"/>
      <c r="N381" s="120"/>
      <c r="O381" s="120"/>
      <c r="P381" s="120"/>
      <c r="Q381" s="120"/>
      <c r="R381" s="120"/>
      <c r="S381" s="120"/>
      <c r="T381" s="120"/>
      <c r="U381" s="123"/>
      <c r="V381" s="120"/>
      <c r="W381" s="120"/>
      <c r="X381" s="120"/>
      <c r="Y381" s="120"/>
      <c r="Z381" s="120"/>
    </row>
    <row r="382" spans="1:26" ht="12" customHeight="1">
      <c r="A382" s="140"/>
      <c r="B382" s="120"/>
      <c r="C382" s="120"/>
      <c r="D382" s="120"/>
      <c r="E382" s="120"/>
      <c r="F382" s="120"/>
      <c r="G382" s="120"/>
      <c r="H382" s="120"/>
      <c r="I382" s="120"/>
      <c r="J382" s="120"/>
      <c r="K382" s="120"/>
      <c r="L382" s="120"/>
      <c r="M382" s="120"/>
      <c r="N382" s="120"/>
      <c r="O382" s="120"/>
      <c r="P382" s="120"/>
      <c r="Q382" s="120"/>
      <c r="R382" s="120"/>
      <c r="S382" s="120"/>
      <c r="T382" s="120"/>
      <c r="U382" s="123"/>
      <c r="V382" s="120"/>
      <c r="W382" s="120"/>
      <c r="X382" s="120"/>
      <c r="Y382" s="120"/>
      <c r="Z382" s="120"/>
    </row>
    <row r="383" spans="1:26" ht="12" customHeight="1">
      <c r="A383" s="140"/>
      <c r="B383" s="120"/>
      <c r="C383" s="120"/>
      <c r="D383" s="120"/>
      <c r="E383" s="120"/>
      <c r="F383" s="120"/>
      <c r="G383" s="120"/>
      <c r="H383" s="120"/>
      <c r="I383" s="120"/>
      <c r="J383" s="120"/>
      <c r="K383" s="120"/>
      <c r="L383" s="120"/>
      <c r="M383" s="120"/>
      <c r="N383" s="120"/>
      <c r="O383" s="120"/>
      <c r="P383" s="120"/>
      <c r="Q383" s="120"/>
      <c r="R383" s="120"/>
      <c r="S383" s="120"/>
      <c r="T383" s="120"/>
      <c r="U383" s="123"/>
      <c r="V383" s="120"/>
      <c r="W383" s="120"/>
      <c r="X383" s="120"/>
      <c r="Y383" s="120"/>
      <c r="Z383" s="120"/>
    </row>
    <row r="384" spans="1:26" ht="12" customHeight="1">
      <c r="A384" s="140"/>
      <c r="B384" s="120"/>
      <c r="C384" s="120"/>
      <c r="D384" s="120"/>
      <c r="E384" s="120"/>
      <c r="F384" s="120"/>
      <c r="G384" s="120"/>
      <c r="H384" s="120"/>
      <c r="I384" s="120"/>
      <c r="J384" s="120"/>
      <c r="K384" s="120"/>
      <c r="L384" s="120"/>
      <c r="M384" s="120"/>
      <c r="N384" s="120"/>
      <c r="O384" s="120"/>
      <c r="P384" s="120"/>
      <c r="Q384" s="120"/>
      <c r="R384" s="120"/>
      <c r="S384" s="120"/>
      <c r="T384" s="120"/>
      <c r="U384" s="123"/>
      <c r="V384" s="120"/>
      <c r="W384" s="120"/>
      <c r="X384" s="120"/>
      <c r="Y384" s="120"/>
      <c r="Z384" s="120"/>
    </row>
    <row r="385" spans="1:26" ht="12" customHeight="1">
      <c r="A385" s="140"/>
      <c r="B385" s="120"/>
      <c r="C385" s="120"/>
      <c r="D385" s="120"/>
      <c r="E385" s="120"/>
      <c r="F385" s="120"/>
      <c r="G385" s="120"/>
      <c r="H385" s="120"/>
      <c r="I385" s="120"/>
      <c r="J385" s="120"/>
      <c r="K385" s="120"/>
      <c r="L385" s="120"/>
      <c r="M385" s="120"/>
      <c r="N385" s="120"/>
      <c r="O385" s="120"/>
      <c r="P385" s="120"/>
      <c r="Q385" s="120"/>
      <c r="R385" s="120"/>
      <c r="S385" s="120"/>
      <c r="T385" s="120"/>
      <c r="U385" s="123"/>
      <c r="V385" s="120"/>
      <c r="W385" s="120"/>
      <c r="X385" s="120"/>
      <c r="Y385" s="120"/>
      <c r="Z385" s="120"/>
    </row>
    <row r="386" spans="1:26" ht="12" customHeight="1">
      <c r="A386" s="140"/>
      <c r="B386" s="120"/>
      <c r="C386" s="120"/>
      <c r="D386" s="120"/>
      <c r="E386" s="120"/>
      <c r="F386" s="120"/>
      <c r="G386" s="120"/>
      <c r="H386" s="120"/>
      <c r="I386" s="120"/>
      <c r="J386" s="120"/>
      <c r="K386" s="120"/>
      <c r="L386" s="120"/>
      <c r="M386" s="120"/>
      <c r="N386" s="120"/>
      <c r="O386" s="120"/>
      <c r="P386" s="120"/>
      <c r="Q386" s="120"/>
      <c r="R386" s="120"/>
      <c r="S386" s="120"/>
      <c r="T386" s="120"/>
      <c r="U386" s="123"/>
      <c r="V386" s="120"/>
      <c r="W386" s="120"/>
      <c r="X386" s="120"/>
      <c r="Y386" s="120"/>
      <c r="Z386" s="120"/>
    </row>
    <row r="387" spans="1:26" ht="12" customHeight="1">
      <c r="A387" s="140"/>
      <c r="B387" s="120"/>
      <c r="C387" s="120"/>
      <c r="D387" s="120"/>
      <c r="E387" s="120"/>
      <c r="F387" s="120"/>
      <c r="G387" s="120"/>
      <c r="H387" s="120"/>
      <c r="I387" s="120"/>
      <c r="J387" s="120"/>
      <c r="K387" s="120"/>
      <c r="L387" s="120"/>
      <c r="M387" s="120"/>
      <c r="N387" s="120"/>
      <c r="O387" s="120"/>
      <c r="P387" s="120"/>
      <c r="Q387" s="120"/>
      <c r="R387" s="120"/>
      <c r="S387" s="120"/>
      <c r="T387" s="120"/>
      <c r="U387" s="123"/>
      <c r="V387" s="120"/>
      <c r="W387" s="120"/>
      <c r="X387" s="120"/>
      <c r="Y387" s="120"/>
      <c r="Z387" s="120"/>
    </row>
    <row r="388" spans="1:26" ht="12" customHeight="1">
      <c r="A388" s="140"/>
      <c r="B388" s="120"/>
      <c r="C388" s="120"/>
      <c r="D388" s="120"/>
      <c r="E388" s="120"/>
      <c r="F388" s="120"/>
      <c r="G388" s="120"/>
      <c r="H388" s="120"/>
      <c r="I388" s="120"/>
      <c r="J388" s="120"/>
      <c r="K388" s="120"/>
      <c r="L388" s="120"/>
      <c r="M388" s="120"/>
      <c r="N388" s="120"/>
      <c r="O388" s="120"/>
      <c r="P388" s="120"/>
      <c r="Q388" s="120"/>
      <c r="R388" s="120"/>
      <c r="S388" s="120"/>
      <c r="T388" s="120"/>
      <c r="U388" s="123"/>
      <c r="V388" s="120"/>
      <c r="W388" s="120"/>
      <c r="X388" s="120"/>
      <c r="Y388" s="120"/>
      <c r="Z388" s="120"/>
    </row>
    <row r="389" spans="1:26" ht="12" customHeight="1">
      <c r="A389" s="140"/>
      <c r="B389" s="120"/>
      <c r="C389" s="120"/>
      <c r="D389" s="120"/>
      <c r="E389" s="120"/>
      <c r="F389" s="120"/>
      <c r="G389" s="120"/>
      <c r="H389" s="120"/>
      <c r="I389" s="120"/>
      <c r="J389" s="120"/>
      <c r="K389" s="120"/>
      <c r="L389" s="120"/>
      <c r="M389" s="120"/>
      <c r="N389" s="120"/>
      <c r="O389" s="120"/>
      <c r="P389" s="120"/>
      <c r="Q389" s="120"/>
      <c r="R389" s="120"/>
      <c r="S389" s="120"/>
      <c r="T389" s="120"/>
      <c r="U389" s="123"/>
      <c r="V389" s="120"/>
      <c r="W389" s="120"/>
      <c r="X389" s="120"/>
      <c r="Y389" s="120"/>
      <c r="Z389" s="120"/>
    </row>
    <row r="390" spans="1:26" ht="12" customHeight="1">
      <c r="A390" s="140"/>
      <c r="B390" s="120"/>
      <c r="C390" s="120"/>
      <c r="D390" s="120"/>
      <c r="E390" s="120"/>
      <c r="F390" s="120"/>
      <c r="G390" s="120"/>
      <c r="H390" s="120"/>
      <c r="I390" s="120"/>
      <c r="J390" s="120"/>
      <c r="K390" s="120"/>
      <c r="L390" s="120"/>
      <c r="M390" s="120"/>
      <c r="N390" s="120"/>
      <c r="O390" s="120"/>
      <c r="P390" s="120"/>
      <c r="Q390" s="120"/>
      <c r="R390" s="120"/>
      <c r="S390" s="120"/>
      <c r="T390" s="120"/>
      <c r="U390" s="123"/>
      <c r="V390" s="120"/>
      <c r="W390" s="120"/>
      <c r="X390" s="120"/>
      <c r="Y390" s="120"/>
      <c r="Z390" s="120"/>
    </row>
    <row r="391" spans="1:26" ht="12" customHeight="1">
      <c r="A391" s="140"/>
      <c r="B391" s="120"/>
      <c r="C391" s="120"/>
      <c r="D391" s="120"/>
      <c r="E391" s="120"/>
      <c r="F391" s="120"/>
      <c r="G391" s="120"/>
      <c r="H391" s="120"/>
      <c r="I391" s="120"/>
      <c r="J391" s="120"/>
      <c r="K391" s="120"/>
      <c r="L391" s="120"/>
      <c r="M391" s="120"/>
      <c r="N391" s="120"/>
      <c r="O391" s="120"/>
      <c r="P391" s="120"/>
      <c r="Q391" s="120"/>
      <c r="R391" s="120"/>
      <c r="S391" s="120"/>
      <c r="T391" s="120"/>
      <c r="U391" s="123"/>
      <c r="V391" s="120"/>
      <c r="W391" s="120"/>
      <c r="X391" s="120"/>
      <c r="Y391" s="120"/>
      <c r="Z391" s="120"/>
    </row>
    <row r="392" spans="1:26" ht="12" customHeight="1">
      <c r="A392" s="140"/>
      <c r="B392" s="120"/>
      <c r="C392" s="120"/>
      <c r="D392" s="120"/>
      <c r="E392" s="120"/>
      <c r="F392" s="120"/>
      <c r="G392" s="120"/>
      <c r="H392" s="120"/>
      <c r="I392" s="120"/>
      <c r="J392" s="120"/>
      <c r="K392" s="120"/>
      <c r="L392" s="120"/>
      <c r="M392" s="120"/>
      <c r="N392" s="120"/>
      <c r="O392" s="120"/>
      <c r="P392" s="120"/>
      <c r="Q392" s="120"/>
      <c r="R392" s="120"/>
      <c r="S392" s="120"/>
      <c r="T392" s="120"/>
      <c r="U392" s="123"/>
      <c r="V392" s="120"/>
      <c r="W392" s="120"/>
      <c r="X392" s="120"/>
      <c r="Y392" s="120"/>
      <c r="Z392" s="120"/>
    </row>
    <row r="393" spans="1:26" ht="12" customHeight="1">
      <c r="A393" s="140"/>
      <c r="B393" s="120"/>
      <c r="C393" s="120"/>
      <c r="D393" s="120"/>
      <c r="E393" s="120"/>
      <c r="F393" s="120"/>
      <c r="G393" s="120"/>
      <c r="H393" s="120"/>
      <c r="I393" s="120"/>
      <c r="J393" s="120"/>
      <c r="K393" s="120"/>
      <c r="L393" s="120"/>
      <c r="M393" s="120"/>
      <c r="N393" s="120"/>
      <c r="O393" s="120"/>
      <c r="P393" s="120"/>
      <c r="Q393" s="120"/>
      <c r="R393" s="120"/>
      <c r="S393" s="120"/>
      <c r="T393" s="120"/>
      <c r="U393" s="123"/>
      <c r="V393" s="120"/>
      <c r="W393" s="120"/>
      <c r="X393" s="120"/>
      <c r="Y393" s="120"/>
      <c r="Z393" s="120"/>
    </row>
    <row r="394" spans="1:26" ht="12" customHeight="1">
      <c r="A394" s="140"/>
      <c r="B394" s="120"/>
      <c r="C394" s="120"/>
      <c r="D394" s="120"/>
      <c r="E394" s="120"/>
      <c r="F394" s="120"/>
      <c r="G394" s="120"/>
      <c r="H394" s="120"/>
      <c r="I394" s="120"/>
      <c r="J394" s="120"/>
      <c r="K394" s="120"/>
      <c r="L394" s="120"/>
      <c r="M394" s="120"/>
      <c r="N394" s="120"/>
      <c r="O394" s="120"/>
      <c r="P394" s="120"/>
      <c r="Q394" s="120"/>
      <c r="R394" s="120"/>
      <c r="S394" s="120"/>
      <c r="T394" s="120"/>
      <c r="U394" s="123"/>
      <c r="V394" s="120"/>
      <c r="W394" s="120"/>
      <c r="X394" s="120"/>
      <c r="Y394" s="120"/>
      <c r="Z394" s="120"/>
    </row>
    <row r="395" spans="1:26" ht="12" customHeight="1">
      <c r="A395" s="140"/>
      <c r="B395" s="120"/>
      <c r="C395" s="120"/>
      <c r="D395" s="120"/>
      <c r="E395" s="120"/>
      <c r="F395" s="120"/>
      <c r="G395" s="120"/>
      <c r="H395" s="120"/>
      <c r="I395" s="120"/>
      <c r="J395" s="120"/>
      <c r="K395" s="120"/>
      <c r="L395" s="120"/>
      <c r="M395" s="120"/>
      <c r="N395" s="120"/>
      <c r="O395" s="120"/>
      <c r="P395" s="120"/>
      <c r="Q395" s="120"/>
      <c r="R395" s="120"/>
      <c r="S395" s="120"/>
      <c r="T395" s="120"/>
      <c r="U395" s="123"/>
      <c r="V395" s="120"/>
      <c r="W395" s="120"/>
      <c r="X395" s="120"/>
      <c r="Y395" s="120"/>
      <c r="Z395" s="120"/>
    </row>
    <row r="396" spans="1:26" ht="12" customHeight="1">
      <c r="A396" s="140"/>
      <c r="B396" s="120"/>
      <c r="C396" s="120"/>
      <c r="D396" s="120"/>
      <c r="E396" s="120"/>
      <c r="F396" s="120"/>
      <c r="G396" s="120"/>
      <c r="H396" s="120"/>
      <c r="I396" s="120"/>
      <c r="J396" s="120"/>
      <c r="K396" s="120"/>
      <c r="L396" s="120"/>
      <c r="M396" s="120"/>
      <c r="N396" s="120"/>
      <c r="O396" s="120"/>
      <c r="P396" s="120"/>
      <c r="Q396" s="120"/>
      <c r="R396" s="120"/>
      <c r="S396" s="120"/>
      <c r="T396" s="120"/>
      <c r="U396" s="123"/>
      <c r="V396" s="120"/>
      <c r="W396" s="120"/>
      <c r="X396" s="120"/>
      <c r="Y396" s="120"/>
      <c r="Z396" s="120"/>
    </row>
    <row r="397" spans="1:26" ht="12" customHeight="1">
      <c r="A397" s="140"/>
      <c r="B397" s="120"/>
      <c r="C397" s="120"/>
      <c r="D397" s="120"/>
      <c r="E397" s="120"/>
      <c r="F397" s="120"/>
      <c r="G397" s="120"/>
      <c r="H397" s="120"/>
      <c r="I397" s="120"/>
      <c r="J397" s="120"/>
      <c r="K397" s="120"/>
      <c r="L397" s="120"/>
      <c r="M397" s="120"/>
      <c r="N397" s="120"/>
      <c r="O397" s="120"/>
      <c r="P397" s="120"/>
      <c r="Q397" s="120"/>
      <c r="R397" s="120"/>
      <c r="S397" s="120"/>
      <c r="T397" s="120"/>
      <c r="U397" s="123"/>
      <c r="V397" s="120"/>
      <c r="W397" s="120"/>
      <c r="X397" s="120"/>
      <c r="Y397" s="120"/>
      <c r="Z397" s="120"/>
    </row>
    <row r="398" spans="1:26" ht="12" customHeight="1">
      <c r="A398" s="140"/>
      <c r="B398" s="120"/>
      <c r="C398" s="120"/>
      <c r="D398" s="120"/>
      <c r="E398" s="120"/>
      <c r="F398" s="120"/>
      <c r="G398" s="120"/>
      <c r="H398" s="120"/>
      <c r="I398" s="120"/>
      <c r="J398" s="120"/>
      <c r="K398" s="120"/>
      <c r="L398" s="120"/>
      <c r="M398" s="120"/>
      <c r="N398" s="120"/>
      <c r="O398" s="120"/>
      <c r="P398" s="120"/>
      <c r="Q398" s="120"/>
      <c r="R398" s="120"/>
      <c r="S398" s="120"/>
      <c r="T398" s="120"/>
      <c r="U398" s="123"/>
      <c r="V398" s="120"/>
      <c r="W398" s="120"/>
      <c r="X398" s="120"/>
      <c r="Y398" s="120"/>
      <c r="Z398" s="120"/>
    </row>
    <row r="399" spans="1:26" ht="12" customHeight="1">
      <c r="A399" s="140"/>
      <c r="B399" s="120"/>
      <c r="C399" s="120"/>
      <c r="D399" s="120"/>
      <c r="E399" s="120"/>
      <c r="F399" s="120"/>
      <c r="G399" s="120"/>
      <c r="H399" s="120"/>
      <c r="I399" s="120"/>
      <c r="J399" s="120"/>
      <c r="K399" s="120"/>
      <c r="L399" s="120"/>
      <c r="M399" s="120"/>
      <c r="N399" s="120"/>
      <c r="O399" s="120"/>
      <c r="P399" s="120"/>
      <c r="Q399" s="120"/>
      <c r="R399" s="120"/>
      <c r="S399" s="120"/>
      <c r="T399" s="120"/>
      <c r="U399" s="123"/>
      <c r="V399" s="120"/>
      <c r="W399" s="120"/>
      <c r="X399" s="120"/>
      <c r="Y399" s="120"/>
      <c r="Z399" s="120"/>
    </row>
    <row r="400" spans="1:26" ht="12" customHeight="1">
      <c r="A400" s="140"/>
      <c r="B400" s="120"/>
      <c r="C400" s="120"/>
      <c r="D400" s="120"/>
      <c r="E400" s="120"/>
      <c r="F400" s="120"/>
      <c r="G400" s="120"/>
      <c r="H400" s="120"/>
      <c r="I400" s="120"/>
      <c r="J400" s="120"/>
      <c r="K400" s="120"/>
      <c r="L400" s="120"/>
      <c r="M400" s="120"/>
      <c r="N400" s="120"/>
      <c r="O400" s="120"/>
      <c r="P400" s="120"/>
      <c r="Q400" s="120"/>
      <c r="R400" s="120"/>
      <c r="S400" s="120"/>
      <c r="T400" s="120"/>
      <c r="U400" s="123"/>
      <c r="V400" s="120"/>
      <c r="W400" s="120"/>
      <c r="X400" s="120"/>
      <c r="Y400" s="120"/>
      <c r="Z400" s="120"/>
    </row>
    <row r="401" spans="1:26" ht="12" customHeight="1">
      <c r="A401" s="140"/>
      <c r="B401" s="120"/>
      <c r="C401" s="120"/>
      <c r="D401" s="120"/>
      <c r="E401" s="120"/>
      <c r="F401" s="120"/>
      <c r="G401" s="120"/>
      <c r="H401" s="120"/>
      <c r="I401" s="120"/>
      <c r="J401" s="120"/>
      <c r="K401" s="120"/>
      <c r="L401" s="120"/>
      <c r="M401" s="120"/>
      <c r="N401" s="120"/>
      <c r="O401" s="120"/>
      <c r="P401" s="120"/>
      <c r="Q401" s="120"/>
      <c r="R401" s="120"/>
      <c r="S401" s="120"/>
      <c r="T401" s="120"/>
      <c r="U401" s="123"/>
      <c r="V401" s="120"/>
      <c r="W401" s="120"/>
      <c r="X401" s="120"/>
      <c r="Y401" s="120"/>
      <c r="Z401" s="120"/>
    </row>
    <row r="402" spans="1:26" ht="12" customHeight="1">
      <c r="A402" s="140"/>
      <c r="B402" s="120"/>
      <c r="C402" s="120"/>
      <c r="D402" s="120"/>
      <c r="E402" s="120"/>
      <c r="F402" s="120"/>
      <c r="G402" s="120"/>
      <c r="H402" s="120"/>
      <c r="I402" s="120"/>
      <c r="J402" s="120"/>
      <c r="K402" s="120"/>
      <c r="L402" s="120"/>
      <c r="M402" s="120"/>
      <c r="N402" s="120"/>
      <c r="O402" s="120"/>
      <c r="P402" s="120"/>
      <c r="Q402" s="120"/>
      <c r="R402" s="120"/>
      <c r="S402" s="120"/>
      <c r="T402" s="120"/>
      <c r="U402" s="123"/>
      <c r="V402" s="120"/>
      <c r="W402" s="120"/>
      <c r="X402" s="120"/>
      <c r="Y402" s="120"/>
      <c r="Z402" s="120"/>
    </row>
    <row r="403" spans="1:26" ht="12" customHeight="1">
      <c r="A403" s="140"/>
      <c r="B403" s="120"/>
      <c r="C403" s="120"/>
      <c r="D403" s="120"/>
      <c r="E403" s="120"/>
      <c r="F403" s="120"/>
      <c r="G403" s="120"/>
      <c r="H403" s="120"/>
      <c r="I403" s="120"/>
      <c r="J403" s="120"/>
      <c r="K403" s="120"/>
      <c r="L403" s="120"/>
      <c r="M403" s="120"/>
      <c r="N403" s="120"/>
      <c r="O403" s="120"/>
      <c r="P403" s="120"/>
      <c r="Q403" s="120"/>
      <c r="R403" s="120"/>
      <c r="S403" s="120"/>
      <c r="T403" s="120"/>
      <c r="U403" s="123"/>
      <c r="V403" s="120"/>
      <c r="W403" s="120"/>
      <c r="X403" s="120"/>
      <c r="Y403" s="120"/>
      <c r="Z403" s="120"/>
    </row>
    <row r="404" spans="1:26" ht="12" customHeight="1">
      <c r="A404" s="140"/>
      <c r="B404" s="120"/>
      <c r="C404" s="120"/>
      <c r="D404" s="120"/>
      <c r="E404" s="120"/>
      <c r="F404" s="120"/>
      <c r="G404" s="120"/>
      <c r="H404" s="120"/>
      <c r="I404" s="120"/>
      <c r="J404" s="120"/>
      <c r="K404" s="120"/>
      <c r="L404" s="120"/>
      <c r="M404" s="120"/>
      <c r="N404" s="120"/>
      <c r="O404" s="120"/>
      <c r="P404" s="120"/>
      <c r="Q404" s="120"/>
      <c r="R404" s="120"/>
      <c r="S404" s="120"/>
      <c r="T404" s="120"/>
      <c r="U404" s="123"/>
      <c r="V404" s="120"/>
      <c r="W404" s="120"/>
      <c r="X404" s="120"/>
      <c r="Y404" s="120"/>
      <c r="Z404" s="120"/>
    </row>
    <row r="405" spans="1:26" ht="12" customHeight="1">
      <c r="A405" s="140"/>
      <c r="B405" s="120"/>
      <c r="C405" s="120"/>
      <c r="D405" s="120"/>
      <c r="E405" s="120"/>
      <c r="F405" s="120"/>
      <c r="G405" s="120"/>
      <c r="H405" s="120"/>
      <c r="I405" s="120"/>
      <c r="J405" s="120"/>
      <c r="K405" s="120"/>
      <c r="L405" s="120"/>
      <c r="M405" s="120"/>
      <c r="N405" s="120"/>
      <c r="O405" s="120"/>
      <c r="P405" s="120"/>
      <c r="Q405" s="120"/>
      <c r="R405" s="120"/>
      <c r="S405" s="120"/>
      <c r="T405" s="120"/>
      <c r="U405" s="123"/>
      <c r="V405" s="120"/>
      <c r="W405" s="120"/>
      <c r="X405" s="120"/>
      <c r="Y405" s="120"/>
      <c r="Z405" s="120"/>
    </row>
    <row r="406" spans="1:26" ht="12" customHeight="1">
      <c r="A406" s="140"/>
      <c r="B406" s="120"/>
      <c r="C406" s="120"/>
      <c r="D406" s="120"/>
      <c r="E406" s="120"/>
      <c r="F406" s="120"/>
      <c r="G406" s="120"/>
      <c r="H406" s="120"/>
      <c r="I406" s="120"/>
      <c r="J406" s="120"/>
      <c r="K406" s="120"/>
      <c r="L406" s="120"/>
      <c r="M406" s="120"/>
      <c r="N406" s="120"/>
      <c r="O406" s="120"/>
      <c r="P406" s="120"/>
      <c r="Q406" s="120"/>
      <c r="R406" s="120"/>
      <c r="S406" s="120"/>
      <c r="T406" s="120"/>
      <c r="U406" s="123"/>
      <c r="V406" s="120"/>
      <c r="W406" s="120"/>
      <c r="X406" s="120"/>
      <c r="Y406" s="120"/>
      <c r="Z406" s="120"/>
    </row>
    <row r="407" spans="1:26" ht="12" customHeight="1">
      <c r="A407" s="140"/>
      <c r="B407" s="120"/>
      <c r="C407" s="120"/>
      <c r="D407" s="120"/>
      <c r="E407" s="120"/>
      <c r="F407" s="120"/>
      <c r="G407" s="120"/>
      <c r="H407" s="120"/>
      <c r="I407" s="120"/>
      <c r="J407" s="120"/>
      <c r="K407" s="120"/>
      <c r="L407" s="120"/>
      <c r="M407" s="120"/>
      <c r="N407" s="120"/>
      <c r="O407" s="120"/>
      <c r="P407" s="120"/>
      <c r="Q407" s="120"/>
      <c r="R407" s="120"/>
      <c r="S407" s="120"/>
      <c r="T407" s="120"/>
      <c r="U407" s="123"/>
      <c r="V407" s="120"/>
      <c r="W407" s="120"/>
      <c r="X407" s="120"/>
      <c r="Y407" s="120"/>
      <c r="Z407" s="120"/>
    </row>
    <row r="408" spans="1:26" ht="12" customHeight="1">
      <c r="A408" s="140"/>
      <c r="B408" s="120"/>
      <c r="C408" s="120"/>
      <c r="D408" s="120"/>
      <c r="E408" s="120"/>
      <c r="F408" s="120"/>
      <c r="G408" s="120"/>
      <c r="H408" s="120"/>
      <c r="I408" s="120"/>
      <c r="J408" s="120"/>
      <c r="K408" s="120"/>
      <c r="L408" s="120"/>
      <c r="M408" s="120"/>
      <c r="N408" s="120"/>
      <c r="O408" s="120"/>
      <c r="P408" s="120"/>
      <c r="Q408" s="120"/>
      <c r="R408" s="120"/>
      <c r="S408" s="120"/>
      <c r="T408" s="120"/>
      <c r="U408" s="123"/>
      <c r="V408" s="120"/>
      <c r="W408" s="120"/>
      <c r="X408" s="120"/>
      <c r="Y408" s="120"/>
      <c r="Z408" s="120"/>
    </row>
    <row r="409" spans="1:26" ht="12" customHeight="1">
      <c r="A409" s="140"/>
      <c r="B409" s="120"/>
      <c r="C409" s="120"/>
      <c r="D409" s="120"/>
      <c r="E409" s="120"/>
      <c r="F409" s="120"/>
      <c r="G409" s="120"/>
      <c r="H409" s="120"/>
      <c r="I409" s="120"/>
      <c r="J409" s="120"/>
      <c r="K409" s="120"/>
      <c r="L409" s="120"/>
      <c r="M409" s="120"/>
      <c r="N409" s="120"/>
      <c r="O409" s="120"/>
      <c r="P409" s="120"/>
      <c r="Q409" s="120"/>
      <c r="R409" s="120"/>
      <c r="S409" s="120"/>
      <c r="T409" s="120"/>
      <c r="U409" s="123"/>
      <c r="V409" s="120"/>
      <c r="W409" s="120"/>
      <c r="X409" s="120"/>
      <c r="Y409" s="120"/>
      <c r="Z409" s="120"/>
    </row>
    <row r="410" spans="1:26" ht="12" customHeight="1">
      <c r="A410" s="140"/>
      <c r="B410" s="120"/>
      <c r="C410" s="120"/>
      <c r="D410" s="120"/>
      <c r="E410" s="120"/>
      <c r="F410" s="120"/>
      <c r="G410" s="120"/>
      <c r="H410" s="120"/>
      <c r="I410" s="120"/>
      <c r="J410" s="120"/>
      <c r="K410" s="120"/>
      <c r="L410" s="120"/>
      <c r="M410" s="120"/>
      <c r="N410" s="120"/>
      <c r="O410" s="120"/>
      <c r="P410" s="120"/>
      <c r="Q410" s="120"/>
      <c r="R410" s="120"/>
      <c r="S410" s="120"/>
      <c r="T410" s="120"/>
      <c r="U410" s="123"/>
      <c r="V410" s="120"/>
      <c r="W410" s="120"/>
      <c r="X410" s="120"/>
      <c r="Y410" s="120"/>
      <c r="Z410" s="120"/>
    </row>
    <row r="411" spans="1:26" ht="12" customHeight="1">
      <c r="A411" s="140"/>
      <c r="B411" s="120"/>
      <c r="C411" s="120"/>
      <c r="D411" s="120"/>
      <c r="E411" s="120"/>
      <c r="F411" s="120"/>
      <c r="G411" s="120"/>
      <c r="H411" s="120"/>
      <c r="I411" s="120"/>
      <c r="J411" s="120"/>
      <c r="K411" s="120"/>
      <c r="L411" s="120"/>
      <c r="M411" s="120"/>
      <c r="N411" s="120"/>
      <c r="O411" s="120"/>
      <c r="P411" s="120"/>
      <c r="Q411" s="120"/>
      <c r="R411" s="120"/>
      <c r="S411" s="120"/>
      <c r="T411" s="120"/>
      <c r="U411" s="123"/>
      <c r="V411" s="120"/>
      <c r="W411" s="120"/>
      <c r="X411" s="120"/>
      <c r="Y411" s="120"/>
      <c r="Z411" s="120"/>
    </row>
    <row r="412" spans="1:26" ht="12" customHeight="1">
      <c r="A412" s="140"/>
      <c r="B412" s="120"/>
      <c r="C412" s="120"/>
      <c r="D412" s="120"/>
      <c r="E412" s="120"/>
      <c r="F412" s="120"/>
      <c r="G412" s="120"/>
      <c r="H412" s="120"/>
      <c r="I412" s="120"/>
      <c r="J412" s="120"/>
      <c r="K412" s="120"/>
      <c r="L412" s="120"/>
      <c r="M412" s="120"/>
      <c r="N412" s="120"/>
      <c r="O412" s="120"/>
      <c r="P412" s="120"/>
      <c r="Q412" s="120"/>
      <c r="R412" s="120"/>
      <c r="S412" s="120"/>
      <c r="T412" s="120"/>
      <c r="U412" s="123"/>
      <c r="V412" s="120"/>
      <c r="W412" s="120"/>
      <c r="X412" s="120"/>
      <c r="Y412" s="120"/>
      <c r="Z412" s="120"/>
    </row>
    <row r="413" spans="1:26" ht="12" customHeight="1">
      <c r="A413" s="140"/>
      <c r="B413" s="120"/>
      <c r="C413" s="120"/>
      <c r="D413" s="120"/>
      <c r="E413" s="120"/>
      <c r="F413" s="120"/>
      <c r="G413" s="120"/>
      <c r="H413" s="120"/>
      <c r="I413" s="120"/>
      <c r="J413" s="120"/>
      <c r="K413" s="120"/>
      <c r="L413" s="120"/>
      <c r="M413" s="120"/>
      <c r="N413" s="120"/>
      <c r="O413" s="120"/>
      <c r="P413" s="120"/>
      <c r="Q413" s="120"/>
      <c r="R413" s="120"/>
      <c r="S413" s="120"/>
      <c r="T413" s="120"/>
      <c r="U413" s="123"/>
      <c r="V413" s="120"/>
      <c r="W413" s="120"/>
      <c r="X413" s="120"/>
      <c r="Y413" s="120"/>
      <c r="Z413" s="120"/>
    </row>
    <row r="414" spans="1:26" ht="12" customHeight="1">
      <c r="A414" s="140"/>
      <c r="B414" s="120"/>
      <c r="C414" s="120"/>
      <c r="D414" s="120"/>
      <c r="E414" s="120"/>
      <c r="F414" s="120"/>
      <c r="G414" s="120"/>
      <c r="H414" s="120"/>
      <c r="I414" s="120"/>
      <c r="J414" s="120"/>
      <c r="K414" s="120"/>
      <c r="L414" s="120"/>
      <c r="M414" s="120"/>
      <c r="N414" s="120"/>
      <c r="O414" s="120"/>
      <c r="P414" s="120"/>
      <c r="Q414" s="120"/>
      <c r="R414" s="120"/>
      <c r="S414" s="120"/>
      <c r="T414" s="120"/>
      <c r="U414" s="123"/>
      <c r="V414" s="120"/>
      <c r="W414" s="120"/>
      <c r="X414" s="120"/>
      <c r="Y414" s="120"/>
      <c r="Z414" s="120"/>
    </row>
    <row r="415" spans="1:26" ht="12" customHeight="1">
      <c r="A415" s="140"/>
      <c r="B415" s="120"/>
      <c r="C415" s="120"/>
      <c r="D415" s="120"/>
      <c r="E415" s="120"/>
      <c r="F415" s="120"/>
      <c r="G415" s="120"/>
      <c r="H415" s="120"/>
      <c r="I415" s="120"/>
      <c r="J415" s="120"/>
      <c r="K415" s="120"/>
      <c r="L415" s="120"/>
      <c r="M415" s="120"/>
      <c r="N415" s="120"/>
      <c r="O415" s="120"/>
      <c r="P415" s="120"/>
      <c r="Q415" s="120"/>
      <c r="R415" s="120"/>
      <c r="S415" s="120"/>
      <c r="T415" s="120"/>
      <c r="U415" s="123"/>
      <c r="V415" s="120"/>
      <c r="W415" s="120"/>
      <c r="X415" s="120"/>
      <c r="Y415" s="120"/>
      <c r="Z415" s="120"/>
    </row>
    <row r="416" spans="1:26" ht="12" customHeight="1">
      <c r="A416" s="140"/>
      <c r="B416" s="120"/>
      <c r="C416" s="120"/>
      <c r="D416" s="120"/>
      <c r="E416" s="120"/>
      <c r="F416" s="120"/>
      <c r="G416" s="120"/>
      <c r="H416" s="120"/>
      <c r="I416" s="120"/>
      <c r="J416" s="120"/>
      <c r="K416" s="120"/>
      <c r="L416" s="120"/>
      <c r="M416" s="120"/>
      <c r="N416" s="120"/>
      <c r="O416" s="120"/>
      <c r="P416" s="120"/>
      <c r="Q416" s="120"/>
      <c r="R416" s="120"/>
      <c r="S416" s="120"/>
      <c r="T416" s="120"/>
      <c r="U416" s="123"/>
      <c r="V416" s="120"/>
      <c r="W416" s="120"/>
      <c r="X416" s="120"/>
      <c r="Y416" s="120"/>
      <c r="Z416" s="120"/>
    </row>
    <row r="417" spans="1:26" ht="12" customHeight="1">
      <c r="A417" s="140"/>
      <c r="B417" s="120"/>
      <c r="C417" s="120"/>
      <c r="D417" s="120"/>
      <c r="E417" s="120"/>
      <c r="F417" s="120"/>
      <c r="G417" s="120"/>
      <c r="H417" s="120"/>
      <c r="I417" s="120"/>
      <c r="J417" s="120"/>
      <c r="K417" s="120"/>
      <c r="L417" s="120"/>
      <c r="M417" s="120"/>
      <c r="N417" s="120"/>
      <c r="O417" s="120"/>
      <c r="P417" s="120"/>
      <c r="Q417" s="120"/>
      <c r="R417" s="120"/>
      <c r="S417" s="120"/>
      <c r="T417" s="120"/>
      <c r="U417" s="123"/>
      <c r="V417" s="120"/>
      <c r="W417" s="120"/>
      <c r="X417" s="120"/>
      <c r="Y417" s="120"/>
      <c r="Z417" s="120"/>
    </row>
    <row r="418" spans="1:26" ht="12" customHeight="1">
      <c r="A418" s="140"/>
      <c r="B418" s="120"/>
      <c r="C418" s="120"/>
      <c r="D418" s="120"/>
      <c r="E418" s="120"/>
      <c r="F418" s="120"/>
      <c r="G418" s="120"/>
      <c r="H418" s="120"/>
      <c r="I418" s="120"/>
      <c r="J418" s="120"/>
      <c r="K418" s="120"/>
      <c r="L418" s="120"/>
      <c r="M418" s="120"/>
      <c r="N418" s="120"/>
      <c r="O418" s="120"/>
      <c r="P418" s="120"/>
      <c r="Q418" s="120"/>
      <c r="R418" s="120"/>
      <c r="S418" s="120"/>
      <c r="T418" s="120"/>
      <c r="U418" s="123"/>
      <c r="V418" s="120"/>
      <c r="W418" s="120"/>
      <c r="X418" s="120"/>
      <c r="Y418" s="120"/>
      <c r="Z418" s="120"/>
    </row>
    <row r="419" spans="1:26" ht="12" customHeight="1">
      <c r="A419" s="140"/>
      <c r="B419" s="120"/>
      <c r="C419" s="120"/>
      <c r="D419" s="120"/>
      <c r="E419" s="120"/>
      <c r="F419" s="120"/>
      <c r="G419" s="120"/>
      <c r="H419" s="120"/>
      <c r="I419" s="120"/>
      <c r="J419" s="120"/>
      <c r="K419" s="120"/>
      <c r="L419" s="120"/>
      <c r="M419" s="120"/>
      <c r="N419" s="120"/>
      <c r="O419" s="120"/>
      <c r="P419" s="120"/>
      <c r="Q419" s="120"/>
      <c r="R419" s="120"/>
      <c r="S419" s="120"/>
      <c r="T419" s="120"/>
      <c r="U419" s="123"/>
      <c r="V419" s="120"/>
      <c r="W419" s="120"/>
      <c r="X419" s="120"/>
      <c r="Y419" s="120"/>
      <c r="Z419" s="120"/>
    </row>
    <row r="420" spans="1:26" ht="12" customHeight="1">
      <c r="A420" s="140"/>
      <c r="B420" s="120"/>
      <c r="C420" s="120"/>
      <c r="D420" s="120"/>
      <c r="E420" s="120"/>
      <c r="F420" s="120"/>
      <c r="G420" s="120"/>
      <c r="H420" s="120"/>
      <c r="I420" s="120"/>
      <c r="J420" s="120"/>
      <c r="K420" s="120"/>
      <c r="L420" s="120"/>
      <c r="M420" s="120"/>
      <c r="N420" s="120"/>
      <c r="O420" s="120"/>
      <c r="P420" s="120"/>
      <c r="Q420" s="120"/>
      <c r="R420" s="120"/>
      <c r="S420" s="120"/>
      <c r="T420" s="120"/>
      <c r="U420" s="123"/>
      <c r="V420" s="120"/>
      <c r="W420" s="120"/>
      <c r="X420" s="120"/>
      <c r="Y420" s="120"/>
      <c r="Z420" s="120"/>
    </row>
    <row r="421" spans="1:26" ht="12" customHeight="1">
      <c r="A421" s="140"/>
      <c r="B421" s="120"/>
      <c r="C421" s="120"/>
      <c r="D421" s="120"/>
      <c r="E421" s="120"/>
      <c r="F421" s="120"/>
      <c r="G421" s="120"/>
      <c r="H421" s="120"/>
      <c r="I421" s="120"/>
      <c r="J421" s="120"/>
      <c r="K421" s="120"/>
      <c r="L421" s="120"/>
      <c r="M421" s="120"/>
      <c r="N421" s="120"/>
      <c r="O421" s="120"/>
      <c r="P421" s="120"/>
      <c r="Q421" s="120"/>
      <c r="R421" s="120"/>
      <c r="S421" s="120"/>
      <c r="T421" s="120"/>
      <c r="U421" s="123"/>
      <c r="V421" s="120"/>
      <c r="W421" s="120"/>
      <c r="X421" s="120"/>
      <c r="Y421" s="120"/>
      <c r="Z421" s="120"/>
    </row>
    <row r="422" spans="1:26" ht="12" customHeight="1">
      <c r="A422" s="140"/>
      <c r="B422" s="120"/>
      <c r="C422" s="120"/>
      <c r="D422" s="120"/>
      <c r="E422" s="120"/>
      <c r="F422" s="120"/>
      <c r="G422" s="120"/>
      <c r="H422" s="120"/>
      <c r="I422" s="120"/>
      <c r="J422" s="120"/>
      <c r="K422" s="120"/>
      <c r="L422" s="120"/>
      <c r="M422" s="120"/>
      <c r="N422" s="120"/>
      <c r="O422" s="120"/>
      <c r="P422" s="120"/>
      <c r="Q422" s="120"/>
      <c r="R422" s="120"/>
      <c r="S422" s="120"/>
      <c r="T422" s="120"/>
      <c r="U422" s="123"/>
      <c r="V422" s="120"/>
      <c r="W422" s="120"/>
      <c r="X422" s="120"/>
      <c r="Y422" s="120"/>
      <c r="Z422" s="120"/>
    </row>
    <row r="423" spans="1:26" ht="12" customHeight="1">
      <c r="A423" s="140"/>
      <c r="B423" s="120"/>
      <c r="C423" s="120"/>
      <c r="D423" s="120"/>
      <c r="E423" s="120"/>
      <c r="F423" s="120"/>
      <c r="G423" s="120"/>
      <c r="H423" s="120"/>
      <c r="I423" s="120"/>
      <c r="J423" s="120"/>
      <c r="K423" s="120"/>
      <c r="L423" s="120"/>
      <c r="M423" s="120"/>
      <c r="N423" s="120"/>
      <c r="O423" s="120"/>
      <c r="P423" s="120"/>
      <c r="Q423" s="120"/>
      <c r="R423" s="120"/>
      <c r="S423" s="120"/>
      <c r="T423" s="120"/>
      <c r="U423" s="123"/>
      <c r="V423" s="120"/>
      <c r="W423" s="120"/>
      <c r="X423" s="120"/>
      <c r="Y423" s="120"/>
      <c r="Z423" s="120"/>
    </row>
    <row r="424" spans="1:26" ht="12" customHeight="1">
      <c r="A424" s="140"/>
      <c r="B424" s="120"/>
      <c r="C424" s="120"/>
      <c r="D424" s="120"/>
      <c r="E424" s="120"/>
      <c r="F424" s="120"/>
      <c r="G424" s="120"/>
      <c r="H424" s="120"/>
      <c r="I424" s="120"/>
      <c r="J424" s="120"/>
      <c r="K424" s="120"/>
      <c r="L424" s="120"/>
      <c r="M424" s="120"/>
      <c r="N424" s="120"/>
      <c r="O424" s="120"/>
      <c r="P424" s="120"/>
      <c r="Q424" s="120"/>
      <c r="R424" s="120"/>
      <c r="S424" s="120"/>
      <c r="T424" s="120"/>
      <c r="U424" s="123"/>
      <c r="V424" s="120"/>
      <c r="W424" s="120"/>
      <c r="X424" s="120"/>
      <c r="Y424" s="120"/>
      <c r="Z424" s="120"/>
    </row>
    <row r="425" spans="1:26" ht="12" customHeight="1">
      <c r="A425" s="140"/>
      <c r="B425" s="120"/>
      <c r="C425" s="120"/>
      <c r="D425" s="120"/>
      <c r="E425" s="120"/>
      <c r="F425" s="120"/>
      <c r="G425" s="120"/>
      <c r="H425" s="120"/>
      <c r="I425" s="120"/>
      <c r="J425" s="120"/>
      <c r="K425" s="120"/>
      <c r="L425" s="120"/>
      <c r="M425" s="120"/>
      <c r="N425" s="120"/>
      <c r="O425" s="120"/>
      <c r="P425" s="120"/>
      <c r="Q425" s="120"/>
      <c r="R425" s="120"/>
      <c r="S425" s="120"/>
      <c r="T425" s="120"/>
      <c r="U425" s="123"/>
      <c r="V425" s="120"/>
      <c r="W425" s="120"/>
      <c r="X425" s="120"/>
      <c r="Y425" s="120"/>
      <c r="Z425" s="120"/>
    </row>
    <row r="426" spans="1:26" ht="12" customHeight="1">
      <c r="A426" s="140"/>
      <c r="B426" s="120"/>
      <c r="C426" s="120"/>
      <c r="D426" s="120"/>
      <c r="E426" s="120"/>
      <c r="F426" s="120"/>
      <c r="G426" s="120"/>
      <c r="H426" s="120"/>
      <c r="I426" s="120"/>
      <c r="J426" s="120"/>
      <c r="K426" s="120"/>
      <c r="L426" s="120"/>
      <c r="M426" s="120"/>
      <c r="N426" s="120"/>
      <c r="O426" s="120"/>
      <c r="P426" s="120"/>
      <c r="Q426" s="120"/>
      <c r="R426" s="120"/>
      <c r="S426" s="120"/>
      <c r="T426" s="120"/>
      <c r="U426" s="123"/>
      <c r="V426" s="120"/>
      <c r="W426" s="120"/>
      <c r="X426" s="120"/>
      <c r="Y426" s="120"/>
      <c r="Z426" s="120"/>
    </row>
    <row r="427" spans="1:26" ht="12" customHeight="1">
      <c r="A427" s="140"/>
      <c r="B427" s="120"/>
      <c r="C427" s="120"/>
      <c r="D427" s="120"/>
      <c r="E427" s="120"/>
      <c r="F427" s="120"/>
      <c r="G427" s="120"/>
      <c r="H427" s="120"/>
      <c r="I427" s="120"/>
      <c r="J427" s="120"/>
      <c r="K427" s="120"/>
      <c r="L427" s="120"/>
      <c r="M427" s="120"/>
      <c r="N427" s="120"/>
      <c r="O427" s="120"/>
      <c r="P427" s="120"/>
      <c r="Q427" s="120"/>
      <c r="R427" s="120"/>
      <c r="S427" s="120"/>
      <c r="T427" s="120"/>
      <c r="U427" s="123"/>
      <c r="V427" s="120"/>
      <c r="W427" s="120"/>
      <c r="X427" s="120"/>
      <c r="Y427" s="120"/>
      <c r="Z427" s="120"/>
    </row>
    <row r="428" spans="1:26" ht="12" customHeight="1">
      <c r="A428" s="140"/>
      <c r="B428" s="120"/>
      <c r="C428" s="120"/>
      <c r="D428" s="120"/>
      <c r="E428" s="120"/>
      <c r="F428" s="120"/>
      <c r="G428" s="120"/>
      <c r="H428" s="120"/>
      <c r="I428" s="120"/>
      <c r="J428" s="120"/>
      <c r="K428" s="120"/>
      <c r="L428" s="120"/>
      <c r="M428" s="120"/>
      <c r="N428" s="120"/>
      <c r="O428" s="120"/>
      <c r="P428" s="120"/>
      <c r="Q428" s="120"/>
      <c r="R428" s="120"/>
      <c r="S428" s="120"/>
      <c r="T428" s="120"/>
      <c r="U428" s="123"/>
      <c r="V428" s="120"/>
      <c r="W428" s="120"/>
      <c r="X428" s="120"/>
      <c r="Y428" s="120"/>
      <c r="Z428" s="120"/>
    </row>
    <row r="429" spans="1:26" ht="12" customHeight="1">
      <c r="A429" s="140"/>
      <c r="B429" s="120"/>
      <c r="C429" s="120"/>
      <c r="D429" s="120"/>
      <c r="E429" s="120"/>
      <c r="F429" s="120"/>
      <c r="G429" s="120"/>
      <c r="H429" s="120"/>
      <c r="I429" s="120"/>
      <c r="J429" s="120"/>
      <c r="K429" s="120"/>
      <c r="L429" s="120"/>
      <c r="M429" s="120"/>
      <c r="N429" s="120"/>
      <c r="O429" s="120"/>
      <c r="P429" s="120"/>
      <c r="Q429" s="120"/>
      <c r="R429" s="120"/>
      <c r="S429" s="120"/>
      <c r="T429" s="120"/>
      <c r="U429" s="123"/>
      <c r="V429" s="120"/>
      <c r="W429" s="120"/>
      <c r="X429" s="120"/>
      <c r="Y429" s="120"/>
      <c r="Z429" s="120"/>
    </row>
    <row r="430" spans="1:26" ht="12" customHeight="1">
      <c r="A430" s="140"/>
      <c r="B430" s="120"/>
      <c r="C430" s="120"/>
      <c r="D430" s="120"/>
      <c r="E430" s="120"/>
      <c r="F430" s="120"/>
      <c r="G430" s="120"/>
      <c r="H430" s="120"/>
      <c r="I430" s="120"/>
      <c r="J430" s="120"/>
      <c r="K430" s="120"/>
      <c r="L430" s="120"/>
      <c r="M430" s="120"/>
      <c r="N430" s="120"/>
      <c r="O430" s="120"/>
      <c r="P430" s="120"/>
      <c r="Q430" s="120"/>
      <c r="R430" s="120"/>
      <c r="S430" s="120"/>
      <c r="T430" s="120"/>
      <c r="U430" s="123"/>
      <c r="V430" s="120"/>
      <c r="W430" s="120"/>
      <c r="X430" s="120"/>
      <c r="Y430" s="120"/>
      <c r="Z430" s="120"/>
    </row>
    <row r="431" spans="1:26" ht="12" customHeight="1">
      <c r="A431" s="140"/>
      <c r="B431" s="120"/>
      <c r="C431" s="120"/>
      <c r="D431" s="120"/>
      <c r="E431" s="120"/>
      <c r="F431" s="120"/>
      <c r="G431" s="120"/>
      <c r="H431" s="120"/>
      <c r="I431" s="120"/>
      <c r="J431" s="120"/>
      <c r="K431" s="120"/>
      <c r="L431" s="120"/>
      <c r="M431" s="120"/>
      <c r="N431" s="120"/>
      <c r="O431" s="120"/>
      <c r="P431" s="120"/>
      <c r="Q431" s="120"/>
      <c r="R431" s="120"/>
      <c r="S431" s="120"/>
      <c r="T431" s="120"/>
      <c r="U431" s="123"/>
      <c r="V431" s="120"/>
      <c r="W431" s="120"/>
      <c r="X431" s="120"/>
      <c r="Y431" s="120"/>
      <c r="Z431" s="120"/>
    </row>
    <row r="432" spans="1:26" ht="12" customHeight="1">
      <c r="A432" s="140"/>
      <c r="B432" s="120"/>
      <c r="C432" s="120"/>
      <c r="D432" s="120"/>
      <c r="E432" s="120"/>
      <c r="F432" s="120"/>
      <c r="G432" s="120"/>
      <c r="H432" s="120"/>
      <c r="I432" s="120"/>
      <c r="J432" s="120"/>
      <c r="K432" s="120"/>
      <c r="L432" s="120"/>
      <c r="M432" s="120"/>
      <c r="N432" s="120"/>
      <c r="O432" s="120"/>
      <c r="P432" s="120"/>
      <c r="Q432" s="120"/>
      <c r="R432" s="120"/>
      <c r="S432" s="120"/>
      <c r="T432" s="120"/>
      <c r="U432" s="123"/>
      <c r="V432" s="120"/>
      <c r="W432" s="120"/>
      <c r="X432" s="120"/>
      <c r="Y432" s="120"/>
      <c r="Z432" s="120"/>
    </row>
    <row r="433" spans="1:26" ht="12" customHeight="1">
      <c r="A433" s="140"/>
      <c r="B433" s="120"/>
      <c r="C433" s="120"/>
      <c r="D433" s="120"/>
      <c r="E433" s="120"/>
      <c r="F433" s="120"/>
      <c r="G433" s="120"/>
      <c r="H433" s="120"/>
      <c r="I433" s="120"/>
      <c r="J433" s="120"/>
      <c r="K433" s="120"/>
      <c r="L433" s="120"/>
      <c r="M433" s="120"/>
      <c r="N433" s="120"/>
      <c r="O433" s="120"/>
      <c r="P433" s="120"/>
      <c r="Q433" s="120"/>
      <c r="R433" s="120"/>
      <c r="S433" s="120"/>
      <c r="T433" s="120"/>
      <c r="U433" s="123"/>
      <c r="V433" s="120"/>
      <c r="W433" s="120"/>
      <c r="X433" s="120"/>
      <c r="Y433" s="120"/>
      <c r="Z433" s="120"/>
    </row>
    <row r="434" spans="1:26" ht="12" customHeight="1">
      <c r="A434" s="140"/>
      <c r="B434" s="120"/>
      <c r="C434" s="120"/>
      <c r="D434" s="120"/>
      <c r="E434" s="120"/>
      <c r="F434" s="120"/>
      <c r="G434" s="120"/>
      <c r="H434" s="120"/>
      <c r="I434" s="120"/>
      <c r="J434" s="120"/>
      <c r="K434" s="120"/>
      <c r="L434" s="120"/>
      <c r="M434" s="120"/>
      <c r="N434" s="120"/>
      <c r="O434" s="120"/>
      <c r="P434" s="120"/>
      <c r="Q434" s="120"/>
      <c r="R434" s="120"/>
      <c r="S434" s="120"/>
      <c r="T434" s="120"/>
      <c r="U434" s="123"/>
      <c r="V434" s="120"/>
      <c r="W434" s="120"/>
      <c r="X434" s="120"/>
      <c r="Y434" s="120"/>
      <c r="Z434" s="120"/>
    </row>
    <row r="435" spans="1:26" ht="12" customHeight="1">
      <c r="A435" s="140"/>
      <c r="B435" s="120"/>
      <c r="C435" s="120"/>
      <c r="D435" s="120"/>
      <c r="E435" s="120"/>
      <c r="F435" s="120"/>
      <c r="G435" s="120"/>
      <c r="H435" s="120"/>
      <c r="I435" s="120"/>
      <c r="J435" s="120"/>
      <c r="K435" s="120"/>
      <c r="L435" s="120"/>
      <c r="M435" s="120"/>
      <c r="N435" s="120"/>
      <c r="O435" s="120"/>
      <c r="P435" s="120"/>
      <c r="Q435" s="120"/>
      <c r="R435" s="120"/>
      <c r="S435" s="120"/>
      <c r="T435" s="120"/>
      <c r="U435" s="123"/>
      <c r="V435" s="120"/>
      <c r="W435" s="120"/>
      <c r="X435" s="120"/>
      <c r="Y435" s="120"/>
      <c r="Z435" s="120"/>
    </row>
    <row r="436" spans="1:26" ht="12" customHeight="1">
      <c r="A436" s="140"/>
      <c r="B436" s="120"/>
      <c r="C436" s="120"/>
      <c r="D436" s="120"/>
      <c r="E436" s="120"/>
      <c r="F436" s="120"/>
      <c r="G436" s="120"/>
      <c r="H436" s="120"/>
      <c r="I436" s="120"/>
      <c r="J436" s="120"/>
      <c r="K436" s="120"/>
      <c r="L436" s="120"/>
      <c r="M436" s="120"/>
      <c r="N436" s="120"/>
      <c r="O436" s="120"/>
      <c r="P436" s="120"/>
      <c r="Q436" s="120"/>
      <c r="R436" s="120"/>
      <c r="S436" s="120"/>
      <c r="T436" s="120"/>
      <c r="U436" s="123"/>
      <c r="V436" s="120"/>
      <c r="W436" s="120"/>
      <c r="X436" s="120"/>
      <c r="Y436" s="120"/>
      <c r="Z436" s="120"/>
    </row>
    <row r="437" spans="1:26" ht="12" customHeight="1">
      <c r="A437" s="140"/>
      <c r="B437" s="120"/>
      <c r="C437" s="120"/>
      <c r="D437" s="120"/>
      <c r="E437" s="120"/>
      <c r="F437" s="120"/>
      <c r="G437" s="120"/>
      <c r="H437" s="120"/>
      <c r="I437" s="120"/>
      <c r="J437" s="120"/>
      <c r="K437" s="120"/>
      <c r="L437" s="120"/>
      <c r="M437" s="120"/>
      <c r="N437" s="120"/>
      <c r="O437" s="120"/>
      <c r="P437" s="120"/>
      <c r="Q437" s="120"/>
      <c r="R437" s="120"/>
      <c r="S437" s="120"/>
      <c r="T437" s="120"/>
      <c r="U437" s="123"/>
      <c r="V437" s="120"/>
      <c r="W437" s="120"/>
      <c r="X437" s="120"/>
      <c r="Y437" s="120"/>
      <c r="Z437" s="120"/>
    </row>
    <row r="438" spans="1:26" ht="12" customHeight="1">
      <c r="A438" s="140"/>
      <c r="B438" s="120"/>
      <c r="C438" s="120"/>
      <c r="D438" s="120"/>
      <c r="E438" s="120"/>
      <c r="F438" s="120"/>
      <c r="G438" s="120"/>
      <c r="H438" s="120"/>
      <c r="I438" s="120"/>
      <c r="J438" s="120"/>
      <c r="K438" s="120"/>
      <c r="L438" s="120"/>
      <c r="M438" s="120"/>
      <c r="N438" s="120"/>
      <c r="O438" s="120"/>
      <c r="P438" s="120"/>
      <c r="Q438" s="120"/>
      <c r="R438" s="120"/>
      <c r="S438" s="120"/>
      <c r="T438" s="120"/>
      <c r="U438" s="123"/>
      <c r="V438" s="120"/>
      <c r="W438" s="120"/>
      <c r="X438" s="120"/>
      <c r="Y438" s="120"/>
      <c r="Z438" s="120"/>
    </row>
    <row r="439" spans="1:26" ht="12" customHeight="1">
      <c r="A439" s="140"/>
      <c r="B439" s="120"/>
      <c r="C439" s="120"/>
      <c r="D439" s="120"/>
      <c r="E439" s="120"/>
      <c r="F439" s="120"/>
      <c r="G439" s="120"/>
      <c r="H439" s="120"/>
      <c r="I439" s="120"/>
      <c r="J439" s="120"/>
      <c r="K439" s="120"/>
      <c r="L439" s="120"/>
      <c r="M439" s="120"/>
      <c r="N439" s="120"/>
      <c r="O439" s="120"/>
      <c r="P439" s="120"/>
      <c r="Q439" s="120"/>
      <c r="R439" s="120"/>
      <c r="S439" s="120"/>
      <c r="T439" s="120"/>
      <c r="U439" s="123"/>
      <c r="V439" s="120"/>
      <c r="W439" s="120"/>
      <c r="X439" s="120"/>
      <c r="Y439" s="120"/>
      <c r="Z439" s="120"/>
    </row>
    <row r="440" spans="1:26" ht="12" customHeight="1">
      <c r="A440" s="140"/>
      <c r="B440" s="120"/>
      <c r="C440" s="120"/>
      <c r="D440" s="120"/>
      <c r="E440" s="120"/>
      <c r="F440" s="120"/>
      <c r="G440" s="120"/>
      <c r="H440" s="120"/>
      <c r="I440" s="120"/>
      <c r="J440" s="120"/>
      <c r="K440" s="120"/>
      <c r="L440" s="120"/>
      <c r="M440" s="120"/>
      <c r="N440" s="120"/>
      <c r="O440" s="120"/>
      <c r="P440" s="120"/>
      <c r="Q440" s="120"/>
      <c r="R440" s="120"/>
      <c r="S440" s="120"/>
      <c r="T440" s="120"/>
      <c r="U440" s="123"/>
      <c r="V440" s="120"/>
      <c r="W440" s="120"/>
      <c r="X440" s="120"/>
      <c r="Y440" s="120"/>
      <c r="Z440" s="120"/>
    </row>
    <row r="441" spans="1:26" ht="12" customHeight="1">
      <c r="A441" s="140"/>
      <c r="B441" s="120"/>
      <c r="C441" s="120"/>
      <c r="D441" s="120"/>
      <c r="E441" s="120"/>
      <c r="F441" s="120"/>
      <c r="G441" s="120"/>
      <c r="H441" s="120"/>
      <c r="I441" s="120"/>
      <c r="J441" s="120"/>
      <c r="K441" s="120"/>
      <c r="L441" s="120"/>
      <c r="M441" s="120"/>
      <c r="N441" s="120"/>
      <c r="O441" s="120"/>
      <c r="P441" s="120"/>
      <c r="Q441" s="120"/>
      <c r="R441" s="120"/>
      <c r="S441" s="120"/>
      <c r="T441" s="120"/>
      <c r="U441" s="123"/>
      <c r="V441" s="120"/>
      <c r="W441" s="120"/>
      <c r="X441" s="120"/>
      <c r="Y441" s="120"/>
      <c r="Z441" s="120"/>
    </row>
    <row r="442" spans="1:26" ht="12" customHeight="1">
      <c r="A442" s="140"/>
      <c r="B442" s="120"/>
      <c r="C442" s="120"/>
      <c r="D442" s="120"/>
      <c r="E442" s="120"/>
      <c r="F442" s="120"/>
      <c r="G442" s="120"/>
      <c r="H442" s="120"/>
      <c r="I442" s="120"/>
      <c r="J442" s="120"/>
      <c r="K442" s="120"/>
      <c r="L442" s="120"/>
      <c r="M442" s="120"/>
      <c r="N442" s="120"/>
      <c r="O442" s="120"/>
      <c r="P442" s="120"/>
      <c r="Q442" s="120"/>
      <c r="R442" s="120"/>
      <c r="S442" s="120"/>
      <c r="T442" s="120"/>
      <c r="U442" s="123"/>
      <c r="V442" s="120"/>
      <c r="W442" s="120"/>
      <c r="X442" s="120"/>
      <c r="Y442" s="120"/>
      <c r="Z442" s="120"/>
    </row>
    <row r="443" spans="1:26" ht="12" customHeight="1">
      <c r="A443" s="140"/>
      <c r="B443" s="120"/>
      <c r="C443" s="120"/>
      <c r="D443" s="120"/>
      <c r="E443" s="120"/>
      <c r="F443" s="120"/>
      <c r="G443" s="120"/>
      <c r="H443" s="120"/>
      <c r="I443" s="120"/>
      <c r="J443" s="120"/>
      <c r="K443" s="120"/>
      <c r="L443" s="120"/>
      <c r="M443" s="120"/>
      <c r="N443" s="120"/>
      <c r="O443" s="120"/>
      <c r="P443" s="120"/>
      <c r="Q443" s="120"/>
      <c r="R443" s="120"/>
      <c r="S443" s="120"/>
      <c r="T443" s="120"/>
      <c r="U443" s="123"/>
      <c r="V443" s="120"/>
      <c r="W443" s="120"/>
      <c r="X443" s="120"/>
      <c r="Y443" s="120"/>
      <c r="Z443" s="120"/>
    </row>
    <row r="444" spans="1:26" ht="12" customHeight="1">
      <c r="A444" s="140"/>
      <c r="B444" s="120"/>
      <c r="C444" s="120"/>
      <c r="D444" s="120"/>
      <c r="E444" s="120"/>
      <c r="F444" s="120"/>
      <c r="G444" s="120"/>
      <c r="H444" s="120"/>
      <c r="I444" s="120"/>
      <c r="J444" s="120"/>
      <c r="K444" s="120"/>
      <c r="L444" s="120"/>
      <c r="M444" s="120"/>
      <c r="N444" s="120"/>
      <c r="O444" s="120"/>
      <c r="P444" s="120"/>
      <c r="Q444" s="120"/>
      <c r="R444" s="120"/>
      <c r="S444" s="120"/>
      <c r="T444" s="120"/>
      <c r="U444" s="123"/>
      <c r="V444" s="120"/>
      <c r="W444" s="120"/>
      <c r="X444" s="120"/>
      <c r="Y444" s="120"/>
      <c r="Z444" s="120"/>
    </row>
    <row r="445" spans="1:26" ht="12" customHeight="1">
      <c r="A445" s="140"/>
      <c r="B445" s="120"/>
      <c r="C445" s="120"/>
      <c r="D445" s="120"/>
      <c r="E445" s="120"/>
      <c r="F445" s="120"/>
      <c r="G445" s="120"/>
      <c r="H445" s="120"/>
      <c r="I445" s="120"/>
      <c r="J445" s="120"/>
      <c r="K445" s="120"/>
      <c r="L445" s="120"/>
      <c r="M445" s="120"/>
      <c r="N445" s="120"/>
      <c r="O445" s="120"/>
      <c r="P445" s="120"/>
      <c r="Q445" s="120"/>
      <c r="R445" s="120"/>
      <c r="S445" s="120"/>
      <c r="T445" s="120"/>
      <c r="U445" s="123"/>
      <c r="V445" s="120"/>
      <c r="W445" s="120"/>
      <c r="X445" s="120"/>
      <c r="Y445" s="120"/>
      <c r="Z445" s="120"/>
    </row>
    <row r="446" spans="1:26" ht="12" customHeight="1">
      <c r="A446" s="140"/>
      <c r="B446" s="120"/>
      <c r="C446" s="120"/>
      <c r="D446" s="120"/>
      <c r="E446" s="120"/>
      <c r="F446" s="120"/>
      <c r="G446" s="120"/>
      <c r="H446" s="120"/>
      <c r="I446" s="120"/>
      <c r="J446" s="120"/>
      <c r="K446" s="120"/>
      <c r="L446" s="120"/>
      <c r="M446" s="120"/>
      <c r="N446" s="120"/>
      <c r="O446" s="120"/>
      <c r="P446" s="120"/>
      <c r="Q446" s="120"/>
      <c r="R446" s="120"/>
      <c r="S446" s="120"/>
      <c r="T446" s="120"/>
      <c r="U446" s="123"/>
      <c r="V446" s="120"/>
      <c r="W446" s="120"/>
      <c r="X446" s="120"/>
      <c r="Y446" s="120"/>
      <c r="Z446" s="120"/>
    </row>
    <row r="447" spans="1:26" ht="12" customHeight="1">
      <c r="A447" s="140"/>
      <c r="B447" s="120"/>
      <c r="C447" s="120"/>
      <c r="D447" s="120"/>
      <c r="E447" s="120"/>
      <c r="F447" s="120"/>
      <c r="G447" s="120"/>
      <c r="H447" s="120"/>
      <c r="I447" s="120"/>
      <c r="J447" s="120"/>
      <c r="K447" s="120"/>
      <c r="L447" s="120"/>
      <c r="M447" s="120"/>
      <c r="N447" s="120"/>
      <c r="O447" s="120"/>
      <c r="P447" s="120"/>
      <c r="Q447" s="120"/>
      <c r="R447" s="120"/>
      <c r="S447" s="120"/>
      <c r="T447" s="120"/>
      <c r="U447" s="123"/>
      <c r="V447" s="120"/>
      <c r="W447" s="120"/>
      <c r="X447" s="120"/>
      <c r="Y447" s="120"/>
      <c r="Z447" s="120"/>
    </row>
    <row r="448" spans="1:26" ht="12" customHeight="1">
      <c r="A448" s="140"/>
      <c r="B448" s="120"/>
      <c r="C448" s="120"/>
      <c r="D448" s="120"/>
      <c r="E448" s="120"/>
      <c r="F448" s="120"/>
      <c r="G448" s="120"/>
      <c r="H448" s="120"/>
      <c r="I448" s="120"/>
      <c r="J448" s="120"/>
      <c r="K448" s="120"/>
      <c r="L448" s="120"/>
      <c r="M448" s="120"/>
      <c r="N448" s="120"/>
      <c r="O448" s="120"/>
      <c r="P448" s="120"/>
      <c r="Q448" s="120"/>
      <c r="R448" s="120"/>
      <c r="S448" s="120"/>
      <c r="T448" s="120"/>
      <c r="U448" s="123"/>
      <c r="V448" s="120"/>
      <c r="W448" s="120"/>
      <c r="X448" s="120"/>
      <c r="Y448" s="120"/>
      <c r="Z448" s="120"/>
    </row>
    <row r="449" spans="1:26" ht="12" customHeight="1">
      <c r="A449" s="140"/>
      <c r="B449" s="120"/>
      <c r="C449" s="120"/>
      <c r="D449" s="120"/>
      <c r="E449" s="120"/>
      <c r="F449" s="120"/>
      <c r="G449" s="120"/>
      <c r="H449" s="120"/>
      <c r="I449" s="120"/>
      <c r="J449" s="120"/>
      <c r="K449" s="120"/>
      <c r="L449" s="120"/>
      <c r="M449" s="120"/>
      <c r="N449" s="120"/>
      <c r="O449" s="120"/>
      <c r="P449" s="120"/>
      <c r="Q449" s="120"/>
      <c r="R449" s="120"/>
      <c r="S449" s="120"/>
      <c r="T449" s="120"/>
      <c r="U449" s="123"/>
      <c r="V449" s="120"/>
      <c r="W449" s="120"/>
      <c r="X449" s="120"/>
      <c r="Y449" s="120"/>
      <c r="Z449" s="120"/>
    </row>
    <row r="450" spans="1:26" ht="12" customHeight="1">
      <c r="A450" s="140"/>
      <c r="B450" s="120"/>
      <c r="C450" s="120"/>
      <c r="D450" s="120"/>
      <c r="E450" s="120"/>
      <c r="F450" s="120"/>
      <c r="G450" s="120"/>
      <c r="H450" s="120"/>
      <c r="I450" s="120"/>
      <c r="J450" s="120"/>
      <c r="K450" s="120"/>
      <c r="L450" s="120"/>
      <c r="M450" s="120"/>
      <c r="N450" s="120"/>
      <c r="O450" s="120"/>
      <c r="P450" s="120"/>
      <c r="Q450" s="120"/>
      <c r="R450" s="120"/>
      <c r="S450" s="120"/>
      <c r="T450" s="120"/>
      <c r="U450" s="123"/>
      <c r="V450" s="120"/>
      <c r="W450" s="120"/>
      <c r="X450" s="120"/>
      <c r="Y450" s="120"/>
      <c r="Z450" s="120"/>
    </row>
    <row r="451" spans="1:26" ht="12" customHeight="1">
      <c r="A451" s="140"/>
      <c r="B451" s="120"/>
      <c r="C451" s="120"/>
      <c r="D451" s="120"/>
      <c r="E451" s="120"/>
      <c r="F451" s="120"/>
      <c r="G451" s="120"/>
      <c r="H451" s="120"/>
      <c r="I451" s="120"/>
      <c r="J451" s="120"/>
      <c r="K451" s="120"/>
      <c r="L451" s="120"/>
      <c r="M451" s="120"/>
      <c r="N451" s="120"/>
      <c r="O451" s="120"/>
      <c r="P451" s="120"/>
      <c r="Q451" s="120"/>
      <c r="R451" s="120"/>
      <c r="S451" s="120"/>
      <c r="T451" s="120"/>
      <c r="U451" s="123"/>
      <c r="V451" s="120"/>
      <c r="W451" s="120"/>
      <c r="X451" s="120"/>
      <c r="Y451" s="120"/>
      <c r="Z451" s="120"/>
    </row>
    <row r="452" spans="1:26" ht="12" customHeight="1">
      <c r="A452" s="140"/>
      <c r="B452" s="120"/>
      <c r="C452" s="120"/>
      <c r="D452" s="120"/>
      <c r="E452" s="120"/>
      <c r="F452" s="120"/>
      <c r="G452" s="120"/>
      <c r="H452" s="120"/>
      <c r="I452" s="120"/>
      <c r="J452" s="120"/>
      <c r="K452" s="120"/>
      <c r="L452" s="120"/>
      <c r="M452" s="120"/>
      <c r="N452" s="120"/>
      <c r="O452" s="120"/>
      <c r="P452" s="120"/>
      <c r="Q452" s="120"/>
      <c r="R452" s="120"/>
      <c r="S452" s="120"/>
      <c r="T452" s="120"/>
      <c r="U452" s="123"/>
      <c r="V452" s="120"/>
      <c r="W452" s="120"/>
      <c r="X452" s="120"/>
      <c r="Y452" s="120"/>
      <c r="Z452" s="120"/>
    </row>
    <row r="453" spans="1:26" ht="12" customHeight="1">
      <c r="A453" s="140"/>
      <c r="B453" s="120"/>
      <c r="C453" s="120"/>
      <c r="D453" s="120"/>
      <c r="E453" s="120"/>
      <c r="F453" s="120"/>
      <c r="G453" s="120"/>
      <c r="H453" s="120"/>
      <c r="I453" s="120"/>
      <c r="J453" s="120"/>
      <c r="K453" s="120"/>
      <c r="L453" s="120"/>
      <c r="M453" s="120"/>
      <c r="N453" s="120"/>
      <c r="O453" s="120"/>
      <c r="P453" s="120"/>
      <c r="Q453" s="120"/>
      <c r="R453" s="120"/>
      <c r="S453" s="120"/>
      <c r="T453" s="120"/>
      <c r="U453" s="123"/>
      <c r="V453" s="120"/>
      <c r="W453" s="120"/>
      <c r="X453" s="120"/>
      <c r="Y453" s="120"/>
      <c r="Z453" s="120"/>
    </row>
    <row r="454" spans="1:26" ht="12" customHeight="1">
      <c r="A454" s="140"/>
      <c r="B454" s="120"/>
      <c r="C454" s="120"/>
      <c r="D454" s="120"/>
      <c r="E454" s="120"/>
      <c r="F454" s="120"/>
      <c r="G454" s="120"/>
      <c r="H454" s="120"/>
      <c r="I454" s="120"/>
      <c r="J454" s="120"/>
      <c r="K454" s="120"/>
      <c r="L454" s="120"/>
      <c r="M454" s="120"/>
      <c r="N454" s="120"/>
      <c r="O454" s="120"/>
      <c r="P454" s="120"/>
      <c r="Q454" s="120"/>
      <c r="R454" s="120"/>
      <c r="S454" s="120"/>
      <c r="T454" s="120"/>
      <c r="U454" s="123"/>
      <c r="V454" s="120"/>
      <c r="W454" s="120"/>
      <c r="X454" s="120"/>
      <c r="Y454" s="120"/>
      <c r="Z454" s="120"/>
    </row>
    <row r="455" spans="1:26" ht="12" customHeight="1">
      <c r="A455" s="140"/>
      <c r="B455" s="120"/>
      <c r="C455" s="120"/>
      <c r="D455" s="120"/>
      <c r="E455" s="120"/>
      <c r="F455" s="120"/>
      <c r="G455" s="120"/>
      <c r="H455" s="120"/>
      <c r="I455" s="120"/>
      <c r="J455" s="120"/>
      <c r="K455" s="120"/>
      <c r="L455" s="120"/>
      <c r="M455" s="120"/>
      <c r="N455" s="120"/>
      <c r="O455" s="120"/>
      <c r="P455" s="120"/>
      <c r="Q455" s="120"/>
      <c r="R455" s="120"/>
      <c r="S455" s="120"/>
      <c r="T455" s="120"/>
      <c r="U455" s="123"/>
      <c r="V455" s="120"/>
      <c r="W455" s="120"/>
      <c r="X455" s="120"/>
      <c r="Y455" s="120"/>
      <c r="Z455" s="120"/>
    </row>
    <row r="456" spans="1:26" ht="12" customHeight="1">
      <c r="A456" s="140"/>
      <c r="B456" s="120"/>
      <c r="C456" s="120"/>
      <c r="D456" s="120"/>
      <c r="E456" s="120"/>
      <c r="F456" s="120"/>
      <c r="G456" s="120"/>
      <c r="H456" s="120"/>
      <c r="I456" s="120"/>
      <c r="J456" s="120"/>
      <c r="K456" s="120"/>
      <c r="L456" s="120"/>
      <c r="M456" s="120"/>
      <c r="N456" s="120"/>
      <c r="O456" s="120"/>
      <c r="P456" s="120"/>
      <c r="Q456" s="120"/>
      <c r="R456" s="120"/>
      <c r="S456" s="120"/>
      <c r="T456" s="120"/>
      <c r="U456" s="123"/>
      <c r="V456" s="120"/>
      <c r="W456" s="120"/>
      <c r="X456" s="120"/>
      <c r="Y456" s="120"/>
      <c r="Z456" s="120"/>
    </row>
    <row r="457" spans="1:26" ht="12" customHeight="1">
      <c r="A457" s="140"/>
      <c r="B457" s="120"/>
      <c r="C457" s="120"/>
      <c r="D457" s="120"/>
      <c r="E457" s="120"/>
      <c r="F457" s="120"/>
      <c r="G457" s="120"/>
      <c r="H457" s="120"/>
      <c r="I457" s="120"/>
      <c r="J457" s="120"/>
      <c r="K457" s="120"/>
      <c r="L457" s="120"/>
      <c r="M457" s="120"/>
      <c r="N457" s="120"/>
      <c r="O457" s="120"/>
      <c r="P457" s="120"/>
      <c r="Q457" s="120"/>
      <c r="R457" s="120"/>
      <c r="S457" s="120"/>
      <c r="T457" s="120"/>
      <c r="U457" s="123"/>
      <c r="V457" s="120"/>
      <c r="W457" s="120"/>
      <c r="X457" s="120"/>
      <c r="Y457" s="120"/>
      <c r="Z457" s="120"/>
    </row>
    <row r="458" spans="1:26" ht="12" customHeight="1">
      <c r="A458" s="140"/>
      <c r="B458" s="120"/>
      <c r="C458" s="120"/>
      <c r="D458" s="120"/>
      <c r="E458" s="120"/>
      <c r="F458" s="120"/>
      <c r="G458" s="120"/>
      <c r="H458" s="120"/>
      <c r="I458" s="120"/>
      <c r="J458" s="120"/>
      <c r="K458" s="120"/>
      <c r="L458" s="120"/>
      <c r="M458" s="120"/>
      <c r="N458" s="120"/>
      <c r="O458" s="120"/>
      <c r="P458" s="120"/>
      <c r="Q458" s="120"/>
      <c r="R458" s="120"/>
      <c r="S458" s="120"/>
      <c r="T458" s="120"/>
      <c r="U458" s="123"/>
      <c r="V458" s="120"/>
      <c r="W458" s="120"/>
      <c r="X458" s="120"/>
      <c r="Y458" s="120"/>
      <c r="Z458" s="120"/>
    </row>
    <row r="459" spans="1:26" ht="12" customHeight="1">
      <c r="A459" s="140"/>
      <c r="B459" s="120"/>
      <c r="C459" s="120"/>
      <c r="D459" s="120"/>
      <c r="E459" s="120"/>
      <c r="F459" s="120"/>
      <c r="G459" s="120"/>
      <c r="H459" s="120"/>
      <c r="I459" s="120"/>
      <c r="J459" s="120"/>
      <c r="K459" s="120"/>
      <c r="L459" s="120"/>
      <c r="M459" s="120"/>
      <c r="N459" s="120"/>
      <c r="O459" s="120"/>
      <c r="P459" s="120"/>
      <c r="Q459" s="120"/>
      <c r="R459" s="120"/>
      <c r="S459" s="120"/>
      <c r="T459" s="120"/>
      <c r="U459" s="123"/>
      <c r="V459" s="120"/>
      <c r="W459" s="120"/>
      <c r="X459" s="120"/>
      <c r="Y459" s="120"/>
      <c r="Z459" s="120"/>
    </row>
    <row r="460" spans="1:26" ht="12" customHeight="1">
      <c r="A460" s="140"/>
      <c r="B460" s="120"/>
      <c r="C460" s="120"/>
      <c r="D460" s="120"/>
      <c r="E460" s="120"/>
      <c r="F460" s="120"/>
      <c r="G460" s="120"/>
      <c r="H460" s="120"/>
      <c r="I460" s="120"/>
      <c r="J460" s="120"/>
      <c r="K460" s="120"/>
      <c r="L460" s="120"/>
      <c r="M460" s="120"/>
      <c r="N460" s="120"/>
      <c r="O460" s="120"/>
      <c r="P460" s="120"/>
      <c r="Q460" s="120"/>
      <c r="R460" s="120"/>
      <c r="S460" s="120"/>
      <c r="T460" s="120"/>
      <c r="U460" s="123"/>
      <c r="V460" s="120"/>
      <c r="W460" s="120"/>
      <c r="X460" s="120"/>
      <c r="Y460" s="120"/>
      <c r="Z460" s="120"/>
    </row>
    <row r="461" spans="1:26" ht="12" customHeight="1">
      <c r="A461" s="140"/>
      <c r="B461" s="120"/>
      <c r="C461" s="120"/>
      <c r="D461" s="120"/>
      <c r="E461" s="120"/>
      <c r="F461" s="120"/>
      <c r="G461" s="120"/>
      <c r="H461" s="120"/>
      <c r="I461" s="120"/>
      <c r="J461" s="120"/>
      <c r="K461" s="120"/>
      <c r="L461" s="120"/>
      <c r="M461" s="120"/>
      <c r="N461" s="120"/>
      <c r="O461" s="120"/>
      <c r="P461" s="120"/>
      <c r="Q461" s="120"/>
      <c r="R461" s="120"/>
      <c r="S461" s="120"/>
      <c r="T461" s="120"/>
      <c r="U461" s="123"/>
      <c r="V461" s="120"/>
      <c r="W461" s="120"/>
      <c r="X461" s="120"/>
      <c r="Y461" s="120"/>
      <c r="Z461" s="120"/>
    </row>
    <row r="462" spans="1:26" ht="12" customHeight="1">
      <c r="A462" s="140"/>
      <c r="B462" s="120"/>
      <c r="C462" s="120"/>
      <c r="D462" s="120"/>
      <c r="E462" s="120"/>
      <c r="F462" s="120"/>
      <c r="G462" s="120"/>
      <c r="H462" s="120"/>
      <c r="I462" s="120"/>
      <c r="J462" s="120"/>
      <c r="K462" s="120"/>
      <c r="L462" s="120"/>
      <c r="M462" s="120"/>
      <c r="N462" s="120"/>
      <c r="O462" s="120"/>
      <c r="P462" s="120"/>
      <c r="Q462" s="120"/>
      <c r="R462" s="120"/>
      <c r="S462" s="120"/>
      <c r="T462" s="120"/>
      <c r="U462" s="123"/>
      <c r="V462" s="120"/>
      <c r="W462" s="120"/>
      <c r="X462" s="120"/>
      <c r="Y462" s="120"/>
      <c r="Z462" s="120"/>
    </row>
    <row r="463" spans="1:26" ht="12" customHeight="1">
      <c r="A463" s="140"/>
      <c r="B463" s="120"/>
      <c r="C463" s="120"/>
      <c r="D463" s="120"/>
      <c r="E463" s="120"/>
      <c r="F463" s="120"/>
      <c r="G463" s="120"/>
      <c r="H463" s="120"/>
      <c r="I463" s="120"/>
      <c r="J463" s="120"/>
      <c r="K463" s="120"/>
      <c r="L463" s="120"/>
      <c r="M463" s="120"/>
      <c r="N463" s="120"/>
      <c r="O463" s="120"/>
      <c r="P463" s="120"/>
      <c r="Q463" s="120"/>
      <c r="R463" s="120"/>
      <c r="S463" s="120"/>
      <c r="T463" s="120"/>
      <c r="U463" s="123"/>
      <c r="V463" s="120"/>
      <c r="W463" s="120"/>
      <c r="X463" s="120"/>
      <c r="Y463" s="120"/>
      <c r="Z463" s="120"/>
    </row>
    <row r="464" spans="1:26" ht="12" customHeight="1">
      <c r="A464" s="140"/>
      <c r="B464" s="120"/>
      <c r="C464" s="120"/>
      <c r="D464" s="120"/>
      <c r="E464" s="120"/>
      <c r="F464" s="120"/>
      <c r="G464" s="120"/>
      <c r="H464" s="120"/>
      <c r="I464" s="120"/>
      <c r="J464" s="120"/>
      <c r="K464" s="120"/>
      <c r="L464" s="120"/>
      <c r="M464" s="120"/>
      <c r="N464" s="120"/>
      <c r="O464" s="120"/>
      <c r="P464" s="120"/>
      <c r="Q464" s="120"/>
      <c r="R464" s="120"/>
      <c r="S464" s="120"/>
      <c r="T464" s="120"/>
      <c r="U464" s="123"/>
      <c r="V464" s="120"/>
      <c r="W464" s="120"/>
      <c r="X464" s="120"/>
      <c r="Y464" s="120"/>
      <c r="Z464" s="120"/>
    </row>
    <row r="465" spans="1:26" ht="12" customHeight="1">
      <c r="A465" s="140"/>
      <c r="B465" s="120"/>
      <c r="C465" s="120"/>
      <c r="D465" s="120"/>
      <c r="E465" s="120"/>
      <c r="F465" s="120"/>
      <c r="G465" s="120"/>
      <c r="H465" s="120"/>
      <c r="I465" s="120"/>
      <c r="J465" s="120"/>
      <c r="K465" s="120"/>
      <c r="L465" s="120"/>
      <c r="M465" s="120"/>
      <c r="N465" s="120"/>
      <c r="O465" s="120"/>
      <c r="P465" s="120"/>
      <c r="Q465" s="120"/>
      <c r="R465" s="120"/>
      <c r="S465" s="120"/>
      <c r="T465" s="120"/>
      <c r="U465" s="123"/>
      <c r="V465" s="120"/>
      <c r="W465" s="120"/>
      <c r="X465" s="120"/>
      <c r="Y465" s="120"/>
      <c r="Z465" s="120"/>
    </row>
    <row r="466" spans="1:26" ht="12" customHeight="1">
      <c r="A466" s="140"/>
      <c r="B466" s="120"/>
      <c r="C466" s="120"/>
      <c r="D466" s="120"/>
      <c r="E466" s="120"/>
      <c r="F466" s="120"/>
      <c r="G466" s="120"/>
      <c r="H466" s="120"/>
      <c r="I466" s="120"/>
      <c r="J466" s="120"/>
      <c r="K466" s="120"/>
      <c r="L466" s="120"/>
      <c r="M466" s="120"/>
      <c r="N466" s="120"/>
      <c r="O466" s="120"/>
      <c r="P466" s="120"/>
      <c r="Q466" s="120"/>
      <c r="R466" s="120"/>
      <c r="S466" s="120"/>
      <c r="T466" s="120"/>
      <c r="U466" s="123"/>
      <c r="V466" s="120"/>
      <c r="W466" s="120"/>
      <c r="X466" s="120"/>
      <c r="Y466" s="120"/>
      <c r="Z466" s="120"/>
    </row>
    <row r="467" spans="1:26" ht="12" customHeight="1">
      <c r="A467" s="140"/>
      <c r="B467" s="120"/>
      <c r="C467" s="120"/>
      <c r="D467" s="120"/>
      <c r="E467" s="120"/>
      <c r="F467" s="120"/>
      <c r="G467" s="120"/>
      <c r="H467" s="120"/>
      <c r="I467" s="120"/>
      <c r="J467" s="120"/>
      <c r="K467" s="120"/>
      <c r="L467" s="120"/>
      <c r="M467" s="120"/>
      <c r="N467" s="120"/>
      <c r="O467" s="120"/>
      <c r="P467" s="120"/>
      <c r="Q467" s="120"/>
      <c r="R467" s="120"/>
      <c r="S467" s="120"/>
      <c r="T467" s="120"/>
      <c r="U467" s="123"/>
      <c r="V467" s="120"/>
      <c r="W467" s="120"/>
      <c r="X467" s="120"/>
      <c r="Y467" s="120"/>
      <c r="Z467" s="120"/>
    </row>
    <row r="468" spans="1:26" ht="12" customHeight="1">
      <c r="A468" s="140"/>
      <c r="B468" s="120"/>
      <c r="C468" s="120"/>
      <c r="D468" s="120"/>
      <c r="E468" s="120"/>
      <c r="F468" s="120"/>
      <c r="G468" s="120"/>
      <c r="H468" s="120"/>
      <c r="I468" s="120"/>
      <c r="J468" s="120"/>
      <c r="K468" s="120"/>
      <c r="L468" s="120"/>
      <c r="M468" s="120"/>
      <c r="N468" s="120"/>
      <c r="O468" s="120"/>
      <c r="P468" s="120"/>
      <c r="Q468" s="120"/>
      <c r="R468" s="120"/>
      <c r="S468" s="120"/>
      <c r="T468" s="120"/>
      <c r="U468" s="123"/>
      <c r="V468" s="120"/>
      <c r="W468" s="120"/>
      <c r="X468" s="120"/>
      <c r="Y468" s="120"/>
      <c r="Z468" s="120"/>
    </row>
    <row r="469" spans="1:26" ht="12" customHeight="1">
      <c r="A469" s="140"/>
      <c r="B469" s="120"/>
      <c r="C469" s="120"/>
      <c r="D469" s="120"/>
      <c r="E469" s="120"/>
      <c r="F469" s="120"/>
      <c r="G469" s="120"/>
      <c r="H469" s="120"/>
      <c r="I469" s="120"/>
      <c r="J469" s="120"/>
      <c r="K469" s="120"/>
      <c r="L469" s="120"/>
      <c r="M469" s="120"/>
      <c r="N469" s="120"/>
      <c r="O469" s="120"/>
      <c r="P469" s="120"/>
      <c r="Q469" s="120"/>
      <c r="R469" s="120"/>
      <c r="S469" s="120"/>
      <c r="T469" s="120"/>
      <c r="U469" s="123"/>
      <c r="V469" s="120"/>
      <c r="W469" s="120"/>
      <c r="X469" s="120"/>
      <c r="Y469" s="120"/>
      <c r="Z469" s="120"/>
    </row>
    <row r="470" spans="1:26" ht="12" customHeight="1">
      <c r="A470" s="140"/>
      <c r="B470" s="120"/>
      <c r="C470" s="120"/>
      <c r="D470" s="120"/>
      <c r="E470" s="120"/>
      <c r="F470" s="120"/>
      <c r="G470" s="120"/>
      <c r="H470" s="120"/>
      <c r="I470" s="120"/>
      <c r="J470" s="120"/>
      <c r="K470" s="120"/>
      <c r="L470" s="120"/>
      <c r="M470" s="120"/>
      <c r="N470" s="120"/>
      <c r="O470" s="120"/>
      <c r="P470" s="120"/>
      <c r="Q470" s="120"/>
      <c r="R470" s="120"/>
      <c r="S470" s="120"/>
      <c r="T470" s="120"/>
      <c r="U470" s="123"/>
      <c r="V470" s="120"/>
      <c r="W470" s="120"/>
      <c r="X470" s="120"/>
      <c r="Y470" s="120"/>
      <c r="Z470" s="120"/>
    </row>
    <row r="471" spans="1:26" ht="12" customHeight="1">
      <c r="A471" s="140"/>
      <c r="B471" s="120"/>
      <c r="C471" s="120"/>
      <c r="D471" s="120"/>
      <c r="E471" s="120"/>
      <c r="F471" s="120"/>
      <c r="G471" s="120"/>
      <c r="H471" s="120"/>
      <c r="I471" s="120"/>
      <c r="J471" s="120"/>
      <c r="K471" s="120"/>
      <c r="L471" s="120"/>
      <c r="M471" s="120"/>
      <c r="N471" s="120"/>
      <c r="O471" s="120"/>
      <c r="P471" s="120"/>
      <c r="Q471" s="120"/>
      <c r="R471" s="120"/>
      <c r="S471" s="120"/>
      <c r="T471" s="120"/>
      <c r="U471" s="123"/>
      <c r="V471" s="120"/>
      <c r="W471" s="120"/>
      <c r="X471" s="120"/>
      <c r="Y471" s="120"/>
      <c r="Z471" s="120"/>
    </row>
    <row r="472" spans="1:26" ht="12" customHeight="1">
      <c r="A472" s="140"/>
      <c r="B472" s="120"/>
      <c r="C472" s="120"/>
      <c r="D472" s="120"/>
      <c r="E472" s="120"/>
      <c r="F472" s="120"/>
      <c r="G472" s="120"/>
      <c r="H472" s="120"/>
      <c r="I472" s="120"/>
      <c r="J472" s="120"/>
      <c r="K472" s="120"/>
      <c r="L472" s="120"/>
      <c r="M472" s="120"/>
      <c r="N472" s="120"/>
      <c r="O472" s="120"/>
      <c r="P472" s="120"/>
      <c r="Q472" s="120"/>
      <c r="R472" s="120"/>
      <c r="S472" s="120"/>
      <c r="T472" s="120"/>
      <c r="U472" s="123"/>
      <c r="V472" s="120"/>
      <c r="W472" s="120"/>
      <c r="X472" s="120"/>
      <c r="Y472" s="120"/>
      <c r="Z472" s="120"/>
    </row>
    <row r="473" spans="1:26" ht="12" customHeight="1">
      <c r="A473" s="140"/>
      <c r="B473" s="120"/>
      <c r="C473" s="120"/>
      <c r="D473" s="120"/>
      <c r="E473" s="120"/>
      <c r="F473" s="120"/>
      <c r="G473" s="120"/>
      <c r="H473" s="120"/>
      <c r="I473" s="120"/>
      <c r="J473" s="120"/>
      <c r="K473" s="120"/>
      <c r="L473" s="120"/>
      <c r="M473" s="120"/>
      <c r="N473" s="120"/>
      <c r="O473" s="120"/>
      <c r="P473" s="120"/>
      <c r="Q473" s="120"/>
      <c r="R473" s="120"/>
      <c r="S473" s="120"/>
      <c r="T473" s="120"/>
      <c r="U473" s="123"/>
      <c r="V473" s="120"/>
      <c r="W473" s="120"/>
      <c r="X473" s="120"/>
      <c r="Y473" s="120"/>
      <c r="Z473" s="120"/>
    </row>
    <row r="474" spans="1:26" ht="12" customHeight="1">
      <c r="A474" s="140"/>
      <c r="B474" s="120"/>
      <c r="C474" s="120"/>
      <c r="D474" s="120"/>
      <c r="E474" s="120"/>
      <c r="F474" s="120"/>
      <c r="G474" s="120"/>
      <c r="H474" s="120"/>
      <c r="I474" s="120"/>
      <c r="J474" s="120"/>
      <c r="K474" s="120"/>
      <c r="L474" s="120"/>
      <c r="M474" s="120"/>
      <c r="N474" s="120"/>
      <c r="O474" s="120"/>
      <c r="P474" s="120"/>
      <c r="Q474" s="120"/>
      <c r="R474" s="120"/>
      <c r="S474" s="120"/>
      <c r="T474" s="120"/>
      <c r="U474" s="123"/>
      <c r="V474" s="120"/>
      <c r="W474" s="120"/>
      <c r="X474" s="120"/>
      <c r="Y474" s="120"/>
      <c r="Z474" s="120"/>
    </row>
    <row r="475" spans="1:26" ht="12" customHeight="1">
      <c r="A475" s="140"/>
      <c r="B475" s="120"/>
      <c r="C475" s="120"/>
      <c r="D475" s="120"/>
      <c r="E475" s="120"/>
      <c r="F475" s="120"/>
      <c r="G475" s="120"/>
      <c r="H475" s="120"/>
      <c r="I475" s="120"/>
      <c r="J475" s="120"/>
      <c r="K475" s="120"/>
      <c r="L475" s="120"/>
      <c r="M475" s="120"/>
      <c r="N475" s="120"/>
      <c r="O475" s="120"/>
      <c r="P475" s="120"/>
      <c r="Q475" s="120"/>
      <c r="R475" s="120"/>
      <c r="S475" s="120"/>
      <c r="T475" s="120"/>
      <c r="U475" s="123"/>
      <c r="V475" s="120"/>
      <c r="W475" s="120"/>
      <c r="X475" s="120"/>
      <c r="Y475" s="120"/>
      <c r="Z475" s="120"/>
    </row>
    <row r="476" spans="1:26" ht="12" customHeight="1">
      <c r="A476" s="140"/>
      <c r="B476" s="120"/>
      <c r="C476" s="120"/>
      <c r="D476" s="120"/>
      <c r="E476" s="120"/>
      <c r="F476" s="120"/>
      <c r="G476" s="120"/>
      <c r="H476" s="120"/>
      <c r="I476" s="120"/>
      <c r="J476" s="120"/>
      <c r="K476" s="120"/>
      <c r="L476" s="120"/>
      <c r="M476" s="120"/>
      <c r="N476" s="120"/>
      <c r="O476" s="120"/>
      <c r="P476" s="120"/>
      <c r="Q476" s="120"/>
      <c r="R476" s="120"/>
      <c r="S476" s="120"/>
      <c r="T476" s="120"/>
      <c r="U476" s="123"/>
      <c r="V476" s="120"/>
      <c r="W476" s="120"/>
      <c r="X476" s="120"/>
      <c r="Y476" s="120"/>
      <c r="Z476" s="120"/>
    </row>
    <row r="477" spans="1:26" ht="12" customHeight="1">
      <c r="A477" s="140"/>
      <c r="B477" s="120"/>
      <c r="C477" s="120"/>
      <c r="D477" s="120"/>
      <c r="E477" s="120"/>
      <c r="F477" s="120"/>
      <c r="G477" s="120"/>
      <c r="H477" s="120"/>
      <c r="I477" s="120"/>
      <c r="J477" s="120"/>
      <c r="K477" s="120"/>
      <c r="L477" s="120"/>
      <c r="M477" s="120"/>
      <c r="N477" s="120"/>
      <c r="O477" s="120"/>
      <c r="P477" s="120"/>
      <c r="Q477" s="120"/>
      <c r="R477" s="120"/>
      <c r="S477" s="120"/>
      <c r="T477" s="120"/>
      <c r="U477" s="123"/>
      <c r="V477" s="120"/>
      <c r="W477" s="120"/>
      <c r="X477" s="120"/>
      <c r="Y477" s="120"/>
      <c r="Z477" s="120"/>
    </row>
    <row r="478" spans="1:26" ht="12" customHeight="1">
      <c r="A478" s="140"/>
      <c r="B478" s="120"/>
      <c r="C478" s="120"/>
      <c r="D478" s="120"/>
      <c r="E478" s="120"/>
      <c r="F478" s="120"/>
      <c r="G478" s="120"/>
      <c r="H478" s="120"/>
      <c r="I478" s="120"/>
      <c r="J478" s="120"/>
      <c r="K478" s="120"/>
      <c r="L478" s="120"/>
      <c r="M478" s="120"/>
      <c r="N478" s="120"/>
      <c r="O478" s="120"/>
      <c r="P478" s="120"/>
      <c r="Q478" s="120"/>
      <c r="R478" s="120"/>
      <c r="S478" s="120"/>
      <c r="T478" s="120"/>
      <c r="U478" s="123"/>
      <c r="V478" s="120"/>
      <c r="W478" s="120"/>
      <c r="X478" s="120"/>
      <c r="Y478" s="120"/>
      <c r="Z478" s="120"/>
    </row>
    <row r="479" spans="1:26" ht="12" customHeight="1">
      <c r="A479" s="140"/>
      <c r="B479" s="120"/>
      <c r="C479" s="120"/>
      <c r="D479" s="120"/>
      <c r="E479" s="120"/>
      <c r="F479" s="120"/>
      <c r="G479" s="120"/>
      <c r="H479" s="120"/>
      <c r="I479" s="120"/>
      <c r="J479" s="120"/>
      <c r="K479" s="120"/>
      <c r="L479" s="120"/>
      <c r="M479" s="120"/>
      <c r="N479" s="120"/>
      <c r="O479" s="120"/>
      <c r="P479" s="120"/>
      <c r="Q479" s="120"/>
      <c r="R479" s="120"/>
      <c r="S479" s="120"/>
      <c r="T479" s="120"/>
      <c r="U479" s="123"/>
      <c r="V479" s="120"/>
      <c r="W479" s="120"/>
      <c r="X479" s="120"/>
      <c r="Y479" s="120"/>
      <c r="Z479" s="120"/>
    </row>
    <row r="480" spans="1:26" ht="12" customHeight="1">
      <c r="A480" s="140"/>
      <c r="B480" s="120"/>
      <c r="C480" s="120"/>
      <c r="D480" s="120"/>
      <c r="E480" s="120"/>
      <c r="F480" s="120"/>
      <c r="G480" s="120"/>
      <c r="H480" s="120"/>
      <c r="I480" s="120"/>
      <c r="J480" s="120"/>
      <c r="K480" s="120"/>
      <c r="L480" s="120"/>
      <c r="M480" s="120"/>
      <c r="N480" s="120"/>
      <c r="O480" s="120"/>
      <c r="P480" s="120"/>
      <c r="Q480" s="120"/>
      <c r="R480" s="120"/>
      <c r="S480" s="120"/>
      <c r="T480" s="120"/>
      <c r="U480" s="123"/>
      <c r="V480" s="120"/>
      <c r="W480" s="120"/>
      <c r="X480" s="120"/>
      <c r="Y480" s="120"/>
      <c r="Z480" s="120"/>
    </row>
    <row r="481" spans="1:26" ht="12" customHeight="1">
      <c r="A481" s="140"/>
      <c r="B481" s="120"/>
      <c r="C481" s="120"/>
      <c r="D481" s="120"/>
      <c r="E481" s="120"/>
      <c r="F481" s="120"/>
      <c r="G481" s="120"/>
      <c r="H481" s="120"/>
      <c r="I481" s="120"/>
      <c r="J481" s="120"/>
      <c r="K481" s="120"/>
      <c r="L481" s="120"/>
      <c r="M481" s="120"/>
      <c r="N481" s="120"/>
      <c r="O481" s="120"/>
      <c r="P481" s="120"/>
      <c r="Q481" s="120"/>
      <c r="R481" s="120"/>
      <c r="S481" s="120"/>
      <c r="T481" s="120"/>
      <c r="U481" s="123"/>
      <c r="V481" s="120"/>
      <c r="W481" s="120"/>
      <c r="X481" s="120"/>
      <c r="Y481" s="120"/>
      <c r="Z481" s="120"/>
    </row>
    <row r="482" spans="1:26" ht="12" customHeight="1">
      <c r="A482" s="140"/>
      <c r="B482" s="120"/>
      <c r="C482" s="120"/>
      <c r="D482" s="120"/>
      <c r="E482" s="120"/>
      <c r="F482" s="120"/>
      <c r="G482" s="120"/>
      <c r="H482" s="120"/>
      <c r="I482" s="120"/>
      <c r="J482" s="120"/>
      <c r="K482" s="120"/>
      <c r="L482" s="120"/>
      <c r="M482" s="120"/>
      <c r="N482" s="120"/>
      <c r="O482" s="120"/>
      <c r="P482" s="120"/>
      <c r="Q482" s="120"/>
      <c r="R482" s="120"/>
      <c r="S482" s="120"/>
      <c r="T482" s="120"/>
      <c r="U482" s="123"/>
      <c r="V482" s="120"/>
      <c r="W482" s="120"/>
      <c r="X482" s="120"/>
      <c r="Y482" s="120"/>
      <c r="Z482" s="120"/>
    </row>
    <row r="483" spans="1:26" ht="12" customHeight="1">
      <c r="A483" s="140"/>
      <c r="B483" s="120"/>
      <c r="C483" s="120"/>
      <c r="D483" s="120"/>
      <c r="E483" s="120"/>
      <c r="F483" s="120"/>
      <c r="G483" s="120"/>
      <c r="H483" s="120"/>
      <c r="I483" s="120"/>
      <c r="J483" s="120"/>
      <c r="K483" s="120"/>
      <c r="L483" s="120"/>
      <c r="M483" s="120"/>
      <c r="N483" s="120"/>
      <c r="O483" s="120"/>
      <c r="P483" s="120"/>
      <c r="Q483" s="120"/>
      <c r="R483" s="120"/>
      <c r="S483" s="120"/>
      <c r="T483" s="120"/>
      <c r="U483" s="123"/>
      <c r="V483" s="120"/>
      <c r="W483" s="120"/>
      <c r="X483" s="120"/>
      <c r="Y483" s="120"/>
      <c r="Z483" s="120"/>
    </row>
    <row r="484" spans="1:26" ht="12" customHeight="1">
      <c r="A484" s="140"/>
      <c r="B484" s="120"/>
      <c r="C484" s="120"/>
      <c r="D484" s="120"/>
      <c r="E484" s="120"/>
      <c r="F484" s="120"/>
      <c r="G484" s="120"/>
      <c r="H484" s="120"/>
      <c r="I484" s="120"/>
      <c r="J484" s="120"/>
      <c r="K484" s="120"/>
      <c r="L484" s="120"/>
      <c r="M484" s="120"/>
      <c r="N484" s="120"/>
      <c r="O484" s="120"/>
      <c r="P484" s="120"/>
      <c r="Q484" s="120"/>
      <c r="R484" s="120"/>
      <c r="S484" s="120"/>
      <c r="T484" s="120"/>
      <c r="U484" s="123"/>
      <c r="V484" s="120"/>
      <c r="W484" s="120"/>
      <c r="X484" s="120"/>
      <c r="Y484" s="120"/>
      <c r="Z484" s="120"/>
    </row>
    <row r="485" spans="1:26" ht="12" customHeight="1">
      <c r="A485" s="140"/>
      <c r="B485" s="120"/>
      <c r="C485" s="120"/>
      <c r="D485" s="120"/>
      <c r="E485" s="120"/>
      <c r="F485" s="120"/>
      <c r="G485" s="120"/>
      <c r="H485" s="120"/>
      <c r="I485" s="120"/>
      <c r="J485" s="120"/>
      <c r="K485" s="120"/>
      <c r="L485" s="120"/>
      <c r="M485" s="120"/>
      <c r="N485" s="120"/>
      <c r="O485" s="120"/>
      <c r="P485" s="120"/>
      <c r="Q485" s="120"/>
      <c r="R485" s="120"/>
      <c r="S485" s="120"/>
      <c r="T485" s="120"/>
      <c r="U485" s="123"/>
      <c r="V485" s="120"/>
      <c r="W485" s="120"/>
      <c r="X485" s="120"/>
      <c r="Y485" s="120"/>
      <c r="Z485" s="120"/>
    </row>
    <row r="486" spans="1:26" ht="12" customHeight="1">
      <c r="A486" s="140"/>
      <c r="B486" s="120"/>
      <c r="C486" s="120"/>
      <c r="D486" s="120"/>
      <c r="E486" s="120"/>
      <c r="F486" s="120"/>
      <c r="G486" s="120"/>
      <c r="H486" s="120"/>
      <c r="I486" s="120"/>
      <c r="J486" s="120"/>
      <c r="K486" s="120"/>
      <c r="L486" s="120"/>
      <c r="M486" s="120"/>
      <c r="N486" s="120"/>
      <c r="O486" s="120"/>
      <c r="P486" s="120"/>
      <c r="Q486" s="120"/>
      <c r="R486" s="120"/>
      <c r="S486" s="120"/>
      <c r="T486" s="120"/>
      <c r="U486" s="123"/>
      <c r="V486" s="120"/>
      <c r="W486" s="120"/>
      <c r="X486" s="120"/>
      <c r="Y486" s="120"/>
      <c r="Z486" s="120"/>
    </row>
    <row r="487" spans="1:26" ht="12" customHeight="1">
      <c r="A487" s="140"/>
      <c r="B487" s="120"/>
      <c r="C487" s="120"/>
      <c r="D487" s="120"/>
      <c r="E487" s="120"/>
      <c r="F487" s="120"/>
      <c r="G487" s="120"/>
      <c r="H487" s="120"/>
      <c r="I487" s="120"/>
      <c r="J487" s="120"/>
      <c r="K487" s="120"/>
      <c r="L487" s="120"/>
      <c r="M487" s="120"/>
      <c r="N487" s="120"/>
      <c r="O487" s="120"/>
      <c r="P487" s="120"/>
      <c r="Q487" s="120"/>
      <c r="R487" s="120"/>
      <c r="S487" s="120"/>
      <c r="T487" s="120"/>
      <c r="U487" s="123"/>
      <c r="V487" s="120"/>
      <c r="W487" s="120"/>
      <c r="X487" s="120"/>
      <c r="Y487" s="120"/>
      <c r="Z487" s="120"/>
    </row>
    <row r="488" spans="1:26" ht="12" customHeight="1">
      <c r="A488" s="140"/>
      <c r="B488" s="120"/>
      <c r="C488" s="120"/>
      <c r="D488" s="120"/>
      <c r="E488" s="120"/>
      <c r="F488" s="120"/>
      <c r="G488" s="120"/>
      <c r="H488" s="120"/>
      <c r="I488" s="120"/>
      <c r="J488" s="120"/>
      <c r="K488" s="120"/>
      <c r="L488" s="120"/>
      <c r="M488" s="120"/>
      <c r="N488" s="120"/>
      <c r="O488" s="120"/>
      <c r="P488" s="120"/>
      <c r="Q488" s="120"/>
      <c r="R488" s="120"/>
      <c r="S488" s="120"/>
      <c r="T488" s="120"/>
      <c r="U488" s="123"/>
      <c r="V488" s="120"/>
      <c r="W488" s="120"/>
      <c r="X488" s="120"/>
      <c r="Y488" s="120"/>
      <c r="Z488" s="120"/>
    </row>
    <row r="489" spans="1:26" ht="12" customHeight="1">
      <c r="A489" s="140"/>
      <c r="B489" s="120"/>
      <c r="C489" s="120"/>
      <c r="D489" s="120"/>
      <c r="E489" s="120"/>
      <c r="F489" s="120"/>
      <c r="G489" s="120"/>
      <c r="H489" s="120"/>
      <c r="I489" s="120"/>
      <c r="J489" s="120"/>
      <c r="K489" s="120"/>
      <c r="L489" s="120"/>
      <c r="M489" s="120"/>
      <c r="N489" s="120"/>
      <c r="O489" s="120"/>
      <c r="P489" s="120"/>
      <c r="Q489" s="120"/>
      <c r="R489" s="120"/>
      <c r="S489" s="120"/>
      <c r="T489" s="120"/>
      <c r="U489" s="123"/>
      <c r="V489" s="120"/>
      <c r="W489" s="120"/>
      <c r="X489" s="120"/>
      <c r="Y489" s="120"/>
      <c r="Z489" s="120"/>
    </row>
    <row r="490" spans="1:26" ht="12" customHeight="1">
      <c r="A490" s="140"/>
      <c r="B490" s="120"/>
      <c r="C490" s="120"/>
      <c r="D490" s="120"/>
      <c r="E490" s="120"/>
      <c r="F490" s="120"/>
      <c r="G490" s="120"/>
      <c r="H490" s="120"/>
      <c r="I490" s="120"/>
      <c r="J490" s="120"/>
      <c r="K490" s="120"/>
      <c r="L490" s="120"/>
      <c r="M490" s="120"/>
      <c r="N490" s="120"/>
      <c r="O490" s="120"/>
      <c r="P490" s="120"/>
      <c r="Q490" s="120"/>
      <c r="R490" s="120"/>
      <c r="S490" s="120"/>
      <c r="T490" s="120"/>
      <c r="U490" s="123"/>
      <c r="V490" s="120"/>
      <c r="W490" s="120"/>
      <c r="X490" s="120"/>
      <c r="Y490" s="120"/>
      <c r="Z490" s="120"/>
    </row>
    <row r="491" spans="1:26" ht="12" customHeight="1">
      <c r="A491" s="140"/>
      <c r="B491" s="120"/>
      <c r="C491" s="120"/>
      <c r="D491" s="120"/>
      <c r="E491" s="120"/>
      <c r="F491" s="120"/>
      <c r="G491" s="120"/>
      <c r="H491" s="120"/>
      <c r="I491" s="120"/>
      <c r="J491" s="120"/>
      <c r="K491" s="120"/>
      <c r="L491" s="120"/>
      <c r="M491" s="120"/>
      <c r="N491" s="120"/>
      <c r="O491" s="120"/>
      <c r="P491" s="120"/>
      <c r="Q491" s="120"/>
      <c r="R491" s="120"/>
      <c r="S491" s="120"/>
      <c r="T491" s="120"/>
      <c r="U491" s="123"/>
      <c r="V491" s="120"/>
      <c r="W491" s="120"/>
      <c r="X491" s="120"/>
      <c r="Y491" s="120"/>
      <c r="Z491" s="120"/>
    </row>
    <row r="492" spans="1:26" ht="12" customHeight="1">
      <c r="A492" s="140"/>
      <c r="B492" s="120"/>
      <c r="C492" s="120"/>
      <c r="D492" s="120"/>
      <c r="E492" s="120"/>
      <c r="F492" s="120"/>
      <c r="G492" s="120"/>
      <c r="H492" s="120"/>
      <c r="I492" s="120"/>
      <c r="J492" s="120"/>
      <c r="K492" s="120"/>
      <c r="L492" s="120"/>
      <c r="M492" s="120"/>
      <c r="N492" s="120"/>
      <c r="O492" s="120"/>
      <c r="P492" s="120"/>
      <c r="Q492" s="120"/>
      <c r="R492" s="120"/>
      <c r="S492" s="120"/>
      <c r="T492" s="120"/>
      <c r="U492" s="123"/>
      <c r="V492" s="120"/>
      <c r="W492" s="120"/>
      <c r="X492" s="120"/>
      <c r="Y492" s="120"/>
      <c r="Z492" s="120"/>
    </row>
    <row r="493" spans="1:26" ht="12" customHeight="1">
      <c r="A493" s="140"/>
      <c r="B493" s="120"/>
      <c r="C493" s="120"/>
      <c r="D493" s="120"/>
      <c r="E493" s="120"/>
      <c r="F493" s="120"/>
      <c r="G493" s="120"/>
      <c r="H493" s="120"/>
      <c r="I493" s="120"/>
      <c r="J493" s="120"/>
      <c r="K493" s="120"/>
      <c r="L493" s="120"/>
      <c r="M493" s="120"/>
      <c r="N493" s="120"/>
      <c r="O493" s="120"/>
      <c r="P493" s="120"/>
      <c r="Q493" s="120"/>
      <c r="R493" s="120"/>
      <c r="S493" s="120"/>
      <c r="T493" s="120"/>
      <c r="U493" s="123"/>
      <c r="V493" s="120"/>
      <c r="W493" s="120"/>
      <c r="X493" s="120"/>
      <c r="Y493" s="120"/>
      <c r="Z493" s="120"/>
    </row>
    <row r="494" spans="1:26" ht="12" customHeight="1">
      <c r="A494" s="140"/>
      <c r="B494" s="120"/>
      <c r="C494" s="120"/>
      <c r="D494" s="120"/>
      <c r="E494" s="120"/>
      <c r="F494" s="120"/>
      <c r="G494" s="120"/>
      <c r="H494" s="120"/>
      <c r="I494" s="120"/>
      <c r="J494" s="120"/>
      <c r="K494" s="120"/>
      <c r="L494" s="120"/>
      <c r="M494" s="120"/>
      <c r="N494" s="120"/>
      <c r="O494" s="120"/>
      <c r="P494" s="120"/>
      <c r="Q494" s="120"/>
      <c r="R494" s="120"/>
      <c r="S494" s="120"/>
      <c r="T494" s="120"/>
      <c r="U494" s="123"/>
      <c r="V494" s="120"/>
      <c r="W494" s="120"/>
      <c r="X494" s="120"/>
      <c r="Y494" s="120"/>
      <c r="Z494" s="120"/>
    </row>
    <row r="495" spans="1:26" ht="12" customHeight="1">
      <c r="A495" s="140"/>
      <c r="B495" s="120"/>
      <c r="C495" s="120"/>
      <c r="D495" s="120"/>
      <c r="E495" s="120"/>
      <c r="F495" s="120"/>
      <c r="G495" s="120"/>
      <c r="H495" s="120"/>
      <c r="I495" s="120"/>
      <c r="J495" s="120"/>
      <c r="K495" s="120"/>
      <c r="L495" s="120"/>
      <c r="M495" s="120"/>
      <c r="N495" s="120"/>
      <c r="O495" s="120"/>
      <c r="P495" s="120"/>
      <c r="Q495" s="120"/>
      <c r="R495" s="120"/>
      <c r="S495" s="120"/>
      <c r="T495" s="120"/>
      <c r="U495" s="123"/>
      <c r="V495" s="120"/>
      <c r="W495" s="120"/>
      <c r="X495" s="120"/>
      <c r="Y495" s="120"/>
      <c r="Z495" s="120"/>
    </row>
    <row r="496" spans="1:26" ht="12" customHeight="1">
      <c r="A496" s="140"/>
      <c r="B496" s="120"/>
      <c r="C496" s="120"/>
      <c r="D496" s="120"/>
      <c r="E496" s="120"/>
      <c r="F496" s="120"/>
      <c r="G496" s="120"/>
      <c r="H496" s="120"/>
      <c r="I496" s="120"/>
      <c r="J496" s="120"/>
      <c r="K496" s="120"/>
      <c r="L496" s="120"/>
      <c r="M496" s="120"/>
      <c r="N496" s="120"/>
      <c r="O496" s="120"/>
      <c r="P496" s="120"/>
      <c r="Q496" s="120"/>
      <c r="R496" s="120"/>
      <c r="S496" s="120"/>
      <c r="T496" s="120"/>
      <c r="U496" s="123"/>
      <c r="V496" s="120"/>
      <c r="W496" s="120"/>
      <c r="X496" s="120"/>
      <c r="Y496" s="120"/>
      <c r="Z496" s="120"/>
    </row>
    <row r="497" spans="1:26" ht="12" customHeight="1">
      <c r="A497" s="140"/>
      <c r="B497" s="120"/>
      <c r="C497" s="120"/>
      <c r="D497" s="120"/>
      <c r="E497" s="120"/>
      <c r="F497" s="120"/>
      <c r="G497" s="120"/>
      <c r="H497" s="120"/>
      <c r="I497" s="120"/>
      <c r="J497" s="120"/>
      <c r="K497" s="120"/>
      <c r="L497" s="120"/>
      <c r="M497" s="120"/>
      <c r="N497" s="120"/>
      <c r="O497" s="120"/>
      <c r="P497" s="120"/>
      <c r="Q497" s="120"/>
      <c r="R497" s="120"/>
      <c r="S497" s="120"/>
      <c r="T497" s="120"/>
      <c r="U497" s="123"/>
      <c r="V497" s="120"/>
      <c r="W497" s="120"/>
      <c r="X497" s="120"/>
      <c r="Y497" s="120"/>
      <c r="Z497" s="120"/>
    </row>
    <row r="498" spans="1:26" ht="12" customHeight="1">
      <c r="A498" s="140"/>
      <c r="B498" s="120"/>
      <c r="C498" s="120"/>
      <c r="D498" s="120"/>
      <c r="E498" s="120"/>
      <c r="F498" s="120"/>
      <c r="G498" s="120"/>
      <c r="H498" s="120"/>
      <c r="I498" s="120"/>
      <c r="J498" s="120"/>
      <c r="K498" s="120"/>
      <c r="L498" s="120"/>
      <c r="M498" s="120"/>
      <c r="N498" s="120"/>
      <c r="O498" s="120"/>
      <c r="P498" s="120"/>
      <c r="Q498" s="120"/>
      <c r="R498" s="120"/>
      <c r="S498" s="120"/>
      <c r="T498" s="120"/>
      <c r="U498" s="123"/>
      <c r="V498" s="120"/>
      <c r="W498" s="120"/>
      <c r="X498" s="120"/>
      <c r="Y498" s="120"/>
      <c r="Z498" s="120"/>
    </row>
    <row r="499" spans="1:26" ht="12" customHeight="1">
      <c r="A499" s="140"/>
      <c r="B499" s="120"/>
      <c r="C499" s="120"/>
      <c r="D499" s="120"/>
      <c r="E499" s="120"/>
      <c r="F499" s="120"/>
      <c r="G499" s="120"/>
      <c r="H499" s="120"/>
      <c r="I499" s="120"/>
      <c r="J499" s="120"/>
      <c r="K499" s="120"/>
      <c r="L499" s="120"/>
      <c r="M499" s="120"/>
      <c r="N499" s="120"/>
      <c r="O499" s="120"/>
      <c r="P499" s="120"/>
      <c r="Q499" s="120"/>
      <c r="R499" s="120"/>
      <c r="S499" s="120"/>
      <c r="T499" s="120"/>
      <c r="U499" s="123"/>
      <c r="V499" s="120"/>
      <c r="W499" s="120"/>
      <c r="X499" s="120"/>
      <c r="Y499" s="120"/>
      <c r="Z499" s="120"/>
    </row>
    <row r="500" spans="1:26" ht="12" customHeight="1">
      <c r="A500" s="140"/>
      <c r="B500" s="120"/>
      <c r="C500" s="120"/>
      <c r="D500" s="120"/>
      <c r="E500" s="120"/>
      <c r="F500" s="120"/>
      <c r="G500" s="120"/>
      <c r="H500" s="120"/>
      <c r="I500" s="120"/>
      <c r="J500" s="120"/>
      <c r="K500" s="120"/>
      <c r="L500" s="120"/>
      <c r="M500" s="120"/>
      <c r="N500" s="120"/>
      <c r="O500" s="120"/>
      <c r="P500" s="120"/>
      <c r="Q500" s="120"/>
      <c r="R500" s="120"/>
      <c r="S500" s="120"/>
      <c r="T500" s="120"/>
      <c r="U500" s="123"/>
      <c r="V500" s="120"/>
      <c r="W500" s="120"/>
      <c r="X500" s="120"/>
      <c r="Y500" s="120"/>
      <c r="Z500" s="120"/>
    </row>
    <row r="501" spans="1:26" ht="12" customHeight="1">
      <c r="A501" s="140"/>
      <c r="B501" s="120"/>
      <c r="C501" s="120"/>
      <c r="D501" s="120"/>
      <c r="E501" s="120"/>
      <c r="F501" s="120"/>
      <c r="G501" s="120"/>
      <c r="H501" s="120"/>
      <c r="I501" s="120"/>
      <c r="J501" s="120"/>
      <c r="K501" s="120"/>
      <c r="L501" s="120"/>
      <c r="M501" s="120"/>
      <c r="N501" s="120"/>
      <c r="O501" s="120"/>
      <c r="P501" s="120"/>
      <c r="Q501" s="120"/>
      <c r="R501" s="120"/>
      <c r="S501" s="120"/>
      <c r="T501" s="120"/>
      <c r="U501" s="123"/>
      <c r="V501" s="120"/>
      <c r="W501" s="120"/>
      <c r="X501" s="120"/>
      <c r="Y501" s="120"/>
      <c r="Z501" s="120"/>
    </row>
    <row r="502" spans="1:26" ht="12" customHeight="1">
      <c r="A502" s="140"/>
      <c r="B502" s="120"/>
      <c r="C502" s="120"/>
      <c r="D502" s="120"/>
      <c r="E502" s="120"/>
      <c r="F502" s="120"/>
      <c r="G502" s="120"/>
      <c r="H502" s="120"/>
      <c r="I502" s="120"/>
      <c r="J502" s="120"/>
      <c r="K502" s="120"/>
      <c r="L502" s="120"/>
      <c r="M502" s="120"/>
      <c r="N502" s="120"/>
      <c r="O502" s="120"/>
      <c r="P502" s="120"/>
      <c r="Q502" s="120"/>
      <c r="R502" s="120"/>
      <c r="S502" s="120"/>
      <c r="T502" s="120"/>
      <c r="U502" s="123"/>
      <c r="V502" s="120"/>
      <c r="W502" s="120"/>
      <c r="X502" s="120"/>
      <c r="Y502" s="120"/>
      <c r="Z502" s="120"/>
    </row>
    <row r="503" spans="1:26" ht="12" customHeight="1">
      <c r="A503" s="140"/>
      <c r="B503" s="120"/>
      <c r="C503" s="120"/>
      <c r="D503" s="120"/>
      <c r="E503" s="120"/>
      <c r="F503" s="120"/>
      <c r="G503" s="120"/>
      <c r="H503" s="120"/>
      <c r="I503" s="120"/>
      <c r="J503" s="120"/>
      <c r="K503" s="120"/>
      <c r="L503" s="120"/>
      <c r="M503" s="120"/>
      <c r="N503" s="120"/>
      <c r="O503" s="120"/>
      <c r="P503" s="120"/>
      <c r="Q503" s="120"/>
      <c r="R503" s="120"/>
      <c r="S503" s="120"/>
      <c r="T503" s="120"/>
      <c r="U503" s="123"/>
      <c r="V503" s="120"/>
      <c r="W503" s="120"/>
      <c r="X503" s="120"/>
      <c r="Y503" s="120"/>
      <c r="Z503" s="120"/>
    </row>
    <row r="504" spans="1:26" ht="12" customHeight="1">
      <c r="A504" s="140"/>
      <c r="B504" s="120"/>
      <c r="C504" s="120"/>
      <c r="D504" s="120"/>
      <c r="E504" s="120"/>
      <c r="F504" s="120"/>
      <c r="G504" s="120"/>
      <c r="H504" s="120"/>
      <c r="I504" s="120"/>
      <c r="J504" s="120"/>
      <c r="K504" s="120"/>
      <c r="L504" s="120"/>
      <c r="M504" s="120"/>
      <c r="N504" s="120"/>
      <c r="O504" s="120"/>
      <c r="P504" s="120"/>
      <c r="Q504" s="120"/>
      <c r="R504" s="120"/>
      <c r="S504" s="120"/>
      <c r="T504" s="120"/>
      <c r="U504" s="123"/>
      <c r="V504" s="120"/>
      <c r="W504" s="120"/>
      <c r="X504" s="120"/>
      <c r="Y504" s="120"/>
      <c r="Z504" s="120"/>
    </row>
    <row r="505" spans="1:26" ht="12" customHeight="1">
      <c r="A505" s="140"/>
      <c r="B505" s="120"/>
      <c r="C505" s="120"/>
      <c r="D505" s="120"/>
      <c r="E505" s="120"/>
      <c r="F505" s="120"/>
      <c r="G505" s="120"/>
      <c r="H505" s="120"/>
      <c r="I505" s="120"/>
      <c r="J505" s="120"/>
      <c r="K505" s="120"/>
      <c r="L505" s="120"/>
      <c r="M505" s="120"/>
      <c r="N505" s="120"/>
      <c r="O505" s="120"/>
      <c r="P505" s="120"/>
      <c r="Q505" s="120"/>
      <c r="R505" s="120"/>
      <c r="S505" s="120"/>
      <c r="T505" s="120"/>
      <c r="U505" s="123"/>
      <c r="V505" s="120"/>
      <c r="W505" s="120"/>
      <c r="X505" s="120"/>
      <c r="Y505" s="120"/>
      <c r="Z505" s="120"/>
    </row>
    <row r="506" spans="1:26" ht="12" customHeight="1">
      <c r="A506" s="140"/>
      <c r="B506" s="120"/>
      <c r="C506" s="120"/>
      <c r="D506" s="120"/>
      <c r="E506" s="120"/>
      <c r="F506" s="120"/>
      <c r="G506" s="120"/>
      <c r="H506" s="120"/>
      <c r="I506" s="120"/>
      <c r="J506" s="120"/>
      <c r="K506" s="120"/>
      <c r="L506" s="120"/>
      <c r="M506" s="120"/>
      <c r="N506" s="120"/>
      <c r="O506" s="120"/>
      <c r="P506" s="120"/>
      <c r="Q506" s="120"/>
      <c r="R506" s="120"/>
      <c r="S506" s="120"/>
      <c r="T506" s="120"/>
      <c r="U506" s="123"/>
      <c r="V506" s="120"/>
      <c r="W506" s="120"/>
      <c r="X506" s="120"/>
      <c r="Y506" s="120"/>
      <c r="Z506" s="120"/>
    </row>
    <row r="507" spans="1:26" ht="12" customHeight="1">
      <c r="A507" s="140"/>
      <c r="B507" s="120"/>
      <c r="C507" s="120"/>
      <c r="D507" s="120"/>
      <c r="E507" s="120"/>
      <c r="F507" s="120"/>
      <c r="G507" s="120"/>
      <c r="H507" s="120"/>
      <c r="I507" s="120"/>
      <c r="J507" s="120"/>
      <c r="K507" s="120"/>
      <c r="L507" s="120"/>
      <c r="M507" s="120"/>
      <c r="N507" s="120"/>
      <c r="O507" s="120"/>
      <c r="P507" s="120"/>
      <c r="Q507" s="120"/>
      <c r="R507" s="120"/>
      <c r="S507" s="120"/>
      <c r="T507" s="120"/>
      <c r="U507" s="123"/>
      <c r="V507" s="120"/>
      <c r="W507" s="120"/>
      <c r="X507" s="120"/>
      <c r="Y507" s="120"/>
      <c r="Z507" s="120"/>
    </row>
    <row r="508" spans="1:26" ht="12" customHeight="1">
      <c r="A508" s="140"/>
      <c r="B508" s="120"/>
      <c r="C508" s="120"/>
      <c r="D508" s="120"/>
      <c r="E508" s="120"/>
      <c r="F508" s="120"/>
      <c r="G508" s="120"/>
      <c r="H508" s="120"/>
      <c r="I508" s="120"/>
      <c r="J508" s="120"/>
      <c r="K508" s="120"/>
      <c r="L508" s="120"/>
      <c r="M508" s="120"/>
      <c r="N508" s="120"/>
      <c r="O508" s="120"/>
      <c r="P508" s="120"/>
      <c r="Q508" s="120"/>
      <c r="R508" s="120"/>
      <c r="S508" s="120"/>
      <c r="T508" s="120"/>
      <c r="U508" s="123"/>
      <c r="V508" s="120"/>
      <c r="W508" s="120"/>
      <c r="X508" s="120"/>
      <c r="Y508" s="120"/>
      <c r="Z508" s="120"/>
    </row>
    <row r="509" spans="1:26" ht="12" customHeight="1">
      <c r="A509" s="140"/>
      <c r="B509" s="120"/>
      <c r="C509" s="120"/>
      <c r="D509" s="120"/>
      <c r="E509" s="120"/>
      <c r="F509" s="120"/>
      <c r="G509" s="120"/>
      <c r="H509" s="120"/>
      <c r="I509" s="120"/>
      <c r="J509" s="120"/>
      <c r="K509" s="120"/>
      <c r="L509" s="120"/>
      <c r="M509" s="120"/>
      <c r="N509" s="120"/>
      <c r="O509" s="120"/>
      <c r="P509" s="120"/>
      <c r="Q509" s="120"/>
      <c r="R509" s="120"/>
      <c r="S509" s="120"/>
      <c r="T509" s="120"/>
      <c r="U509" s="123"/>
      <c r="V509" s="120"/>
      <c r="W509" s="120"/>
      <c r="X509" s="120"/>
      <c r="Y509" s="120"/>
      <c r="Z509" s="120"/>
    </row>
    <row r="510" spans="1:26" ht="12" customHeight="1">
      <c r="A510" s="140"/>
      <c r="B510" s="120"/>
      <c r="C510" s="120"/>
      <c r="D510" s="120"/>
      <c r="E510" s="120"/>
      <c r="F510" s="120"/>
      <c r="G510" s="120"/>
      <c r="H510" s="120"/>
      <c r="I510" s="120"/>
      <c r="J510" s="120"/>
      <c r="K510" s="120"/>
      <c r="L510" s="120"/>
      <c r="M510" s="120"/>
      <c r="N510" s="120"/>
      <c r="O510" s="120"/>
      <c r="P510" s="120"/>
      <c r="Q510" s="120"/>
      <c r="R510" s="120"/>
      <c r="S510" s="120"/>
      <c r="T510" s="120"/>
      <c r="U510" s="123"/>
      <c r="V510" s="120"/>
      <c r="W510" s="120"/>
      <c r="X510" s="120"/>
      <c r="Y510" s="120"/>
      <c r="Z510" s="120"/>
    </row>
    <row r="511" spans="1:26" ht="12" customHeight="1">
      <c r="A511" s="140"/>
      <c r="B511" s="120"/>
      <c r="C511" s="120"/>
      <c r="D511" s="120"/>
      <c r="E511" s="120"/>
      <c r="F511" s="120"/>
      <c r="G511" s="120"/>
      <c r="H511" s="120"/>
      <c r="I511" s="120"/>
      <c r="J511" s="120"/>
      <c r="K511" s="120"/>
      <c r="L511" s="120"/>
      <c r="M511" s="120"/>
      <c r="N511" s="120"/>
      <c r="O511" s="120"/>
      <c r="P511" s="120"/>
      <c r="Q511" s="120"/>
      <c r="R511" s="120"/>
      <c r="S511" s="120"/>
      <c r="T511" s="120"/>
      <c r="U511" s="123"/>
      <c r="V511" s="120"/>
      <c r="W511" s="120"/>
      <c r="X511" s="120"/>
      <c r="Y511" s="120"/>
      <c r="Z511" s="120"/>
    </row>
    <row r="512" spans="1:26" ht="12" customHeight="1">
      <c r="A512" s="140"/>
      <c r="B512" s="120"/>
      <c r="C512" s="120"/>
      <c r="D512" s="120"/>
      <c r="E512" s="120"/>
      <c r="F512" s="120"/>
      <c r="G512" s="120"/>
      <c r="H512" s="120"/>
      <c r="I512" s="120"/>
      <c r="J512" s="120"/>
      <c r="K512" s="120"/>
      <c r="L512" s="120"/>
      <c r="M512" s="120"/>
      <c r="N512" s="120"/>
      <c r="O512" s="120"/>
      <c r="P512" s="120"/>
      <c r="Q512" s="120"/>
      <c r="R512" s="120"/>
      <c r="S512" s="120"/>
      <c r="T512" s="120"/>
      <c r="U512" s="123"/>
      <c r="V512" s="120"/>
      <c r="W512" s="120"/>
      <c r="X512" s="120"/>
      <c r="Y512" s="120"/>
      <c r="Z512" s="120"/>
    </row>
    <row r="513" spans="1:26" ht="12" customHeight="1">
      <c r="A513" s="140"/>
      <c r="B513" s="120"/>
      <c r="C513" s="120"/>
      <c r="D513" s="120"/>
      <c r="E513" s="120"/>
      <c r="F513" s="120"/>
      <c r="G513" s="120"/>
      <c r="H513" s="120"/>
      <c r="I513" s="120"/>
      <c r="J513" s="120"/>
      <c r="K513" s="120"/>
      <c r="L513" s="120"/>
      <c r="M513" s="120"/>
      <c r="N513" s="120"/>
      <c r="O513" s="120"/>
      <c r="P513" s="120"/>
      <c r="Q513" s="120"/>
      <c r="R513" s="120"/>
      <c r="S513" s="120"/>
      <c r="T513" s="120"/>
      <c r="U513" s="123"/>
      <c r="V513" s="120"/>
      <c r="W513" s="120"/>
      <c r="X513" s="120"/>
      <c r="Y513" s="120"/>
      <c r="Z513" s="120"/>
    </row>
    <row r="514" spans="1:26" ht="12" customHeight="1">
      <c r="A514" s="140"/>
      <c r="B514" s="120"/>
      <c r="C514" s="120"/>
      <c r="D514" s="120"/>
      <c r="E514" s="120"/>
      <c r="F514" s="120"/>
      <c r="G514" s="120"/>
      <c r="H514" s="120"/>
      <c r="I514" s="120"/>
      <c r="J514" s="120"/>
      <c r="K514" s="120"/>
      <c r="L514" s="120"/>
      <c r="M514" s="120"/>
      <c r="N514" s="120"/>
      <c r="O514" s="120"/>
      <c r="P514" s="120"/>
      <c r="Q514" s="120"/>
      <c r="R514" s="120"/>
      <c r="S514" s="120"/>
      <c r="T514" s="120"/>
      <c r="U514" s="123"/>
      <c r="V514" s="120"/>
      <c r="W514" s="120"/>
      <c r="X514" s="120"/>
      <c r="Y514" s="120"/>
      <c r="Z514" s="120"/>
    </row>
    <row r="515" spans="1:26" ht="12" customHeight="1">
      <c r="A515" s="140"/>
      <c r="B515" s="120"/>
      <c r="C515" s="120"/>
      <c r="D515" s="120"/>
      <c r="E515" s="120"/>
      <c r="F515" s="120"/>
      <c r="G515" s="120"/>
      <c r="H515" s="120"/>
      <c r="I515" s="120"/>
      <c r="J515" s="120"/>
      <c r="K515" s="120"/>
      <c r="L515" s="120"/>
      <c r="M515" s="120"/>
      <c r="N515" s="120"/>
      <c r="O515" s="120"/>
      <c r="P515" s="120"/>
      <c r="Q515" s="120"/>
      <c r="R515" s="120"/>
      <c r="S515" s="120"/>
      <c r="T515" s="120"/>
      <c r="U515" s="123"/>
      <c r="V515" s="120"/>
      <c r="W515" s="120"/>
      <c r="X515" s="120"/>
      <c r="Y515" s="120"/>
      <c r="Z515" s="120"/>
    </row>
    <row r="516" spans="1:26" ht="12" customHeight="1">
      <c r="A516" s="140"/>
      <c r="B516" s="120"/>
      <c r="C516" s="120"/>
      <c r="D516" s="120"/>
      <c r="E516" s="120"/>
      <c r="F516" s="120"/>
      <c r="G516" s="120"/>
      <c r="H516" s="120"/>
      <c r="I516" s="120"/>
      <c r="J516" s="120"/>
      <c r="K516" s="120"/>
      <c r="L516" s="120"/>
      <c r="M516" s="120"/>
      <c r="N516" s="120"/>
      <c r="O516" s="120"/>
      <c r="P516" s="120"/>
      <c r="Q516" s="120"/>
      <c r="R516" s="120"/>
      <c r="S516" s="120"/>
      <c r="T516" s="120"/>
      <c r="U516" s="123"/>
      <c r="V516" s="120"/>
      <c r="W516" s="120"/>
      <c r="X516" s="120"/>
      <c r="Y516" s="120"/>
      <c r="Z516" s="120"/>
    </row>
    <row r="517" spans="1:26" ht="12" customHeight="1">
      <c r="A517" s="140"/>
      <c r="B517" s="120"/>
      <c r="C517" s="120"/>
      <c r="D517" s="120"/>
      <c r="E517" s="120"/>
      <c r="F517" s="120"/>
      <c r="G517" s="120"/>
      <c r="H517" s="120"/>
      <c r="I517" s="120"/>
      <c r="J517" s="120"/>
      <c r="K517" s="120"/>
      <c r="L517" s="120"/>
      <c r="M517" s="120"/>
      <c r="N517" s="120"/>
      <c r="O517" s="120"/>
      <c r="P517" s="120"/>
      <c r="Q517" s="120"/>
      <c r="R517" s="120"/>
      <c r="S517" s="120"/>
      <c r="T517" s="120"/>
      <c r="U517" s="123"/>
      <c r="V517" s="120"/>
      <c r="W517" s="120"/>
      <c r="X517" s="120"/>
      <c r="Y517" s="120"/>
      <c r="Z517" s="120"/>
    </row>
    <row r="518" spans="1:26" ht="12" customHeight="1">
      <c r="A518" s="140"/>
      <c r="B518" s="120"/>
      <c r="C518" s="120"/>
      <c r="D518" s="120"/>
      <c r="E518" s="120"/>
      <c r="F518" s="120"/>
      <c r="G518" s="120"/>
      <c r="H518" s="120"/>
      <c r="I518" s="120"/>
      <c r="J518" s="120"/>
      <c r="K518" s="120"/>
      <c r="L518" s="120"/>
      <c r="M518" s="120"/>
      <c r="N518" s="120"/>
      <c r="O518" s="120"/>
      <c r="P518" s="120"/>
      <c r="Q518" s="120"/>
      <c r="R518" s="120"/>
      <c r="S518" s="120"/>
      <c r="T518" s="120"/>
      <c r="U518" s="123"/>
      <c r="V518" s="120"/>
      <c r="W518" s="120"/>
      <c r="X518" s="120"/>
      <c r="Y518" s="120"/>
      <c r="Z518" s="120"/>
    </row>
    <row r="519" spans="1:26" ht="12" customHeight="1">
      <c r="A519" s="140"/>
      <c r="B519" s="120"/>
      <c r="C519" s="120"/>
      <c r="D519" s="120"/>
      <c r="E519" s="120"/>
      <c r="F519" s="120"/>
      <c r="G519" s="120"/>
      <c r="H519" s="120"/>
      <c r="I519" s="120"/>
      <c r="J519" s="120"/>
      <c r="K519" s="120"/>
      <c r="L519" s="120"/>
      <c r="M519" s="120"/>
      <c r="N519" s="120"/>
      <c r="O519" s="120"/>
      <c r="P519" s="120"/>
      <c r="Q519" s="120"/>
      <c r="R519" s="120"/>
      <c r="S519" s="120"/>
      <c r="T519" s="120"/>
      <c r="U519" s="123"/>
      <c r="V519" s="120"/>
      <c r="W519" s="120"/>
      <c r="X519" s="120"/>
      <c r="Y519" s="120"/>
      <c r="Z519" s="120"/>
    </row>
    <row r="520" spans="1:26" ht="12" customHeight="1">
      <c r="A520" s="140"/>
      <c r="B520" s="120"/>
      <c r="C520" s="120"/>
      <c r="D520" s="120"/>
      <c r="E520" s="120"/>
      <c r="F520" s="120"/>
      <c r="G520" s="120"/>
      <c r="H520" s="120"/>
      <c r="I520" s="120"/>
      <c r="J520" s="120"/>
      <c r="K520" s="120"/>
      <c r="L520" s="120"/>
      <c r="M520" s="120"/>
      <c r="N520" s="120"/>
      <c r="O520" s="120"/>
      <c r="P520" s="120"/>
      <c r="Q520" s="120"/>
      <c r="R520" s="120"/>
      <c r="S520" s="120"/>
      <c r="T520" s="120"/>
      <c r="U520" s="123"/>
      <c r="V520" s="120"/>
      <c r="W520" s="120"/>
      <c r="X520" s="120"/>
      <c r="Y520" s="120"/>
      <c r="Z520" s="120"/>
    </row>
    <row r="521" spans="1:26" ht="12" customHeight="1">
      <c r="A521" s="140"/>
      <c r="B521" s="120"/>
      <c r="C521" s="120"/>
      <c r="D521" s="120"/>
      <c r="E521" s="120"/>
      <c r="F521" s="120"/>
      <c r="G521" s="120"/>
      <c r="H521" s="120"/>
      <c r="I521" s="120"/>
      <c r="J521" s="120"/>
      <c r="K521" s="120"/>
      <c r="L521" s="120"/>
      <c r="M521" s="120"/>
      <c r="N521" s="120"/>
      <c r="O521" s="120"/>
      <c r="P521" s="120"/>
      <c r="Q521" s="120"/>
      <c r="R521" s="120"/>
      <c r="S521" s="120"/>
      <c r="T521" s="120"/>
      <c r="U521" s="123"/>
      <c r="V521" s="120"/>
      <c r="W521" s="120"/>
      <c r="X521" s="120"/>
      <c r="Y521" s="120"/>
      <c r="Z521" s="120"/>
    </row>
    <row r="522" spans="1:26" ht="12" customHeight="1">
      <c r="A522" s="140"/>
      <c r="B522" s="120"/>
      <c r="C522" s="120"/>
      <c r="D522" s="120"/>
      <c r="E522" s="120"/>
      <c r="F522" s="120"/>
      <c r="G522" s="120"/>
      <c r="H522" s="120"/>
      <c r="I522" s="120"/>
      <c r="J522" s="120"/>
      <c r="K522" s="120"/>
      <c r="L522" s="120"/>
      <c r="M522" s="120"/>
      <c r="N522" s="120"/>
      <c r="O522" s="120"/>
      <c r="P522" s="120"/>
      <c r="Q522" s="120"/>
      <c r="R522" s="120"/>
      <c r="S522" s="120"/>
      <c r="T522" s="120"/>
      <c r="U522" s="123"/>
      <c r="V522" s="120"/>
      <c r="W522" s="120"/>
      <c r="X522" s="120"/>
      <c r="Y522" s="120"/>
      <c r="Z522" s="120"/>
    </row>
    <row r="523" spans="1:26" ht="12" customHeight="1">
      <c r="A523" s="140"/>
      <c r="B523" s="120"/>
      <c r="C523" s="120"/>
      <c r="D523" s="120"/>
      <c r="E523" s="120"/>
      <c r="F523" s="120"/>
      <c r="G523" s="120"/>
      <c r="H523" s="120"/>
      <c r="I523" s="120"/>
      <c r="J523" s="120"/>
      <c r="K523" s="120"/>
      <c r="L523" s="120"/>
      <c r="M523" s="120"/>
      <c r="N523" s="120"/>
      <c r="O523" s="120"/>
      <c r="P523" s="120"/>
      <c r="Q523" s="120"/>
      <c r="R523" s="120"/>
      <c r="S523" s="120"/>
      <c r="T523" s="120"/>
      <c r="U523" s="123"/>
      <c r="V523" s="120"/>
      <c r="W523" s="120"/>
      <c r="X523" s="120"/>
      <c r="Y523" s="120"/>
      <c r="Z523" s="120"/>
    </row>
    <row r="524" spans="1:26" ht="12" customHeight="1">
      <c r="A524" s="140"/>
      <c r="B524" s="120"/>
      <c r="C524" s="120"/>
      <c r="D524" s="120"/>
      <c r="E524" s="120"/>
      <c r="F524" s="120"/>
      <c r="G524" s="120"/>
      <c r="H524" s="120"/>
      <c r="I524" s="120"/>
      <c r="J524" s="120"/>
      <c r="K524" s="120"/>
      <c r="L524" s="120"/>
      <c r="M524" s="120"/>
      <c r="N524" s="120"/>
      <c r="O524" s="120"/>
      <c r="P524" s="120"/>
      <c r="Q524" s="120"/>
      <c r="R524" s="120"/>
      <c r="S524" s="120"/>
      <c r="T524" s="120"/>
      <c r="U524" s="123"/>
      <c r="V524" s="120"/>
      <c r="W524" s="120"/>
      <c r="X524" s="120"/>
      <c r="Y524" s="120"/>
      <c r="Z524" s="120"/>
    </row>
    <row r="525" spans="1:26" ht="12" customHeight="1">
      <c r="A525" s="140"/>
      <c r="B525" s="120"/>
      <c r="C525" s="120"/>
      <c r="D525" s="120"/>
      <c r="E525" s="120"/>
      <c r="F525" s="120"/>
      <c r="G525" s="120"/>
      <c r="H525" s="120"/>
      <c r="I525" s="120"/>
      <c r="J525" s="120"/>
      <c r="K525" s="120"/>
      <c r="L525" s="120"/>
      <c r="M525" s="120"/>
      <c r="N525" s="120"/>
      <c r="O525" s="120"/>
      <c r="P525" s="120"/>
      <c r="Q525" s="120"/>
      <c r="R525" s="120"/>
      <c r="S525" s="120"/>
      <c r="T525" s="120"/>
      <c r="U525" s="123"/>
      <c r="V525" s="120"/>
      <c r="W525" s="120"/>
      <c r="X525" s="120"/>
      <c r="Y525" s="120"/>
      <c r="Z525" s="120"/>
    </row>
    <row r="526" spans="1:26" ht="12" customHeight="1">
      <c r="A526" s="140"/>
      <c r="B526" s="120"/>
      <c r="C526" s="120"/>
      <c r="D526" s="120"/>
      <c r="E526" s="120"/>
      <c r="F526" s="120"/>
      <c r="G526" s="120"/>
      <c r="H526" s="120"/>
      <c r="I526" s="120"/>
      <c r="J526" s="120"/>
      <c r="K526" s="120"/>
      <c r="L526" s="120"/>
      <c r="M526" s="120"/>
      <c r="N526" s="120"/>
      <c r="O526" s="120"/>
      <c r="P526" s="120"/>
      <c r="Q526" s="120"/>
      <c r="R526" s="120"/>
      <c r="S526" s="120"/>
      <c r="T526" s="120"/>
      <c r="U526" s="123"/>
      <c r="V526" s="120"/>
      <c r="W526" s="120"/>
      <c r="X526" s="120"/>
      <c r="Y526" s="120"/>
      <c r="Z526" s="120"/>
    </row>
    <row r="527" spans="1:26" ht="12" customHeight="1">
      <c r="A527" s="140"/>
      <c r="B527" s="120"/>
      <c r="C527" s="120"/>
      <c r="D527" s="120"/>
      <c r="E527" s="120"/>
      <c r="F527" s="120"/>
      <c r="G527" s="120"/>
      <c r="H527" s="120"/>
      <c r="I527" s="120"/>
      <c r="J527" s="120"/>
      <c r="K527" s="120"/>
      <c r="L527" s="120"/>
      <c r="M527" s="120"/>
      <c r="N527" s="120"/>
      <c r="O527" s="120"/>
      <c r="P527" s="120"/>
      <c r="Q527" s="120"/>
      <c r="R527" s="120"/>
      <c r="S527" s="120"/>
      <c r="T527" s="120"/>
      <c r="U527" s="123"/>
      <c r="V527" s="120"/>
      <c r="W527" s="120"/>
      <c r="X527" s="120"/>
      <c r="Y527" s="120"/>
      <c r="Z527" s="120"/>
    </row>
    <row r="528" spans="1:26" ht="12" customHeight="1">
      <c r="A528" s="140"/>
      <c r="B528" s="120"/>
      <c r="C528" s="120"/>
      <c r="D528" s="120"/>
      <c r="E528" s="120"/>
      <c r="F528" s="120"/>
      <c r="G528" s="120"/>
      <c r="H528" s="120"/>
      <c r="I528" s="120"/>
      <c r="J528" s="120"/>
      <c r="K528" s="120"/>
      <c r="L528" s="120"/>
      <c r="M528" s="120"/>
      <c r="N528" s="120"/>
      <c r="O528" s="120"/>
      <c r="P528" s="120"/>
      <c r="Q528" s="120"/>
      <c r="R528" s="120"/>
      <c r="S528" s="120"/>
      <c r="T528" s="120"/>
      <c r="U528" s="123"/>
      <c r="V528" s="120"/>
      <c r="W528" s="120"/>
      <c r="X528" s="120"/>
      <c r="Y528" s="120"/>
      <c r="Z528" s="120"/>
    </row>
    <row r="529" spans="1:26" ht="12" customHeight="1">
      <c r="A529" s="140"/>
      <c r="B529" s="120"/>
      <c r="C529" s="120"/>
      <c r="D529" s="120"/>
      <c r="E529" s="120"/>
      <c r="F529" s="120"/>
      <c r="G529" s="120"/>
      <c r="H529" s="120"/>
      <c r="I529" s="120"/>
      <c r="J529" s="120"/>
      <c r="K529" s="120"/>
      <c r="L529" s="120"/>
      <c r="M529" s="120"/>
      <c r="N529" s="120"/>
      <c r="O529" s="120"/>
      <c r="P529" s="120"/>
      <c r="Q529" s="120"/>
      <c r="R529" s="120"/>
      <c r="S529" s="120"/>
      <c r="T529" s="120"/>
      <c r="U529" s="123"/>
      <c r="V529" s="120"/>
      <c r="W529" s="120"/>
      <c r="X529" s="120"/>
      <c r="Y529" s="120"/>
      <c r="Z529" s="120"/>
    </row>
    <row r="530" spans="1:26" ht="12" customHeight="1">
      <c r="A530" s="140"/>
      <c r="B530" s="120"/>
      <c r="C530" s="120"/>
      <c r="D530" s="120"/>
      <c r="E530" s="120"/>
      <c r="F530" s="120"/>
      <c r="G530" s="120"/>
      <c r="H530" s="120"/>
      <c r="I530" s="120"/>
      <c r="J530" s="120"/>
      <c r="K530" s="120"/>
      <c r="L530" s="120"/>
      <c r="M530" s="120"/>
      <c r="N530" s="120"/>
      <c r="O530" s="120"/>
      <c r="P530" s="120"/>
      <c r="Q530" s="120"/>
      <c r="R530" s="120"/>
      <c r="S530" s="120"/>
      <c r="T530" s="120"/>
      <c r="U530" s="123"/>
      <c r="V530" s="120"/>
      <c r="W530" s="120"/>
      <c r="X530" s="120"/>
      <c r="Y530" s="120"/>
      <c r="Z530" s="120"/>
    </row>
    <row r="531" spans="1:26" ht="12" customHeight="1">
      <c r="A531" s="140"/>
      <c r="B531" s="120"/>
      <c r="C531" s="120"/>
      <c r="D531" s="120"/>
      <c r="E531" s="120"/>
      <c r="F531" s="120"/>
      <c r="G531" s="120"/>
      <c r="H531" s="120"/>
      <c r="I531" s="120"/>
      <c r="J531" s="120"/>
      <c r="K531" s="120"/>
      <c r="L531" s="120"/>
      <c r="M531" s="120"/>
      <c r="N531" s="120"/>
      <c r="O531" s="120"/>
      <c r="P531" s="120"/>
      <c r="Q531" s="120"/>
      <c r="R531" s="120"/>
      <c r="S531" s="120"/>
      <c r="T531" s="120"/>
      <c r="U531" s="123"/>
      <c r="V531" s="120"/>
      <c r="W531" s="120"/>
      <c r="X531" s="120"/>
      <c r="Y531" s="120"/>
      <c r="Z531" s="120"/>
    </row>
    <row r="532" spans="1:26" ht="12" customHeight="1">
      <c r="A532" s="140"/>
      <c r="B532" s="120"/>
      <c r="C532" s="120"/>
      <c r="D532" s="120"/>
      <c r="E532" s="120"/>
      <c r="F532" s="120"/>
      <c r="G532" s="120"/>
      <c r="H532" s="120"/>
      <c r="I532" s="120"/>
      <c r="J532" s="120"/>
      <c r="K532" s="120"/>
      <c r="L532" s="120"/>
      <c r="M532" s="120"/>
      <c r="N532" s="120"/>
      <c r="O532" s="120"/>
      <c r="P532" s="120"/>
      <c r="Q532" s="120"/>
      <c r="R532" s="120"/>
      <c r="S532" s="120"/>
      <c r="T532" s="120"/>
      <c r="U532" s="123"/>
      <c r="V532" s="120"/>
      <c r="W532" s="120"/>
      <c r="X532" s="120"/>
      <c r="Y532" s="120"/>
      <c r="Z532" s="120"/>
    </row>
    <row r="533" spans="1:26" ht="12" customHeight="1">
      <c r="A533" s="140"/>
      <c r="B533" s="120"/>
      <c r="C533" s="120"/>
      <c r="D533" s="120"/>
      <c r="E533" s="120"/>
      <c r="F533" s="120"/>
      <c r="G533" s="120"/>
      <c r="H533" s="120"/>
      <c r="I533" s="120"/>
      <c r="J533" s="120"/>
      <c r="K533" s="120"/>
      <c r="L533" s="120"/>
      <c r="M533" s="120"/>
      <c r="N533" s="120"/>
      <c r="O533" s="120"/>
      <c r="P533" s="120"/>
      <c r="Q533" s="120"/>
      <c r="R533" s="120"/>
      <c r="S533" s="120"/>
      <c r="T533" s="120"/>
      <c r="U533" s="123"/>
      <c r="V533" s="120"/>
      <c r="W533" s="120"/>
      <c r="X533" s="120"/>
      <c r="Y533" s="120"/>
      <c r="Z533" s="120"/>
    </row>
    <row r="534" spans="1:26" ht="12" customHeight="1">
      <c r="A534" s="140"/>
      <c r="B534" s="120"/>
      <c r="C534" s="120"/>
      <c r="D534" s="120"/>
      <c r="E534" s="120"/>
      <c r="F534" s="120"/>
      <c r="G534" s="120"/>
      <c r="H534" s="120"/>
      <c r="I534" s="120"/>
      <c r="J534" s="120"/>
      <c r="K534" s="120"/>
      <c r="L534" s="120"/>
      <c r="M534" s="120"/>
      <c r="N534" s="120"/>
      <c r="O534" s="120"/>
      <c r="P534" s="120"/>
      <c r="Q534" s="120"/>
      <c r="R534" s="120"/>
      <c r="S534" s="120"/>
      <c r="T534" s="120"/>
      <c r="U534" s="123"/>
      <c r="V534" s="120"/>
      <c r="W534" s="120"/>
      <c r="X534" s="120"/>
      <c r="Y534" s="120"/>
      <c r="Z534" s="120"/>
    </row>
    <row r="535" spans="1:26" ht="12" customHeight="1">
      <c r="A535" s="140"/>
      <c r="B535" s="120"/>
      <c r="C535" s="120"/>
      <c r="D535" s="120"/>
      <c r="E535" s="120"/>
      <c r="F535" s="120"/>
      <c r="G535" s="120"/>
      <c r="H535" s="120"/>
      <c r="I535" s="120"/>
      <c r="J535" s="120"/>
      <c r="K535" s="120"/>
      <c r="L535" s="120"/>
      <c r="M535" s="120"/>
      <c r="N535" s="120"/>
      <c r="O535" s="120"/>
      <c r="P535" s="120"/>
      <c r="Q535" s="120"/>
      <c r="R535" s="120"/>
      <c r="S535" s="120"/>
      <c r="T535" s="120"/>
      <c r="U535" s="123"/>
      <c r="V535" s="120"/>
      <c r="W535" s="120"/>
      <c r="X535" s="120"/>
      <c r="Y535" s="120"/>
      <c r="Z535" s="120"/>
    </row>
    <row r="536" spans="1:26" ht="12" customHeight="1">
      <c r="A536" s="140"/>
      <c r="B536" s="120"/>
      <c r="C536" s="120"/>
      <c r="D536" s="120"/>
      <c r="E536" s="120"/>
      <c r="F536" s="120"/>
      <c r="G536" s="120"/>
      <c r="H536" s="120"/>
      <c r="I536" s="120"/>
      <c r="J536" s="120"/>
      <c r="K536" s="120"/>
      <c r="L536" s="120"/>
      <c r="M536" s="120"/>
      <c r="N536" s="120"/>
      <c r="O536" s="120"/>
      <c r="P536" s="120"/>
      <c r="Q536" s="120"/>
      <c r="R536" s="120"/>
      <c r="S536" s="120"/>
      <c r="T536" s="120"/>
      <c r="U536" s="123"/>
      <c r="V536" s="120"/>
      <c r="W536" s="120"/>
      <c r="X536" s="120"/>
      <c r="Y536" s="120"/>
      <c r="Z536" s="120"/>
    </row>
    <row r="537" spans="1:26" ht="12" customHeight="1">
      <c r="A537" s="140"/>
      <c r="B537" s="120"/>
      <c r="C537" s="120"/>
      <c r="D537" s="120"/>
      <c r="E537" s="120"/>
      <c r="F537" s="120"/>
      <c r="G537" s="120"/>
      <c r="H537" s="120"/>
      <c r="I537" s="120"/>
      <c r="J537" s="120"/>
      <c r="K537" s="120"/>
      <c r="L537" s="120"/>
      <c r="M537" s="120"/>
      <c r="N537" s="120"/>
      <c r="O537" s="120"/>
      <c r="P537" s="120"/>
      <c r="Q537" s="120"/>
      <c r="R537" s="120"/>
      <c r="S537" s="120"/>
      <c r="T537" s="120"/>
      <c r="U537" s="123"/>
      <c r="V537" s="120"/>
      <c r="W537" s="120"/>
      <c r="X537" s="120"/>
      <c r="Y537" s="120"/>
      <c r="Z537" s="120"/>
    </row>
    <row r="538" spans="1:26" ht="12" customHeight="1">
      <c r="A538" s="140"/>
      <c r="B538" s="120"/>
      <c r="C538" s="120"/>
      <c r="D538" s="120"/>
      <c r="E538" s="120"/>
      <c r="F538" s="120"/>
      <c r="G538" s="120"/>
      <c r="H538" s="120"/>
      <c r="I538" s="120"/>
      <c r="J538" s="120"/>
      <c r="K538" s="120"/>
      <c r="L538" s="120"/>
      <c r="M538" s="120"/>
      <c r="N538" s="120"/>
      <c r="O538" s="120"/>
      <c r="P538" s="120"/>
      <c r="Q538" s="120"/>
      <c r="R538" s="120"/>
      <c r="S538" s="120"/>
      <c r="T538" s="120"/>
      <c r="U538" s="123"/>
      <c r="V538" s="120"/>
      <c r="W538" s="120"/>
      <c r="X538" s="120"/>
      <c r="Y538" s="120"/>
      <c r="Z538" s="120"/>
    </row>
    <row r="539" spans="1:26" ht="12" customHeight="1">
      <c r="A539" s="140"/>
      <c r="B539" s="120"/>
      <c r="C539" s="120"/>
      <c r="D539" s="120"/>
      <c r="E539" s="120"/>
      <c r="F539" s="120"/>
      <c r="G539" s="120"/>
      <c r="H539" s="120"/>
      <c r="I539" s="120"/>
      <c r="J539" s="120"/>
      <c r="K539" s="120"/>
      <c r="L539" s="120"/>
      <c r="M539" s="120"/>
      <c r="N539" s="120"/>
      <c r="O539" s="120"/>
      <c r="P539" s="120"/>
      <c r="Q539" s="120"/>
      <c r="R539" s="120"/>
      <c r="S539" s="120"/>
      <c r="T539" s="120"/>
      <c r="U539" s="123"/>
      <c r="V539" s="120"/>
      <c r="W539" s="120"/>
      <c r="X539" s="120"/>
      <c r="Y539" s="120"/>
      <c r="Z539" s="120"/>
    </row>
    <row r="540" spans="1:26" ht="12" customHeight="1">
      <c r="A540" s="140"/>
      <c r="B540" s="120"/>
      <c r="C540" s="120"/>
      <c r="D540" s="120"/>
      <c r="E540" s="120"/>
      <c r="F540" s="120"/>
      <c r="G540" s="120"/>
      <c r="H540" s="120"/>
      <c r="I540" s="120"/>
      <c r="J540" s="120"/>
      <c r="K540" s="120"/>
      <c r="L540" s="120"/>
      <c r="M540" s="120"/>
      <c r="N540" s="120"/>
      <c r="O540" s="120"/>
      <c r="P540" s="120"/>
      <c r="Q540" s="120"/>
      <c r="R540" s="120"/>
      <c r="S540" s="120"/>
      <c r="T540" s="120"/>
      <c r="U540" s="123"/>
      <c r="V540" s="120"/>
      <c r="W540" s="120"/>
      <c r="X540" s="120"/>
      <c r="Y540" s="120"/>
      <c r="Z540" s="120"/>
    </row>
    <row r="541" spans="1:26" ht="12" customHeight="1">
      <c r="A541" s="140"/>
      <c r="B541" s="120"/>
      <c r="C541" s="120"/>
      <c r="D541" s="120"/>
      <c r="E541" s="120"/>
      <c r="F541" s="120"/>
      <c r="G541" s="120"/>
      <c r="H541" s="120"/>
      <c r="I541" s="120"/>
      <c r="J541" s="120"/>
      <c r="K541" s="120"/>
      <c r="L541" s="120"/>
      <c r="M541" s="120"/>
      <c r="N541" s="120"/>
      <c r="O541" s="120"/>
      <c r="P541" s="120"/>
      <c r="Q541" s="120"/>
      <c r="R541" s="120"/>
      <c r="S541" s="120"/>
      <c r="T541" s="120"/>
      <c r="U541" s="123"/>
      <c r="V541" s="120"/>
      <c r="W541" s="120"/>
      <c r="X541" s="120"/>
      <c r="Y541" s="120"/>
      <c r="Z541" s="120"/>
    </row>
    <row r="542" spans="1:26" ht="12" customHeight="1">
      <c r="A542" s="140"/>
      <c r="B542" s="120"/>
      <c r="C542" s="120"/>
      <c r="D542" s="120"/>
      <c r="E542" s="120"/>
      <c r="F542" s="120"/>
      <c r="G542" s="120"/>
      <c r="H542" s="120"/>
      <c r="I542" s="120"/>
      <c r="J542" s="120"/>
      <c r="K542" s="120"/>
      <c r="L542" s="120"/>
      <c r="M542" s="120"/>
      <c r="N542" s="120"/>
      <c r="O542" s="120"/>
      <c r="P542" s="120"/>
      <c r="Q542" s="120"/>
      <c r="R542" s="120"/>
      <c r="S542" s="120"/>
      <c r="T542" s="120"/>
      <c r="U542" s="123"/>
      <c r="V542" s="120"/>
      <c r="W542" s="120"/>
      <c r="X542" s="120"/>
      <c r="Y542" s="120"/>
      <c r="Z542" s="120"/>
    </row>
    <row r="543" spans="1:26" ht="12" customHeight="1">
      <c r="A543" s="140"/>
      <c r="B543" s="120"/>
      <c r="C543" s="120"/>
      <c r="D543" s="120"/>
      <c r="E543" s="120"/>
      <c r="F543" s="120"/>
      <c r="G543" s="120"/>
      <c r="H543" s="120"/>
      <c r="I543" s="120"/>
      <c r="J543" s="120"/>
      <c r="K543" s="120"/>
      <c r="L543" s="120"/>
      <c r="M543" s="120"/>
      <c r="N543" s="120"/>
      <c r="O543" s="120"/>
      <c r="P543" s="120"/>
      <c r="Q543" s="120"/>
      <c r="R543" s="120"/>
      <c r="S543" s="120"/>
      <c r="T543" s="120"/>
      <c r="U543" s="123"/>
      <c r="V543" s="120"/>
      <c r="W543" s="120"/>
      <c r="X543" s="120"/>
      <c r="Y543" s="120"/>
      <c r="Z543" s="120"/>
    </row>
    <row r="544" spans="1:26" ht="12" customHeight="1">
      <c r="A544" s="140"/>
      <c r="B544" s="120"/>
      <c r="C544" s="120"/>
      <c r="D544" s="120"/>
      <c r="E544" s="120"/>
      <c r="F544" s="120"/>
      <c r="G544" s="120"/>
      <c r="H544" s="120"/>
      <c r="I544" s="120"/>
      <c r="J544" s="120"/>
      <c r="K544" s="120"/>
      <c r="L544" s="120"/>
      <c r="M544" s="120"/>
      <c r="N544" s="120"/>
      <c r="O544" s="120"/>
      <c r="P544" s="120"/>
      <c r="Q544" s="120"/>
      <c r="R544" s="120"/>
      <c r="S544" s="120"/>
      <c r="T544" s="120"/>
      <c r="U544" s="123"/>
      <c r="V544" s="120"/>
      <c r="W544" s="120"/>
      <c r="X544" s="120"/>
      <c r="Y544" s="120"/>
      <c r="Z544" s="120"/>
    </row>
    <row r="545" spans="1:26" ht="12" customHeight="1">
      <c r="A545" s="140"/>
      <c r="B545" s="120"/>
      <c r="C545" s="120"/>
      <c r="D545" s="120"/>
      <c r="E545" s="120"/>
      <c r="F545" s="120"/>
      <c r="G545" s="120"/>
      <c r="H545" s="120"/>
      <c r="I545" s="120"/>
      <c r="J545" s="120"/>
      <c r="K545" s="120"/>
      <c r="L545" s="120"/>
      <c r="M545" s="120"/>
      <c r="N545" s="120"/>
      <c r="O545" s="120"/>
      <c r="P545" s="120"/>
      <c r="Q545" s="120"/>
      <c r="R545" s="120"/>
      <c r="S545" s="120"/>
      <c r="T545" s="120"/>
      <c r="U545" s="123"/>
      <c r="V545" s="120"/>
      <c r="W545" s="120"/>
      <c r="X545" s="120"/>
      <c r="Y545" s="120"/>
      <c r="Z545" s="120"/>
    </row>
    <row r="546" spans="1:26" ht="12" customHeight="1">
      <c r="A546" s="140"/>
      <c r="B546" s="120"/>
      <c r="C546" s="120"/>
      <c r="D546" s="120"/>
      <c r="E546" s="120"/>
      <c r="F546" s="120"/>
      <c r="G546" s="120"/>
      <c r="H546" s="120"/>
      <c r="I546" s="120"/>
      <c r="J546" s="120"/>
      <c r="K546" s="120"/>
      <c r="L546" s="120"/>
      <c r="M546" s="120"/>
      <c r="N546" s="120"/>
      <c r="O546" s="120"/>
      <c r="P546" s="120"/>
      <c r="Q546" s="120"/>
      <c r="R546" s="120"/>
      <c r="S546" s="120"/>
      <c r="T546" s="120"/>
      <c r="U546" s="123"/>
      <c r="V546" s="120"/>
      <c r="W546" s="120"/>
      <c r="X546" s="120"/>
      <c r="Y546" s="120"/>
      <c r="Z546" s="120"/>
    </row>
    <row r="547" spans="1:26" ht="12" customHeight="1">
      <c r="A547" s="140"/>
      <c r="B547" s="120"/>
      <c r="C547" s="120"/>
      <c r="D547" s="120"/>
      <c r="E547" s="120"/>
      <c r="F547" s="120"/>
      <c r="G547" s="120"/>
      <c r="H547" s="120"/>
      <c r="I547" s="120"/>
      <c r="J547" s="120"/>
      <c r="K547" s="120"/>
      <c r="L547" s="120"/>
      <c r="M547" s="120"/>
      <c r="N547" s="120"/>
      <c r="O547" s="120"/>
      <c r="P547" s="120"/>
      <c r="Q547" s="120"/>
      <c r="R547" s="120"/>
      <c r="S547" s="120"/>
      <c r="T547" s="120"/>
      <c r="U547" s="123"/>
      <c r="V547" s="120"/>
      <c r="W547" s="120"/>
      <c r="X547" s="120"/>
      <c r="Y547" s="120"/>
      <c r="Z547" s="120"/>
    </row>
    <row r="548" spans="1:26" ht="12" customHeight="1">
      <c r="A548" s="140"/>
      <c r="B548" s="120"/>
      <c r="C548" s="120"/>
      <c r="D548" s="120"/>
      <c r="E548" s="120"/>
      <c r="F548" s="120"/>
      <c r="G548" s="120"/>
      <c r="H548" s="120"/>
      <c r="I548" s="120"/>
      <c r="J548" s="120"/>
      <c r="K548" s="120"/>
      <c r="L548" s="120"/>
      <c r="M548" s="120"/>
      <c r="N548" s="120"/>
      <c r="O548" s="120"/>
      <c r="P548" s="120"/>
      <c r="Q548" s="120"/>
      <c r="R548" s="120"/>
      <c r="S548" s="120"/>
      <c r="T548" s="120"/>
      <c r="U548" s="123"/>
      <c r="V548" s="120"/>
      <c r="W548" s="120"/>
      <c r="X548" s="120"/>
      <c r="Y548" s="120"/>
      <c r="Z548" s="120"/>
    </row>
    <row r="549" spans="1:26" ht="12" customHeight="1">
      <c r="A549" s="140"/>
      <c r="B549" s="120"/>
      <c r="C549" s="120"/>
      <c r="D549" s="120"/>
      <c r="E549" s="120"/>
      <c r="F549" s="120"/>
      <c r="G549" s="120"/>
      <c r="H549" s="120"/>
      <c r="I549" s="120"/>
      <c r="J549" s="120"/>
      <c r="K549" s="120"/>
      <c r="L549" s="120"/>
      <c r="M549" s="120"/>
      <c r="N549" s="120"/>
      <c r="O549" s="120"/>
      <c r="P549" s="120"/>
      <c r="Q549" s="120"/>
      <c r="R549" s="120"/>
      <c r="S549" s="120"/>
      <c r="T549" s="120"/>
      <c r="U549" s="123"/>
      <c r="V549" s="120"/>
      <c r="W549" s="120"/>
      <c r="X549" s="120"/>
      <c r="Y549" s="120"/>
      <c r="Z549" s="120"/>
    </row>
    <row r="550" spans="1:26" ht="12" customHeight="1">
      <c r="A550" s="140"/>
      <c r="B550" s="120"/>
      <c r="C550" s="120"/>
      <c r="D550" s="120"/>
      <c r="E550" s="120"/>
      <c r="F550" s="120"/>
      <c r="G550" s="120"/>
      <c r="H550" s="120"/>
      <c r="I550" s="120"/>
      <c r="J550" s="120"/>
      <c r="K550" s="120"/>
      <c r="L550" s="120"/>
      <c r="M550" s="120"/>
      <c r="N550" s="120"/>
      <c r="O550" s="120"/>
      <c r="P550" s="120"/>
      <c r="Q550" s="120"/>
      <c r="R550" s="120"/>
      <c r="S550" s="120"/>
      <c r="T550" s="120"/>
      <c r="U550" s="123"/>
      <c r="V550" s="120"/>
      <c r="W550" s="120"/>
      <c r="X550" s="120"/>
      <c r="Y550" s="120"/>
      <c r="Z550" s="120"/>
    </row>
    <row r="551" spans="1:26" ht="12" customHeight="1">
      <c r="A551" s="140"/>
      <c r="B551" s="120"/>
      <c r="C551" s="120"/>
      <c r="D551" s="120"/>
      <c r="E551" s="120"/>
      <c r="F551" s="120"/>
      <c r="G551" s="120"/>
      <c r="H551" s="120"/>
      <c r="I551" s="120"/>
      <c r="J551" s="120"/>
      <c r="K551" s="120"/>
      <c r="L551" s="120"/>
      <c r="M551" s="120"/>
      <c r="N551" s="120"/>
      <c r="O551" s="120"/>
      <c r="P551" s="120"/>
      <c r="Q551" s="120"/>
      <c r="R551" s="120"/>
      <c r="S551" s="120"/>
      <c r="T551" s="120"/>
      <c r="U551" s="123"/>
      <c r="V551" s="120"/>
      <c r="W551" s="120"/>
      <c r="X551" s="120"/>
      <c r="Y551" s="120"/>
      <c r="Z551" s="120"/>
    </row>
    <row r="552" spans="1:26" ht="12" customHeight="1">
      <c r="A552" s="140"/>
      <c r="B552" s="120"/>
      <c r="C552" s="120"/>
      <c r="D552" s="120"/>
      <c r="E552" s="120"/>
      <c r="F552" s="120"/>
      <c r="G552" s="120"/>
      <c r="H552" s="120"/>
      <c r="I552" s="120"/>
      <c r="J552" s="120"/>
      <c r="K552" s="120"/>
      <c r="L552" s="120"/>
      <c r="M552" s="120"/>
      <c r="N552" s="120"/>
      <c r="O552" s="120"/>
      <c r="P552" s="120"/>
      <c r="Q552" s="120"/>
      <c r="R552" s="120"/>
      <c r="S552" s="120"/>
      <c r="T552" s="120"/>
      <c r="U552" s="123"/>
      <c r="V552" s="120"/>
      <c r="W552" s="120"/>
      <c r="X552" s="120"/>
      <c r="Y552" s="120"/>
      <c r="Z552" s="120"/>
    </row>
    <row r="553" spans="1:26" ht="12" customHeight="1">
      <c r="A553" s="140"/>
      <c r="B553" s="120"/>
      <c r="C553" s="120"/>
      <c r="D553" s="120"/>
      <c r="E553" s="120"/>
      <c r="F553" s="120"/>
      <c r="G553" s="120"/>
      <c r="H553" s="120"/>
      <c r="I553" s="120"/>
      <c r="J553" s="120"/>
      <c r="K553" s="120"/>
      <c r="L553" s="120"/>
      <c r="M553" s="120"/>
      <c r="N553" s="120"/>
      <c r="O553" s="120"/>
      <c r="P553" s="120"/>
      <c r="Q553" s="120"/>
      <c r="R553" s="120"/>
      <c r="S553" s="120"/>
      <c r="T553" s="120"/>
      <c r="U553" s="123"/>
      <c r="V553" s="120"/>
      <c r="W553" s="120"/>
      <c r="X553" s="120"/>
      <c r="Y553" s="120"/>
      <c r="Z553" s="120"/>
    </row>
    <row r="554" spans="1:26" ht="12" customHeight="1">
      <c r="A554" s="140"/>
      <c r="B554" s="120"/>
      <c r="C554" s="120"/>
      <c r="D554" s="120"/>
      <c r="E554" s="120"/>
      <c r="F554" s="120"/>
      <c r="G554" s="120"/>
      <c r="H554" s="120"/>
      <c r="I554" s="120"/>
      <c r="J554" s="120"/>
      <c r="K554" s="120"/>
      <c r="L554" s="120"/>
      <c r="M554" s="120"/>
      <c r="N554" s="120"/>
      <c r="O554" s="120"/>
      <c r="P554" s="120"/>
      <c r="Q554" s="120"/>
      <c r="R554" s="120"/>
      <c r="S554" s="120"/>
      <c r="T554" s="120"/>
      <c r="U554" s="123"/>
      <c r="V554" s="120"/>
      <c r="W554" s="120"/>
      <c r="X554" s="120"/>
      <c r="Y554" s="120"/>
      <c r="Z554" s="120"/>
    </row>
    <row r="555" spans="1:26" ht="12" customHeight="1">
      <c r="A555" s="140"/>
      <c r="B555" s="120"/>
      <c r="C555" s="120"/>
      <c r="D555" s="120"/>
      <c r="E555" s="120"/>
      <c r="F555" s="120"/>
      <c r="G555" s="120"/>
      <c r="H555" s="120"/>
      <c r="I555" s="120"/>
      <c r="J555" s="120"/>
      <c r="K555" s="120"/>
      <c r="L555" s="120"/>
      <c r="M555" s="120"/>
      <c r="N555" s="120"/>
      <c r="O555" s="120"/>
      <c r="P555" s="120"/>
      <c r="Q555" s="120"/>
      <c r="R555" s="120"/>
      <c r="S555" s="120"/>
      <c r="T555" s="120"/>
      <c r="U555" s="123"/>
      <c r="V555" s="120"/>
      <c r="W555" s="120"/>
      <c r="X555" s="120"/>
      <c r="Y555" s="120"/>
      <c r="Z555" s="120"/>
    </row>
    <row r="556" spans="1:26" ht="12" customHeight="1">
      <c r="A556" s="140"/>
      <c r="B556" s="120"/>
      <c r="C556" s="120"/>
      <c r="D556" s="120"/>
      <c r="E556" s="120"/>
      <c r="F556" s="120"/>
      <c r="G556" s="120"/>
      <c r="H556" s="120"/>
      <c r="I556" s="120"/>
      <c r="J556" s="120"/>
      <c r="K556" s="120"/>
      <c r="L556" s="120"/>
      <c r="M556" s="120"/>
      <c r="N556" s="120"/>
      <c r="O556" s="120"/>
      <c r="P556" s="120"/>
      <c r="Q556" s="120"/>
      <c r="R556" s="120"/>
      <c r="S556" s="120"/>
      <c r="T556" s="120"/>
      <c r="U556" s="123"/>
      <c r="V556" s="120"/>
      <c r="W556" s="120"/>
      <c r="X556" s="120"/>
      <c r="Y556" s="120"/>
      <c r="Z556" s="120"/>
    </row>
    <row r="557" spans="1:26" ht="12" customHeight="1">
      <c r="A557" s="140"/>
      <c r="B557" s="120"/>
      <c r="C557" s="120"/>
      <c r="D557" s="120"/>
      <c r="E557" s="120"/>
      <c r="F557" s="120"/>
      <c r="G557" s="120"/>
      <c r="H557" s="120"/>
      <c r="I557" s="120"/>
      <c r="J557" s="120"/>
      <c r="K557" s="120"/>
      <c r="L557" s="120"/>
      <c r="M557" s="120"/>
      <c r="N557" s="120"/>
      <c r="O557" s="120"/>
      <c r="P557" s="120"/>
      <c r="Q557" s="120"/>
      <c r="R557" s="120"/>
      <c r="S557" s="120"/>
      <c r="T557" s="120"/>
      <c r="U557" s="123"/>
      <c r="V557" s="120"/>
      <c r="W557" s="120"/>
      <c r="X557" s="120"/>
      <c r="Y557" s="120"/>
      <c r="Z557" s="120"/>
    </row>
    <row r="558" spans="1:26" ht="12" customHeight="1">
      <c r="A558" s="140"/>
      <c r="B558" s="120"/>
      <c r="C558" s="120"/>
      <c r="D558" s="120"/>
      <c r="E558" s="120"/>
      <c r="F558" s="120"/>
      <c r="G558" s="120"/>
      <c r="H558" s="120"/>
      <c r="I558" s="120"/>
      <c r="J558" s="120"/>
      <c r="K558" s="120"/>
      <c r="L558" s="120"/>
      <c r="M558" s="120"/>
      <c r="N558" s="120"/>
      <c r="O558" s="120"/>
      <c r="P558" s="120"/>
      <c r="Q558" s="120"/>
      <c r="R558" s="120"/>
      <c r="S558" s="120"/>
      <c r="T558" s="120"/>
      <c r="U558" s="123"/>
      <c r="V558" s="120"/>
      <c r="W558" s="120"/>
      <c r="X558" s="120"/>
      <c r="Y558" s="120"/>
      <c r="Z558" s="120"/>
    </row>
    <row r="559" spans="1:26" ht="12" customHeight="1">
      <c r="A559" s="140"/>
      <c r="B559" s="120"/>
      <c r="C559" s="120"/>
      <c r="D559" s="120"/>
      <c r="E559" s="120"/>
      <c r="F559" s="120"/>
      <c r="G559" s="120"/>
      <c r="H559" s="120"/>
      <c r="I559" s="120"/>
      <c r="J559" s="120"/>
      <c r="K559" s="120"/>
      <c r="L559" s="120"/>
      <c r="M559" s="120"/>
      <c r="N559" s="120"/>
      <c r="O559" s="120"/>
      <c r="P559" s="120"/>
      <c r="Q559" s="120"/>
      <c r="R559" s="120"/>
      <c r="S559" s="120"/>
      <c r="T559" s="120"/>
      <c r="U559" s="123"/>
      <c r="V559" s="120"/>
      <c r="W559" s="120"/>
      <c r="X559" s="120"/>
      <c r="Y559" s="120"/>
      <c r="Z559" s="120"/>
    </row>
    <row r="560" spans="1:26" ht="12" customHeight="1">
      <c r="A560" s="140"/>
      <c r="B560" s="120"/>
      <c r="C560" s="120"/>
      <c r="D560" s="120"/>
      <c r="E560" s="120"/>
      <c r="F560" s="120"/>
      <c r="G560" s="120"/>
      <c r="H560" s="120"/>
      <c r="I560" s="120"/>
      <c r="J560" s="120"/>
      <c r="K560" s="120"/>
      <c r="L560" s="120"/>
      <c r="M560" s="120"/>
      <c r="N560" s="120"/>
      <c r="O560" s="120"/>
      <c r="P560" s="120"/>
      <c r="Q560" s="120"/>
      <c r="R560" s="120"/>
      <c r="S560" s="120"/>
      <c r="T560" s="120"/>
      <c r="U560" s="123"/>
      <c r="V560" s="120"/>
      <c r="W560" s="120"/>
      <c r="X560" s="120"/>
      <c r="Y560" s="120"/>
      <c r="Z560" s="120"/>
    </row>
    <row r="561" spans="1:26" ht="12" customHeight="1">
      <c r="A561" s="140"/>
      <c r="B561" s="120"/>
      <c r="C561" s="120"/>
      <c r="D561" s="120"/>
      <c r="E561" s="120"/>
      <c r="F561" s="120"/>
      <c r="G561" s="120"/>
      <c r="H561" s="120"/>
      <c r="I561" s="120"/>
      <c r="J561" s="120"/>
      <c r="K561" s="120"/>
      <c r="L561" s="120"/>
      <c r="M561" s="120"/>
      <c r="N561" s="120"/>
      <c r="O561" s="120"/>
      <c r="P561" s="120"/>
      <c r="Q561" s="120"/>
      <c r="R561" s="120"/>
      <c r="S561" s="120"/>
      <c r="T561" s="120"/>
      <c r="U561" s="123"/>
      <c r="V561" s="120"/>
      <c r="W561" s="120"/>
      <c r="X561" s="120"/>
      <c r="Y561" s="120"/>
      <c r="Z561" s="120"/>
    </row>
    <row r="562" spans="1:26" ht="12" customHeight="1">
      <c r="A562" s="140"/>
      <c r="B562" s="120"/>
      <c r="C562" s="120"/>
      <c r="D562" s="120"/>
      <c r="E562" s="120"/>
      <c r="F562" s="120"/>
      <c r="G562" s="120"/>
      <c r="H562" s="120"/>
      <c r="I562" s="120"/>
      <c r="J562" s="120"/>
      <c r="K562" s="120"/>
      <c r="L562" s="120"/>
      <c r="M562" s="120"/>
      <c r="N562" s="120"/>
      <c r="O562" s="120"/>
      <c r="P562" s="120"/>
      <c r="Q562" s="120"/>
      <c r="R562" s="120"/>
      <c r="S562" s="120"/>
      <c r="T562" s="120"/>
      <c r="U562" s="123"/>
      <c r="V562" s="120"/>
      <c r="W562" s="120"/>
      <c r="X562" s="120"/>
      <c r="Y562" s="120"/>
      <c r="Z562" s="120"/>
    </row>
    <row r="563" spans="1:26" ht="12" customHeight="1">
      <c r="A563" s="140"/>
      <c r="B563" s="120"/>
      <c r="C563" s="120"/>
      <c r="D563" s="120"/>
      <c r="E563" s="120"/>
      <c r="F563" s="120"/>
      <c r="G563" s="120"/>
      <c r="H563" s="120"/>
      <c r="I563" s="120"/>
      <c r="J563" s="120"/>
      <c r="K563" s="120"/>
      <c r="L563" s="120"/>
      <c r="M563" s="120"/>
      <c r="N563" s="120"/>
      <c r="O563" s="120"/>
      <c r="P563" s="120"/>
      <c r="Q563" s="120"/>
      <c r="R563" s="120"/>
      <c r="S563" s="120"/>
      <c r="T563" s="120"/>
      <c r="U563" s="123"/>
      <c r="V563" s="120"/>
      <c r="W563" s="120"/>
      <c r="X563" s="120"/>
      <c r="Y563" s="120"/>
      <c r="Z563" s="120"/>
    </row>
    <row r="564" spans="1:26" ht="12" customHeight="1">
      <c r="A564" s="140"/>
      <c r="B564" s="120"/>
      <c r="C564" s="120"/>
      <c r="D564" s="120"/>
      <c r="E564" s="120"/>
      <c r="F564" s="120"/>
      <c r="G564" s="120"/>
      <c r="H564" s="120"/>
      <c r="I564" s="120"/>
      <c r="J564" s="120"/>
      <c r="K564" s="120"/>
      <c r="L564" s="120"/>
      <c r="M564" s="120"/>
      <c r="N564" s="120"/>
      <c r="O564" s="120"/>
      <c r="P564" s="120"/>
      <c r="Q564" s="120"/>
      <c r="R564" s="120"/>
      <c r="S564" s="120"/>
      <c r="T564" s="120"/>
      <c r="U564" s="123"/>
      <c r="V564" s="120"/>
      <c r="W564" s="120"/>
      <c r="X564" s="120"/>
      <c r="Y564" s="120"/>
      <c r="Z564" s="120"/>
    </row>
    <row r="565" spans="1:26" ht="12" customHeight="1">
      <c r="A565" s="140"/>
      <c r="B565" s="120"/>
      <c r="C565" s="120"/>
      <c r="D565" s="120"/>
      <c r="E565" s="120"/>
      <c r="F565" s="120"/>
      <c r="G565" s="120"/>
      <c r="H565" s="120"/>
      <c r="I565" s="120"/>
      <c r="J565" s="120"/>
      <c r="K565" s="120"/>
      <c r="L565" s="120"/>
      <c r="M565" s="120"/>
      <c r="N565" s="120"/>
      <c r="O565" s="120"/>
      <c r="P565" s="120"/>
      <c r="Q565" s="120"/>
      <c r="R565" s="120"/>
      <c r="S565" s="120"/>
      <c r="T565" s="120"/>
      <c r="U565" s="123"/>
      <c r="V565" s="120"/>
      <c r="W565" s="120"/>
      <c r="X565" s="120"/>
      <c r="Y565" s="120"/>
      <c r="Z565" s="120"/>
    </row>
    <row r="566" spans="1:26" ht="12" customHeight="1">
      <c r="A566" s="140"/>
      <c r="B566" s="120"/>
      <c r="C566" s="120"/>
      <c r="D566" s="120"/>
      <c r="E566" s="120"/>
      <c r="F566" s="120"/>
      <c r="G566" s="120"/>
      <c r="H566" s="120"/>
      <c r="I566" s="120"/>
      <c r="J566" s="120"/>
      <c r="K566" s="120"/>
      <c r="L566" s="120"/>
      <c r="M566" s="120"/>
      <c r="N566" s="120"/>
      <c r="O566" s="120"/>
      <c r="P566" s="120"/>
      <c r="Q566" s="120"/>
      <c r="R566" s="120"/>
      <c r="S566" s="120"/>
      <c r="T566" s="120"/>
      <c r="U566" s="123"/>
      <c r="V566" s="120"/>
      <c r="W566" s="120"/>
      <c r="X566" s="120"/>
      <c r="Y566" s="120"/>
      <c r="Z566" s="120"/>
    </row>
    <row r="567" spans="1:26" ht="12" customHeight="1">
      <c r="A567" s="140"/>
      <c r="B567" s="120"/>
      <c r="C567" s="120"/>
      <c r="D567" s="120"/>
      <c r="E567" s="120"/>
      <c r="F567" s="120"/>
      <c r="G567" s="120"/>
      <c r="H567" s="120"/>
      <c r="I567" s="120"/>
      <c r="J567" s="120"/>
      <c r="K567" s="120"/>
      <c r="L567" s="120"/>
      <c r="M567" s="120"/>
      <c r="N567" s="120"/>
      <c r="O567" s="120"/>
      <c r="P567" s="120"/>
      <c r="Q567" s="120"/>
      <c r="R567" s="120"/>
      <c r="S567" s="120"/>
      <c r="T567" s="120"/>
      <c r="U567" s="123"/>
      <c r="V567" s="120"/>
      <c r="W567" s="120"/>
      <c r="X567" s="120"/>
      <c r="Y567" s="120"/>
      <c r="Z567" s="120"/>
    </row>
    <row r="568" spans="1:26" ht="12" customHeight="1">
      <c r="A568" s="140"/>
      <c r="B568" s="120"/>
      <c r="C568" s="120"/>
      <c r="D568" s="120"/>
      <c r="E568" s="120"/>
      <c r="F568" s="120"/>
      <c r="G568" s="120"/>
      <c r="H568" s="120"/>
      <c r="I568" s="120"/>
      <c r="J568" s="120"/>
      <c r="K568" s="120"/>
      <c r="L568" s="120"/>
      <c r="M568" s="120"/>
      <c r="N568" s="120"/>
      <c r="O568" s="120"/>
      <c r="P568" s="120"/>
      <c r="Q568" s="120"/>
      <c r="R568" s="120"/>
      <c r="S568" s="120"/>
      <c r="T568" s="120"/>
      <c r="U568" s="123"/>
      <c r="V568" s="120"/>
      <c r="W568" s="120"/>
      <c r="X568" s="120"/>
      <c r="Y568" s="120"/>
      <c r="Z568" s="120"/>
    </row>
    <row r="569" spans="1:26" ht="12" customHeight="1">
      <c r="A569" s="140"/>
      <c r="B569" s="120"/>
      <c r="C569" s="120"/>
      <c r="D569" s="120"/>
      <c r="E569" s="120"/>
      <c r="F569" s="120"/>
      <c r="G569" s="120"/>
      <c r="H569" s="120"/>
      <c r="I569" s="120"/>
      <c r="J569" s="120"/>
      <c r="K569" s="120"/>
      <c r="L569" s="120"/>
      <c r="M569" s="120"/>
      <c r="N569" s="120"/>
      <c r="O569" s="120"/>
      <c r="P569" s="120"/>
      <c r="Q569" s="120"/>
      <c r="R569" s="120"/>
      <c r="S569" s="120"/>
      <c r="T569" s="120"/>
      <c r="U569" s="123"/>
      <c r="V569" s="120"/>
      <c r="W569" s="120"/>
      <c r="X569" s="120"/>
      <c r="Y569" s="120"/>
      <c r="Z569" s="120"/>
    </row>
    <row r="570" spans="1:26" ht="12" customHeight="1">
      <c r="A570" s="140"/>
      <c r="B570" s="120"/>
      <c r="C570" s="120"/>
      <c r="D570" s="120"/>
      <c r="E570" s="120"/>
      <c r="F570" s="120"/>
      <c r="G570" s="120"/>
      <c r="H570" s="120"/>
      <c r="I570" s="120"/>
      <c r="J570" s="120"/>
      <c r="K570" s="120"/>
      <c r="L570" s="120"/>
      <c r="M570" s="120"/>
      <c r="N570" s="120"/>
      <c r="O570" s="120"/>
      <c r="P570" s="120"/>
      <c r="Q570" s="120"/>
      <c r="R570" s="120"/>
      <c r="S570" s="120"/>
      <c r="T570" s="120"/>
      <c r="U570" s="123"/>
      <c r="V570" s="120"/>
      <c r="W570" s="120"/>
      <c r="X570" s="120"/>
      <c r="Y570" s="120"/>
      <c r="Z570" s="120"/>
    </row>
    <row r="571" spans="1:26" ht="12" customHeight="1">
      <c r="A571" s="140"/>
      <c r="B571" s="120"/>
      <c r="C571" s="120"/>
      <c r="D571" s="120"/>
      <c r="E571" s="120"/>
      <c r="F571" s="120"/>
      <c r="G571" s="120"/>
      <c r="H571" s="120"/>
      <c r="I571" s="120"/>
      <c r="J571" s="120"/>
      <c r="K571" s="120"/>
      <c r="L571" s="120"/>
      <c r="M571" s="120"/>
      <c r="N571" s="120"/>
      <c r="O571" s="120"/>
      <c r="P571" s="120"/>
      <c r="Q571" s="120"/>
      <c r="R571" s="120"/>
      <c r="S571" s="120"/>
      <c r="T571" s="120"/>
      <c r="U571" s="123"/>
      <c r="V571" s="120"/>
      <c r="W571" s="120"/>
      <c r="X571" s="120"/>
      <c r="Y571" s="120"/>
      <c r="Z571" s="120"/>
    </row>
    <row r="572" spans="1:26" ht="12" customHeight="1">
      <c r="A572" s="140"/>
      <c r="B572" s="120"/>
      <c r="C572" s="120"/>
      <c r="D572" s="120"/>
      <c r="E572" s="120"/>
      <c r="F572" s="120"/>
      <c r="G572" s="120"/>
      <c r="H572" s="120"/>
      <c r="I572" s="120"/>
      <c r="J572" s="120"/>
      <c r="K572" s="120"/>
      <c r="L572" s="120"/>
      <c r="M572" s="120"/>
      <c r="N572" s="120"/>
      <c r="O572" s="120"/>
      <c r="P572" s="120"/>
      <c r="Q572" s="120"/>
      <c r="R572" s="120"/>
      <c r="S572" s="120"/>
      <c r="T572" s="120"/>
      <c r="U572" s="123"/>
      <c r="V572" s="120"/>
      <c r="W572" s="120"/>
      <c r="X572" s="120"/>
      <c r="Y572" s="120"/>
      <c r="Z572" s="120"/>
    </row>
    <row r="573" spans="1:26" ht="12" customHeight="1">
      <c r="A573" s="140"/>
      <c r="B573" s="120"/>
      <c r="C573" s="120"/>
      <c r="D573" s="120"/>
      <c r="E573" s="120"/>
      <c r="F573" s="120"/>
      <c r="G573" s="120"/>
      <c r="H573" s="120"/>
      <c r="I573" s="120"/>
      <c r="J573" s="120"/>
      <c r="K573" s="120"/>
      <c r="L573" s="120"/>
      <c r="M573" s="120"/>
      <c r="N573" s="120"/>
      <c r="O573" s="120"/>
      <c r="P573" s="120"/>
      <c r="Q573" s="120"/>
      <c r="R573" s="120"/>
      <c r="S573" s="120"/>
      <c r="T573" s="120"/>
      <c r="U573" s="123"/>
      <c r="V573" s="120"/>
      <c r="W573" s="120"/>
      <c r="X573" s="120"/>
      <c r="Y573" s="120"/>
      <c r="Z573" s="120"/>
    </row>
    <row r="574" spans="1:26" ht="12" customHeight="1">
      <c r="A574" s="140"/>
      <c r="B574" s="120"/>
      <c r="C574" s="120"/>
      <c r="D574" s="120"/>
      <c r="E574" s="120"/>
      <c r="F574" s="120"/>
      <c r="G574" s="120"/>
      <c r="H574" s="120"/>
      <c r="I574" s="120"/>
      <c r="J574" s="120"/>
      <c r="K574" s="120"/>
      <c r="L574" s="120"/>
      <c r="M574" s="120"/>
      <c r="N574" s="120"/>
      <c r="O574" s="120"/>
      <c r="P574" s="120"/>
      <c r="Q574" s="120"/>
      <c r="R574" s="120"/>
      <c r="S574" s="120"/>
      <c r="T574" s="120"/>
      <c r="U574" s="123"/>
      <c r="V574" s="120"/>
      <c r="W574" s="120"/>
      <c r="X574" s="120"/>
      <c r="Y574" s="120"/>
      <c r="Z574" s="120"/>
    </row>
    <row r="575" spans="1:26" ht="12" customHeight="1">
      <c r="A575" s="140"/>
      <c r="B575" s="120"/>
      <c r="C575" s="120"/>
      <c r="D575" s="120"/>
      <c r="E575" s="120"/>
      <c r="F575" s="120"/>
      <c r="G575" s="120"/>
      <c r="H575" s="120"/>
      <c r="I575" s="120"/>
      <c r="J575" s="120"/>
      <c r="K575" s="120"/>
      <c r="L575" s="120"/>
      <c r="M575" s="120"/>
      <c r="N575" s="120"/>
      <c r="O575" s="120"/>
      <c r="P575" s="120"/>
      <c r="Q575" s="120"/>
      <c r="R575" s="120"/>
      <c r="S575" s="120"/>
      <c r="T575" s="120"/>
      <c r="U575" s="123"/>
      <c r="V575" s="120"/>
      <c r="W575" s="120"/>
      <c r="X575" s="120"/>
      <c r="Y575" s="120"/>
      <c r="Z575" s="120"/>
    </row>
    <row r="576" spans="1:26" ht="12" customHeight="1">
      <c r="A576" s="140"/>
      <c r="B576" s="120"/>
      <c r="C576" s="120"/>
      <c r="D576" s="120"/>
      <c r="E576" s="120"/>
      <c r="F576" s="120"/>
      <c r="G576" s="120"/>
      <c r="H576" s="120"/>
      <c r="I576" s="120"/>
      <c r="J576" s="120"/>
      <c r="K576" s="120"/>
      <c r="L576" s="120"/>
      <c r="M576" s="120"/>
      <c r="N576" s="120"/>
      <c r="O576" s="120"/>
      <c r="P576" s="120"/>
      <c r="Q576" s="120"/>
      <c r="R576" s="120"/>
      <c r="S576" s="120"/>
      <c r="T576" s="120"/>
      <c r="U576" s="123"/>
      <c r="V576" s="120"/>
      <c r="W576" s="120"/>
      <c r="X576" s="120"/>
      <c r="Y576" s="120"/>
      <c r="Z576" s="120"/>
    </row>
    <row r="577" spans="1:26" ht="12" customHeight="1">
      <c r="A577" s="140"/>
      <c r="B577" s="120"/>
      <c r="C577" s="120"/>
      <c r="D577" s="120"/>
      <c r="E577" s="120"/>
      <c r="F577" s="120"/>
      <c r="G577" s="120"/>
      <c r="H577" s="120"/>
      <c r="I577" s="120"/>
      <c r="J577" s="120"/>
      <c r="K577" s="120"/>
      <c r="L577" s="120"/>
      <c r="M577" s="120"/>
      <c r="N577" s="120"/>
      <c r="O577" s="120"/>
      <c r="P577" s="120"/>
      <c r="Q577" s="120"/>
      <c r="R577" s="120"/>
      <c r="S577" s="120"/>
      <c r="T577" s="120"/>
      <c r="U577" s="123"/>
      <c r="V577" s="120"/>
      <c r="W577" s="120"/>
      <c r="X577" s="120"/>
      <c r="Y577" s="120"/>
      <c r="Z577" s="120"/>
    </row>
    <row r="578" spans="1:26" ht="12" customHeight="1">
      <c r="A578" s="140"/>
      <c r="B578" s="120"/>
      <c r="C578" s="120"/>
      <c r="D578" s="120"/>
      <c r="E578" s="120"/>
      <c r="F578" s="120"/>
      <c r="G578" s="120"/>
      <c r="H578" s="120"/>
      <c r="I578" s="120"/>
      <c r="J578" s="120"/>
      <c r="K578" s="120"/>
      <c r="L578" s="120"/>
      <c r="M578" s="120"/>
      <c r="N578" s="120"/>
      <c r="O578" s="120"/>
      <c r="P578" s="120"/>
      <c r="Q578" s="120"/>
      <c r="R578" s="120"/>
      <c r="S578" s="120"/>
      <c r="T578" s="120"/>
      <c r="U578" s="123"/>
      <c r="V578" s="120"/>
      <c r="W578" s="120"/>
      <c r="X578" s="120"/>
      <c r="Y578" s="120"/>
      <c r="Z578" s="120"/>
    </row>
    <row r="579" spans="1:26" ht="12" customHeight="1">
      <c r="A579" s="140"/>
      <c r="B579" s="120"/>
      <c r="C579" s="120"/>
      <c r="D579" s="120"/>
      <c r="E579" s="120"/>
      <c r="F579" s="120"/>
      <c r="G579" s="120"/>
      <c r="H579" s="120"/>
      <c r="I579" s="120"/>
      <c r="J579" s="120"/>
      <c r="K579" s="120"/>
      <c r="L579" s="120"/>
      <c r="M579" s="120"/>
      <c r="N579" s="120"/>
      <c r="O579" s="120"/>
      <c r="P579" s="120"/>
      <c r="Q579" s="120"/>
      <c r="R579" s="120"/>
      <c r="S579" s="120"/>
      <c r="T579" s="120"/>
      <c r="U579" s="123"/>
      <c r="V579" s="120"/>
      <c r="W579" s="120"/>
      <c r="X579" s="120"/>
      <c r="Y579" s="120"/>
      <c r="Z579" s="120"/>
    </row>
    <row r="580" spans="1:26" ht="12" customHeight="1">
      <c r="A580" s="140"/>
      <c r="B580" s="120"/>
      <c r="C580" s="120"/>
      <c r="D580" s="120"/>
      <c r="E580" s="120"/>
      <c r="F580" s="120"/>
      <c r="G580" s="120"/>
      <c r="H580" s="120"/>
      <c r="I580" s="120"/>
      <c r="J580" s="120"/>
      <c r="K580" s="120"/>
      <c r="L580" s="120"/>
      <c r="M580" s="120"/>
      <c r="N580" s="120"/>
      <c r="O580" s="120"/>
      <c r="P580" s="120"/>
      <c r="Q580" s="120"/>
      <c r="R580" s="120"/>
      <c r="S580" s="120"/>
      <c r="T580" s="120"/>
      <c r="U580" s="123"/>
      <c r="V580" s="120"/>
      <c r="W580" s="120"/>
      <c r="X580" s="120"/>
      <c r="Y580" s="120"/>
      <c r="Z580" s="120"/>
    </row>
    <row r="581" spans="1:26" ht="12" customHeight="1">
      <c r="A581" s="140"/>
      <c r="B581" s="120"/>
      <c r="C581" s="120"/>
      <c r="D581" s="120"/>
      <c r="E581" s="120"/>
      <c r="F581" s="120"/>
      <c r="G581" s="120"/>
      <c r="H581" s="120"/>
      <c r="I581" s="120"/>
      <c r="J581" s="120"/>
      <c r="K581" s="120"/>
      <c r="L581" s="120"/>
      <c r="M581" s="120"/>
      <c r="N581" s="120"/>
      <c r="O581" s="120"/>
      <c r="P581" s="120"/>
      <c r="Q581" s="120"/>
      <c r="R581" s="120"/>
      <c r="S581" s="120"/>
      <c r="T581" s="120"/>
      <c r="U581" s="123"/>
      <c r="V581" s="120"/>
      <c r="W581" s="120"/>
      <c r="X581" s="120"/>
      <c r="Y581" s="120"/>
      <c r="Z581" s="120"/>
    </row>
    <row r="582" spans="1:26" ht="12" customHeight="1">
      <c r="A582" s="140"/>
      <c r="B582" s="120"/>
      <c r="C582" s="120"/>
      <c r="D582" s="120"/>
      <c r="E582" s="120"/>
      <c r="F582" s="120"/>
      <c r="G582" s="120"/>
      <c r="H582" s="120"/>
      <c r="I582" s="120"/>
      <c r="J582" s="120"/>
      <c r="K582" s="120"/>
      <c r="L582" s="120"/>
      <c r="M582" s="120"/>
      <c r="N582" s="120"/>
      <c r="O582" s="120"/>
      <c r="P582" s="120"/>
      <c r="Q582" s="120"/>
      <c r="R582" s="120"/>
      <c r="S582" s="120"/>
      <c r="T582" s="120"/>
      <c r="U582" s="123"/>
      <c r="V582" s="120"/>
      <c r="W582" s="120"/>
      <c r="X582" s="120"/>
      <c r="Y582" s="120"/>
      <c r="Z582" s="120"/>
    </row>
    <row r="583" spans="1:26" ht="12" customHeight="1">
      <c r="A583" s="140"/>
      <c r="B583" s="120"/>
      <c r="C583" s="120"/>
      <c r="D583" s="120"/>
      <c r="E583" s="120"/>
      <c r="F583" s="120"/>
      <c r="G583" s="120"/>
      <c r="H583" s="120"/>
      <c r="I583" s="120"/>
      <c r="J583" s="120"/>
      <c r="K583" s="120"/>
      <c r="L583" s="120"/>
      <c r="M583" s="120"/>
      <c r="N583" s="120"/>
      <c r="O583" s="120"/>
      <c r="P583" s="120"/>
      <c r="Q583" s="120"/>
      <c r="R583" s="120"/>
      <c r="S583" s="120"/>
      <c r="T583" s="120"/>
      <c r="U583" s="123"/>
      <c r="V583" s="120"/>
      <c r="W583" s="120"/>
      <c r="X583" s="120"/>
      <c r="Y583" s="120"/>
      <c r="Z583" s="120"/>
    </row>
    <row r="584" spans="1:26" ht="12" customHeight="1">
      <c r="A584" s="140"/>
      <c r="B584" s="120"/>
      <c r="C584" s="120"/>
      <c r="D584" s="120"/>
      <c r="E584" s="120"/>
      <c r="F584" s="120"/>
      <c r="G584" s="120"/>
      <c r="H584" s="120"/>
      <c r="I584" s="120"/>
      <c r="J584" s="120"/>
      <c r="K584" s="120"/>
      <c r="L584" s="120"/>
      <c r="M584" s="120"/>
      <c r="N584" s="120"/>
      <c r="O584" s="120"/>
      <c r="P584" s="120"/>
      <c r="Q584" s="120"/>
      <c r="R584" s="120"/>
      <c r="S584" s="120"/>
      <c r="T584" s="120"/>
      <c r="U584" s="123"/>
      <c r="V584" s="120"/>
      <c r="W584" s="120"/>
      <c r="X584" s="120"/>
      <c r="Y584" s="120"/>
      <c r="Z584" s="120"/>
    </row>
    <row r="585" spans="1:26" ht="12" customHeight="1">
      <c r="A585" s="140"/>
      <c r="B585" s="120"/>
      <c r="C585" s="120"/>
      <c r="D585" s="120"/>
      <c r="E585" s="120"/>
      <c r="F585" s="120"/>
      <c r="G585" s="120"/>
      <c r="H585" s="120"/>
      <c r="I585" s="120"/>
      <c r="J585" s="120"/>
      <c r="K585" s="120"/>
      <c r="L585" s="120"/>
      <c r="M585" s="120"/>
      <c r="N585" s="120"/>
      <c r="O585" s="120"/>
      <c r="P585" s="120"/>
      <c r="Q585" s="120"/>
      <c r="R585" s="120"/>
      <c r="S585" s="120"/>
      <c r="T585" s="120"/>
      <c r="U585" s="123"/>
      <c r="V585" s="120"/>
      <c r="W585" s="120"/>
      <c r="X585" s="120"/>
      <c r="Y585" s="120"/>
      <c r="Z585" s="120"/>
    </row>
    <row r="586" spans="1:26" ht="12" customHeight="1">
      <c r="A586" s="140"/>
      <c r="B586" s="120"/>
      <c r="C586" s="120"/>
      <c r="D586" s="120"/>
      <c r="E586" s="120"/>
      <c r="F586" s="120"/>
      <c r="G586" s="120"/>
      <c r="H586" s="120"/>
      <c r="I586" s="120"/>
      <c r="J586" s="120"/>
      <c r="K586" s="120"/>
      <c r="L586" s="120"/>
      <c r="M586" s="120"/>
      <c r="N586" s="120"/>
      <c r="O586" s="120"/>
      <c r="P586" s="120"/>
      <c r="Q586" s="120"/>
      <c r="R586" s="120"/>
      <c r="S586" s="120"/>
      <c r="T586" s="120"/>
      <c r="U586" s="123"/>
      <c r="V586" s="120"/>
      <c r="W586" s="120"/>
      <c r="X586" s="120"/>
      <c r="Y586" s="120"/>
      <c r="Z586" s="120"/>
    </row>
    <row r="587" spans="1:26" ht="12" customHeight="1">
      <c r="A587" s="140"/>
      <c r="B587" s="120"/>
      <c r="C587" s="120"/>
      <c r="D587" s="120"/>
      <c r="E587" s="120"/>
      <c r="F587" s="120"/>
      <c r="G587" s="120"/>
      <c r="H587" s="120"/>
      <c r="I587" s="120"/>
      <c r="J587" s="120"/>
      <c r="K587" s="120"/>
      <c r="L587" s="120"/>
      <c r="M587" s="120"/>
      <c r="N587" s="120"/>
      <c r="O587" s="120"/>
      <c r="P587" s="120"/>
      <c r="Q587" s="120"/>
      <c r="R587" s="120"/>
      <c r="S587" s="120"/>
      <c r="T587" s="120"/>
      <c r="U587" s="123"/>
      <c r="V587" s="120"/>
      <c r="W587" s="120"/>
      <c r="X587" s="120"/>
      <c r="Y587" s="120"/>
      <c r="Z587" s="120"/>
    </row>
    <row r="588" spans="1:26" ht="12" customHeight="1">
      <c r="A588" s="140"/>
      <c r="B588" s="120"/>
      <c r="C588" s="120"/>
      <c r="D588" s="120"/>
      <c r="E588" s="120"/>
      <c r="F588" s="120"/>
      <c r="G588" s="120"/>
      <c r="H588" s="120"/>
      <c r="I588" s="120"/>
      <c r="J588" s="120"/>
      <c r="K588" s="120"/>
      <c r="L588" s="120"/>
      <c r="M588" s="120"/>
      <c r="N588" s="120"/>
      <c r="O588" s="120"/>
      <c r="P588" s="120"/>
      <c r="Q588" s="120"/>
      <c r="R588" s="120"/>
      <c r="S588" s="120"/>
      <c r="T588" s="120"/>
      <c r="U588" s="123"/>
      <c r="V588" s="120"/>
      <c r="W588" s="120"/>
      <c r="X588" s="120"/>
      <c r="Y588" s="120"/>
      <c r="Z588" s="120"/>
    </row>
    <row r="589" spans="1:26" ht="12" customHeight="1">
      <c r="A589" s="140"/>
      <c r="B589" s="120"/>
      <c r="C589" s="120"/>
      <c r="D589" s="120"/>
      <c r="E589" s="120"/>
      <c r="F589" s="120"/>
      <c r="G589" s="120"/>
      <c r="H589" s="120"/>
      <c r="I589" s="120"/>
      <c r="J589" s="120"/>
      <c r="K589" s="120"/>
      <c r="L589" s="120"/>
      <c r="M589" s="120"/>
      <c r="N589" s="120"/>
      <c r="O589" s="120"/>
      <c r="P589" s="120"/>
      <c r="Q589" s="120"/>
      <c r="R589" s="120"/>
      <c r="S589" s="120"/>
      <c r="T589" s="120"/>
      <c r="U589" s="123"/>
      <c r="V589" s="120"/>
      <c r="W589" s="120"/>
      <c r="X589" s="120"/>
      <c r="Y589" s="120"/>
      <c r="Z589" s="120"/>
    </row>
    <row r="590" spans="1:26" ht="12" customHeight="1">
      <c r="A590" s="140"/>
      <c r="B590" s="120"/>
      <c r="C590" s="120"/>
      <c r="D590" s="120"/>
      <c r="E590" s="120"/>
      <c r="F590" s="120"/>
      <c r="G590" s="120"/>
      <c r="H590" s="120"/>
      <c r="I590" s="120"/>
      <c r="J590" s="120"/>
      <c r="K590" s="120"/>
      <c r="L590" s="120"/>
      <c r="M590" s="120"/>
      <c r="N590" s="120"/>
      <c r="O590" s="120"/>
      <c r="P590" s="120"/>
      <c r="Q590" s="120"/>
      <c r="R590" s="120"/>
      <c r="S590" s="120"/>
      <c r="T590" s="120"/>
      <c r="U590" s="123"/>
      <c r="V590" s="120"/>
      <c r="W590" s="120"/>
      <c r="X590" s="120"/>
      <c r="Y590" s="120"/>
      <c r="Z590" s="120"/>
    </row>
    <row r="591" spans="1:26" ht="12" customHeight="1">
      <c r="A591" s="140"/>
      <c r="B591" s="120"/>
      <c r="C591" s="120"/>
      <c r="D591" s="120"/>
      <c r="E591" s="120"/>
      <c r="F591" s="120"/>
      <c r="G591" s="120"/>
      <c r="H591" s="120"/>
      <c r="I591" s="120"/>
      <c r="J591" s="120"/>
      <c r="K591" s="120"/>
      <c r="L591" s="120"/>
      <c r="M591" s="120"/>
      <c r="N591" s="120"/>
      <c r="O591" s="120"/>
      <c r="P591" s="120"/>
      <c r="Q591" s="120"/>
      <c r="R591" s="120"/>
      <c r="S591" s="120"/>
      <c r="T591" s="120"/>
      <c r="U591" s="123"/>
      <c r="V591" s="120"/>
      <c r="W591" s="120"/>
      <c r="X591" s="120"/>
      <c r="Y591" s="120"/>
      <c r="Z591" s="120"/>
    </row>
    <row r="592" spans="1:26" ht="12" customHeight="1">
      <c r="A592" s="140"/>
      <c r="B592" s="120"/>
      <c r="C592" s="120"/>
      <c r="D592" s="120"/>
      <c r="E592" s="120"/>
      <c r="F592" s="120"/>
      <c r="G592" s="120"/>
      <c r="H592" s="120"/>
      <c r="I592" s="120"/>
      <c r="J592" s="120"/>
      <c r="K592" s="120"/>
      <c r="L592" s="120"/>
      <c r="M592" s="120"/>
      <c r="N592" s="120"/>
      <c r="O592" s="120"/>
      <c r="P592" s="120"/>
      <c r="Q592" s="120"/>
      <c r="R592" s="120"/>
      <c r="S592" s="120"/>
      <c r="T592" s="120"/>
      <c r="U592" s="123"/>
      <c r="V592" s="120"/>
      <c r="W592" s="120"/>
      <c r="X592" s="120"/>
      <c r="Y592" s="120"/>
      <c r="Z592" s="120"/>
    </row>
    <row r="593" spans="1:26" ht="12" customHeight="1">
      <c r="A593" s="140"/>
      <c r="B593" s="120"/>
      <c r="C593" s="120"/>
      <c r="D593" s="120"/>
      <c r="E593" s="120"/>
      <c r="F593" s="120"/>
      <c r="G593" s="120"/>
      <c r="H593" s="120"/>
      <c r="I593" s="120"/>
      <c r="J593" s="120"/>
      <c r="K593" s="120"/>
      <c r="L593" s="120"/>
      <c r="M593" s="120"/>
      <c r="N593" s="120"/>
      <c r="O593" s="120"/>
      <c r="P593" s="120"/>
      <c r="Q593" s="120"/>
      <c r="R593" s="120"/>
      <c r="S593" s="120"/>
      <c r="T593" s="120"/>
      <c r="U593" s="123"/>
      <c r="V593" s="120"/>
      <c r="W593" s="120"/>
      <c r="X593" s="120"/>
      <c r="Y593" s="120"/>
      <c r="Z593" s="120"/>
    </row>
    <row r="594" spans="1:26" ht="12" customHeight="1">
      <c r="A594" s="140"/>
      <c r="B594" s="120"/>
      <c r="C594" s="120"/>
      <c r="D594" s="120"/>
      <c r="E594" s="120"/>
      <c r="F594" s="120"/>
      <c r="G594" s="120"/>
      <c r="H594" s="120"/>
      <c r="I594" s="120"/>
      <c r="J594" s="120"/>
      <c r="K594" s="120"/>
      <c r="L594" s="120"/>
      <c r="M594" s="120"/>
      <c r="N594" s="120"/>
      <c r="O594" s="120"/>
      <c r="P594" s="120"/>
      <c r="Q594" s="120"/>
      <c r="R594" s="120"/>
      <c r="S594" s="120"/>
      <c r="T594" s="120"/>
      <c r="U594" s="123"/>
      <c r="V594" s="120"/>
      <c r="W594" s="120"/>
      <c r="X594" s="120"/>
      <c r="Y594" s="120"/>
      <c r="Z594" s="120"/>
    </row>
    <row r="595" spans="1:26" ht="12" customHeight="1">
      <c r="A595" s="140"/>
      <c r="B595" s="120"/>
      <c r="C595" s="120"/>
      <c r="D595" s="120"/>
      <c r="E595" s="120"/>
      <c r="F595" s="120"/>
      <c r="G595" s="120"/>
      <c r="H595" s="120"/>
      <c r="I595" s="120"/>
      <c r="J595" s="120"/>
      <c r="K595" s="120"/>
      <c r="L595" s="120"/>
      <c r="M595" s="120"/>
      <c r="N595" s="120"/>
      <c r="O595" s="120"/>
      <c r="P595" s="120"/>
      <c r="Q595" s="120"/>
      <c r="R595" s="120"/>
      <c r="S595" s="120"/>
      <c r="T595" s="120"/>
      <c r="U595" s="123"/>
      <c r="V595" s="120"/>
      <c r="W595" s="120"/>
      <c r="X595" s="120"/>
      <c r="Y595" s="120"/>
      <c r="Z595" s="120"/>
    </row>
    <row r="596" spans="1:26" ht="12" customHeight="1">
      <c r="A596" s="140"/>
      <c r="B596" s="120"/>
      <c r="C596" s="120"/>
      <c r="D596" s="120"/>
      <c r="E596" s="120"/>
      <c r="F596" s="120"/>
      <c r="G596" s="120"/>
      <c r="H596" s="120"/>
      <c r="I596" s="120"/>
      <c r="J596" s="120"/>
      <c r="K596" s="120"/>
      <c r="L596" s="120"/>
      <c r="M596" s="120"/>
      <c r="N596" s="120"/>
      <c r="O596" s="120"/>
      <c r="P596" s="120"/>
      <c r="Q596" s="120"/>
      <c r="R596" s="120"/>
      <c r="S596" s="120"/>
      <c r="T596" s="120"/>
      <c r="U596" s="123"/>
      <c r="V596" s="120"/>
      <c r="W596" s="120"/>
      <c r="X596" s="120"/>
      <c r="Y596" s="120"/>
      <c r="Z596" s="120"/>
    </row>
    <row r="597" spans="1:26" ht="12" customHeight="1">
      <c r="A597" s="140"/>
      <c r="B597" s="120"/>
      <c r="C597" s="120"/>
      <c r="D597" s="120"/>
      <c r="E597" s="120"/>
      <c r="F597" s="120"/>
      <c r="G597" s="120"/>
      <c r="H597" s="120"/>
      <c r="I597" s="120"/>
      <c r="J597" s="120"/>
      <c r="K597" s="120"/>
      <c r="L597" s="120"/>
      <c r="M597" s="120"/>
      <c r="N597" s="120"/>
      <c r="O597" s="120"/>
      <c r="P597" s="120"/>
      <c r="Q597" s="120"/>
      <c r="R597" s="120"/>
      <c r="S597" s="120"/>
      <c r="T597" s="120"/>
      <c r="U597" s="123"/>
      <c r="V597" s="120"/>
      <c r="W597" s="120"/>
      <c r="X597" s="120"/>
      <c r="Y597" s="120"/>
      <c r="Z597" s="120"/>
    </row>
    <row r="598" spans="1:26" ht="12" customHeight="1">
      <c r="A598" s="140"/>
      <c r="B598" s="120"/>
      <c r="C598" s="120"/>
      <c r="D598" s="120"/>
      <c r="E598" s="120"/>
      <c r="F598" s="120"/>
      <c r="G598" s="120"/>
      <c r="H598" s="120"/>
      <c r="I598" s="120"/>
      <c r="J598" s="120"/>
      <c r="K598" s="120"/>
      <c r="L598" s="120"/>
      <c r="M598" s="120"/>
      <c r="N598" s="120"/>
      <c r="O598" s="120"/>
      <c r="P598" s="120"/>
      <c r="Q598" s="120"/>
      <c r="R598" s="120"/>
      <c r="S598" s="120"/>
      <c r="T598" s="120"/>
      <c r="U598" s="123"/>
      <c r="V598" s="120"/>
      <c r="W598" s="120"/>
      <c r="X598" s="120"/>
      <c r="Y598" s="120"/>
      <c r="Z598" s="120"/>
    </row>
    <row r="599" spans="1:26" ht="12" customHeight="1">
      <c r="A599" s="140"/>
      <c r="B599" s="120"/>
      <c r="C599" s="120"/>
      <c r="D599" s="120"/>
      <c r="E599" s="120"/>
      <c r="F599" s="120"/>
      <c r="G599" s="120"/>
      <c r="H599" s="120"/>
      <c r="I599" s="120"/>
      <c r="J599" s="120"/>
      <c r="K599" s="120"/>
      <c r="L599" s="120"/>
      <c r="M599" s="120"/>
      <c r="N599" s="120"/>
      <c r="O599" s="120"/>
      <c r="P599" s="120"/>
      <c r="Q599" s="120"/>
      <c r="R599" s="120"/>
      <c r="S599" s="120"/>
      <c r="T599" s="120"/>
      <c r="U599" s="123"/>
      <c r="V599" s="120"/>
      <c r="W599" s="120"/>
      <c r="X599" s="120"/>
      <c r="Y599" s="120"/>
      <c r="Z599" s="120"/>
    </row>
    <row r="600" spans="1:26" ht="12" customHeight="1">
      <c r="A600" s="140"/>
      <c r="B600" s="120"/>
      <c r="C600" s="120"/>
      <c r="D600" s="120"/>
      <c r="E600" s="120"/>
      <c r="F600" s="120"/>
      <c r="G600" s="120"/>
      <c r="H600" s="120"/>
      <c r="I600" s="120"/>
      <c r="J600" s="120"/>
      <c r="K600" s="120"/>
      <c r="L600" s="120"/>
      <c r="M600" s="120"/>
      <c r="N600" s="120"/>
      <c r="O600" s="120"/>
      <c r="P600" s="120"/>
      <c r="Q600" s="120"/>
      <c r="R600" s="120"/>
      <c r="S600" s="120"/>
      <c r="T600" s="120"/>
      <c r="U600" s="123"/>
      <c r="V600" s="120"/>
      <c r="W600" s="120"/>
      <c r="X600" s="120"/>
      <c r="Y600" s="120"/>
      <c r="Z600" s="120"/>
    </row>
    <row r="601" spans="1:26" ht="12" customHeight="1">
      <c r="A601" s="140"/>
      <c r="B601" s="120"/>
      <c r="C601" s="120"/>
      <c r="D601" s="120"/>
      <c r="E601" s="120"/>
      <c r="F601" s="120"/>
      <c r="G601" s="120"/>
      <c r="H601" s="120"/>
      <c r="I601" s="120"/>
      <c r="J601" s="120"/>
      <c r="K601" s="120"/>
      <c r="L601" s="120"/>
      <c r="M601" s="120"/>
      <c r="N601" s="120"/>
      <c r="O601" s="120"/>
      <c r="P601" s="120"/>
      <c r="Q601" s="120"/>
      <c r="R601" s="120"/>
      <c r="S601" s="120"/>
      <c r="T601" s="120"/>
      <c r="U601" s="123"/>
      <c r="V601" s="120"/>
      <c r="W601" s="120"/>
      <c r="X601" s="120"/>
      <c r="Y601" s="120"/>
      <c r="Z601" s="120"/>
    </row>
    <row r="602" spans="1:26" ht="12" customHeight="1">
      <c r="A602" s="140"/>
      <c r="B602" s="120"/>
      <c r="C602" s="120"/>
      <c r="D602" s="120"/>
      <c r="E602" s="120"/>
      <c r="F602" s="120"/>
      <c r="G602" s="120"/>
      <c r="H602" s="120"/>
      <c r="I602" s="120"/>
      <c r="J602" s="120"/>
      <c r="K602" s="120"/>
      <c r="L602" s="120"/>
      <c r="M602" s="120"/>
      <c r="N602" s="120"/>
      <c r="O602" s="120"/>
      <c r="P602" s="120"/>
      <c r="Q602" s="120"/>
      <c r="R602" s="120"/>
      <c r="S602" s="120"/>
      <c r="T602" s="120"/>
      <c r="U602" s="123"/>
      <c r="V602" s="120"/>
      <c r="W602" s="120"/>
      <c r="X602" s="120"/>
      <c r="Y602" s="120"/>
      <c r="Z602" s="120"/>
    </row>
    <row r="603" spans="1:26" ht="12" customHeight="1">
      <c r="A603" s="140"/>
      <c r="B603" s="120"/>
      <c r="C603" s="120"/>
      <c r="D603" s="120"/>
      <c r="E603" s="120"/>
      <c r="F603" s="120"/>
      <c r="G603" s="120"/>
      <c r="H603" s="120"/>
      <c r="I603" s="120"/>
      <c r="J603" s="120"/>
      <c r="K603" s="120"/>
      <c r="L603" s="120"/>
      <c r="M603" s="120"/>
      <c r="N603" s="120"/>
      <c r="O603" s="120"/>
      <c r="P603" s="120"/>
      <c r="Q603" s="120"/>
      <c r="R603" s="120"/>
      <c r="S603" s="120"/>
      <c r="T603" s="120"/>
      <c r="U603" s="123"/>
      <c r="V603" s="120"/>
      <c r="W603" s="120"/>
      <c r="X603" s="120"/>
      <c r="Y603" s="120"/>
      <c r="Z603" s="120"/>
    </row>
    <row r="604" spans="1:26" ht="12" customHeight="1">
      <c r="A604" s="140"/>
      <c r="B604" s="120"/>
      <c r="C604" s="120"/>
      <c r="D604" s="120"/>
      <c r="E604" s="120"/>
      <c r="F604" s="120"/>
      <c r="G604" s="120"/>
      <c r="H604" s="120"/>
      <c r="I604" s="120"/>
      <c r="J604" s="120"/>
      <c r="K604" s="120"/>
      <c r="L604" s="120"/>
      <c r="M604" s="120"/>
      <c r="N604" s="120"/>
      <c r="O604" s="120"/>
      <c r="P604" s="120"/>
      <c r="Q604" s="120"/>
      <c r="R604" s="120"/>
      <c r="S604" s="120"/>
      <c r="T604" s="120"/>
      <c r="U604" s="123"/>
      <c r="V604" s="120"/>
      <c r="W604" s="120"/>
      <c r="X604" s="120"/>
      <c r="Y604" s="120"/>
      <c r="Z604" s="120"/>
    </row>
    <row r="605" spans="1:26" ht="12" customHeight="1">
      <c r="A605" s="140"/>
      <c r="B605" s="120"/>
      <c r="C605" s="120"/>
      <c r="D605" s="120"/>
      <c r="E605" s="120"/>
      <c r="F605" s="120"/>
      <c r="G605" s="120"/>
      <c r="H605" s="120"/>
      <c r="I605" s="120"/>
      <c r="J605" s="120"/>
      <c r="K605" s="120"/>
      <c r="L605" s="120"/>
      <c r="M605" s="120"/>
      <c r="N605" s="120"/>
      <c r="O605" s="120"/>
      <c r="P605" s="120"/>
      <c r="Q605" s="120"/>
      <c r="R605" s="120"/>
      <c r="S605" s="120"/>
      <c r="T605" s="120"/>
      <c r="U605" s="123"/>
      <c r="V605" s="120"/>
      <c r="W605" s="120"/>
      <c r="X605" s="120"/>
      <c r="Y605" s="120"/>
      <c r="Z605" s="120"/>
    </row>
    <row r="606" spans="1:26" ht="12" customHeight="1">
      <c r="A606" s="140"/>
      <c r="B606" s="120"/>
      <c r="C606" s="120"/>
      <c r="D606" s="120"/>
      <c r="E606" s="120"/>
      <c r="F606" s="120"/>
      <c r="G606" s="120"/>
      <c r="H606" s="120"/>
      <c r="I606" s="120"/>
      <c r="J606" s="120"/>
      <c r="K606" s="120"/>
      <c r="L606" s="120"/>
      <c r="M606" s="120"/>
      <c r="N606" s="120"/>
      <c r="O606" s="120"/>
      <c r="P606" s="120"/>
      <c r="Q606" s="120"/>
      <c r="R606" s="120"/>
      <c r="S606" s="120"/>
      <c r="T606" s="120"/>
      <c r="U606" s="123"/>
      <c r="V606" s="120"/>
      <c r="W606" s="120"/>
      <c r="X606" s="120"/>
      <c r="Y606" s="120"/>
      <c r="Z606" s="120"/>
    </row>
    <row r="607" spans="1:26" ht="12" customHeight="1">
      <c r="A607" s="140"/>
      <c r="B607" s="120"/>
      <c r="C607" s="120"/>
      <c r="D607" s="120"/>
      <c r="E607" s="120"/>
      <c r="F607" s="120"/>
      <c r="G607" s="120"/>
      <c r="H607" s="120"/>
      <c r="I607" s="120"/>
      <c r="J607" s="120"/>
      <c r="K607" s="120"/>
      <c r="L607" s="120"/>
      <c r="M607" s="120"/>
      <c r="N607" s="120"/>
      <c r="O607" s="120"/>
      <c r="P607" s="120"/>
      <c r="Q607" s="120"/>
      <c r="R607" s="120"/>
      <c r="S607" s="120"/>
      <c r="T607" s="120"/>
      <c r="U607" s="123"/>
      <c r="V607" s="120"/>
      <c r="W607" s="120"/>
      <c r="X607" s="120"/>
      <c r="Y607" s="120"/>
      <c r="Z607" s="120"/>
    </row>
    <row r="608" spans="1:26" ht="12" customHeight="1">
      <c r="A608" s="140"/>
      <c r="B608" s="120"/>
      <c r="C608" s="120"/>
      <c r="D608" s="120"/>
      <c r="E608" s="120"/>
      <c r="F608" s="120"/>
      <c r="G608" s="120"/>
      <c r="H608" s="120"/>
      <c r="I608" s="120"/>
      <c r="J608" s="120"/>
      <c r="K608" s="120"/>
      <c r="L608" s="120"/>
      <c r="M608" s="120"/>
      <c r="N608" s="120"/>
      <c r="O608" s="120"/>
      <c r="P608" s="120"/>
      <c r="Q608" s="120"/>
      <c r="R608" s="120"/>
      <c r="S608" s="120"/>
      <c r="T608" s="120"/>
      <c r="U608" s="123"/>
      <c r="V608" s="120"/>
      <c r="W608" s="120"/>
      <c r="X608" s="120"/>
      <c r="Y608" s="120"/>
      <c r="Z608" s="120"/>
    </row>
    <row r="609" spans="1:26" ht="12" customHeight="1">
      <c r="A609" s="140"/>
      <c r="B609" s="120"/>
      <c r="C609" s="120"/>
      <c r="D609" s="120"/>
      <c r="E609" s="120"/>
      <c r="F609" s="120"/>
      <c r="G609" s="120"/>
      <c r="H609" s="120"/>
      <c r="I609" s="120"/>
      <c r="J609" s="120"/>
      <c r="K609" s="120"/>
      <c r="L609" s="120"/>
      <c r="M609" s="120"/>
      <c r="N609" s="120"/>
      <c r="O609" s="120"/>
      <c r="P609" s="120"/>
      <c r="Q609" s="120"/>
      <c r="R609" s="120"/>
      <c r="S609" s="120"/>
      <c r="T609" s="120"/>
      <c r="U609" s="123"/>
      <c r="V609" s="120"/>
      <c r="W609" s="120"/>
      <c r="X609" s="120"/>
      <c r="Y609" s="120"/>
      <c r="Z609" s="120"/>
    </row>
    <row r="610" spans="1:26" ht="12" customHeight="1">
      <c r="A610" s="140"/>
      <c r="B610" s="120"/>
      <c r="C610" s="120"/>
      <c r="D610" s="120"/>
      <c r="E610" s="120"/>
      <c r="F610" s="120"/>
      <c r="G610" s="120"/>
      <c r="H610" s="120"/>
      <c r="I610" s="120"/>
      <c r="J610" s="120"/>
      <c r="K610" s="120"/>
      <c r="L610" s="120"/>
      <c r="M610" s="120"/>
      <c r="N610" s="120"/>
      <c r="O610" s="120"/>
      <c r="P610" s="120"/>
      <c r="Q610" s="120"/>
      <c r="R610" s="120"/>
      <c r="S610" s="120"/>
      <c r="T610" s="120"/>
      <c r="U610" s="123"/>
      <c r="V610" s="120"/>
      <c r="W610" s="120"/>
      <c r="X610" s="120"/>
      <c r="Y610" s="120"/>
      <c r="Z610" s="120"/>
    </row>
    <row r="611" spans="1:26" ht="12" customHeight="1">
      <c r="A611" s="140"/>
      <c r="B611" s="120"/>
      <c r="C611" s="120"/>
      <c r="D611" s="120"/>
      <c r="E611" s="120"/>
      <c r="F611" s="120"/>
      <c r="G611" s="120"/>
      <c r="H611" s="120"/>
      <c r="I611" s="120"/>
      <c r="J611" s="120"/>
      <c r="K611" s="120"/>
      <c r="L611" s="120"/>
      <c r="M611" s="120"/>
      <c r="N611" s="120"/>
      <c r="O611" s="120"/>
      <c r="P611" s="120"/>
      <c r="Q611" s="120"/>
      <c r="R611" s="120"/>
      <c r="S611" s="120"/>
      <c r="T611" s="120"/>
      <c r="U611" s="123"/>
      <c r="V611" s="120"/>
      <c r="W611" s="120"/>
      <c r="X611" s="120"/>
      <c r="Y611" s="120"/>
      <c r="Z611" s="120"/>
    </row>
    <row r="612" spans="1:26" ht="12" customHeight="1">
      <c r="A612" s="140"/>
      <c r="B612" s="120"/>
      <c r="C612" s="120"/>
      <c r="D612" s="120"/>
      <c r="E612" s="120"/>
      <c r="F612" s="120"/>
      <c r="G612" s="120"/>
      <c r="H612" s="120"/>
      <c r="I612" s="120"/>
      <c r="J612" s="120"/>
      <c r="K612" s="120"/>
      <c r="L612" s="120"/>
      <c r="M612" s="120"/>
      <c r="N612" s="120"/>
      <c r="O612" s="120"/>
      <c r="P612" s="120"/>
      <c r="Q612" s="120"/>
      <c r="R612" s="120"/>
      <c r="S612" s="120"/>
      <c r="T612" s="120"/>
      <c r="U612" s="123"/>
      <c r="V612" s="120"/>
      <c r="W612" s="120"/>
      <c r="X612" s="120"/>
      <c r="Y612" s="120"/>
      <c r="Z612" s="120"/>
    </row>
    <row r="613" spans="1:26" ht="12" customHeight="1">
      <c r="A613" s="140"/>
      <c r="B613" s="120"/>
      <c r="C613" s="120"/>
      <c r="D613" s="120"/>
      <c r="E613" s="120"/>
      <c r="F613" s="120"/>
      <c r="G613" s="120"/>
      <c r="H613" s="120"/>
      <c r="I613" s="120"/>
      <c r="J613" s="120"/>
      <c r="K613" s="120"/>
      <c r="L613" s="120"/>
      <c r="M613" s="120"/>
      <c r="N613" s="120"/>
      <c r="O613" s="120"/>
      <c r="P613" s="120"/>
      <c r="Q613" s="120"/>
      <c r="R613" s="120"/>
      <c r="S613" s="120"/>
      <c r="T613" s="120"/>
      <c r="U613" s="123"/>
      <c r="V613" s="120"/>
      <c r="W613" s="120"/>
      <c r="X613" s="120"/>
      <c r="Y613" s="120"/>
      <c r="Z613" s="120"/>
    </row>
    <row r="614" spans="1:26" ht="12" customHeight="1">
      <c r="A614" s="140"/>
      <c r="B614" s="120"/>
      <c r="C614" s="120"/>
      <c r="D614" s="120"/>
      <c r="E614" s="120"/>
      <c r="F614" s="120"/>
      <c r="G614" s="120"/>
      <c r="H614" s="120"/>
      <c r="I614" s="120"/>
      <c r="J614" s="120"/>
      <c r="K614" s="120"/>
      <c r="L614" s="120"/>
      <c r="M614" s="120"/>
      <c r="N614" s="120"/>
      <c r="O614" s="120"/>
      <c r="P614" s="120"/>
      <c r="Q614" s="120"/>
      <c r="R614" s="120"/>
      <c r="S614" s="120"/>
      <c r="T614" s="120"/>
      <c r="U614" s="123"/>
      <c r="V614" s="120"/>
      <c r="W614" s="120"/>
      <c r="X614" s="120"/>
      <c r="Y614" s="120"/>
      <c r="Z614" s="120"/>
    </row>
    <row r="615" spans="1:26" ht="12" customHeight="1">
      <c r="A615" s="140"/>
      <c r="B615" s="120"/>
      <c r="C615" s="120"/>
      <c r="D615" s="120"/>
      <c r="E615" s="120"/>
      <c r="F615" s="120"/>
      <c r="G615" s="120"/>
      <c r="H615" s="120"/>
      <c r="I615" s="120"/>
      <c r="J615" s="120"/>
      <c r="K615" s="120"/>
      <c r="L615" s="120"/>
      <c r="M615" s="120"/>
      <c r="N615" s="120"/>
      <c r="O615" s="120"/>
      <c r="P615" s="120"/>
      <c r="Q615" s="120"/>
      <c r="R615" s="120"/>
      <c r="S615" s="120"/>
      <c r="T615" s="120"/>
      <c r="U615" s="123"/>
      <c r="V615" s="120"/>
      <c r="W615" s="120"/>
      <c r="X615" s="120"/>
      <c r="Y615" s="120"/>
      <c r="Z615" s="120"/>
    </row>
    <row r="616" spans="1:26" ht="12" customHeight="1">
      <c r="A616" s="140"/>
      <c r="B616" s="120"/>
      <c r="C616" s="120"/>
      <c r="D616" s="120"/>
      <c r="E616" s="120"/>
      <c r="F616" s="120"/>
      <c r="G616" s="120"/>
      <c r="H616" s="120"/>
      <c r="I616" s="120"/>
      <c r="J616" s="120"/>
      <c r="K616" s="120"/>
      <c r="L616" s="120"/>
      <c r="M616" s="120"/>
      <c r="N616" s="120"/>
      <c r="O616" s="120"/>
      <c r="P616" s="120"/>
      <c r="Q616" s="120"/>
      <c r="R616" s="120"/>
      <c r="S616" s="120"/>
      <c r="T616" s="120"/>
      <c r="U616" s="123"/>
      <c r="V616" s="120"/>
      <c r="W616" s="120"/>
      <c r="X616" s="120"/>
      <c r="Y616" s="120"/>
      <c r="Z616" s="120"/>
    </row>
    <row r="617" spans="1:26" ht="12" customHeight="1">
      <c r="A617" s="140"/>
      <c r="B617" s="120"/>
      <c r="C617" s="120"/>
      <c r="D617" s="120"/>
      <c r="E617" s="120"/>
      <c r="F617" s="120"/>
      <c r="G617" s="120"/>
      <c r="H617" s="120"/>
      <c r="I617" s="120"/>
      <c r="J617" s="120"/>
      <c r="K617" s="120"/>
      <c r="L617" s="120"/>
      <c r="M617" s="120"/>
      <c r="N617" s="120"/>
      <c r="O617" s="120"/>
      <c r="P617" s="120"/>
      <c r="Q617" s="120"/>
      <c r="R617" s="120"/>
      <c r="S617" s="120"/>
      <c r="T617" s="120"/>
      <c r="U617" s="123"/>
      <c r="V617" s="120"/>
      <c r="W617" s="120"/>
      <c r="X617" s="120"/>
      <c r="Y617" s="120"/>
      <c r="Z617" s="120"/>
    </row>
    <row r="618" spans="1:26" ht="12" customHeight="1">
      <c r="A618" s="140"/>
      <c r="B618" s="120"/>
      <c r="C618" s="120"/>
      <c r="D618" s="120"/>
      <c r="E618" s="120"/>
      <c r="F618" s="120"/>
      <c r="G618" s="120"/>
      <c r="H618" s="120"/>
      <c r="I618" s="120"/>
      <c r="J618" s="120"/>
      <c r="K618" s="120"/>
      <c r="L618" s="120"/>
      <c r="M618" s="120"/>
      <c r="N618" s="120"/>
      <c r="O618" s="120"/>
      <c r="P618" s="120"/>
      <c r="Q618" s="120"/>
      <c r="R618" s="120"/>
      <c r="S618" s="120"/>
      <c r="T618" s="120"/>
      <c r="U618" s="123"/>
      <c r="V618" s="120"/>
      <c r="W618" s="120"/>
      <c r="X618" s="120"/>
      <c r="Y618" s="120"/>
      <c r="Z618" s="120"/>
    </row>
    <row r="619" spans="1:26" ht="12" customHeight="1">
      <c r="A619" s="140"/>
      <c r="B619" s="120"/>
      <c r="C619" s="120"/>
      <c r="D619" s="120"/>
      <c r="E619" s="120"/>
      <c r="F619" s="120"/>
      <c r="G619" s="120"/>
      <c r="H619" s="120"/>
      <c r="I619" s="120"/>
      <c r="J619" s="120"/>
      <c r="K619" s="120"/>
      <c r="L619" s="120"/>
      <c r="M619" s="120"/>
      <c r="N619" s="120"/>
      <c r="O619" s="120"/>
      <c r="P619" s="120"/>
      <c r="Q619" s="120"/>
      <c r="R619" s="120"/>
      <c r="S619" s="120"/>
      <c r="T619" s="120"/>
      <c r="U619" s="123"/>
      <c r="V619" s="120"/>
      <c r="W619" s="120"/>
      <c r="X619" s="120"/>
      <c r="Y619" s="120"/>
      <c r="Z619" s="120"/>
    </row>
    <row r="620" spans="1:26" ht="12" customHeight="1">
      <c r="A620" s="140"/>
      <c r="B620" s="120"/>
      <c r="C620" s="120"/>
      <c r="D620" s="120"/>
      <c r="E620" s="120"/>
      <c r="F620" s="120"/>
      <c r="G620" s="120"/>
      <c r="H620" s="120"/>
      <c r="I620" s="120"/>
      <c r="J620" s="120"/>
      <c r="K620" s="120"/>
      <c r="L620" s="120"/>
      <c r="M620" s="120"/>
      <c r="N620" s="120"/>
      <c r="O620" s="120"/>
      <c r="P620" s="120"/>
      <c r="Q620" s="120"/>
      <c r="R620" s="120"/>
      <c r="S620" s="120"/>
      <c r="T620" s="120"/>
      <c r="U620" s="123"/>
      <c r="V620" s="120"/>
      <c r="W620" s="120"/>
      <c r="X620" s="120"/>
      <c r="Y620" s="120"/>
      <c r="Z620" s="120"/>
    </row>
    <row r="621" spans="1:26" ht="12" customHeight="1">
      <c r="A621" s="140"/>
      <c r="B621" s="120"/>
      <c r="C621" s="120"/>
      <c r="D621" s="120"/>
      <c r="E621" s="120"/>
      <c r="F621" s="120"/>
      <c r="G621" s="120"/>
      <c r="H621" s="120"/>
      <c r="I621" s="120"/>
      <c r="J621" s="120"/>
      <c r="K621" s="120"/>
      <c r="L621" s="120"/>
      <c r="M621" s="120"/>
      <c r="N621" s="120"/>
      <c r="O621" s="120"/>
      <c r="P621" s="120"/>
      <c r="Q621" s="120"/>
      <c r="R621" s="120"/>
      <c r="S621" s="120"/>
      <c r="T621" s="120"/>
      <c r="U621" s="123"/>
      <c r="V621" s="120"/>
      <c r="W621" s="120"/>
      <c r="X621" s="120"/>
      <c r="Y621" s="120"/>
      <c r="Z621" s="120"/>
    </row>
    <row r="622" spans="1:26" ht="12" customHeight="1">
      <c r="A622" s="140"/>
      <c r="B622" s="120"/>
      <c r="C622" s="120"/>
      <c r="D622" s="120"/>
      <c r="E622" s="120"/>
      <c r="F622" s="120"/>
      <c r="G622" s="120"/>
      <c r="H622" s="120"/>
      <c r="I622" s="120"/>
      <c r="J622" s="120"/>
      <c r="K622" s="120"/>
      <c r="L622" s="120"/>
      <c r="M622" s="120"/>
      <c r="N622" s="120"/>
      <c r="O622" s="120"/>
      <c r="P622" s="120"/>
      <c r="Q622" s="120"/>
      <c r="R622" s="120"/>
      <c r="S622" s="120"/>
      <c r="T622" s="120"/>
      <c r="U622" s="123"/>
      <c r="V622" s="120"/>
      <c r="W622" s="120"/>
      <c r="X622" s="120"/>
      <c r="Y622" s="120"/>
      <c r="Z622" s="120"/>
    </row>
    <row r="623" spans="1:26" ht="12" customHeight="1">
      <c r="A623" s="140"/>
      <c r="B623" s="120"/>
      <c r="C623" s="120"/>
      <c r="D623" s="120"/>
      <c r="E623" s="120"/>
      <c r="F623" s="120"/>
      <c r="G623" s="120"/>
      <c r="H623" s="120"/>
      <c r="I623" s="120"/>
      <c r="J623" s="120"/>
      <c r="K623" s="120"/>
      <c r="L623" s="120"/>
      <c r="M623" s="120"/>
      <c r="N623" s="120"/>
      <c r="O623" s="120"/>
      <c r="P623" s="120"/>
      <c r="Q623" s="120"/>
      <c r="R623" s="120"/>
      <c r="S623" s="120"/>
      <c r="T623" s="120"/>
      <c r="U623" s="123"/>
      <c r="V623" s="120"/>
      <c r="W623" s="120"/>
      <c r="X623" s="120"/>
      <c r="Y623" s="120"/>
      <c r="Z623" s="120"/>
    </row>
    <row r="624" spans="1:26" ht="12" customHeight="1">
      <c r="A624" s="140"/>
      <c r="B624" s="120"/>
      <c r="C624" s="120"/>
      <c r="D624" s="120"/>
      <c r="E624" s="120"/>
      <c r="F624" s="120"/>
      <c r="G624" s="120"/>
      <c r="H624" s="120"/>
      <c r="I624" s="120"/>
      <c r="J624" s="120"/>
      <c r="K624" s="120"/>
      <c r="L624" s="120"/>
      <c r="M624" s="120"/>
      <c r="N624" s="120"/>
      <c r="O624" s="120"/>
      <c r="P624" s="120"/>
      <c r="Q624" s="120"/>
      <c r="R624" s="120"/>
      <c r="S624" s="120"/>
      <c r="T624" s="120"/>
      <c r="U624" s="123"/>
      <c r="V624" s="120"/>
      <c r="W624" s="120"/>
      <c r="X624" s="120"/>
      <c r="Y624" s="120"/>
      <c r="Z624" s="120"/>
    </row>
    <row r="625" spans="1:26" ht="12" customHeight="1">
      <c r="A625" s="140"/>
      <c r="B625" s="120"/>
      <c r="C625" s="120"/>
      <c r="D625" s="120"/>
      <c r="E625" s="120"/>
      <c r="F625" s="120"/>
      <c r="G625" s="120"/>
      <c r="H625" s="120"/>
      <c r="I625" s="120"/>
      <c r="J625" s="120"/>
      <c r="K625" s="120"/>
      <c r="L625" s="120"/>
      <c r="M625" s="120"/>
      <c r="N625" s="120"/>
      <c r="O625" s="120"/>
      <c r="P625" s="120"/>
      <c r="Q625" s="120"/>
      <c r="R625" s="120"/>
      <c r="S625" s="120"/>
      <c r="T625" s="120"/>
      <c r="U625" s="123"/>
      <c r="V625" s="120"/>
      <c r="W625" s="120"/>
      <c r="X625" s="120"/>
      <c r="Y625" s="120"/>
      <c r="Z625" s="120"/>
    </row>
    <row r="626" spans="1:26" ht="12" customHeight="1">
      <c r="A626" s="140"/>
      <c r="B626" s="120"/>
      <c r="C626" s="120"/>
      <c r="D626" s="120"/>
      <c r="E626" s="120"/>
      <c r="F626" s="120"/>
      <c r="G626" s="120"/>
      <c r="H626" s="120"/>
      <c r="I626" s="120"/>
      <c r="J626" s="120"/>
      <c r="K626" s="120"/>
      <c r="L626" s="120"/>
      <c r="M626" s="120"/>
      <c r="N626" s="120"/>
      <c r="O626" s="120"/>
      <c r="P626" s="120"/>
      <c r="Q626" s="120"/>
      <c r="R626" s="120"/>
      <c r="S626" s="120"/>
      <c r="T626" s="120"/>
      <c r="U626" s="123"/>
      <c r="V626" s="120"/>
      <c r="W626" s="120"/>
      <c r="X626" s="120"/>
      <c r="Y626" s="120"/>
      <c r="Z626" s="120"/>
    </row>
    <row r="627" spans="1:26" ht="12" customHeight="1">
      <c r="A627" s="140"/>
      <c r="B627" s="120"/>
      <c r="C627" s="120"/>
      <c r="D627" s="120"/>
      <c r="E627" s="120"/>
      <c r="F627" s="120"/>
      <c r="G627" s="120"/>
      <c r="H627" s="120"/>
      <c r="I627" s="120"/>
      <c r="J627" s="120"/>
      <c r="K627" s="120"/>
      <c r="L627" s="120"/>
      <c r="M627" s="120"/>
      <c r="N627" s="120"/>
      <c r="O627" s="120"/>
      <c r="P627" s="120"/>
      <c r="Q627" s="120"/>
      <c r="R627" s="120"/>
      <c r="S627" s="120"/>
      <c r="T627" s="120"/>
      <c r="U627" s="123"/>
      <c r="V627" s="120"/>
      <c r="W627" s="120"/>
      <c r="X627" s="120"/>
      <c r="Y627" s="120"/>
      <c r="Z627" s="120"/>
    </row>
    <row r="628" spans="1:26" ht="12" customHeight="1">
      <c r="A628" s="140"/>
      <c r="B628" s="120"/>
      <c r="C628" s="120"/>
      <c r="D628" s="120"/>
      <c r="E628" s="120"/>
      <c r="F628" s="120"/>
      <c r="G628" s="120"/>
      <c r="H628" s="120"/>
      <c r="I628" s="120"/>
      <c r="J628" s="120"/>
      <c r="K628" s="120"/>
      <c r="L628" s="120"/>
      <c r="M628" s="120"/>
      <c r="N628" s="120"/>
      <c r="O628" s="120"/>
      <c r="P628" s="120"/>
      <c r="Q628" s="120"/>
      <c r="R628" s="120"/>
      <c r="S628" s="120"/>
      <c r="T628" s="120"/>
      <c r="U628" s="123"/>
      <c r="V628" s="120"/>
      <c r="W628" s="120"/>
      <c r="X628" s="120"/>
      <c r="Y628" s="120"/>
      <c r="Z628" s="120"/>
    </row>
    <row r="629" spans="1:26" ht="12" customHeight="1">
      <c r="A629" s="140"/>
      <c r="B629" s="120"/>
      <c r="C629" s="120"/>
      <c r="D629" s="120"/>
      <c r="E629" s="120"/>
      <c r="F629" s="120"/>
      <c r="G629" s="120"/>
      <c r="H629" s="120"/>
      <c r="I629" s="120"/>
      <c r="J629" s="120"/>
      <c r="K629" s="120"/>
      <c r="L629" s="120"/>
      <c r="M629" s="120"/>
      <c r="N629" s="120"/>
      <c r="O629" s="120"/>
      <c r="P629" s="120"/>
      <c r="Q629" s="120"/>
      <c r="R629" s="120"/>
      <c r="S629" s="120"/>
      <c r="T629" s="120"/>
      <c r="U629" s="123"/>
      <c r="V629" s="120"/>
      <c r="W629" s="120"/>
      <c r="X629" s="120"/>
      <c r="Y629" s="120"/>
      <c r="Z629" s="120"/>
    </row>
    <row r="630" spans="1:26" ht="12" customHeight="1">
      <c r="A630" s="140"/>
      <c r="B630" s="120"/>
      <c r="C630" s="120"/>
      <c r="D630" s="120"/>
      <c r="E630" s="120"/>
      <c r="F630" s="120"/>
      <c r="G630" s="120"/>
      <c r="H630" s="120"/>
      <c r="I630" s="120"/>
      <c r="J630" s="120"/>
      <c r="K630" s="120"/>
      <c r="L630" s="120"/>
      <c r="M630" s="120"/>
      <c r="N630" s="120"/>
      <c r="O630" s="120"/>
      <c r="P630" s="120"/>
      <c r="Q630" s="120"/>
      <c r="R630" s="120"/>
      <c r="S630" s="120"/>
      <c r="T630" s="120"/>
      <c r="U630" s="123"/>
      <c r="V630" s="120"/>
      <c r="W630" s="120"/>
      <c r="X630" s="120"/>
      <c r="Y630" s="120"/>
      <c r="Z630" s="120"/>
    </row>
    <row r="631" spans="1:26" ht="12" customHeight="1">
      <c r="A631" s="140"/>
      <c r="B631" s="120"/>
      <c r="C631" s="120"/>
      <c r="D631" s="120"/>
      <c r="E631" s="120"/>
      <c r="F631" s="120"/>
      <c r="G631" s="120"/>
      <c r="H631" s="120"/>
      <c r="I631" s="120"/>
      <c r="J631" s="120"/>
      <c r="K631" s="120"/>
      <c r="L631" s="120"/>
      <c r="M631" s="120"/>
      <c r="N631" s="120"/>
      <c r="O631" s="120"/>
      <c r="P631" s="120"/>
      <c r="Q631" s="120"/>
      <c r="R631" s="120"/>
      <c r="S631" s="120"/>
      <c r="T631" s="120"/>
      <c r="U631" s="123"/>
      <c r="V631" s="120"/>
      <c r="W631" s="120"/>
      <c r="X631" s="120"/>
      <c r="Y631" s="120"/>
      <c r="Z631" s="120"/>
    </row>
    <row r="632" spans="1:26" ht="12" customHeight="1">
      <c r="A632" s="140"/>
      <c r="B632" s="120"/>
      <c r="C632" s="120"/>
      <c r="D632" s="120"/>
      <c r="E632" s="120"/>
      <c r="F632" s="120"/>
      <c r="G632" s="120"/>
      <c r="H632" s="120"/>
      <c r="I632" s="120"/>
      <c r="J632" s="120"/>
      <c r="K632" s="120"/>
      <c r="L632" s="120"/>
      <c r="M632" s="120"/>
      <c r="N632" s="120"/>
      <c r="O632" s="120"/>
      <c r="P632" s="120"/>
      <c r="Q632" s="120"/>
      <c r="R632" s="120"/>
      <c r="S632" s="120"/>
      <c r="T632" s="120"/>
      <c r="U632" s="123"/>
      <c r="V632" s="120"/>
      <c r="W632" s="120"/>
      <c r="X632" s="120"/>
      <c r="Y632" s="120"/>
      <c r="Z632" s="120"/>
    </row>
    <row r="633" spans="1:26" ht="12" customHeight="1">
      <c r="A633" s="140"/>
      <c r="B633" s="120"/>
      <c r="C633" s="120"/>
      <c r="D633" s="120"/>
      <c r="E633" s="120"/>
      <c r="F633" s="120"/>
      <c r="G633" s="120"/>
      <c r="H633" s="120"/>
      <c r="I633" s="120"/>
      <c r="J633" s="120"/>
      <c r="K633" s="120"/>
      <c r="L633" s="120"/>
      <c r="M633" s="120"/>
      <c r="N633" s="120"/>
      <c r="O633" s="120"/>
      <c r="P633" s="120"/>
      <c r="Q633" s="120"/>
      <c r="R633" s="120"/>
      <c r="S633" s="120"/>
      <c r="T633" s="120"/>
      <c r="U633" s="123"/>
      <c r="V633" s="120"/>
      <c r="W633" s="120"/>
      <c r="X633" s="120"/>
      <c r="Y633" s="120"/>
      <c r="Z633" s="120"/>
    </row>
    <row r="634" spans="1:26" ht="12" customHeight="1">
      <c r="A634" s="140"/>
      <c r="B634" s="120"/>
      <c r="C634" s="120"/>
      <c r="D634" s="120"/>
      <c r="E634" s="120"/>
      <c r="F634" s="120"/>
      <c r="G634" s="120"/>
      <c r="H634" s="120"/>
      <c r="I634" s="120"/>
      <c r="J634" s="120"/>
      <c r="K634" s="120"/>
      <c r="L634" s="120"/>
      <c r="M634" s="120"/>
      <c r="N634" s="120"/>
      <c r="O634" s="120"/>
      <c r="P634" s="120"/>
      <c r="Q634" s="120"/>
      <c r="R634" s="120"/>
      <c r="S634" s="120"/>
      <c r="T634" s="120"/>
      <c r="U634" s="123"/>
      <c r="V634" s="120"/>
      <c r="W634" s="120"/>
      <c r="X634" s="120"/>
      <c r="Y634" s="120"/>
      <c r="Z634" s="120"/>
    </row>
    <row r="635" spans="1:26" ht="12" customHeight="1">
      <c r="A635" s="140"/>
      <c r="B635" s="120"/>
      <c r="C635" s="120"/>
      <c r="D635" s="120"/>
      <c r="E635" s="120"/>
      <c r="F635" s="120"/>
      <c r="G635" s="120"/>
      <c r="H635" s="120"/>
      <c r="I635" s="120"/>
      <c r="J635" s="120"/>
      <c r="K635" s="120"/>
      <c r="L635" s="120"/>
      <c r="M635" s="120"/>
      <c r="N635" s="120"/>
      <c r="O635" s="120"/>
      <c r="P635" s="120"/>
      <c r="Q635" s="120"/>
      <c r="R635" s="120"/>
      <c r="S635" s="120"/>
      <c r="T635" s="120"/>
      <c r="U635" s="123"/>
      <c r="V635" s="120"/>
      <c r="W635" s="120"/>
      <c r="X635" s="120"/>
      <c r="Y635" s="120"/>
      <c r="Z635" s="120"/>
    </row>
    <row r="636" spans="1:26" ht="12" customHeight="1">
      <c r="A636" s="140"/>
      <c r="B636" s="120"/>
      <c r="C636" s="120"/>
      <c r="D636" s="120"/>
      <c r="E636" s="120"/>
      <c r="F636" s="120"/>
      <c r="G636" s="120"/>
      <c r="H636" s="120"/>
      <c r="I636" s="120"/>
      <c r="J636" s="120"/>
      <c r="K636" s="120"/>
      <c r="L636" s="120"/>
      <c r="M636" s="120"/>
      <c r="N636" s="120"/>
      <c r="O636" s="120"/>
      <c r="P636" s="120"/>
      <c r="Q636" s="120"/>
      <c r="R636" s="120"/>
      <c r="S636" s="120"/>
      <c r="T636" s="120"/>
      <c r="U636" s="123"/>
      <c r="V636" s="120"/>
      <c r="W636" s="120"/>
      <c r="X636" s="120"/>
      <c r="Y636" s="120"/>
      <c r="Z636" s="120"/>
    </row>
    <row r="637" spans="1:26" ht="12" customHeight="1">
      <c r="A637" s="140"/>
      <c r="B637" s="120"/>
      <c r="C637" s="120"/>
      <c r="D637" s="120"/>
      <c r="E637" s="120"/>
      <c r="F637" s="120"/>
      <c r="G637" s="120"/>
      <c r="H637" s="120"/>
      <c r="I637" s="120"/>
      <c r="J637" s="120"/>
      <c r="K637" s="120"/>
      <c r="L637" s="120"/>
      <c r="M637" s="120"/>
      <c r="N637" s="120"/>
      <c r="O637" s="120"/>
      <c r="P637" s="120"/>
      <c r="Q637" s="120"/>
      <c r="R637" s="120"/>
      <c r="S637" s="120"/>
      <c r="T637" s="120"/>
      <c r="U637" s="123"/>
      <c r="V637" s="120"/>
      <c r="W637" s="120"/>
      <c r="X637" s="120"/>
      <c r="Y637" s="120"/>
      <c r="Z637" s="120"/>
    </row>
    <row r="638" spans="1:26" ht="12" customHeight="1">
      <c r="A638" s="140"/>
      <c r="B638" s="120"/>
      <c r="C638" s="120"/>
      <c r="D638" s="120"/>
      <c r="E638" s="120"/>
      <c r="F638" s="120"/>
      <c r="G638" s="120"/>
      <c r="H638" s="120"/>
      <c r="I638" s="120"/>
      <c r="J638" s="120"/>
      <c r="K638" s="120"/>
      <c r="L638" s="120"/>
      <c r="M638" s="120"/>
      <c r="N638" s="120"/>
      <c r="O638" s="120"/>
      <c r="P638" s="120"/>
      <c r="Q638" s="120"/>
      <c r="R638" s="120"/>
      <c r="S638" s="120"/>
      <c r="T638" s="120"/>
      <c r="U638" s="123"/>
      <c r="V638" s="120"/>
      <c r="W638" s="120"/>
      <c r="X638" s="120"/>
      <c r="Y638" s="120"/>
      <c r="Z638" s="120"/>
    </row>
    <row r="639" spans="1:26" ht="12" customHeight="1">
      <c r="A639" s="140"/>
      <c r="B639" s="120"/>
      <c r="C639" s="120"/>
      <c r="D639" s="120"/>
      <c r="E639" s="120"/>
      <c r="F639" s="120"/>
      <c r="G639" s="120"/>
      <c r="H639" s="120"/>
      <c r="I639" s="120"/>
      <c r="J639" s="120"/>
      <c r="K639" s="120"/>
      <c r="L639" s="120"/>
      <c r="M639" s="120"/>
      <c r="N639" s="120"/>
      <c r="O639" s="120"/>
      <c r="P639" s="120"/>
      <c r="Q639" s="120"/>
      <c r="R639" s="120"/>
      <c r="S639" s="120"/>
      <c r="T639" s="120"/>
      <c r="U639" s="123"/>
      <c r="V639" s="120"/>
      <c r="W639" s="120"/>
      <c r="X639" s="120"/>
      <c r="Y639" s="120"/>
      <c r="Z639" s="120"/>
    </row>
    <row r="640" spans="1:26" ht="12" customHeight="1">
      <c r="A640" s="140"/>
      <c r="B640" s="120"/>
      <c r="C640" s="120"/>
      <c r="D640" s="120"/>
      <c r="E640" s="120"/>
      <c r="F640" s="120"/>
      <c r="G640" s="120"/>
      <c r="H640" s="120"/>
      <c r="I640" s="120"/>
      <c r="J640" s="120"/>
      <c r="K640" s="120"/>
      <c r="L640" s="120"/>
      <c r="M640" s="120"/>
      <c r="N640" s="120"/>
      <c r="O640" s="120"/>
      <c r="P640" s="120"/>
      <c r="Q640" s="120"/>
      <c r="R640" s="120"/>
      <c r="S640" s="120"/>
      <c r="T640" s="120"/>
      <c r="U640" s="123"/>
      <c r="V640" s="120"/>
      <c r="W640" s="120"/>
      <c r="X640" s="120"/>
      <c r="Y640" s="120"/>
      <c r="Z640" s="120"/>
    </row>
    <row r="641" spans="1:26" ht="12" customHeight="1">
      <c r="A641" s="140"/>
      <c r="B641" s="120"/>
      <c r="C641" s="120"/>
      <c r="D641" s="120"/>
      <c r="E641" s="120"/>
      <c r="F641" s="120"/>
      <c r="G641" s="120"/>
      <c r="H641" s="120"/>
      <c r="I641" s="120"/>
      <c r="J641" s="120"/>
      <c r="K641" s="120"/>
      <c r="L641" s="120"/>
      <c r="M641" s="120"/>
      <c r="N641" s="120"/>
      <c r="O641" s="120"/>
      <c r="P641" s="120"/>
      <c r="Q641" s="120"/>
      <c r="R641" s="120"/>
      <c r="S641" s="120"/>
      <c r="T641" s="120"/>
      <c r="U641" s="123"/>
      <c r="V641" s="120"/>
      <c r="W641" s="120"/>
      <c r="X641" s="120"/>
      <c r="Y641" s="120"/>
      <c r="Z641" s="120"/>
    </row>
    <row r="642" spans="1:26" ht="12" customHeight="1">
      <c r="A642" s="140"/>
      <c r="B642" s="120"/>
      <c r="C642" s="120"/>
      <c r="D642" s="120"/>
      <c r="E642" s="120"/>
      <c r="F642" s="120"/>
      <c r="G642" s="120"/>
      <c r="H642" s="120"/>
      <c r="I642" s="120"/>
      <c r="J642" s="120"/>
      <c r="K642" s="120"/>
      <c r="L642" s="120"/>
      <c r="M642" s="120"/>
      <c r="N642" s="120"/>
      <c r="O642" s="120"/>
      <c r="P642" s="120"/>
      <c r="Q642" s="120"/>
      <c r="R642" s="120"/>
      <c r="S642" s="120"/>
      <c r="T642" s="120"/>
      <c r="U642" s="123"/>
      <c r="V642" s="120"/>
      <c r="W642" s="120"/>
      <c r="X642" s="120"/>
      <c r="Y642" s="120"/>
      <c r="Z642" s="120"/>
    </row>
    <row r="643" spans="1:26" ht="12" customHeight="1">
      <c r="A643" s="140"/>
      <c r="B643" s="120"/>
      <c r="C643" s="120"/>
      <c r="D643" s="120"/>
      <c r="E643" s="120"/>
      <c r="F643" s="120"/>
      <c r="G643" s="120"/>
      <c r="H643" s="120"/>
      <c r="I643" s="120"/>
      <c r="J643" s="120"/>
      <c r="K643" s="120"/>
      <c r="L643" s="120"/>
      <c r="M643" s="120"/>
      <c r="N643" s="120"/>
      <c r="O643" s="120"/>
      <c r="P643" s="120"/>
      <c r="Q643" s="120"/>
      <c r="R643" s="120"/>
      <c r="S643" s="120"/>
      <c r="T643" s="120"/>
      <c r="U643" s="123"/>
      <c r="V643" s="120"/>
      <c r="W643" s="120"/>
      <c r="X643" s="120"/>
      <c r="Y643" s="120"/>
      <c r="Z643" s="120"/>
    </row>
    <row r="644" spans="1:26" ht="12" customHeight="1">
      <c r="A644" s="140"/>
      <c r="B644" s="120"/>
      <c r="C644" s="120"/>
      <c r="D644" s="120"/>
      <c r="E644" s="120"/>
      <c r="F644" s="120"/>
      <c r="G644" s="120"/>
      <c r="H644" s="120"/>
      <c r="I644" s="120"/>
      <c r="J644" s="120"/>
      <c r="K644" s="120"/>
      <c r="L644" s="120"/>
      <c r="M644" s="120"/>
      <c r="N644" s="120"/>
      <c r="O644" s="120"/>
      <c r="P644" s="120"/>
      <c r="Q644" s="120"/>
      <c r="R644" s="120"/>
      <c r="S644" s="120"/>
      <c r="T644" s="120"/>
      <c r="U644" s="123"/>
      <c r="V644" s="120"/>
      <c r="W644" s="120"/>
      <c r="X644" s="120"/>
      <c r="Y644" s="120"/>
      <c r="Z644" s="120"/>
    </row>
    <row r="645" spans="1:26" ht="12" customHeight="1">
      <c r="A645" s="140"/>
      <c r="B645" s="120"/>
      <c r="C645" s="120"/>
      <c r="D645" s="120"/>
      <c r="E645" s="120"/>
      <c r="F645" s="120"/>
      <c r="G645" s="120"/>
      <c r="H645" s="120"/>
      <c r="I645" s="120"/>
      <c r="J645" s="120"/>
      <c r="K645" s="120"/>
      <c r="L645" s="120"/>
      <c r="M645" s="120"/>
      <c r="N645" s="120"/>
      <c r="O645" s="120"/>
      <c r="P645" s="120"/>
      <c r="Q645" s="120"/>
      <c r="R645" s="120"/>
      <c r="S645" s="120"/>
      <c r="T645" s="120"/>
      <c r="U645" s="123"/>
      <c r="V645" s="120"/>
      <c r="W645" s="120"/>
      <c r="X645" s="120"/>
      <c r="Y645" s="120"/>
      <c r="Z645" s="120"/>
    </row>
    <row r="646" spans="1:26" ht="12" customHeight="1">
      <c r="A646" s="140"/>
      <c r="B646" s="120"/>
      <c r="C646" s="120"/>
      <c r="D646" s="120"/>
      <c r="E646" s="120"/>
      <c r="F646" s="120"/>
      <c r="G646" s="120"/>
      <c r="H646" s="120"/>
      <c r="I646" s="120"/>
      <c r="J646" s="120"/>
      <c r="K646" s="120"/>
      <c r="L646" s="120"/>
      <c r="M646" s="120"/>
      <c r="N646" s="120"/>
      <c r="O646" s="120"/>
      <c r="P646" s="120"/>
      <c r="Q646" s="120"/>
      <c r="R646" s="120"/>
      <c r="S646" s="120"/>
      <c r="T646" s="120"/>
      <c r="U646" s="123"/>
      <c r="V646" s="120"/>
      <c r="W646" s="120"/>
      <c r="X646" s="120"/>
      <c r="Y646" s="120"/>
      <c r="Z646" s="120"/>
    </row>
    <row r="647" spans="1:26" ht="12" customHeight="1">
      <c r="A647" s="140"/>
      <c r="B647" s="120"/>
      <c r="C647" s="120"/>
      <c r="D647" s="120"/>
      <c r="E647" s="120"/>
      <c r="F647" s="120"/>
      <c r="G647" s="120"/>
      <c r="H647" s="120"/>
      <c r="I647" s="120"/>
      <c r="J647" s="120"/>
      <c r="K647" s="120"/>
      <c r="L647" s="120"/>
      <c r="M647" s="120"/>
      <c r="N647" s="120"/>
      <c r="O647" s="120"/>
      <c r="P647" s="120"/>
      <c r="Q647" s="120"/>
      <c r="R647" s="120"/>
      <c r="S647" s="120"/>
      <c r="T647" s="120"/>
      <c r="U647" s="123"/>
      <c r="V647" s="120"/>
      <c r="W647" s="120"/>
      <c r="X647" s="120"/>
      <c r="Y647" s="120"/>
      <c r="Z647" s="120"/>
    </row>
    <row r="648" spans="1:26" ht="12" customHeight="1">
      <c r="A648" s="140"/>
      <c r="B648" s="120"/>
      <c r="C648" s="120"/>
      <c r="D648" s="120"/>
      <c r="E648" s="120"/>
      <c r="F648" s="120"/>
      <c r="G648" s="120"/>
      <c r="H648" s="120"/>
      <c r="I648" s="120"/>
      <c r="J648" s="120"/>
      <c r="K648" s="120"/>
      <c r="L648" s="120"/>
      <c r="M648" s="120"/>
      <c r="N648" s="120"/>
      <c r="O648" s="120"/>
      <c r="P648" s="120"/>
      <c r="Q648" s="120"/>
      <c r="R648" s="120"/>
      <c r="S648" s="120"/>
      <c r="T648" s="120"/>
      <c r="U648" s="123"/>
      <c r="V648" s="120"/>
      <c r="W648" s="120"/>
      <c r="X648" s="120"/>
      <c r="Y648" s="120"/>
      <c r="Z648" s="120"/>
    </row>
    <row r="649" spans="1:26" ht="12" customHeight="1">
      <c r="A649" s="140"/>
      <c r="B649" s="120"/>
      <c r="C649" s="120"/>
      <c r="D649" s="120"/>
      <c r="E649" s="120"/>
      <c r="F649" s="120"/>
      <c r="G649" s="120"/>
      <c r="H649" s="120"/>
      <c r="I649" s="120"/>
      <c r="J649" s="120"/>
      <c r="K649" s="120"/>
      <c r="L649" s="120"/>
      <c r="M649" s="120"/>
      <c r="N649" s="120"/>
      <c r="O649" s="120"/>
      <c r="P649" s="120"/>
      <c r="Q649" s="120"/>
      <c r="R649" s="120"/>
      <c r="S649" s="120"/>
      <c r="T649" s="120"/>
      <c r="U649" s="123"/>
      <c r="V649" s="120"/>
      <c r="W649" s="120"/>
      <c r="X649" s="120"/>
      <c r="Y649" s="120"/>
      <c r="Z649" s="120"/>
    </row>
    <row r="650" spans="1:26" ht="12" customHeight="1">
      <c r="A650" s="140"/>
      <c r="B650" s="120"/>
      <c r="C650" s="120"/>
      <c r="D650" s="120"/>
      <c r="E650" s="120"/>
      <c r="F650" s="120"/>
      <c r="G650" s="120"/>
      <c r="H650" s="120"/>
      <c r="I650" s="120"/>
      <c r="J650" s="120"/>
      <c r="K650" s="120"/>
      <c r="L650" s="120"/>
      <c r="M650" s="120"/>
      <c r="N650" s="120"/>
      <c r="O650" s="120"/>
      <c r="P650" s="120"/>
      <c r="Q650" s="120"/>
      <c r="R650" s="120"/>
      <c r="S650" s="120"/>
      <c r="T650" s="120"/>
      <c r="U650" s="123"/>
      <c r="V650" s="120"/>
      <c r="W650" s="120"/>
      <c r="X650" s="120"/>
      <c r="Y650" s="120"/>
      <c r="Z650" s="120"/>
    </row>
    <row r="651" spans="1:26" ht="12" customHeight="1">
      <c r="A651" s="140"/>
      <c r="B651" s="120"/>
      <c r="C651" s="120"/>
      <c r="D651" s="120"/>
      <c r="E651" s="120"/>
      <c r="F651" s="120"/>
      <c r="G651" s="120"/>
      <c r="H651" s="120"/>
      <c r="I651" s="120"/>
      <c r="J651" s="120"/>
      <c r="K651" s="120"/>
      <c r="L651" s="120"/>
      <c r="M651" s="120"/>
      <c r="N651" s="120"/>
      <c r="O651" s="120"/>
      <c r="P651" s="120"/>
      <c r="Q651" s="120"/>
      <c r="R651" s="120"/>
      <c r="S651" s="120"/>
      <c r="T651" s="120"/>
      <c r="U651" s="123"/>
      <c r="V651" s="120"/>
      <c r="W651" s="120"/>
      <c r="X651" s="120"/>
      <c r="Y651" s="120"/>
      <c r="Z651" s="120"/>
    </row>
    <row r="652" spans="1:26" ht="12" customHeight="1">
      <c r="A652" s="140"/>
      <c r="B652" s="120"/>
      <c r="C652" s="120"/>
      <c r="D652" s="120"/>
      <c r="E652" s="120"/>
      <c r="F652" s="120"/>
      <c r="G652" s="120"/>
      <c r="H652" s="120"/>
      <c r="I652" s="120"/>
      <c r="J652" s="120"/>
      <c r="K652" s="120"/>
      <c r="L652" s="120"/>
      <c r="M652" s="120"/>
      <c r="N652" s="120"/>
      <c r="O652" s="120"/>
      <c r="P652" s="120"/>
      <c r="Q652" s="120"/>
      <c r="R652" s="120"/>
      <c r="S652" s="120"/>
      <c r="T652" s="120"/>
      <c r="U652" s="123"/>
      <c r="V652" s="120"/>
      <c r="W652" s="120"/>
      <c r="X652" s="120"/>
      <c r="Y652" s="120"/>
      <c r="Z652" s="120"/>
    </row>
    <row r="653" spans="1:26" ht="12" customHeight="1">
      <c r="A653" s="140"/>
      <c r="B653" s="120"/>
      <c r="C653" s="120"/>
      <c r="D653" s="120"/>
      <c r="E653" s="120"/>
      <c r="F653" s="120"/>
      <c r="G653" s="120"/>
      <c r="H653" s="120"/>
      <c r="I653" s="120"/>
      <c r="J653" s="120"/>
      <c r="K653" s="120"/>
      <c r="L653" s="120"/>
      <c r="M653" s="120"/>
      <c r="N653" s="120"/>
      <c r="O653" s="120"/>
      <c r="P653" s="120"/>
      <c r="Q653" s="120"/>
      <c r="R653" s="120"/>
      <c r="S653" s="120"/>
      <c r="T653" s="120"/>
      <c r="U653" s="123"/>
      <c r="V653" s="120"/>
      <c r="W653" s="120"/>
      <c r="X653" s="120"/>
      <c r="Y653" s="120"/>
      <c r="Z653" s="120"/>
    </row>
    <row r="654" spans="1:26" ht="12" customHeight="1">
      <c r="A654" s="140"/>
      <c r="B654" s="120"/>
      <c r="C654" s="120"/>
      <c r="D654" s="120"/>
      <c r="E654" s="120"/>
      <c r="F654" s="120"/>
      <c r="G654" s="120"/>
      <c r="H654" s="120"/>
      <c r="I654" s="120"/>
      <c r="J654" s="120"/>
      <c r="K654" s="120"/>
      <c r="L654" s="120"/>
      <c r="M654" s="120"/>
      <c r="N654" s="120"/>
      <c r="O654" s="120"/>
      <c r="P654" s="120"/>
      <c r="Q654" s="120"/>
      <c r="R654" s="120"/>
      <c r="S654" s="120"/>
      <c r="T654" s="120"/>
      <c r="U654" s="123"/>
      <c r="V654" s="120"/>
      <c r="W654" s="120"/>
      <c r="X654" s="120"/>
      <c r="Y654" s="120"/>
      <c r="Z654" s="120"/>
    </row>
    <row r="655" spans="1:26" ht="12" customHeight="1">
      <c r="A655" s="140"/>
      <c r="B655" s="120"/>
      <c r="C655" s="120"/>
      <c r="D655" s="120"/>
      <c r="E655" s="120"/>
      <c r="F655" s="120"/>
      <c r="G655" s="120"/>
      <c r="H655" s="120"/>
      <c r="I655" s="120"/>
      <c r="J655" s="120"/>
      <c r="K655" s="120"/>
      <c r="L655" s="120"/>
      <c r="M655" s="120"/>
      <c r="N655" s="120"/>
      <c r="O655" s="120"/>
      <c r="P655" s="120"/>
      <c r="Q655" s="120"/>
      <c r="R655" s="120"/>
      <c r="S655" s="120"/>
      <c r="T655" s="120"/>
      <c r="U655" s="123"/>
      <c r="V655" s="120"/>
      <c r="W655" s="120"/>
      <c r="X655" s="120"/>
      <c r="Y655" s="120"/>
      <c r="Z655" s="120"/>
    </row>
    <row r="656" spans="1:26" ht="12" customHeight="1">
      <c r="A656" s="140"/>
      <c r="B656" s="120"/>
      <c r="C656" s="120"/>
      <c r="D656" s="120"/>
      <c r="E656" s="120"/>
      <c r="F656" s="120"/>
      <c r="G656" s="120"/>
      <c r="H656" s="120"/>
      <c r="I656" s="120"/>
      <c r="J656" s="120"/>
      <c r="K656" s="120"/>
      <c r="L656" s="120"/>
      <c r="M656" s="120"/>
      <c r="N656" s="120"/>
      <c r="O656" s="120"/>
      <c r="P656" s="120"/>
      <c r="Q656" s="120"/>
      <c r="R656" s="120"/>
      <c r="S656" s="120"/>
      <c r="T656" s="120"/>
      <c r="U656" s="123"/>
      <c r="V656" s="120"/>
      <c r="W656" s="120"/>
      <c r="X656" s="120"/>
      <c r="Y656" s="120"/>
      <c r="Z656" s="120"/>
    </row>
    <row r="657" spans="1:26" ht="12" customHeight="1">
      <c r="A657" s="140"/>
      <c r="B657" s="120"/>
      <c r="C657" s="120"/>
      <c r="D657" s="120"/>
      <c r="E657" s="120"/>
      <c r="F657" s="120"/>
      <c r="G657" s="120"/>
      <c r="H657" s="120"/>
      <c r="I657" s="120"/>
      <c r="J657" s="120"/>
      <c r="K657" s="120"/>
      <c r="L657" s="120"/>
      <c r="M657" s="120"/>
      <c r="N657" s="120"/>
      <c r="O657" s="120"/>
      <c r="P657" s="120"/>
      <c r="Q657" s="120"/>
      <c r="R657" s="120"/>
      <c r="S657" s="120"/>
      <c r="T657" s="120"/>
      <c r="U657" s="123"/>
      <c r="V657" s="120"/>
      <c r="W657" s="120"/>
      <c r="X657" s="120"/>
      <c r="Y657" s="120"/>
      <c r="Z657" s="120"/>
    </row>
    <row r="658" spans="1:26" ht="12" customHeight="1">
      <c r="A658" s="140"/>
      <c r="B658" s="120"/>
      <c r="C658" s="120"/>
      <c r="D658" s="120"/>
      <c r="E658" s="120"/>
      <c r="F658" s="120"/>
      <c r="G658" s="120"/>
      <c r="H658" s="120"/>
      <c r="I658" s="120"/>
      <c r="J658" s="120"/>
      <c r="K658" s="120"/>
      <c r="L658" s="120"/>
      <c r="M658" s="120"/>
      <c r="N658" s="120"/>
      <c r="O658" s="120"/>
      <c r="P658" s="120"/>
      <c r="Q658" s="120"/>
      <c r="R658" s="120"/>
      <c r="S658" s="120"/>
      <c r="T658" s="120"/>
      <c r="U658" s="123"/>
      <c r="V658" s="120"/>
      <c r="W658" s="120"/>
      <c r="X658" s="120"/>
      <c r="Y658" s="120"/>
      <c r="Z658" s="120"/>
    </row>
    <row r="659" spans="1:26" ht="12" customHeight="1">
      <c r="A659" s="140"/>
      <c r="B659" s="120"/>
      <c r="C659" s="120"/>
      <c r="D659" s="120"/>
      <c r="E659" s="120"/>
      <c r="F659" s="120"/>
      <c r="G659" s="120"/>
      <c r="H659" s="120"/>
      <c r="I659" s="120"/>
      <c r="J659" s="120"/>
      <c r="K659" s="120"/>
      <c r="L659" s="120"/>
      <c r="M659" s="120"/>
      <c r="N659" s="120"/>
      <c r="O659" s="120"/>
      <c r="P659" s="120"/>
      <c r="Q659" s="120"/>
      <c r="R659" s="120"/>
      <c r="S659" s="120"/>
      <c r="T659" s="120"/>
      <c r="U659" s="123"/>
      <c r="V659" s="120"/>
      <c r="W659" s="120"/>
      <c r="X659" s="120"/>
      <c r="Y659" s="120"/>
      <c r="Z659" s="120"/>
    </row>
    <row r="660" spans="1:26" ht="12" customHeight="1">
      <c r="A660" s="140"/>
      <c r="B660" s="120"/>
      <c r="C660" s="120"/>
      <c r="D660" s="120"/>
      <c r="E660" s="120"/>
      <c r="F660" s="120"/>
      <c r="G660" s="120"/>
      <c r="H660" s="120"/>
      <c r="I660" s="120"/>
      <c r="J660" s="120"/>
      <c r="K660" s="120"/>
      <c r="L660" s="120"/>
      <c r="M660" s="120"/>
      <c r="N660" s="120"/>
      <c r="O660" s="120"/>
      <c r="P660" s="120"/>
      <c r="Q660" s="120"/>
      <c r="R660" s="120"/>
      <c r="S660" s="120"/>
      <c r="T660" s="120"/>
      <c r="U660" s="123"/>
      <c r="V660" s="120"/>
      <c r="W660" s="120"/>
      <c r="X660" s="120"/>
      <c r="Y660" s="120"/>
      <c r="Z660" s="120"/>
    </row>
    <row r="661" spans="1:26" ht="12" customHeight="1">
      <c r="A661" s="140"/>
      <c r="B661" s="120"/>
      <c r="C661" s="120"/>
      <c r="D661" s="120"/>
      <c r="E661" s="120"/>
      <c r="F661" s="120"/>
      <c r="G661" s="120"/>
      <c r="H661" s="120"/>
      <c r="I661" s="120"/>
      <c r="J661" s="120"/>
      <c r="K661" s="120"/>
      <c r="L661" s="120"/>
      <c r="M661" s="120"/>
      <c r="N661" s="120"/>
      <c r="O661" s="120"/>
      <c r="P661" s="120"/>
      <c r="Q661" s="120"/>
      <c r="R661" s="120"/>
      <c r="S661" s="120"/>
      <c r="T661" s="120"/>
      <c r="U661" s="123"/>
      <c r="V661" s="120"/>
      <c r="W661" s="120"/>
      <c r="X661" s="120"/>
      <c r="Y661" s="120"/>
      <c r="Z661" s="120"/>
    </row>
    <row r="662" spans="1:26" ht="12" customHeight="1">
      <c r="A662" s="140"/>
      <c r="B662" s="120"/>
      <c r="C662" s="120"/>
      <c r="D662" s="120"/>
      <c r="E662" s="120"/>
      <c r="F662" s="120"/>
      <c r="G662" s="120"/>
      <c r="H662" s="120"/>
      <c r="I662" s="120"/>
      <c r="J662" s="120"/>
      <c r="K662" s="120"/>
      <c r="L662" s="120"/>
      <c r="M662" s="120"/>
      <c r="N662" s="120"/>
      <c r="O662" s="120"/>
      <c r="P662" s="120"/>
      <c r="Q662" s="120"/>
      <c r="R662" s="120"/>
      <c r="S662" s="120"/>
      <c r="T662" s="120"/>
      <c r="U662" s="123"/>
      <c r="V662" s="120"/>
      <c r="W662" s="120"/>
      <c r="X662" s="120"/>
      <c r="Y662" s="120"/>
      <c r="Z662" s="120"/>
    </row>
    <row r="663" spans="1:26" ht="12" customHeight="1">
      <c r="A663" s="140"/>
      <c r="B663" s="120"/>
      <c r="C663" s="120"/>
      <c r="D663" s="120"/>
      <c r="E663" s="120"/>
      <c r="F663" s="120"/>
      <c r="G663" s="120"/>
      <c r="H663" s="120"/>
      <c r="I663" s="120"/>
      <c r="J663" s="120"/>
      <c r="K663" s="120"/>
      <c r="L663" s="120"/>
      <c r="M663" s="120"/>
      <c r="N663" s="120"/>
      <c r="O663" s="120"/>
      <c r="P663" s="120"/>
      <c r="Q663" s="120"/>
      <c r="R663" s="120"/>
      <c r="S663" s="120"/>
      <c r="T663" s="120"/>
      <c r="U663" s="123"/>
      <c r="V663" s="120"/>
      <c r="W663" s="120"/>
      <c r="X663" s="120"/>
      <c r="Y663" s="120"/>
      <c r="Z663" s="120"/>
    </row>
    <row r="664" spans="1:26" ht="12" customHeight="1">
      <c r="A664" s="140"/>
      <c r="B664" s="120"/>
      <c r="C664" s="120"/>
      <c r="D664" s="120"/>
      <c r="E664" s="120"/>
      <c r="F664" s="120"/>
      <c r="G664" s="120"/>
      <c r="H664" s="120"/>
      <c r="I664" s="120"/>
      <c r="J664" s="120"/>
      <c r="K664" s="120"/>
      <c r="L664" s="120"/>
      <c r="M664" s="120"/>
      <c r="N664" s="120"/>
      <c r="O664" s="120"/>
      <c r="P664" s="120"/>
      <c r="Q664" s="120"/>
      <c r="R664" s="120"/>
      <c r="S664" s="120"/>
      <c r="T664" s="120"/>
      <c r="U664" s="123"/>
      <c r="V664" s="120"/>
      <c r="W664" s="120"/>
      <c r="X664" s="120"/>
      <c r="Y664" s="120"/>
      <c r="Z664" s="120"/>
    </row>
    <row r="665" spans="1:26" ht="12" customHeight="1">
      <c r="A665" s="140"/>
      <c r="B665" s="120"/>
      <c r="C665" s="120"/>
      <c r="D665" s="120"/>
      <c r="E665" s="120"/>
      <c r="F665" s="120"/>
      <c r="G665" s="120"/>
      <c r="H665" s="120"/>
      <c r="I665" s="120"/>
      <c r="J665" s="120"/>
      <c r="K665" s="120"/>
      <c r="L665" s="120"/>
      <c r="M665" s="120"/>
      <c r="N665" s="120"/>
      <c r="O665" s="120"/>
      <c r="P665" s="120"/>
      <c r="Q665" s="120"/>
      <c r="R665" s="120"/>
      <c r="S665" s="120"/>
      <c r="T665" s="120"/>
      <c r="U665" s="123"/>
      <c r="V665" s="120"/>
      <c r="W665" s="120"/>
      <c r="X665" s="120"/>
      <c r="Y665" s="120"/>
      <c r="Z665" s="120"/>
    </row>
    <row r="666" spans="1:26" ht="12" customHeight="1">
      <c r="A666" s="140"/>
      <c r="B666" s="120"/>
      <c r="C666" s="120"/>
      <c r="D666" s="120"/>
      <c r="E666" s="120"/>
      <c r="F666" s="120"/>
      <c r="G666" s="120"/>
      <c r="H666" s="120"/>
      <c r="I666" s="120"/>
      <c r="J666" s="120"/>
      <c r="K666" s="120"/>
      <c r="L666" s="120"/>
      <c r="M666" s="120"/>
      <c r="N666" s="120"/>
      <c r="O666" s="120"/>
      <c r="P666" s="120"/>
      <c r="Q666" s="120"/>
      <c r="R666" s="120"/>
      <c r="S666" s="120"/>
      <c r="T666" s="120"/>
      <c r="U666" s="123"/>
      <c r="V666" s="120"/>
      <c r="W666" s="120"/>
      <c r="X666" s="120"/>
      <c r="Y666" s="120"/>
      <c r="Z666" s="120"/>
    </row>
    <row r="667" spans="1:26" ht="12" customHeight="1">
      <c r="A667" s="140"/>
      <c r="B667" s="120"/>
      <c r="C667" s="120"/>
      <c r="D667" s="120"/>
      <c r="E667" s="120"/>
      <c r="F667" s="120"/>
      <c r="G667" s="120"/>
      <c r="H667" s="120"/>
      <c r="I667" s="120"/>
      <c r="J667" s="120"/>
      <c r="K667" s="120"/>
      <c r="L667" s="120"/>
      <c r="M667" s="120"/>
      <c r="N667" s="120"/>
      <c r="O667" s="120"/>
      <c r="P667" s="120"/>
      <c r="Q667" s="120"/>
      <c r="R667" s="120"/>
      <c r="S667" s="120"/>
      <c r="T667" s="120"/>
      <c r="U667" s="123"/>
      <c r="V667" s="120"/>
      <c r="W667" s="120"/>
      <c r="X667" s="120"/>
      <c r="Y667" s="120"/>
      <c r="Z667" s="120"/>
    </row>
    <row r="668" spans="1:26" ht="12" customHeight="1">
      <c r="A668" s="140"/>
      <c r="B668" s="120"/>
      <c r="C668" s="120"/>
      <c r="D668" s="120"/>
      <c r="E668" s="120"/>
      <c r="F668" s="120"/>
      <c r="G668" s="120"/>
      <c r="H668" s="120"/>
      <c r="I668" s="120"/>
      <c r="J668" s="120"/>
      <c r="K668" s="120"/>
      <c r="L668" s="120"/>
      <c r="M668" s="120"/>
      <c r="N668" s="120"/>
      <c r="O668" s="120"/>
      <c r="P668" s="120"/>
      <c r="Q668" s="120"/>
      <c r="R668" s="120"/>
      <c r="S668" s="120"/>
      <c r="T668" s="120"/>
      <c r="U668" s="123"/>
      <c r="V668" s="120"/>
      <c r="W668" s="120"/>
      <c r="X668" s="120"/>
      <c r="Y668" s="120"/>
      <c r="Z668" s="120"/>
    </row>
    <row r="669" spans="1:26" ht="12" customHeight="1">
      <c r="A669" s="140"/>
      <c r="B669" s="120"/>
      <c r="C669" s="120"/>
      <c r="D669" s="120"/>
      <c r="E669" s="120"/>
      <c r="F669" s="120"/>
      <c r="G669" s="120"/>
      <c r="H669" s="120"/>
      <c r="I669" s="120"/>
      <c r="J669" s="120"/>
      <c r="K669" s="120"/>
      <c r="L669" s="120"/>
      <c r="M669" s="120"/>
      <c r="N669" s="120"/>
      <c r="O669" s="120"/>
      <c r="P669" s="120"/>
      <c r="Q669" s="120"/>
      <c r="R669" s="120"/>
      <c r="S669" s="120"/>
      <c r="T669" s="120"/>
      <c r="U669" s="123"/>
      <c r="V669" s="120"/>
      <c r="W669" s="120"/>
      <c r="X669" s="120"/>
      <c r="Y669" s="120"/>
      <c r="Z669" s="120"/>
    </row>
    <row r="670" spans="1:26" ht="12" customHeight="1">
      <c r="A670" s="140"/>
      <c r="B670" s="120"/>
      <c r="C670" s="120"/>
      <c r="D670" s="120"/>
      <c r="E670" s="120"/>
      <c r="F670" s="120"/>
      <c r="G670" s="120"/>
      <c r="H670" s="120"/>
      <c r="I670" s="120"/>
      <c r="J670" s="120"/>
      <c r="K670" s="120"/>
      <c r="L670" s="120"/>
      <c r="M670" s="120"/>
      <c r="N670" s="120"/>
      <c r="O670" s="120"/>
      <c r="P670" s="120"/>
      <c r="Q670" s="120"/>
      <c r="R670" s="120"/>
      <c r="S670" s="120"/>
      <c r="T670" s="120"/>
      <c r="U670" s="123"/>
      <c r="V670" s="120"/>
      <c r="W670" s="120"/>
      <c r="X670" s="120"/>
      <c r="Y670" s="120"/>
      <c r="Z670" s="120"/>
    </row>
    <row r="671" spans="1:26" ht="12" customHeight="1">
      <c r="A671" s="140"/>
      <c r="B671" s="120"/>
      <c r="C671" s="120"/>
      <c r="D671" s="120"/>
      <c r="E671" s="120"/>
      <c r="F671" s="120"/>
      <c r="G671" s="120"/>
      <c r="H671" s="120"/>
      <c r="I671" s="120"/>
      <c r="J671" s="120"/>
      <c r="K671" s="120"/>
      <c r="L671" s="120"/>
      <c r="M671" s="120"/>
      <c r="N671" s="120"/>
      <c r="O671" s="120"/>
      <c r="P671" s="120"/>
      <c r="Q671" s="120"/>
      <c r="R671" s="120"/>
      <c r="S671" s="120"/>
      <c r="T671" s="120"/>
      <c r="U671" s="123"/>
      <c r="V671" s="120"/>
      <c r="W671" s="120"/>
      <c r="X671" s="120"/>
      <c r="Y671" s="120"/>
      <c r="Z671" s="120"/>
    </row>
    <row r="672" spans="1:26" ht="12" customHeight="1">
      <c r="A672" s="140"/>
      <c r="B672" s="120"/>
      <c r="C672" s="120"/>
      <c r="D672" s="120"/>
      <c r="E672" s="120"/>
      <c r="F672" s="120"/>
      <c r="G672" s="120"/>
      <c r="H672" s="120"/>
      <c r="I672" s="120"/>
      <c r="J672" s="120"/>
      <c r="K672" s="120"/>
      <c r="L672" s="120"/>
      <c r="M672" s="120"/>
      <c r="N672" s="120"/>
      <c r="O672" s="120"/>
      <c r="P672" s="120"/>
      <c r="Q672" s="120"/>
      <c r="R672" s="120"/>
      <c r="S672" s="120"/>
      <c r="T672" s="120"/>
      <c r="U672" s="123"/>
      <c r="V672" s="120"/>
      <c r="W672" s="120"/>
      <c r="X672" s="120"/>
      <c r="Y672" s="120"/>
      <c r="Z672" s="120"/>
    </row>
    <row r="673" spans="1:26" ht="12" customHeight="1">
      <c r="A673" s="140"/>
      <c r="B673" s="120"/>
      <c r="C673" s="120"/>
      <c r="D673" s="120"/>
      <c r="E673" s="120"/>
      <c r="F673" s="120"/>
      <c r="G673" s="120"/>
      <c r="H673" s="120"/>
      <c r="I673" s="120"/>
      <c r="J673" s="120"/>
      <c r="K673" s="120"/>
      <c r="L673" s="120"/>
      <c r="M673" s="120"/>
      <c r="N673" s="120"/>
      <c r="O673" s="120"/>
      <c r="P673" s="120"/>
      <c r="Q673" s="120"/>
      <c r="R673" s="120"/>
      <c r="S673" s="120"/>
      <c r="T673" s="120"/>
      <c r="U673" s="123"/>
      <c r="V673" s="120"/>
      <c r="W673" s="120"/>
      <c r="X673" s="120"/>
      <c r="Y673" s="120"/>
      <c r="Z673" s="120"/>
    </row>
    <row r="674" spans="1:26" ht="12" customHeight="1">
      <c r="A674" s="140"/>
      <c r="B674" s="120"/>
      <c r="C674" s="120"/>
      <c r="D674" s="120"/>
      <c r="E674" s="120"/>
      <c r="F674" s="120"/>
      <c r="G674" s="120"/>
      <c r="H674" s="120"/>
      <c r="I674" s="120"/>
      <c r="J674" s="120"/>
      <c r="K674" s="120"/>
      <c r="L674" s="120"/>
      <c r="M674" s="120"/>
      <c r="N674" s="120"/>
      <c r="O674" s="120"/>
      <c r="P674" s="120"/>
      <c r="Q674" s="120"/>
      <c r="R674" s="120"/>
      <c r="S674" s="120"/>
      <c r="T674" s="120"/>
      <c r="U674" s="123"/>
      <c r="V674" s="120"/>
      <c r="W674" s="120"/>
      <c r="X674" s="120"/>
      <c r="Y674" s="120"/>
      <c r="Z674" s="120"/>
    </row>
    <row r="675" spans="1:26" ht="12" customHeight="1">
      <c r="A675" s="140"/>
      <c r="B675" s="120"/>
      <c r="C675" s="120"/>
      <c r="D675" s="120"/>
      <c r="E675" s="120"/>
      <c r="F675" s="120"/>
      <c r="G675" s="120"/>
      <c r="H675" s="120"/>
      <c r="I675" s="120"/>
      <c r="J675" s="120"/>
      <c r="K675" s="120"/>
      <c r="L675" s="120"/>
      <c r="M675" s="120"/>
      <c r="N675" s="120"/>
      <c r="O675" s="120"/>
      <c r="P675" s="120"/>
      <c r="Q675" s="120"/>
      <c r="R675" s="120"/>
      <c r="S675" s="120"/>
      <c r="T675" s="120"/>
      <c r="U675" s="123"/>
      <c r="V675" s="120"/>
      <c r="W675" s="120"/>
      <c r="X675" s="120"/>
      <c r="Y675" s="120"/>
      <c r="Z675" s="120"/>
    </row>
    <row r="676" spans="1:26" ht="12" customHeight="1">
      <c r="A676" s="140"/>
      <c r="B676" s="120"/>
      <c r="C676" s="120"/>
      <c r="D676" s="120"/>
      <c r="E676" s="120"/>
      <c r="F676" s="120"/>
      <c r="G676" s="120"/>
      <c r="H676" s="120"/>
      <c r="I676" s="120"/>
      <c r="J676" s="120"/>
      <c r="K676" s="120"/>
      <c r="L676" s="120"/>
      <c r="M676" s="120"/>
      <c r="N676" s="120"/>
      <c r="O676" s="120"/>
      <c r="P676" s="120"/>
      <c r="Q676" s="120"/>
      <c r="R676" s="120"/>
      <c r="S676" s="120"/>
      <c r="T676" s="120"/>
      <c r="U676" s="123"/>
      <c r="V676" s="120"/>
      <c r="W676" s="120"/>
      <c r="X676" s="120"/>
      <c r="Y676" s="120"/>
      <c r="Z676" s="120"/>
    </row>
    <row r="677" spans="1:26" ht="12" customHeight="1">
      <c r="A677" s="140"/>
      <c r="B677" s="120"/>
      <c r="C677" s="120"/>
      <c r="D677" s="120"/>
      <c r="E677" s="120"/>
      <c r="F677" s="120"/>
      <c r="G677" s="120"/>
      <c r="H677" s="120"/>
      <c r="I677" s="120"/>
      <c r="J677" s="120"/>
      <c r="K677" s="120"/>
      <c r="L677" s="120"/>
      <c r="M677" s="120"/>
      <c r="N677" s="120"/>
      <c r="O677" s="120"/>
      <c r="P677" s="120"/>
      <c r="Q677" s="120"/>
      <c r="R677" s="120"/>
      <c r="S677" s="120"/>
      <c r="T677" s="120"/>
      <c r="U677" s="123"/>
      <c r="V677" s="120"/>
      <c r="W677" s="120"/>
      <c r="X677" s="120"/>
      <c r="Y677" s="120"/>
      <c r="Z677" s="120"/>
    </row>
    <row r="678" spans="1:26" ht="12" customHeight="1">
      <c r="A678" s="140"/>
      <c r="B678" s="120"/>
      <c r="C678" s="120"/>
      <c r="D678" s="120"/>
      <c r="E678" s="120"/>
      <c r="F678" s="120"/>
      <c r="G678" s="120"/>
      <c r="H678" s="120"/>
      <c r="I678" s="120"/>
      <c r="J678" s="120"/>
      <c r="K678" s="120"/>
      <c r="L678" s="120"/>
      <c r="M678" s="120"/>
      <c r="N678" s="120"/>
      <c r="O678" s="120"/>
      <c r="P678" s="120"/>
      <c r="Q678" s="120"/>
      <c r="R678" s="120"/>
      <c r="S678" s="120"/>
      <c r="T678" s="120"/>
      <c r="U678" s="123"/>
      <c r="V678" s="120"/>
      <c r="W678" s="120"/>
      <c r="X678" s="120"/>
      <c r="Y678" s="120"/>
      <c r="Z678" s="120"/>
    </row>
    <row r="679" spans="1:26" ht="12" customHeight="1">
      <c r="A679" s="140"/>
      <c r="B679" s="120"/>
      <c r="C679" s="120"/>
      <c r="D679" s="120"/>
      <c r="E679" s="120"/>
      <c r="F679" s="120"/>
      <c r="G679" s="120"/>
      <c r="H679" s="120"/>
      <c r="I679" s="120"/>
      <c r="J679" s="120"/>
      <c r="K679" s="120"/>
      <c r="L679" s="120"/>
      <c r="M679" s="120"/>
      <c r="N679" s="120"/>
      <c r="O679" s="120"/>
      <c r="P679" s="120"/>
      <c r="Q679" s="120"/>
      <c r="R679" s="120"/>
      <c r="S679" s="120"/>
      <c r="T679" s="120"/>
      <c r="U679" s="123"/>
      <c r="V679" s="120"/>
      <c r="W679" s="120"/>
      <c r="X679" s="120"/>
      <c r="Y679" s="120"/>
      <c r="Z679" s="120"/>
    </row>
    <row r="680" spans="1:26" ht="12" customHeight="1">
      <c r="A680" s="140"/>
      <c r="B680" s="120"/>
      <c r="C680" s="120"/>
      <c r="D680" s="120"/>
      <c r="E680" s="120"/>
      <c r="F680" s="120"/>
      <c r="G680" s="120"/>
      <c r="H680" s="120"/>
      <c r="I680" s="120"/>
      <c r="J680" s="120"/>
      <c r="K680" s="120"/>
      <c r="L680" s="120"/>
      <c r="M680" s="120"/>
      <c r="N680" s="120"/>
      <c r="O680" s="120"/>
      <c r="P680" s="120"/>
      <c r="Q680" s="120"/>
      <c r="R680" s="120"/>
      <c r="S680" s="120"/>
      <c r="T680" s="120"/>
      <c r="U680" s="123"/>
      <c r="V680" s="120"/>
      <c r="W680" s="120"/>
      <c r="X680" s="120"/>
      <c r="Y680" s="120"/>
      <c r="Z680" s="120"/>
    </row>
    <row r="681" spans="1:26" ht="12" customHeight="1">
      <c r="A681" s="140"/>
      <c r="B681" s="120"/>
      <c r="C681" s="120"/>
      <c r="D681" s="120"/>
      <c r="E681" s="120"/>
      <c r="F681" s="120"/>
      <c r="G681" s="120"/>
      <c r="H681" s="120"/>
      <c r="I681" s="120"/>
      <c r="J681" s="120"/>
      <c r="K681" s="120"/>
      <c r="L681" s="120"/>
      <c r="M681" s="120"/>
      <c r="N681" s="120"/>
      <c r="O681" s="120"/>
      <c r="P681" s="120"/>
      <c r="Q681" s="120"/>
      <c r="R681" s="120"/>
      <c r="S681" s="120"/>
      <c r="T681" s="120"/>
      <c r="U681" s="123"/>
      <c r="V681" s="120"/>
      <c r="W681" s="120"/>
      <c r="X681" s="120"/>
      <c r="Y681" s="120"/>
      <c r="Z681" s="120"/>
    </row>
    <row r="682" spans="1:26" ht="12" customHeight="1">
      <c r="A682" s="140"/>
      <c r="B682" s="120"/>
      <c r="C682" s="120"/>
      <c r="D682" s="120"/>
      <c r="E682" s="120"/>
      <c r="F682" s="120"/>
      <c r="G682" s="120"/>
      <c r="H682" s="120"/>
      <c r="I682" s="120"/>
      <c r="J682" s="120"/>
      <c r="K682" s="120"/>
      <c r="L682" s="120"/>
      <c r="M682" s="120"/>
      <c r="N682" s="120"/>
      <c r="O682" s="120"/>
      <c r="P682" s="120"/>
      <c r="Q682" s="120"/>
      <c r="R682" s="120"/>
      <c r="S682" s="120"/>
      <c r="T682" s="120"/>
      <c r="U682" s="123"/>
      <c r="V682" s="120"/>
      <c r="W682" s="120"/>
      <c r="X682" s="120"/>
      <c r="Y682" s="120"/>
      <c r="Z682" s="120"/>
    </row>
    <row r="683" spans="1:26" ht="12" customHeight="1">
      <c r="A683" s="140"/>
      <c r="B683" s="120"/>
      <c r="C683" s="120"/>
      <c r="D683" s="120"/>
      <c r="E683" s="120"/>
      <c r="F683" s="120"/>
      <c r="G683" s="120"/>
      <c r="H683" s="120"/>
      <c r="I683" s="120"/>
      <c r="J683" s="120"/>
      <c r="K683" s="120"/>
      <c r="L683" s="120"/>
      <c r="M683" s="120"/>
      <c r="N683" s="120"/>
      <c r="O683" s="120"/>
      <c r="P683" s="120"/>
      <c r="Q683" s="120"/>
      <c r="R683" s="120"/>
      <c r="S683" s="120"/>
      <c r="T683" s="120"/>
      <c r="U683" s="123"/>
      <c r="V683" s="120"/>
      <c r="W683" s="120"/>
      <c r="X683" s="120"/>
      <c r="Y683" s="120"/>
      <c r="Z683" s="120"/>
    </row>
    <row r="684" spans="1:26" ht="12" customHeight="1">
      <c r="A684" s="140"/>
      <c r="B684" s="120"/>
      <c r="C684" s="120"/>
      <c r="D684" s="120"/>
      <c r="E684" s="120"/>
      <c r="F684" s="120"/>
      <c r="G684" s="120"/>
      <c r="H684" s="120"/>
      <c r="I684" s="120"/>
      <c r="J684" s="120"/>
      <c r="K684" s="120"/>
      <c r="L684" s="120"/>
      <c r="M684" s="120"/>
      <c r="N684" s="120"/>
      <c r="O684" s="120"/>
      <c r="P684" s="120"/>
      <c r="Q684" s="120"/>
      <c r="R684" s="120"/>
      <c r="S684" s="120"/>
      <c r="T684" s="120"/>
      <c r="U684" s="123"/>
      <c r="V684" s="120"/>
      <c r="W684" s="120"/>
      <c r="X684" s="120"/>
      <c r="Y684" s="120"/>
      <c r="Z684" s="120"/>
    </row>
    <row r="685" spans="1:26" ht="12" customHeight="1">
      <c r="A685" s="140"/>
      <c r="B685" s="120"/>
      <c r="C685" s="120"/>
      <c r="D685" s="120"/>
      <c r="E685" s="120"/>
      <c r="F685" s="120"/>
      <c r="G685" s="120"/>
      <c r="H685" s="120"/>
      <c r="I685" s="120"/>
      <c r="J685" s="120"/>
      <c r="K685" s="120"/>
      <c r="L685" s="120"/>
      <c r="M685" s="120"/>
      <c r="N685" s="120"/>
      <c r="O685" s="120"/>
      <c r="P685" s="120"/>
      <c r="Q685" s="120"/>
      <c r="R685" s="120"/>
      <c r="S685" s="120"/>
      <c r="T685" s="120"/>
      <c r="U685" s="123"/>
      <c r="V685" s="120"/>
      <c r="W685" s="120"/>
      <c r="X685" s="120"/>
      <c r="Y685" s="120"/>
      <c r="Z685" s="120"/>
    </row>
    <row r="686" spans="1:26" ht="12" customHeight="1">
      <c r="A686" s="140"/>
      <c r="B686" s="120"/>
      <c r="C686" s="120"/>
      <c r="D686" s="120"/>
      <c r="E686" s="120"/>
      <c r="F686" s="120"/>
      <c r="G686" s="120"/>
      <c r="H686" s="120"/>
      <c r="I686" s="120"/>
      <c r="J686" s="120"/>
      <c r="K686" s="120"/>
      <c r="L686" s="120"/>
      <c r="M686" s="120"/>
      <c r="N686" s="120"/>
      <c r="O686" s="120"/>
      <c r="P686" s="120"/>
      <c r="Q686" s="120"/>
      <c r="R686" s="120"/>
      <c r="S686" s="120"/>
      <c r="T686" s="120"/>
      <c r="U686" s="123"/>
      <c r="V686" s="120"/>
      <c r="W686" s="120"/>
      <c r="X686" s="120"/>
      <c r="Y686" s="120"/>
      <c r="Z686" s="120"/>
    </row>
    <row r="687" spans="1:26" ht="12" customHeight="1">
      <c r="A687" s="140"/>
      <c r="B687" s="120"/>
      <c r="C687" s="120"/>
      <c r="D687" s="120"/>
      <c r="E687" s="120"/>
      <c r="F687" s="120"/>
      <c r="G687" s="120"/>
      <c r="H687" s="120"/>
      <c r="I687" s="120"/>
      <c r="J687" s="120"/>
      <c r="K687" s="120"/>
      <c r="L687" s="120"/>
      <c r="M687" s="120"/>
      <c r="N687" s="120"/>
      <c r="O687" s="120"/>
      <c r="P687" s="120"/>
      <c r="Q687" s="120"/>
      <c r="R687" s="120"/>
      <c r="S687" s="120"/>
      <c r="T687" s="120"/>
      <c r="U687" s="123"/>
      <c r="V687" s="120"/>
      <c r="W687" s="120"/>
      <c r="X687" s="120"/>
      <c r="Y687" s="120"/>
      <c r="Z687" s="120"/>
    </row>
    <row r="688" spans="1:26" ht="12" customHeight="1">
      <c r="A688" s="140"/>
      <c r="B688" s="120"/>
      <c r="C688" s="120"/>
      <c r="D688" s="120"/>
      <c r="E688" s="120"/>
      <c r="F688" s="120"/>
      <c r="G688" s="120"/>
      <c r="H688" s="120"/>
      <c r="I688" s="120"/>
      <c r="J688" s="120"/>
      <c r="K688" s="120"/>
      <c r="L688" s="120"/>
      <c r="M688" s="120"/>
      <c r="N688" s="120"/>
      <c r="O688" s="120"/>
      <c r="P688" s="120"/>
      <c r="Q688" s="120"/>
      <c r="R688" s="120"/>
      <c r="S688" s="120"/>
      <c r="T688" s="120"/>
      <c r="U688" s="123"/>
      <c r="V688" s="120"/>
      <c r="W688" s="120"/>
      <c r="X688" s="120"/>
      <c r="Y688" s="120"/>
      <c r="Z688" s="120"/>
    </row>
    <row r="689" spans="1:26" ht="12" customHeight="1">
      <c r="A689" s="140"/>
      <c r="B689" s="120"/>
      <c r="C689" s="120"/>
      <c r="D689" s="120"/>
      <c r="E689" s="120"/>
      <c r="F689" s="120"/>
      <c r="G689" s="120"/>
      <c r="H689" s="120"/>
      <c r="I689" s="120"/>
      <c r="J689" s="120"/>
      <c r="K689" s="120"/>
      <c r="L689" s="120"/>
      <c r="M689" s="120"/>
      <c r="N689" s="120"/>
      <c r="O689" s="120"/>
      <c r="P689" s="120"/>
      <c r="Q689" s="120"/>
      <c r="R689" s="120"/>
      <c r="S689" s="120"/>
      <c r="T689" s="120"/>
      <c r="U689" s="123"/>
      <c r="V689" s="120"/>
      <c r="W689" s="120"/>
      <c r="X689" s="120"/>
      <c r="Y689" s="120"/>
      <c r="Z689" s="120"/>
    </row>
    <row r="690" spans="1:26" ht="12" customHeight="1">
      <c r="A690" s="140"/>
      <c r="B690" s="120"/>
      <c r="C690" s="120"/>
      <c r="D690" s="120"/>
      <c r="E690" s="120"/>
      <c r="F690" s="120"/>
      <c r="G690" s="120"/>
      <c r="H690" s="120"/>
      <c r="I690" s="120"/>
      <c r="J690" s="120"/>
      <c r="K690" s="120"/>
      <c r="L690" s="120"/>
      <c r="M690" s="120"/>
      <c r="N690" s="120"/>
      <c r="O690" s="120"/>
      <c r="P690" s="120"/>
      <c r="Q690" s="120"/>
      <c r="R690" s="120"/>
      <c r="S690" s="120"/>
      <c r="T690" s="120"/>
      <c r="U690" s="123"/>
      <c r="V690" s="120"/>
      <c r="W690" s="120"/>
      <c r="X690" s="120"/>
      <c r="Y690" s="120"/>
      <c r="Z690" s="120"/>
    </row>
    <row r="691" spans="1:26" ht="12" customHeight="1">
      <c r="A691" s="140"/>
      <c r="B691" s="120"/>
      <c r="C691" s="120"/>
      <c r="D691" s="120"/>
      <c r="E691" s="120"/>
      <c r="F691" s="120"/>
      <c r="G691" s="120"/>
      <c r="H691" s="120"/>
      <c r="I691" s="120"/>
      <c r="J691" s="120"/>
      <c r="K691" s="120"/>
      <c r="L691" s="120"/>
      <c r="M691" s="120"/>
      <c r="N691" s="120"/>
      <c r="O691" s="120"/>
      <c r="P691" s="120"/>
      <c r="Q691" s="120"/>
      <c r="R691" s="120"/>
      <c r="S691" s="120"/>
      <c r="T691" s="120"/>
      <c r="U691" s="123"/>
      <c r="V691" s="120"/>
      <c r="W691" s="120"/>
      <c r="X691" s="120"/>
      <c r="Y691" s="120"/>
      <c r="Z691" s="120"/>
    </row>
    <row r="692" spans="1:26" ht="12" customHeight="1">
      <c r="A692" s="140"/>
      <c r="B692" s="120"/>
      <c r="C692" s="120"/>
      <c r="D692" s="120"/>
      <c r="E692" s="120"/>
      <c r="F692" s="120"/>
      <c r="G692" s="120"/>
      <c r="H692" s="120"/>
      <c r="I692" s="120"/>
      <c r="J692" s="120"/>
      <c r="K692" s="120"/>
      <c r="L692" s="120"/>
      <c r="M692" s="120"/>
      <c r="N692" s="120"/>
      <c r="O692" s="120"/>
      <c r="P692" s="120"/>
      <c r="Q692" s="120"/>
      <c r="R692" s="120"/>
      <c r="S692" s="120"/>
      <c r="T692" s="120"/>
      <c r="U692" s="123"/>
      <c r="V692" s="120"/>
      <c r="W692" s="120"/>
      <c r="X692" s="120"/>
      <c r="Y692" s="120"/>
      <c r="Z692" s="120"/>
    </row>
    <row r="693" spans="1:26" ht="12" customHeight="1">
      <c r="A693" s="140"/>
      <c r="B693" s="120"/>
      <c r="C693" s="120"/>
      <c r="D693" s="120"/>
      <c r="E693" s="120"/>
      <c r="F693" s="120"/>
      <c r="G693" s="120"/>
      <c r="H693" s="120"/>
      <c r="I693" s="120"/>
      <c r="J693" s="120"/>
      <c r="K693" s="120"/>
      <c r="L693" s="120"/>
      <c r="M693" s="120"/>
      <c r="N693" s="120"/>
      <c r="O693" s="120"/>
      <c r="P693" s="120"/>
      <c r="Q693" s="120"/>
      <c r="R693" s="120"/>
      <c r="S693" s="120"/>
      <c r="T693" s="120"/>
      <c r="U693" s="123"/>
      <c r="V693" s="120"/>
      <c r="W693" s="120"/>
      <c r="X693" s="120"/>
      <c r="Y693" s="120"/>
      <c r="Z693" s="120"/>
    </row>
    <row r="694" spans="1:26" ht="12" customHeight="1">
      <c r="A694" s="140"/>
      <c r="B694" s="120"/>
      <c r="C694" s="120"/>
      <c r="D694" s="120"/>
      <c r="E694" s="120"/>
      <c r="F694" s="120"/>
      <c r="G694" s="120"/>
      <c r="H694" s="120"/>
      <c r="I694" s="120"/>
      <c r="J694" s="120"/>
      <c r="K694" s="120"/>
      <c r="L694" s="120"/>
      <c r="M694" s="120"/>
      <c r="N694" s="120"/>
      <c r="O694" s="120"/>
      <c r="P694" s="120"/>
      <c r="Q694" s="120"/>
      <c r="R694" s="120"/>
      <c r="S694" s="120"/>
      <c r="T694" s="120"/>
      <c r="U694" s="123"/>
      <c r="V694" s="120"/>
      <c r="W694" s="120"/>
      <c r="X694" s="120"/>
      <c r="Y694" s="120"/>
      <c r="Z694" s="120"/>
    </row>
    <row r="695" spans="1:26" ht="12" customHeight="1">
      <c r="A695" s="140"/>
      <c r="B695" s="120"/>
      <c r="C695" s="120"/>
      <c r="D695" s="120"/>
      <c r="E695" s="120"/>
      <c r="F695" s="120"/>
      <c r="G695" s="120"/>
      <c r="H695" s="120"/>
      <c r="I695" s="120"/>
      <c r="J695" s="120"/>
      <c r="K695" s="120"/>
      <c r="L695" s="120"/>
      <c r="M695" s="120"/>
      <c r="N695" s="120"/>
      <c r="O695" s="120"/>
      <c r="P695" s="120"/>
      <c r="Q695" s="120"/>
      <c r="R695" s="120"/>
      <c r="S695" s="120"/>
      <c r="T695" s="120"/>
      <c r="U695" s="123"/>
      <c r="V695" s="120"/>
      <c r="W695" s="120"/>
      <c r="X695" s="120"/>
      <c r="Y695" s="120"/>
      <c r="Z695" s="120"/>
    </row>
    <row r="696" spans="1:26" ht="12" customHeight="1">
      <c r="A696" s="140"/>
      <c r="B696" s="120"/>
      <c r="C696" s="120"/>
      <c r="D696" s="120"/>
      <c r="E696" s="120"/>
      <c r="F696" s="120"/>
      <c r="G696" s="120"/>
      <c r="H696" s="120"/>
      <c r="I696" s="120"/>
      <c r="J696" s="120"/>
      <c r="K696" s="120"/>
      <c r="L696" s="120"/>
      <c r="M696" s="120"/>
      <c r="N696" s="120"/>
      <c r="O696" s="120"/>
      <c r="P696" s="120"/>
      <c r="Q696" s="120"/>
      <c r="R696" s="120"/>
      <c r="S696" s="120"/>
      <c r="T696" s="120"/>
      <c r="U696" s="123"/>
      <c r="V696" s="120"/>
      <c r="W696" s="120"/>
      <c r="X696" s="120"/>
      <c r="Y696" s="120"/>
      <c r="Z696" s="120"/>
    </row>
    <row r="697" spans="1:26" ht="12" customHeight="1">
      <c r="A697" s="140"/>
      <c r="B697" s="120"/>
      <c r="C697" s="120"/>
      <c r="D697" s="120"/>
      <c r="E697" s="120"/>
      <c r="F697" s="120"/>
      <c r="G697" s="120"/>
      <c r="H697" s="120"/>
      <c r="I697" s="120"/>
      <c r="J697" s="120"/>
      <c r="K697" s="120"/>
      <c r="L697" s="120"/>
      <c r="M697" s="120"/>
      <c r="N697" s="120"/>
      <c r="O697" s="120"/>
      <c r="P697" s="120"/>
      <c r="Q697" s="120"/>
      <c r="R697" s="120"/>
      <c r="S697" s="120"/>
      <c r="T697" s="120"/>
      <c r="U697" s="123"/>
      <c r="V697" s="120"/>
      <c r="W697" s="120"/>
      <c r="X697" s="120"/>
      <c r="Y697" s="120"/>
      <c r="Z697" s="120"/>
    </row>
    <row r="698" spans="1:26" ht="12" customHeight="1">
      <c r="A698" s="140"/>
      <c r="B698" s="120"/>
      <c r="C698" s="120"/>
      <c r="D698" s="120"/>
      <c r="E698" s="120"/>
      <c r="F698" s="120"/>
      <c r="G698" s="120"/>
      <c r="H698" s="120"/>
      <c r="I698" s="120"/>
      <c r="J698" s="120"/>
      <c r="K698" s="120"/>
      <c r="L698" s="120"/>
      <c r="M698" s="120"/>
      <c r="N698" s="120"/>
      <c r="O698" s="120"/>
      <c r="P698" s="120"/>
      <c r="Q698" s="120"/>
      <c r="R698" s="120"/>
      <c r="S698" s="120"/>
      <c r="T698" s="120"/>
      <c r="U698" s="123"/>
      <c r="V698" s="120"/>
      <c r="W698" s="120"/>
      <c r="X698" s="120"/>
      <c r="Y698" s="120"/>
      <c r="Z698" s="120"/>
    </row>
    <row r="699" spans="1:26" ht="12" customHeight="1">
      <c r="A699" s="140"/>
      <c r="B699" s="120"/>
      <c r="C699" s="120"/>
      <c r="D699" s="120"/>
      <c r="E699" s="120"/>
      <c r="F699" s="120"/>
      <c r="G699" s="120"/>
      <c r="H699" s="120"/>
      <c r="I699" s="120"/>
      <c r="J699" s="120"/>
      <c r="K699" s="120"/>
      <c r="L699" s="120"/>
      <c r="M699" s="120"/>
      <c r="N699" s="120"/>
      <c r="O699" s="120"/>
      <c r="P699" s="120"/>
      <c r="Q699" s="120"/>
      <c r="R699" s="120"/>
      <c r="S699" s="120"/>
      <c r="T699" s="120"/>
      <c r="U699" s="123"/>
      <c r="V699" s="120"/>
      <c r="W699" s="120"/>
      <c r="X699" s="120"/>
      <c r="Y699" s="120"/>
      <c r="Z699" s="120"/>
    </row>
    <row r="700" spans="1:26" ht="12" customHeight="1">
      <c r="A700" s="140"/>
      <c r="B700" s="120"/>
      <c r="C700" s="120"/>
      <c r="D700" s="120"/>
      <c r="E700" s="120"/>
      <c r="F700" s="120"/>
      <c r="G700" s="120"/>
      <c r="H700" s="120"/>
      <c r="I700" s="120"/>
      <c r="J700" s="120"/>
      <c r="K700" s="120"/>
      <c r="L700" s="120"/>
      <c r="M700" s="120"/>
      <c r="N700" s="120"/>
      <c r="O700" s="120"/>
      <c r="P700" s="120"/>
      <c r="Q700" s="120"/>
      <c r="R700" s="120"/>
      <c r="S700" s="120"/>
      <c r="T700" s="120"/>
      <c r="U700" s="123"/>
      <c r="V700" s="120"/>
      <c r="W700" s="120"/>
      <c r="X700" s="120"/>
      <c r="Y700" s="120"/>
      <c r="Z700" s="120"/>
    </row>
    <row r="701" spans="1:26" ht="12" customHeight="1">
      <c r="A701" s="140"/>
      <c r="B701" s="120"/>
      <c r="C701" s="120"/>
      <c r="D701" s="120"/>
      <c r="E701" s="120"/>
      <c r="F701" s="120"/>
      <c r="G701" s="120"/>
      <c r="H701" s="120"/>
      <c r="I701" s="120"/>
      <c r="J701" s="120"/>
      <c r="K701" s="120"/>
      <c r="L701" s="120"/>
      <c r="M701" s="120"/>
      <c r="N701" s="120"/>
      <c r="O701" s="120"/>
      <c r="P701" s="120"/>
      <c r="Q701" s="120"/>
      <c r="R701" s="120"/>
      <c r="S701" s="120"/>
      <c r="T701" s="120"/>
      <c r="U701" s="123"/>
      <c r="V701" s="120"/>
      <c r="W701" s="120"/>
      <c r="X701" s="120"/>
      <c r="Y701" s="120"/>
      <c r="Z701" s="120"/>
    </row>
    <row r="702" spans="1:26" ht="12" customHeight="1">
      <c r="A702" s="140"/>
      <c r="B702" s="120"/>
      <c r="C702" s="120"/>
      <c r="D702" s="120"/>
      <c r="E702" s="120"/>
      <c r="F702" s="120"/>
      <c r="G702" s="120"/>
      <c r="H702" s="120"/>
      <c r="I702" s="120"/>
      <c r="J702" s="120"/>
      <c r="K702" s="120"/>
      <c r="L702" s="120"/>
      <c r="M702" s="120"/>
      <c r="N702" s="120"/>
      <c r="O702" s="120"/>
      <c r="P702" s="120"/>
      <c r="Q702" s="120"/>
      <c r="R702" s="120"/>
      <c r="S702" s="120"/>
      <c r="T702" s="120"/>
      <c r="U702" s="123"/>
      <c r="V702" s="120"/>
      <c r="W702" s="120"/>
      <c r="X702" s="120"/>
      <c r="Y702" s="120"/>
      <c r="Z702" s="120"/>
    </row>
    <row r="703" spans="1:26" ht="12" customHeight="1">
      <c r="A703" s="140"/>
      <c r="B703" s="120"/>
      <c r="C703" s="120"/>
      <c r="D703" s="120"/>
      <c r="E703" s="120"/>
      <c r="F703" s="120"/>
      <c r="G703" s="120"/>
      <c r="H703" s="120"/>
      <c r="I703" s="120"/>
      <c r="J703" s="120"/>
      <c r="K703" s="120"/>
      <c r="L703" s="120"/>
      <c r="M703" s="120"/>
      <c r="N703" s="120"/>
      <c r="O703" s="120"/>
      <c r="P703" s="120"/>
      <c r="Q703" s="120"/>
      <c r="R703" s="120"/>
      <c r="S703" s="120"/>
      <c r="T703" s="120"/>
      <c r="U703" s="123"/>
      <c r="V703" s="120"/>
      <c r="W703" s="120"/>
      <c r="X703" s="120"/>
      <c r="Y703" s="120"/>
      <c r="Z703" s="120"/>
    </row>
    <row r="704" spans="1:26" ht="12" customHeight="1">
      <c r="A704" s="140"/>
      <c r="B704" s="120"/>
      <c r="C704" s="120"/>
      <c r="D704" s="120"/>
      <c r="E704" s="120"/>
      <c r="F704" s="120"/>
      <c r="G704" s="120"/>
      <c r="H704" s="120"/>
      <c r="I704" s="120"/>
      <c r="J704" s="120"/>
      <c r="K704" s="120"/>
      <c r="L704" s="120"/>
      <c r="M704" s="120"/>
      <c r="N704" s="120"/>
      <c r="O704" s="120"/>
      <c r="P704" s="120"/>
      <c r="Q704" s="120"/>
      <c r="R704" s="120"/>
      <c r="S704" s="120"/>
      <c r="T704" s="120"/>
      <c r="U704" s="123"/>
      <c r="V704" s="120"/>
      <c r="W704" s="120"/>
      <c r="X704" s="120"/>
      <c r="Y704" s="120"/>
      <c r="Z704" s="120"/>
    </row>
    <row r="705" spans="1:26" ht="12" customHeight="1">
      <c r="A705" s="140"/>
      <c r="B705" s="120"/>
      <c r="C705" s="120"/>
      <c r="D705" s="120"/>
      <c r="E705" s="120"/>
      <c r="F705" s="120"/>
      <c r="G705" s="120"/>
      <c r="H705" s="120"/>
      <c r="I705" s="120"/>
      <c r="J705" s="120"/>
      <c r="K705" s="120"/>
      <c r="L705" s="120"/>
      <c r="M705" s="120"/>
      <c r="N705" s="120"/>
      <c r="O705" s="120"/>
      <c r="P705" s="120"/>
      <c r="Q705" s="120"/>
      <c r="R705" s="120"/>
      <c r="S705" s="120"/>
      <c r="T705" s="120"/>
      <c r="U705" s="123"/>
      <c r="V705" s="120"/>
      <c r="W705" s="120"/>
      <c r="X705" s="120"/>
      <c r="Y705" s="120"/>
      <c r="Z705" s="120"/>
    </row>
    <row r="706" spans="1:26" ht="12" customHeight="1">
      <c r="A706" s="140"/>
      <c r="B706" s="120"/>
      <c r="C706" s="120"/>
      <c r="D706" s="120"/>
      <c r="E706" s="120"/>
      <c r="F706" s="120"/>
      <c r="G706" s="120"/>
      <c r="H706" s="120"/>
      <c r="I706" s="120"/>
      <c r="J706" s="120"/>
      <c r="K706" s="120"/>
      <c r="L706" s="120"/>
      <c r="M706" s="120"/>
      <c r="N706" s="120"/>
      <c r="O706" s="120"/>
      <c r="P706" s="120"/>
      <c r="Q706" s="120"/>
      <c r="R706" s="120"/>
      <c r="S706" s="120"/>
      <c r="T706" s="120"/>
      <c r="U706" s="123"/>
      <c r="V706" s="120"/>
      <c r="W706" s="120"/>
      <c r="X706" s="120"/>
      <c r="Y706" s="120"/>
      <c r="Z706" s="120"/>
    </row>
    <row r="707" spans="1:26" ht="12" customHeight="1">
      <c r="A707" s="140"/>
      <c r="B707" s="120"/>
      <c r="C707" s="120"/>
      <c r="D707" s="120"/>
      <c r="E707" s="120"/>
      <c r="F707" s="120"/>
      <c r="G707" s="120"/>
      <c r="H707" s="120"/>
      <c r="I707" s="120"/>
      <c r="J707" s="120"/>
      <c r="K707" s="120"/>
      <c r="L707" s="120"/>
      <c r="M707" s="120"/>
      <c r="N707" s="120"/>
      <c r="O707" s="120"/>
      <c r="P707" s="120"/>
      <c r="Q707" s="120"/>
      <c r="R707" s="120"/>
      <c r="S707" s="120"/>
      <c r="T707" s="120"/>
      <c r="U707" s="123"/>
      <c r="V707" s="120"/>
      <c r="W707" s="120"/>
      <c r="X707" s="120"/>
      <c r="Y707" s="120"/>
      <c r="Z707" s="120"/>
    </row>
    <row r="708" spans="1:26" ht="12" customHeight="1">
      <c r="A708" s="140"/>
      <c r="B708" s="120"/>
      <c r="C708" s="120"/>
      <c r="D708" s="120"/>
      <c r="E708" s="120"/>
      <c r="F708" s="120"/>
      <c r="G708" s="120"/>
      <c r="H708" s="120"/>
      <c r="I708" s="120"/>
      <c r="J708" s="120"/>
      <c r="K708" s="120"/>
      <c r="L708" s="120"/>
      <c r="M708" s="120"/>
      <c r="N708" s="120"/>
      <c r="O708" s="120"/>
      <c r="P708" s="120"/>
      <c r="Q708" s="120"/>
      <c r="R708" s="120"/>
      <c r="S708" s="120"/>
      <c r="T708" s="120"/>
      <c r="U708" s="123"/>
      <c r="V708" s="120"/>
      <c r="W708" s="120"/>
      <c r="X708" s="120"/>
      <c r="Y708" s="120"/>
      <c r="Z708" s="120"/>
    </row>
    <row r="709" spans="1:26" ht="12" customHeight="1">
      <c r="A709" s="140"/>
      <c r="B709" s="120"/>
      <c r="C709" s="120"/>
      <c r="D709" s="120"/>
      <c r="E709" s="120"/>
      <c r="F709" s="120"/>
      <c r="G709" s="120"/>
      <c r="H709" s="120"/>
      <c r="I709" s="120"/>
      <c r="J709" s="120"/>
      <c r="K709" s="120"/>
      <c r="L709" s="120"/>
      <c r="M709" s="120"/>
      <c r="N709" s="120"/>
      <c r="O709" s="120"/>
      <c r="P709" s="120"/>
      <c r="Q709" s="120"/>
      <c r="R709" s="120"/>
      <c r="S709" s="120"/>
      <c r="T709" s="120"/>
      <c r="U709" s="123"/>
      <c r="V709" s="120"/>
      <c r="W709" s="120"/>
      <c r="X709" s="120"/>
      <c r="Y709" s="120"/>
      <c r="Z709" s="120"/>
    </row>
    <row r="710" spans="1:26" ht="12" customHeight="1">
      <c r="A710" s="140"/>
      <c r="B710" s="120"/>
      <c r="C710" s="120"/>
      <c r="D710" s="120"/>
      <c r="E710" s="120"/>
      <c r="F710" s="120"/>
      <c r="G710" s="120"/>
      <c r="H710" s="120"/>
      <c r="I710" s="120"/>
      <c r="J710" s="120"/>
      <c r="K710" s="120"/>
      <c r="L710" s="120"/>
      <c r="M710" s="120"/>
      <c r="N710" s="120"/>
      <c r="O710" s="120"/>
      <c r="P710" s="120"/>
      <c r="Q710" s="120"/>
      <c r="R710" s="120"/>
      <c r="S710" s="120"/>
      <c r="T710" s="120"/>
      <c r="U710" s="123"/>
      <c r="V710" s="120"/>
      <c r="W710" s="120"/>
      <c r="X710" s="120"/>
      <c r="Y710" s="120"/>
      <c r="Z710" s="120"/>
    </row>
    <row r="711" spans="1:26" ht="12" customHeight="1">
      <c r="A711" s="140"/>
      <c r="B711" s="120"/>
      <c r="C711" s="120"/>
      <c r="D711" s="120"/>
      <c r="E711" s="120"/>
      <c r="F711" s="120"/>
      <c r="G711" s="120"/>
      <c r="H711" s="120"/>
      <c r="I711" s="120"/>
      <c r="J711" s="120"/>
      <c r="K711" s="120"/>
      <c r="L711" s="120"/>
      <c r="M711" s="120"/>
      <c r="N711" s="120"/>
      <c r="O711" s="120"/>
      <c r="P711" s="120"/>
      <c r="Q711" s="120"/>
      <c r="R711" s="120"/>
      <c r="S711" s="120"/>
      <c r="T711" s="120"/>
      <c r="U711" s="123"/>
      <c r="V711" s="120"/>
      <c r="W711" s="120"/>
      <c r="X711" s="120"/>
      <c r="Y711" s="120"/>
      <c r="Z711" s="120"/>
    </row>
    <row r="712" spans="1:26" ht="12" customHeight="1">
      <c r="A712" s="140"/>
      <c r="B712" s="120"/>
      <c r="C712" s="120"/>
      <c r="D712" s="120"/>
      <c r="E712" s="120"/>
      <c r="F712" s="120"/>
      <c r="G712" s="120"/>
      <c r="H712" s="120"/>
      <c r="I712" s="120"/>
      <c r="J712" s="120"/>
      <c r="K712" s="120"/>
      <c r="L712" s="120"/>
      <c r="M712" s="120"/>
      <c r="N712" s="120"/>
      <c r="O712" s="120"/>
      <c r="P712" s="120"/>
      <c r="Q712" s="120"/>
      <c r="R712" s="120"/>
      <c r="S712" s="120"/>
      <c r="T712" s="120"/>
      <c r="U712" s="123"/>
      <c r="V712" s="120"/>
      <c r="W712" s="120"/>
      <c r="X712" s="120"/>
      <c r="Y712" s="120"/>
      <c r="Z712" s="120"/>
    </row>
    <row r="713" spans="1:26" ht="12" customHeight="1">
      <c r="A713" s="140"/>
      <c r="B713" s="120"/>
      <c r="C713" s="120"/>
      <c r="D713" s="120"/>
      <c r="E713" s="120"/>
      <c r="F713" s="120"/>
      <c r="G713" s="120"/>
      <c r="H713" s="120"/>
      <c r="I713" s="120"/>
      <c r="J713" s="120"/>
      <c r="K713" s="120"/>
      <c r="L713" s="120"/>
      <c r="M713" s="120"/>
      <c r="N713" s="120"/>
      <c r="O713" s="120"/>
      <c r="P713" s="120"/>
      <c r="Q713" s="120"/>
      <c r="R713" s="120"/>
      <c r="S713" s="120"/>
      <c r="T713" s="120"/>
      <c r="U713" s="123"/>
      <c r="V713" s="120"/>
      <c r="W713" s="120"/>
      <c r="X713" s="120"/>
      <c r="Y713" s="120"/>
      <c r="Z713" s="120"/>
    </row>
    <row r="714" spans="1:26" ht="12" customHeight="1">
      <c r="A714" s="140"/>
      <c r="B714" s="120"/>
      <c r="C714" s="120"/>
      <c r="D714" s="120"/>
      <c r="E714" s="120"/>
      <c r="F714" s="120"/>
      <c r="G714" s="120"/>
      <c r="H714" s="120"/>
      <c r="I714" s="120"/>
      <c r="J714" s="120"/>
      <c r="K714" s="120"/>
      <c r="L714" s="120"/>
      <c r="M714" s="120"/>
      <c r="N714" s="120"/>
      <c r="O714" s="120"/>
      <c r="P714" s="120"/>
      <c r="Q714" s="120"/>
      <c r="R714" s="120"/>
      <c r="S714" s="120"/>
      <c r="T714" s="120"/>
      <c r="U714" s="123"/>
      <c r="V714" s="120"/>
      <c r="W714" s="120"/>
      <c r="X714" s="120"/>
      <c r="Y714" s="120"/>
      <c r="Z714" s="120"/>
    </row>
    <row r="715" spans="1:26" ht="12" customHeight="1">
      <c r="A715" s="140"/>
      <c r="B715" s="120"/>
      <c r="C715" s="120"/>
      <c r="D715" s="120"/>
      <c r="E715" s="120"/>
      <c r="F715" s="120"/>
      <c r="G715" s="120"/>
      <c r="H715" s="120"/>
      <c r="I715" s="120"/>
      <c r="J715" s="120"/>
      <c r="K715" s="120"/>
      <c r="L715" s="120"/>
      <c r="M715" s="120"/>
      <c r="N715" s="120"/>
      <c r="O715" s="120"/>
      <c r="P715" s="120"/>
      <c r="Q715" s="120"/>
      <c r="R715" s="120"/>
      <c r="S715" s="120"/>
      <c r="T715" s="120"/>
      <c r="U715" s="123"/>
      <c r="V715" s="120"/>
      <c r="W715" s="120"/>
      <c r="X715" s="120"/>
      <c r="Y715" s="120"/>
      <c r="Z715" s="120"/>
    </row>
    <row r="716" spans="1:26" ht="12" customHeight="1">
      <c r="A716" s="140"/>
      <c r="B716" s="120"/>
      <c r="C716" s="120"/>
      <c r="D716" s="120"/>
      <c r="E716" s="120"/>
      <c r="F716" s="120"/>
      <c r="G716" s="120"/>
      <c r="H716" s="120"/>
      <c r="I716" s="120"/>
      <c r="J716" s="120"/>
      <c r="K716" s="120"/>
      <c r="L716" s="120"/>
      <c r="M716" s="120"/>
      <c r="N716" s="120"/>
      <c r="O716" s="120"/>
      <c r="P716" s="120"/>
      <c r="Q716" s="120"/>
      <c r="R716" s="120"/>
      <c r="S716" s="120"/>
      <c r="T716" s="120"/>
      <c r="U716" s="123"/>
      <c r="V716" s="120"/>
      <c r="W716" s="120"/>
      <c r="X716" s="120"/>
      <c r="Y716" s="120"/>
      <c r="Z716" s="120"/>
    </row>
    <row r="717" spans="1:26" ht="12" customHeight="1">
      <c r="A717" s="140"/>
      <c r="B717" s="120"/>
      <c r="C717" s="120"/>
      <c r="D717" s="120"/>
      <c r="E717" s="120"/>
      <c r="F717" s="120"/>
      <c r="G717" s="120"/>
      <c r="H717" s="120"/>
      <c r="I717" s="120"/>
      <c r="J717" s="120"/>
      <c r="K717" s="120"/>
      <c r="L717" s="120"/>
      <c r="M717" s="120"/>
      <c r="N717" s="120"/>
      <c r="O717" s="120"/>
      <c r="P717" s="120"/>
      <c r="Q717" s="120"/>
      <c r="R717" s="120"/>
      <c r="S717" s="120"/>
      <c r="T717" s="120"/>
      <c r="U717" s="123"/>
      <c r="V717" s="120"/>
      <c r="W717" s="120"/>
      <c r="X717" s="120"/>
      <c r="Y717" s="120"/>
      <c r="Z717" s="120"/>
    </row>
    <row r="718" spans="1:26" ht="12" customHeight="1">
      <c r="A718" s="140"/>
      <c r="B718" s="120"/>
      <c r="C718" s="120"/>
      <c r="D718" s="120"/>
      <c r="E718" s="120"/>
      <c r="F718" s="120"/>
      <c r="G718" s="120"/>
      <c r="H718" s="120"/>
      <c r="I718" s="120"/>
      <c r="J718" s="120"/>
      <c r="K718" s="120"/>
      <c r="L718" s="120"/>
      <c r="M718" s="120"/>
      <c r="N718" s="120"/>
      <c r="O718" s="120"/>
      <c r="P718" s="120"/>
      <c r="Q718" s="120"/>
      <c r="R718" s="120"/>
      <c r="S718" s="120"/>
      <c r="T718" s="120"/>
      <c r="U718" s="123"/>
      <c r="V718" s="120"/>
      <c r="W718" s="120"/>
      <c r="X718" s="120"/>
      <c r="Y718" s="120"/>
      <c r="Z718" s="120"/>
    </row>
    <row r="719" spans="1:26" ht="12" customHeight="1">
      <c r="A719" s="140"/>
      <c r="B719" s="120"/>
      <c r="C719" s="120"/>
      <c r="D719" s="120"/>
      <c r="E719" s="120"/>
      <c r="F719" s="120"/>
      <c r="G719" s="120"/>
      <c r="H719" s="120"/>
      <c r="I719" s="120"/>
      <c r="J719" s="120"/>
      <c r="K719" s="120"/>
      <c r="L719" s="120"/>
      <c r="M719" s="120"/>
      <c r="N719" s="120"/>
      <c r="O719" s="120"/>
      <c r="P719" s="120"/>
      <c r="Q719" s="120"/>
      <c r="R719" s="120"/>
      <c r="S719" s="120"/>
      <c r="T719" s="120"/>
      <c r="U719" s="123"/>
      <c r="V719" s="120"/>
      <c r="W719" s="120"/>
      <c r="X719" s="120"/>
      <c r="Y719" s="120"/>
      <c r="Z719" s="120"/>
    </row>
    <row r="720" spans="1:26" ht="12" customHeight="1">
      <c r="A720" s="140"/>
      <c r="B720" s="120"/>
      <c r="C720" s="120"/>
      <c r="D720" s="120"/>
      <c r="E720" s="120"/>
      <c r="F720" s="120"/>
      <c r="G720" s="120"/>
      <c r="H720" s="120"/>
      <c r="I720" s="120"/>
      <c r="J720" s="120"/>
      <c r="K720" s="120"/>
      <c r="L720" s="120"/>
      <c r="M720" s="120"/>
      <c r="N720" s="120"/>
      <c r="O720" s="120"/>
      <c r="P720" s="120"/>
      <c r="Q720" s="120"/>
      <c r="R720" s="120"/>
      <c r="S720" s="120"/>
      <c r="T720" s="120"/>
      <c r="U720" s="123"/>
      <c r="V720" s="120"/>
      <c r="W720" s="120"/>
      <c r="X720" s="120"/>
      <c r="Y720" s="120"/>
      <c r="Z720" s="120"/>
    </row>
    <row r="721" spans="1:26" ht="12" customHeight="1">
      <c r="A721" s="140"/>
      <c r="B721" s="120"/>
      <c r="C721" s="120"/>
      <c r="D721" s="120"/>
      <c r="E721" s="120"/>
      <c r="F721" s="120"/>
      <c r="G721" s="120"/>
      <c r="H721" s="120"/>
      <c r="I721" s="120"/>
      <c r="J721" s="120"/>
      <c r="K721" s="120"/>
      <c r="L721" s="120"/>
      <c r="M721" s="120"/>
      <c r="N721" s="120"/>
      <c r="O721" s="120"/>
      <c r="P721" s="120"/>
      <c r="Q721" s="120"/>
      <c r="R721" s="120"/>
      <c r="S721" s="120"/>
      <c r="T721" s="120"/>
      <c r="U721" s="123"/>
      <c r="V721" s="120"/>
      <c r="W721" s="120"/>
      <c r="X721" s="120"/>
      <c r="Y721" s="120"/>
      <c r="Z721" s="120"/>
    </row>
    <row r="722" spans="1:26" ht="12" customHeight="1">
      <c r="A722" s="140"/>
      <c r="B722" s="120"/>
      <c r="C722" s="120"/>
      <c r="D722" s="120"/>
      <c r="E722" s="120"/>
      <c r="F722" s="120"/>
      <c r="G722" s="120"/>
      <c r="H722" s="120"/>
      <c r="I722" s="120"/>
      <c r="J722" s="120"/>
      <c r="K722" s="120"/>
      <c r="L722" s="120"/>
      <c r="M722" s="120"/>
      <c r="N722" s="120"/>
      <c r="O722" s="120"/>
      <c r="P722" s="120"/>
      <c r="Q722" s="120"/>
      <c r="R722" s="120"/>
      <c r="S722" s="120"/>
      <c r="T722" s="120"/>
      <c r="U722" s="123"/>
      <c r="V722" s="120"/>
      <c r="W722" s="120"/>
      <c r="X722" s="120"/>
      <c r="Y722" s="120"/>
      <c r="Z722" s="120"/>
    </row>
    <row r="723" spans="1:26" ht="12" customHeight="1">
      <c r="A723" s="140"/>
      <c r="B723" s="120"/>
      <c r="C723" s="120"/>
      <c r="D723" s="120"/>
      <c r="E723" s="120"/>
      <c r="F723" s="120"/>
      <c r="G723" s="120"/>
      <c r="H723" s="120"/>
      <c r="I723" s="120"/>
      <c r="J723" s="120"/>
      <c r="K723" s="120"/>
      <c r="L723" s="120"/>
      <c r="M723" s="120"/>
      <c r="N723" s="120"/>
      <c r="O723" s="120"/>
      <c r="P723" s="120"/>
      <c r="Q723" s="120"/>
      <c r="R723" s="120"/>
      <c r="S723" s="120"/>
      <c r="T723" s="120"/>
      <c r="U723" s="123"/>
      <c r="V723" s="120"/>
      <c r="W723" s="120"/>
      <c r="X723" s="120"/>
      <c r="Y723" s="120"/>
      <c r="Z723" s="120"/>
    </row>
    <row r="724" spans="1:26" ht="12" customHeight="1">
      <c r="A724" s="140"/>
      <c r="B724" s="120"/>
      <c r="C724" s="120"/>
      <c r="D724" s="120"/>
      <c r="E724" s="120"/>
      <c r="F724" s="120"/>
      <c r="G724" s="120"/>
      <c r="H724" s="120"/>
      <c r="I724" s="120"/>
      <c r="J724" s="120"/>
      <c r="K724" s="120"/>
      <c r="L724" s="120"/>
      <c r="M724" s="120"/>
      <c r="N724" s="120"/>
      <c r="O724" s="120"/>
      <c r="P724" s="120"/>
      <c r="Q724" s="120"/>
      <c r="R724" s="120"/>
      <c r="S724" s="120"/>
      <c r="T724" s="120"/>
      <c r="U724" s="123"/>
      <c r="V724" s="120"/>
      <c r="W724" s="120"/>
      <c r="X724" s="120"/>
      <c r="Y724" s="120"/>
      <c r="Z724" s="120"/>
    </row>
    <row r="725" spans="1:26" ht="12" customHeight="1">
      <c r="A725" s="140"/>
      <c r="B725" s="120"/>
      <c r="C725" s="120"/>
      <c r="D725" s="120"/>
      <c r="E725" s="120"/>
      <c r="F725" s="120"/>
      <c r="G725" s="120"/>
      <c r="H725" s="120"/>
      <c r="I725" s="120"/>
      <c r="J725" s="120"/>
      <c r="K725" s="120"/>
      <c r="L725" s="120"/>
      <c r="M725" s="120"/>
      <c r="N725" s="120"/>
      <c r="O725" s="120"/>
      <c r="P725" s="120"/>
      <c r="Q725" s="120"/>
      <c r="R725" s="120"/>
      <c r="S725" s="120"/>
      <c r="T725" s="120"/>
      <c r="U725" s="123"/>
      <c r="V725" s="120"/>
      <c r="W725" s="120"/>
      <c r="X725" s="120"/>
      <c r="Y725" s="120"/>
      <c r="Z725" s="120"/>
    </row>
    <row r="726" spans="1:26" ht="12" customHeight="1">
      <c r="A726" s="140"/>
      <c r="B726" s="120"/>
      <c r="C726" s="120"/>
      <c r="D726" s="120"/>
      <c r="E726" s="120"/>
      <c r="F726" s="120"/>
      <c r="G726" s="120"/>
      <c r="H726" s="120"/>
      <c r="I726" s="120"/>
      <c r="J726" s="120"/>
      <c r="K726" s="120"/>
      <c r="L726" s="120"/>
      <c r="M726" s="120"/>
      <c r="N726" s="120"/>
      <c r="O726" s="120"/>
      <c r="P726" s="120"/>
      <c r="Q726" s="120"/>
      <c r="R726" s="120"/>
      <c r="S726" s="120"/>
      <c r="T726" s="120"/>
      <c r="U726" s="123"/>
      <c r="V726" s="120"/>
      <c r="W726" s="120"/>
      <c r="X726" s="120"/>
      <c r="Y726" s="120"/>
      <c r="Z726" s="120"/>
    </row>
    <row r="727" spans="1:26" ht="12" customHeight="1">
      <c r="A727" s="140"/>
      <c r="B727" s="120"/>
      <c r="C727" s="120"/>
      <c r="D727" s="120"/>
      <c r="E727" s="120"/>
      <c r="F727" s="120"/>
      <c r="G727" s="120"/>
      <c r="H727" s="120"/>
      <c r="I727" s="120"/>
      <c r="J727" s="120"/>
      <c r="K727" s="120"/>
      <c r="L727" s="120"/>
      <c r="M727" s="120"/>
      <c r="N727" s="120"/>
      <c r="O727" s="120"/>
      <c r="P727" s="120"/>
      <c r="Q727" s="120"/>
      <c r="R727" s="120"/>
      <c r="S727" s="120"/>
      <c r="T727" s="120"/>
      <c r="U727" s="123"/>
      <c r="V727" s="120"/>
      <c r="W727" s="120"/>
      <c r="X727" s="120"/>
      <c r="Y727" s="120"/>
      <c r="Z727" s="120"/>
    </row>
    <row r="728" spans="1:26" ht="12" customHeight="1">
      <c r="A728" s="140"/>
      <c r="B728" s="120"/>
      <c r="C728" s="120"/>
      <c r="D728" s="120"/>
      <c r="E728" s="120"/>
      <c r="F728" s="120"/>
      <c r="G728" s="120"/>
      <c r="H728" s="120"/>
      <c r="I728" s="120"/>
      <c r="J728" s="120"/>
      <c r="K728" s="120"/>
      <c r="L728" s="120"/>
      <c r="M728" s="120"/>
      <c r="N728" s="120"/>
      <c r="O728" s="120"/>
      <c r="P728" s="120"/>
      <c r="Q728" s="120"/>
      <c r="R728" s="120"/>
      <c r="S728" s="120"/>
      <c r="T728" s="120"/>
      <c r="U728" s="123"/>
      <c r="V728" s="120"/>
      <c r="W728" s="120"/>
      <c r="X728" s="120"/>
      <c r="Y728" s="120"/>
      <c r="Z728" s="120"/>
    </row>
    <row r="729" spans="1:26" ht="12" customHeight="1">
      <c r="A729" s="140"/>
      <c r="B729" s="120"/>
      <c r="C729" s="120"/>
      <c r="D729" s="120"/>
      <c r="E729" s="120"/>
      <c r="F729" s="120"/>
      <c r="G729" s="120"/>
      <c r="H729" s="120"/>
      <c r="I729" s="120"/>
      <c r="J729" s="120"/>
      <c r="K729" s="120"/>
      <c r="L729" s="120"/>
      <c r="M729" s="120"/>
      <c r="N729" s="120"/>
      <c r="O729" s="120"/>
      <c r="P729" s="120"/>
      <c r="Q729" s="120"/>
      <c r="R729" s="120"/>
      <c r="S729" s="120"/>
      <c r="T729" s="120"/>
      <c r="U729" s="123"/>
      <c r="V729" s="120"/>
      <c r="W729" s="120"/>
      <c r="X729" s="120"/>
      <c r="Y729" s="120"/>
      <c r="Z729" s="120"/>
    </row>
    <row r="730" spans="1:26" ht="12" customHeight="1">
      <c r="A730" s="140"/>
      <c r="B730" s="120"/>
      <c r="C730" s="120"/>
      <c r="D730" s="120"/>
      <c r="E730" s="120"/>
      <c r="F730" s="120"/>
      <c r="G730" s="120"/>
      <c r="H730" s="120"/>
      <c r="I730" s="120"/>
      <c r="J730" s="120"/>
      <c r="K730" s="120"/>
      <c r="L730" s="120"/>
      <c r="M730" s="120"/>
      <c r="N730" s="120"/>
      <c r="O730" s="120"/>
      <c r="P730" s="120"/>
      <c r="Q730" s="120"/>
      <c r="R730" s="120"/>
      <c r="S730" s="120"/>
      <c r="T730" s="120"/>
      <c r="U730" s="123"/>
      <c r="V730" s="120"/>
      <c r="W730" s="120"/>
      <c r="X730" s="120"/>
      <c r="Y730" s="120"/>
      <c r="Z730" s="120"/>
    </row>
    <row r="731" spans="1:26" ht="12" customHeight="1">
      <c r="A731" s="140"/>
      <c r="B731" s="120"/>
      <c r="C731" s="120"/>
      <c r="D731" s="120"/>
      <c r="E731" s="120"/>
      <c r="F731" s="120"/>
      <c r="G731" s="120"/>
      <c r="H731" s="120"/>
      <c r="I731" s="120"/>
      <c r="J731" s="120"/>
      <c r="K731" s="120"/>
      <c r="L731" s="120"/>
      <c r="M731" s="120"/>
      <c r="N731" s="120"/>
      <c r="O731" s="120"/>
      <c r="P731" s="120"/>
      <c r="Q731" s="120"/>
      <c r="R731" s="120"/>
      <c r="S731" s="120"/>
      <c r="T731" s="120"/>
      <c r="U731" s="123"/>
      <c r="V731" s="120"/>
      <c r="W731" s="120"/>
      <c r="X731" s="120"/>
      <c r="Y731" s="120"/>
      <c r="Z731" s="120"/>
    </row>
    <row r="732" spans="1:26" ht="12" customHeight="1">
      <c r="A732" s="140"/>
      <c r="B732" s="120"/>
      <c r="C732" s="120"/>
      <c r="D732" s="120"/>
      <c r="E732" s="120"/>
      <c r="F732" s="120"/>
      <c r="G732" s="120"/>
      <c r="H732" s="120"/>
      <c r="I732" s="120"/>
      <c r="J732" s="120"/>
      <c r="K732" s="120"/>
      <c r="L732" s="120"/>
      <c r="M732" s="120"/>
      <c r="N732" s="120"/>
      <c r="O732" s="120"/>
      <c r="P732" s="120"/>
      <c r="Q732" s="120"/>
      <c r="R732" s="120"/>
      <c r="S732" s="120"/>
      <c r="T732" s="120"/>
      <c r="U732" s="123"/>
      <c r="V732" s="120"/>
      <c r="W732" s="120"/>
      <c r="X732" s="120"/>
      <c r="Y732" s="120"/>
      <c r="Z732" s="120"/>
    </row>
    <row r="733" spans="1:26" ht="12" customHeight="1">
      <c r="A733" s="140"/>
      <c r="B733" s="120"/>
      <c r="C733" s="120"/>
      <c r="D733" s="120"/>
      <c r="E733" s="120"/>
      <c r="F733" s="120"/>
      <c r="G733" s="120"/>
      <c r="H733" s="120"/>
      <c r="I733" s="120"/>
      <c r="J733" s="120"/>
      <c r="K733" s="120"/>
      <c r="L733" s="120"/>
      <c r="M733" s="120"/>
      <c r="N733" s="120"/>
      <c r="O733" s="120"/>
      <c r="P733" s="120"/>
      <c r="Q733" s="120"/>
      <c r="R733" s="120"/>
      <c r="S733" s="120"/>
      <c r="T733" s="120"/>
      <c r="U733" s="123"/>
      <c r="V733" s="120"/>
      <c r="W733" s="120"/>
      <c r="X733" s="120"/>
      <c r="Y733" s="120"/>
      <c r="Z733" s="120"/>
    </row>
    <row r="734" spans="1:26" ht="12" customHeight="1">
      <c r="A734" s="140"/>
      <c r="B734" s="120"/>
      <c r="C734" s="120"/>
      <c r="D734" s="120"/>
      <c r="E734" s="120"/>
      <c r="F734" s="120"/>
      <c r="G734" s="120"/>
      <c r="H734" s="120"/>
      <c r="I734" s="120"/>
      <c r="J734" s="120"/>
      <c r="K734" s="120"/>
      <c r="L734" s="120"/>
      <c r="M734" s="120"/>
      <c r="N734" s="120"/>
      <c r="O734" s="120"/>
      <c r="P734" s="120"/>
      <c r="Q734" s="120"/>
      <c r="R734" s="120"/>
      <c r="S734" s="120"/>
      <c r="T734" s="120"/>
      <c r="U734" s="123"/>
      <c r="V734" s="120"/>
      <c r="W734" s="120"/>
      <c r="X734" s="120"/>
      <c r="Y734" s="120"/>
      <c r="Z734" s="120"/>
    </row>
    <row r="735" spans="1:26" ht="12" customHeight="1">
      <c r="A735" s="140"/>
      <c r="B735" s="120"/>
      <c r="C735" s="120"/>
      <c r="D735" s="120"/>
      <c r="E735" s="120"/>
      <c r="F735" s="120"/>
      <c r="G735" s="120"/>
      <c r="H735" s="120"/>
      <c r="I735" s="120"/>
      <c r="J735" s="120"/>
      <c r="K735" s="120"/>
      <c r="L735" s="120"/>
      <c r="M735" s="120"/>
      <c r="N735" s="120"/>
      <c r="O735" s="120"/>
      <c r="P735" s="120"/>
      <c r="Q735" s="120"/>
      <c r="R735" s="120"/>
      <c r="S735" s="120"/>
      <c r="T735" s="120"/>
      <c r="U735" s="123"/>
      <c r="V735" s="120"/>
      <c r="W735" s="120"/>
      <c r="X735" s="120"/>
      <c r="Y735" s="120"/>
      <c r="Z735" s="120"/>
    </row>
    <row r="736" spans="1:26" ht="12" customHeight="1">
      <c r="A736" s="140"/>
      <c r="B736" s="120"/>
      <c r="C736" s="120"/>
      <c r="D736" s="120"/>
      <c r="E736" s="120"/>
      <c r="F736" s="120"/>
      <c r="G736" s="120"/>
      <c r="H736" s="120"/>
      <c r="I736" s="120"/>
      <c r="J736" s="120"/>
      <c r="K736" s="120"/>
      <c r="L736" s="120"/>
      <c r="M736" s="120"/>
      <c r="N736" s="120"/>
      <c r="O736" s="120"/>
      <c r="P736" s="120"/>
      <c r="Q736" s="120"/>
      <c r="R736" s="120"/>
      <c r="S736" s="120"/>
      <c r="T736" s="120"/>
      <c r="U736" s="123"/>
      <c r="V736" s="120"/>
      <c r="W736" s="120"/>
      <c r="X736" s="120"/>
      <c r="Y736" s="120"/>
      <c r="Z736" s="120"/>
    </row>
    <row r="737" spans="1:26" ht="12" customHeight="1">
      <c r="A737" s="140"/>
      <c r="B737" s="120"/>
      <c r="C737" s="120"/>
      <c r="D737" s="120"/>
      <c r="E737" s="120"/>
      <c r="F737" s="120"/>
      <c r="G737" s="120"/>
      <c r="H737" s="120"/>
      <c r="I737" s="120"/>
      <c r="J737" s="120"/>
      <c r="K737" s="120"/>
      <c r="L737" s="120"/>
      <c r="M737" s="120"/>
      <c r="N737" s="120"/>
      <c r="O737" s="120"/>
      <c r="P737" s="120"/>
      <c r="Q737" s="120"/>
      <c r="R737" s="120"/>
      <c r="S737" s="120"/>
      <c r="T737" s="120"/>
      <c r="U737" s="123"/>
      <c r="V737" s="120"/>
      <c r="W737" s="120"/>
      <c r="X737" s="120"/>
      <c r="Y737" s="120"/>
      <c r="Z737" s="120"/>
    </row>
    <row r="738" spans="1:26" ht="12" customHeight="1">
      <c r="A738" s="140"/>
      <c r="B738" s="120"/>
      <c r="C738" s="120"/>
      <c r="D738" s="120"/>
      <c r="E738" s="120"/>
      <c r="F738" s="120"/>
      <c r="G738" s="120"/>
      <c r="H738" s="120"/>
      <c r="I738" s="120"/>
      <c r="J738" s="120"/>
      <c r="K738" s="120"/>
      <c r="L738" s="120"/>
      <c r="M738" s="120"/>
      <c r="N738" s="120"/>
      <c r="O738" s="120"/>
      <c r="P738" s="120"/>
      <c r="Q738" s="120"/>
      <c r="R738" s="120"/>
      <c r="S738" s="120"/>
      <c r="T738" s="120"/>
      <c r="U738" s="123"/>
      <c r="V738" s="120"/>
      <c r="W738" s="120"/>
      <c r="X738" s="120"/>
      <c r="Y738" s="120"/>
      <c r="Z738" s="120"/>
    </row>
    <row r="739" spans="1:26" ht="12" customHeight="1">
      <c r="A739" s="140"/>
      <c r="B739" s="120"/>
      <c r="C739" s="120"/>
      <c r="D739" s="120"/>
      <c r="E739" s="120"/>
      <c r="F739" s="120"/>
      <c r="G739" s="120"/>
      <c r="H739" s="120"/>
      <c r="I739" s="120"/>
      <c r="J739" s="120"/>
      <c r="K739" s="120"/>
      <c r="L739" s="120"/>
      <c r="M739" s="120"/>
      <c r="N739" s="120"/>
      <c r="O739" s="120"/>
      <c r="P739" s="120"/>
      <c r="Q739" s="120"/>
      <c r="R739" s="120"/>
      <c r="S739" s="120"/>
      <c r="T739" s="120"/>
      <c r="U739" s="123"/>
      <c r="V739" s="120"/>
      <c r="W739" s="120"/>
      <c r="X739" s="120"/>
      <c r="Y739" s="120"/>
      <c r="Z739" s="120"/>
    </row>
    <row r="740" spans="1:26" ht="12" customHeight="1">
      <c r="A740" s="140"/>
      <c r="B740" s="120"/>
      <c r="C740" s="120"/>
      <c r="D740" s="120"/>
      <c r="E740" s="120"/>
      <c r="F740" s="120"/>
      <c r="G740" s="120"/>
      <c r="H740" s="120"/>
      <c r="I740" s="120"/>
      <c r="J740" s="120"/>
      <c r="K740" s="120"/>
      <c r="L740" s="120"/>
      <c r="M740" s="120"/>
      <c r="N740" s="120"/>
      <c r="O740" s="120"/>
      <c r="P740" s="120"/>
      <c r="Q740" s="120"/>
      <c r="R740" s="120"/>
      <c r="S740" s="120"/>
      <c r="T740" s="120"/>
      <c r="U740" s="123"/>
      <c r="V740" s="120"/>
      <c r="W740" s="120"/>
      <c r="X740" s="120"/>
      <c r="Y740" s="120"/>
      <c r="Z740" s="120"/>
    </row>
    <row r="741" spans="1:26" ht="12" customHeight="1">
      <c r="A741" s="140"/>
      <c r="B741" s="120"/>
      <c r="C741" s="120"/>
      <c r="D741" s="120"/>
      <c r="E741" s="120"/>
      <c r="F741" s="120"/>
      <c r="G741" s="120"/>
      <c r="H741" s="120"/>
      <c r="I741" s="120"/>
      <c r="J741" s="120"/>
      <c r="K741" s="120"/>
      <c r="L741" s="120"/>
      <c r="M741" s="120"/>
      <c r="N741" s="120"/>
      <c r="O741" s="120"/>
      <c r="P741" s="120"/>
      <c r="Q741" s="120"/>
      <c r="R741" s="120"/>
      <c r="S741" s="120"/>
      <c r="T741" s="120"/>
      <c r="U741" s="123"/>
      <c r="V741" s="120"/>
      <c r="W741" s="120"/>
      <c r="X741" s="120"/>
      <c r="Y741" s="120"/>
      <c r="Z741" s="120"/>
    </row>
    <row r="742" spans="1:26" ht="12" customHeight="1">
      <c r="A742" s="140"/>
      <c r="B742" s="120"/>
      <c r="C742" s="120"/>
      <c r="D742" s="120"/>
      <c r="E742" s="120"/>
      <c r="F742" s="120"/>
      <c r="G742" s="120"/>
      <c r="H742" s="120"/>
      <c r="I742" s="120"/>
      <c r="J742" s="120"/>
      <c r="K742" s="120"/>
      <c r="L742" s="120"/>
      <c r="M742" s="120"/>
      <c r="N742" s="120"/>
      <c r="O742" s="120"/>
      <c r="P742" s="120"/>
      <c r="Q742" s="120"/>
      <c r="R742" s="120"/>
      <c r="S742" s="120"/>
      <c r="T742" s="120"/>
      <c r="U742" s="123"/>
      <c r="V742" s="120"/>
      <c r="W742" s="120"/>
      <c r="X742" s="120"/>
      <c r="Y742" s="120"/>
      <c r="Z742" s="120"/>
    </row>
    <row r="743" spans="1:26" ht="12" customHeight="1">
      <c r="A743" s="140"/>
      <c r="B743" s="120"/>
      <c r="C743" s="120"/>
      <c r="D743" s="120"/>
      <c r="E743" s="120"/>
      <c r="F743" s="120"/>
      <c r="G743" s="120"/>
      <c r="H743" s="120"/>
      <c r="I743" s="120"/>
      <c r="J743" s="120"/>
      <c r="K743" s="120"/>
      <c r="L743" s="120"/>
      <c r="M743" s="120"/>
      <c r="N743" s="120"/>
      <c r="O743" s="120"/>
      <c r="P743" s="120"/>
      <c r="Q743" s="120"/>
      <c r="R743" s="120"/>
      <c r="S743" s="120"/>
      <c r="T743" s="120"/>
      <c r="U743" s="123"/>
      <c r="V743" s="120"/>
      <c r="W743" s="120"/>
      <c r="X743" s="120"/>
      <c r="Y743" s="120"/>
      <c r="Z743" s="120"/>
    </row>
    <row r="744" spans="1:26" ht="12" customHeight="1">
      <c r="A744" s="140"/>
      <c r="B744" s="120"/>
      <c r="C744" s="120"/>
      <c r="D744" s="120"/>
      <c r="E744" s="120"/>
      <c r="F744" s="120"/>
      <c r="G744" s="120"/>
      <c r="H744" s="120"/>
      <c r="I744" s="120"/>
      <c r="J744" s="120"/>
      <c r="K744" s="120"/>
      <c r="L744" s="120"/>
      <c r="M744" s="120"/>
      <c r="N744" s="120"/>
      <c r="O744" s="120"/>
      <c r="P744" s="120"/>
      <c r="Q744" s="120"/>
      <c r="R744" s="120"/>
      <c r="S744" s="120"/>
      <c r="T744" s="120"/>
      <c r="U744" s="123"/>
      <c r="V744" s="120"/>
      <c r="W744" s="120"/>
      <c r="X744" s="120"/>
      <c r="Y744" s="120"/>
      <c r="Z744" s="120"/>
    </row>
    <row r="745" spans="1:26" ht="12" customHeight="1">
      <c r="A745" s="140"/>
      <c r="B745" s="120"/>
      <c r="C745" s="120"/>
      <c r="D745" s="120"/>
      <c r="E745" s="120"/>
      <c r="F745" s="120"/>
      <c r="G745" s="120"/>
      <c r="H745" s="120"/>
      <c r="I745" s="120"/>
      <c r="J745" s="120"/>
      <c r="K745" s="120"/>
      <c r="L745" s="120"/>
      <c r="M745" s="120"/>
      <c r="N745" s="120"/>
      <c r="O745" s="120"/>
      <c r="P745" s="120"/>
      <c r="Q745" s="120"/>
      <c r="R745" s="120"/>
      <c r="S745" s="120"/>
      <c r="T745" s="120"/>
      <c r="U745" s="123"/>
      <c r="V745" s="120"/>
      <c r="W745" s="120"/>
      <c r="X745" s="120"/>
      <c r="Y745" s="120"/>
      <c r="Z745" s="120"/>
    </row>
    <row r="746" spans="1:26" ht="12" customHeight="1">
      <c r="A746" s="140"/>
      <c r="B746" s="120"/>
      <c r="C746" s="120"/>
      <c r="D746" s="120"/>
      <c r="E746" s="120"/>
      <c r="F746" s="120"/>
      <c r="G746" s="120"/>
      <c r="H746" s="120"/>
      <c r="I746" s="120"/>
      <c r="J746" s="120"/>
      <c r="K746" s="120"/>
      <c r="L746" s="120"/>
      <c r="M746" s="120"/>
      <c r="N746" s="120"/>
      <c r="O746" s="120"/>
      <c r="P746" s="120"/>
      <c r="Q746" s="120"/>
      <c r="R746" s="120"/>
      <c r="S746" s="120"/>
      <c r="T746" s="120"/>
      <c r="U746" s="123"/>
      <c r="V746" s="120"/>
      <c r="W746" s="120"/>
      <c r="X746" s="120"/>
      <c r="Y746" s="120"/>
      <c r="Z746" s="120"/>
    </row>
    <row r="747" spans="1:26" ht="12" customHeight="1">
      <c r="A747" s="140"/>
      <c r="B747" s="120"/>
      <c r="C747" s="120"/>
      <c r="D747" s="120"/>
      <c r="E747" s="120"/>
      <c r="F747" s="120"/>
      <c r="G747" s="120"/>
      <c r="H747" s="120"/>
      <c r="I747" s="120"/>
      <c r="J747" s="120"/>
      <c r="K747" s="120"/>
      <c r="L747" s="120"/>
      <c r="M747" s="120"/>
      <c r="N747" s="120"/>
      <c r="O747" s="120"/>
      <c r="P747" s="120"/>
      <c r="Q747" s="120"/>
      <c r="R747" s="120"/>
      <c r="S747" s="120"/>
      <c r="T747" s="120"/>
      <c r="U747" s="123"/>
      <c r="V747" s="120"/>
      <c r="W747" s="120"/>
      <c r="X747" s="120"/>
      <c r="Y747" s="120"/>
      <c r="Z747" s="120"/>
    </row>
    <row r="748" spans="1:26" ht="12" customHeight="1">
      <c r="A748" s="140"/>
      <c r="B748" s="120"/>
      <c r="C748" s="120"/>
      <c r="D748" s="120"/>
      <c r="E748" s="120"/>
      <c r="F748" s="120"/>
      <c r="G748" s="120"/>
      <c r="H748" s="120"/>
      <c r="I748" s="120"/>
      <c r="J748" s="120"/>
      <c r="K748" s="120"/>
      <c r="L748" s="120"/>
      <c r="M748" s="120"/>
      <c r="N748" s="120"/>
      <c r="O748" s="120"/>
      <c r="P748" s="120"/>
      <c r="Q748" s="120"/>
      <c r="R748" s="120"/>
      <c r="S748" s="120"/>
      <c r="T748" s="120"/>
      <c r="U748" s="123"/>
      <c r="V748" s="120"/>
      <c r="W748" s="120"/>
      <c r="X748" s="120"/>
      <c r="Y748" s="120"/>
      <c r="Z748" s="120"/>
    </row>
    <row r="749" spans="1:26" ht="12" customHeight="1">
      <c r="A749" s="140"/>
      <c r="B749" s="120"/>
      <c r="C749" s="120"/>
      <c r="D749" s="120"/>
      <c r="E749" s="120"/>
      <c r="F749" s="120"/>
      <c r="G749" s="120"/>
      <c r="H749" s="120"/>
      <c r="I749" s="120"/>
      <c r="J749" s="120"/>
      <c r="K749" s="120"/>
      <c r="L749" s="120"/>
      <c r="M749" s="120"/>
      <c r="N749" s="120"/>
      <c r="O749" s="120"/>
      <c r="P749" s="120"/>
      <c r="Q749" s="120"/>
      <c r="R749" s="120"/>
      <c r="S749" s="120"/>
      <c r="T749" s="120"/>
      <c r="U749" s="123"/>
      <c r="V749" s="120"/>
      <c r="W749" s="120"/>
      <c r="X749" s="120"/>
      <c r="Y749" s="120"/>
      <c r="Z749" s="120"/>
    </row>
    <row r="750" spans="1:26" ht="12" customHeight="1">
      <c r="A750" s="140"/>
      <c r="B750" s="120"/>
      <c r="C750" s="120"/>
      <c r="D750" s="120"/>
      <c r="E750" s="120"/>
      <c r="F750" s="120"/>
      <c r="G750" s="120"/>
      <c r="H750" s="120"/>
      <c r="I750" s="120"/>
      <c r="J750" s="120"/>
      <c r="K750" s="120"/>
      <c r="L750" s="120"/>
      <c r="M750" s="120"/>
      <c r="N750" s="120"/>
      <c r="O750" s="120"/>
      <c r="P750" s="120"/>
      <c r="Q750" s="120"/>
      <c r="R750" s="120"/>
      <c r="S750" s="120"/>
      <c r="T750" s="120"/>
      <c r="U750" s="123"/>
      <c r="V750" s="120"/>
      <c r="W750" s="120"/>
      <c r="X750" s="120"/>
      <c r="Y750" s="120"/>
      <c r="Z750" s="120"/>
    </row>
    <row r="751" spans="1:26" ht="12" customHeight="1">
      <c r="A751" s="140"/>
      <c r="B751" s="120"/>
      <c r="C751" s="120"/>
      <c r="D751" s="120"/>
      <c r="E751" s="120"/>
      <c r="F751" s="120"/>
      <c r="G751" s="120"/>
      <c r="H751" s="120"/>
      <c r="I751" s="120"/>
      <c r="J751" s="120"/>
      <c r="K751" s="120"/>
      <c r="L751" s="120"/>
      <c r="M751" s="120"/>
      <c r="N751" s="120"/>
      <c r="O751" s="120"/>
      <c r="P751" s="120"/>
      <c r="Q751" s="120"/>
      <c r="R751" s="120"/>
      <c r="S751" s="120"/>
      <c r="T751" s="120"/>
      <c r="U751" s="123"/>
      <c r="V751" s="120"/>
      <c r="W751" s="120"/>
      <c r="X751" s="120"/>
      <c r="Y751" s="120"/>
      <c r="Z751" s="120"/>
    </row>
    <row r="752" spans="1:26" ht="12" customHeight="1">
      <c r="A752" s="140"/>
      <c r="B752" s="120"/>
      <c r="C752" s="120"/>
      <c r="D752" s="120"/>
      <c r="E752" s="120"/>
      <c r="F752" s="120"/>
      <c r="G752" s="120"/>
      <c r="H752" s="120"/>
      <c r="I752" s="120"/>
      <c r="J752" s="120"/>
      <c r="K752" s="120"/>
      <c r="L752" s="120"/>
      <c r="M752" s="120"/>
      <c r="N752" s="120"/>
      <c r="O752" s="120"/>
      <c r="P752" s="120"/>
      <c r="Q752" s="120"/>
      <c r="R752" s="120"/>
      <c r="S752" s="120"/>
      <c r="T752" s="120"/>
      <c r="U752" s="123"/>
      <c r="V752" s="120"/>
      <c r="W752" s="120"/>
      <c r="X752" s="120"/>
      <c r="Y752" s="120"/>
      <c r="Z752" s="120"/>
    </row>
    <row r="753" spans="1:26" ht="12" customHeight="1">
      <c r="A753" s="140"/>
      <c r="B753" s="120"/>
      <c r="C753" s="120"/>
      <c r="D753" s="120"/>
      <c r="E753" s="120"/>
      <c r="F753" s="120"/>
      <c r="G753" s="120"/>
      <c r="H753" s="120"/>
      <c r="I753" s="120"/>
      <c r="J753" s="120"/>
      <c r="K753" s="120"/>
      <c r="L753" s="120"/>
      <c r="M753" s="120"/>
      <c r="N753" s="120"/>
      <c r="O753" s="120"/>
      <c r="P753" s="120"/>
      <c r="Q753" s="120"/>
      <c r="R753" s="120"/>
      <c r="S753" s="120"/>
      <c r="T753" s="120"/>
      <c r="U753" s="123"/>
      <c r="V753" s="120"/>
      <c r="W753" s="120"/>
      <c r="X753" s="120"/>
      <c r="Y753" s="120"/>
      <c r="Z753" s="120"/>
    </row>
    <row r="754" spans="1:26" ht="12" customHeight="1">
      <c r="A754" s="140"/>
      <c r="B754" s="120"/>
      <c r="C754" s="120"/>
      <c r="D754" s="120"/>
      <c r="E754" s="120"/>
      <c r="F754" s="120"/>
      <c r="G754" s="120"/>
      <c r="H754" s="120"/>
      <c r="I754" s="120"/>
      <c r="J754" s="120"/>
      <c r="K754" s="120"/>
      <c r="L754" s="120"/>
      <c r="M754" s="120"/>
      <c r="N754" s="120"/>
      <c r="O754" s="120"/>
      <c r="P754" s="120"/>
      <c r="Q754" s="120"/>
      <c r="R754" s="120"/>
      <c r="S754" s="120"/>
      <c r="T754" s="120"/>
      <c r="U754" s="123"/>
      <c r="V754" s="120"/>
      <c r="W754" s="120"/>
      <c r="X754" s="120"/>
      <c r="Y754" s="120"/>
      <c r="Z754" s="120"/>
    </row>
    <row r="755" spans="1:26" ht="12" customHeight="1">
      <c r="A755" s="140"/>
      <c r="B755" s="120"/>
      <c r="C755" s="120"/>
      <c r="D755" s="120"/>
      <c r="E755" s="120"/>
      <c r="F755" s="120"/>
      <c r="G755" s="120"/>
      <c r="H755" s="120"/>
      <c r="I755" s="120"/>
      <c r="J755" s="120"/>
      <c r="K755" s="120"/>
      <c r="L755" s="120"/>
      <c r="M755" s="120"/>
      <c r="N755" s="120"/>
      <c r="O755" s="120"/>
      <c r="P755" s="120"/>
      <c r="Q755" s="120"/>
      <c r="R755" s="120"/>
      <c r="S755" s="120"/>
      <c r="T755" s="120"/>
      <c r="U755" s="123"/>
      <c r="V755" s="120"/>
      <c r="W755" s="120"/>
      <c r="X755" s="120"/>
      <c r="Y755" s="120"/>
      <c r="Z755" s="120"/>
    </row>
    <row r="756" spans="1:26" ht="12" customHeight="1">
      <c r="A756" s="140"/>
      <c r="B756" s="120"/>
      <c r="C756" s="120"/>
      <c r="D756" s="120"/>
      <c r="E756" s="120"/>
      <c r="F756" s="120"/>
      <c r="G756" s="120"/>
      <c r="H756" s="120"/>
      <c r="I756" s="120"/>
      <c r="J756" s="120"/>
      <c r="K756" s="120"/>
      <c r="L756" s="120"/>
      <c r="M756" s="120"/>
      <c r="N756" s="120"/>
      <c r="O756" s="120"/>
      <c r="P756" s="120"/>
      <c r="Q756" s="120"/>
      <c r="R756" s="120"/>
      <c r="S756" s="120"/>
      <c r="T756" s="120"/>
      <c r="U756" s="123"/>
      <c r="V756" s="120"/>
      <c r="W756" s="120"/>
      <c r="X756" s="120"/>
      <c r="Y756" s="120"/>
      <c r="Z756" s="120"/>
    </row>
    <row r="757" spans="1:26" ht="12" customHeight="1">
      <c r="A757" s="140"/>
      <c r="B757" s="120"/>
      <c r="C757" s="120"/>
      <c r="D757" s="120"/>
      <c r="E757" s="120"/>
      <c r="F757" s="120"/>
      <c r="G757" s="120"/>
      <c r="H757" s="120"/>
      <c r="I757" s="120"/>
      <c r="J757" s="120"/>
      <c r="K757" s="120"/>
      <c r="L757" s="120"/>
      <c r="M757" s="120"/>
      <c r="N757" s="120"/>
      <c r="O757" s="120"/>
      <c r="P757" s="120"/>
      <c r="Q757" s="120"/>
      <c r="R757" s="120"/>
      <c r="S757" s="120"/>
      <c r="T757" s="120"/>
      <c r="U757" s="123"/>
      <c r="V757" s="120"/>
      <c r="W757" s="120"/>
      <c r="X757" s="120"/>
      <c r="Y757" s="120"/>
      <c r="Z757" s="120"/>
    </row>
    <row r="758" spans="1:26" ht="12" customHeight="1">
      <c r="A758" s="140"/>
      <c r="B758" s="120"/>
      <c r="C758" s="120"/>
      <c r="D758" s="120"/>
      <c r="E758" s="120"/>
      <c r="F758" s="120"/>
      <c r="G758" s="120"/>
      <c r="H758" s="120"/>
      <c r="I758" s="120"/>
      <c r="J758" s="120"/>
      <c r="K758" s="120"/>
      <c r="L758" s="120"/>
      <c r="M758" s="120"/>
      <c r="N758" s="120"/>
      <c r="O758" s="120"/>
      <c r="P758" s="120"/>
      <c r="Q758" s="120"/>
      <c r="R758" s="120"/>
      <c r="S758" s="120"/>
      <c r="T758" s="120"/>
      <c r="U758" s="123"/>
      <c r="V758" s="120"/>
      <c r="W758" s="120"/>
      <c r="X758" s="120"/>
      <c r="Y758" s="120"/>
      <c r="Z758" s="120"/>
    </row>
    <row r="759" spans="1:26" ht="12" customHeight="1">
      <c r="A759" s="140"/>
      <c r="B759" s="120"/>
      <c r="C759" s="120"/>
      <c r="D759" s="120"/>
      <c r="E759" s="120"/>
      <c r="F759" s="120"/>
      <c r="G759" s="120"/>
      <c r="H759" s="120"/>
      <c r="I759" s="120"/>
      <c r="J759" s="120"/>
      <c r="K759" s="120"/>
      <c r="L759" s="120"/>
      <c r="M759" s="120"/>
      <c r="N759" s="120"/>
      <c r="O759" s="120"/>
      <c r="P759" s="120"/>
      <c r="Q759" s="120"/>
      <c r="R759" s="120"/>
      <c r="S759" s="120"/>
      <c r="T759" s="120"/>
      <c r="U759" s="123"/>
      <c r="V759" s="120"/>
      <c r="W759" s="120"/>
      <c r="X759" s="120"/>
      <c r="Y759" s="120"/>
      <c r="Z759" s="120"/>
    </row>
    <row r="760" spans="1:26" ht="12" customHeight="1">
      <c r="A760" s="140"/>
      <c r="B760" s="120"/>
      <c r="C760" s="120"/>
      <c r="D760" s="120"/>
      <c r="E760" s="120"/>
      <c r="F760" s="120"/>
      <c r="G760" s="120"/>
      <c r="H760" s="120"/>
      <c r="I760" s="120"/>
      <c r="J760" s="120"/>
      <c r="K760" s="120"/>
      <c r="L760" s="120"/>
      <c r="M760" s="120"/>
      <c r="N760" s="120"/>
      <c r="O760" s="120"/>
      <c r="P760" s="120"/>
      <c r="Q760" s="120"/>
      <c r="R760" s="120"/>
      <c r="S760" s="120"/>
      <c r="T760" s="120"/>
      <c r="U760" s="123"/>
      <c r="V760" s="120"/>
      <c r="W760" s="120"/>
      <c r="X760" s="120"/>
      <c r="Y760" s="120"/>
      <c r="Z760" s="120"/>
    </row>
    <row r="761" spans="1:26" ht="12" customHeight="1">
      <c r="A761" s="140"/>
      <c r="B761" s="120"/>
      <c r="C761" s="120"/>
      <c r="D761" s="120"/>
      <c r="E761" s="120"/>
      <c r="F761" s="120"/>
      <c r="G761" s="120"/>
      <c r="H761" s="120"/>
      <c r="I761" s="120"/>
      <c r="J761" s="120"/>
      <c r="K761" s="120"/>
      <c r="L761" s="120"/>
      <c r="M761" s="120"/>
      <c r="N761" s="120"/>
      <c r="O761" s="120"/>
      <c r="P761" s="120"/>
      <c r="Q761" s="120"/>
      <c r="R761" s="120"/>
      <c r="S761" s="120"/>
      <c r="T761" s="120"/>
      <c r="U761" s="123"/>
      <c r="V761" s="120"/>
      <c r="W761" s="120"/>
      <c r="X761" s="120"/>
      <c r="Y761" s="120"/>
      <c r="Z761" s="120"/>
    </row>
    <row r="762" spans="1:26" ht="12" customHeight="1">
      <c r="A762" s="140"/>
      <c r="B762" s="120"/>
      <c r="C762" s="120"/>
      <c r="D762" s="120"/>
      <c r="E762" s="120"/>
      <c r="F762" s="120"/>
      <c r="G762" s="120"/>
      <c r="H762" s="120"/>
      <c r="I762" s="120"/>
      <c r="J762" s="120"/>
      <c r="K762" s="120"/>
      <c r="L762" s="120"/>
      <c r="M762" s="120"/>
      <c r="N762" s="120"/>
      <c r="O762" s="120"/>
      <c r="P762" s="120"/>
      <c r="Q762" s="120"/>
      <c r="R762" s="120"/>
      <c r="S762" s="120"/>
      <c r="T762" s="120"/>
      <c r="U762" s="123"/>
      <c r="V762" s="120"/>
      <c r="W762" s="120"/>
      <c r="X762" s="120"/>
      <c r="Y762" s="120"/>
      <c r="Z762" s="120"/>
    </row>
    <row r="763" spans="1:26" ht="12" customHeight="1">
      <c r="A763" s="140"/>
      <c r="B763" s="120"/>
      <c r="C763" s="120"/>
      <c r="D763" s="120"/>
      <c r="E763" s="120"/>
      <c r="F763" s="120"/>
      <c r="G763" s="120"/>
      <c r="H763" s="120"/>
      <c r="I763" s="120"/>
      <c r="J763" s="120"/>
      <c r="K763" s="120"/>
      <c r="L763" s="120"/>
      <c r="M763" s="120"/>
      <c r="N763" s="120"/>
      <c r="O763" s="120"/>
      <c r="P763" s="120"/>
      <c r="Q763" s="120"/>
      <c r="R763" s="120"/>
      <c r="S763" s="120"/>
      <c r="T763" s="120"/>
      <c r="U763" s="123"/>
      <c r="V763" s="120"/>
      <c r="W763" s="120"/>
      <c r="X763" s="120"/>
      <c r="Y763" s="120"/>
      <c r="Z763" s="120"/>
    </row>
    <row r="764" spans="1:26" ht="12" customHeight="1">
      <c r="A764" s="140"/>
      <c r="B764" s="120"/>
      <c r="C764" s="120"/>
      <c r="D764" s="120"/>
      <c r="E764" s="120"/>
      <c r="F764" s="120"/>
      <c r="G764" s="120"/>
      <c r="H764" s="120"/>
      <c r="I764" s="120"/>
      <c r="J764" s="120"/>
      <c r="K764" s="120"/>
      <c r="L764" s="120"/>
      <c r="M764" s="120"/>
      <c r="N764" s="120"/>
      <c r="O764" s="120"/>
      <c r="P764" s="120"/>
      <c r="Q764" s="120"/>
      <c r="R764" s="120"/>
      <c r="S764" s="120"/>
      <c r="T764" s="120"/>
      <c r="U764" s="123"/>
      <c r="V764" s="120"/>
      <c r="W764" s="120"/>
      <c r="X764" s="120"/>
      <c r="Y764" s="120"/>
      <c r="Z764" s="120"/>
    </row>
    <row r="765" spans="1:26" ht="12" customHeight="1">
      <c r="A765" s="140"/>
      <c r="B765" s="120"/>
      <c r="C765" s="120"/>
      <c r="D765" s="120"/>
      <c r="E765" s="120"/>
      <c r="F765" s="120"/>
      <c r="G765" s="120"/>
      <c r="H765" s="120"/>
      <c r="I765" s="120"/>
      <c r="J765" s="120"/>
      <c r="K765" s="120"/>
      <c r="L765" s="120"/>
      <c r="M765" s="120"/>
      <c r="N765" s="120"/>
      <c r="O765" s="120"/>
      <c r="P765" s="120"/>
      <c r="Q765" s="120"/>
      <c r="R765" s="120"/>
      <c r="S765" s="120"/>
      <c r="T765" s="120"/>
      <c r="U765" s="123"/>
      <c r="V765" s="120"/>
      <c r="W765" s="120"/>
      <c r="X765" s="120"/>
      <c r="Y765" s="120"/>
      <c r="Z765" s="120"/>
    </row>
    <row r="766" spans="1:26" ht="12" customHeight="1">
      <c r="A766" s="140"/>
      <c r="B766" s="120"/>
      <c r="C766" s="120"/>
      <c r="D766" s="120"/>
      <c r="E766" s="120"/>
      <c r="F766" s="120"/>
      <c r="G766" s="120"/>
      <c r="H766" s="120"/>
      <c r="I766" s="120"/>
      <c r="J766" s="120"/>
      <c r="K766" s="120"/>
      <c r="L766" s="120"/>
      <c r="M766" s="120"/>
      <c r="N766" s="120"/>
      <c r="O766" s="120"/>
      <c r="P766" s="120"/>
      <c r="Q766" s="120"/>
      <c r="R766" s="120"/>
      <c r="S766" s="120"/>
      <c r="T766" s="120"/>
      <c r="U766" s="123"/>
      <c r="V766" s="120"/>
      <c r="W766" s="120"/>
      <c r="X766" s="120"/>
      <c r="Y766" s="120"/>
      <c r="Z766" s="120"/>
    </row>
    <row r="767" spans="1:26" ht="12" customHeight="1">
      <c r="A767" s="140"/>
      <c r="B767" s="120"/>
      <c r="C767" s="120"/>
      <c r="D767" s="120"/>
      <c r="E767" s="120"/>
      <c r="F767" s="120"/>
      <c r="G767" s="120"/>
      <c r="H767" s="120"/>
      <c r="I767" s="120"/>
      <c r="J767" s="120"/>
      <c r="K767" s="120"/>
      <c r="L767" s="120"/>
      <c r="M767" s="120"/>
      <c r="N767" s="120"/>
      <c r="O767" s="120"/>
      <c r="P767" s="120"/>
      <c r="Q767" s="120"/>
      <c r="R767" s="120"/>
      <c r="S767" s="120"/>
      <c r="T767" s="120"/>
      <c r="U767" s="123"/>
      <c r="V767" s="120"/>
      <c r="W767" s="120"/>
      <c r="X767" s="120"/>
      <c r="Y767" s="120"/>
      <c r="Z767" s="120"/>
    </row>
    <row r="768" spans="1:26" ht="12" customHeight="1">
      <c r="A768" s="140"/>
      <c r="B768" s="120"/>
      <c r="C768" s="120"/>
      <c r="D768" s="120"/>
      <c r="E768" s="120"/>
      <c r="F768" s="120"/>
      <c r="G768" s="120"/>
      <c r="H768" s="120"/>
      <c r="I768" s="120"/>
      <c r="J768" s="120"/>
      <c r="K768" s="120"/>
      <c r="L768" s="120"/>
      <c r="M768" s="120"/>
      <c r="N768" s="120"/>
      <c r="O768" s="120"/>
      <c r="P768" s="120"/>
      <c r="Q768" s="120"/>
      <c r="R768" s="120"/>
      <c r="S768" s="120"/>
      <c r="T768" s="120"/>
      <c r="U768" s="123"/>
      <c r="V768" s="120"/>
      <c r="W768" s="120"/>
      <c r="X768" s="120"/>
      <c r="Y768" s="120"/>
      <c r="Z768" s="120"/>
    </row>
    <row r="769" spans="1:26" ht="12" customHeight="1">
      <c r="A769" s="140"/>
      <c r="B769" s="120"/>
      <c r="C769" s="120"/>
      <c r="D769" s="120"/>
      <c r="E769" s="120"/>
      <c r="F769" s="120"/>
      <c r="G769" s="120"/>
      <c r="H769" s="120"/>
      <c r="I769" s="120"/>
      <c r="J769" s="120"/>
      <c r="K769" s="120"/>
      <c r="L769" s="120"/>
      <c r="M769" s="120"/>
      <c r="N769" s="120"/>
      <c r="O769" s="120"/>
      <c r="P769" s="120"/>
      <c r="Q769" s="120"/>
      <c r="R769" s="120"/>
      <c r="S769" s="120"/>
      <c r="T769" s="120"/>
      <c r="U769" s="123"/>
      <c r="V769" s="120"/>
      <c r="W769" s="120"/>
      <c r="X769" s="120"/>
      <c r="Y769" s="120"/>
      <c r="Z769" s="120"/>
    </row>
    <row r="770" spans="1:26" ht="12" customHeight="1">
      <c r="A770" s="140"/>
      <c r="B770" s="120"/>
      <c r="C770" s="120"/>
      <c r="D770" s="120"/>
      <c r="E770" s="120"/>
      <c r="F770" s="120"/>
      <c r="G770" s="120"/>
      <c r="H770" s="120"/>
      <c r="I770" s="120"/>
      <c r="J770" s="120"/>
      <c r="K770" s="120"/>
      <c r="L770" s="120"/>
      <c r="M770" s="120"/>
      <c r="N770" s="120"/>
      <c r="O770" s="120"/>
      <c r="P770" s="120"/>
      <c r="Q770" s="120"/>
      <c r="R770" s="120"/>
      <c r="S770" s="120"/>
      <c r="T770" s="120"/>
      <c r="U770" s="123"/>
      <c r="V770" s="120"/>
      <c r="W770" s="120"/>
      <c r="X770" s="120"/>
      <c r="Y770" s="120"/>
      <c r="Z770" s="120"/>
    </row>
    <row r="771" spans="1:26" ht="12" customHeight="1">
      <c r="A771" s="140"/>
      <c r="B771" s="120"/>
      <c r="C771" s="120"/>
      <c r="D771" s="120"/>
      <c r="E771" s="120"/>
      <c r="F771" s="120"/>
      <c r="G771" s="120"/>
      <c r="H771" s="120"/>
      <c r="I771" s="120"/>
      <c r="J771" s="120"/>
      <c r="K771" s="120"/>
      <c r="L771" s="120"/>
      <c r="M771" s="120"/>
      <c r="N771" s="120"/>
      <c r="O771" s="120"/>
      <c r="P771" s="120"/>
      <c r="Q771" s="120"/>
      <c r="R771" s="120"/>
      <c r="S771" s="120"/>
      <c r="T771" s="120"/>
      <c r="U771" s="123"/>
      <c r="V771" s="120"/>
      <c r="W771" s="120"/>
      <c r="X771" s="120"/>
      <c r="Y771" s="120"/>
      <c r="Z771" s="120"/>
    </row>
    <row r="772" spans="1:26" ht="12" customHeight="1">
      <c r="A772" s="140"/>
      <c r="B772" s="120"/>
      <c r="C772" s="120"/>
      <c r="D772" s="120"/>
      <c r="E772" s="120"/>
      <c r="F772" s="120"/>
      <c r="G772" s="120"/>
      <c r="H772" s="120"/>
      <c r="I772" s="120"/>
      <c r="J772" s="120"/>
      <c r="K772" s="120"/>
      <c r="L772" s="120"/>
      <c r="M772" s="120"/>
      <c r="N772" s="120"/>
      <c r="O772" s="120"/>
      <c r="P772" s="120"/>
      <c r="Q772" s="120"/>
      <c r="R772" s="120"/>
      <c r="S772" s="120"/>
      <c r="T772" s="120"/>
      <c r="U772" s="123"/>
      <c r="V772" s="120"/>
      <c r="W772" s="120"/>
      <c r="X772" s="120"/>
      <c r="Y772" s="120"/>
      <c r="Z772" s="120"/>
    </row>
    <row r="773" spans="1:26" ht="12" customHeight="1">
      <c r="A773" s="140"/>
      <c r="B773" s="120"/>
      <c r="C773" s="120"/>
      <c r="D773" s="120"/>
      <c r="E773" s="120"/>
      <c r="F773" s="120"/>
      <c r="G773" s="120"/>
      <c r="H773" s="120"/>
      <c r="I773" s="120"/>
      <c r="J773" s="120"/>
      <c r="K773" s="120"/>
      <c r="L773" s="120"/>
      <c r="M773" s="120"/>
      <c r="N773" s="120"/>
      <c r="O773" s="120"/>
      <c r="P773" s="120"/>
      <c r="Q773" s="120"/>
      <c r="R773" s="120"/>
      <c r="S773" s="120"/>
      <c r="T773" s="120"/>
      <c r="U773" s="123"/>
      <c r="V773" s="120"/>
      <c r="W773" s="120"/>
      <c r="X773" s="120"/>
      <c r="Y773" s="120"/>
      <c r="Z773" s="120"/>
    </row>
    <row r="774" spans="1:26" ht="12" customHeight="1">
      <c r="A774" s="140"/>
      <c r="B774" s="120"/>
      <c r="C774" s="120"/>
      <c r="D774" s="120"/>
      <c r="E774" s="120"/>
      <c r="F774" s="120"/>
      <c r="G774" s="120"/>
      <c r="H774" s="120"/>
      <c r="I774" s="120"/>
      <c r="J774" s="120"/>
      <c r="K774" s="120"/>
      <c r="L774" s="120"/>
      <c r="M774" s="120"/>
      <c r="N774" s="120"/>
      <c r="O774" s="120"/>
      <c r="P774" s="120"/>
      <c r="Q774" s="120"/>
      <c r="R774" s="120"/>
      <c r="S774" s="120"/>
      <c r="T774" s="120"/>
      <c r="U774" s="123"/>
      <c r="V774" s="120"/>
      <c r="W774" s="120"/>
      <c r="X774" s="120"/>
      <c r="Y774" s="120"/>
      <c r="Z774" s="120"/>
    </row>
    <row r="775" spans="1:26" ht="12" customHeight="1">
      <c r="A775" s="140"/>
      <c r="B775" s="120"/>
      <c r="C775" s="120"/>
      <c r="D775" s="120"/>
      <c r="E775" s="120"/>
      <c r="F775" s="120"/>
      <c r="G775" s="120"/>
      <c r="H775" s="120"/>
      <c r="I775" s="120"/>
      <c r="J775" s="120"/>
      <c r="K775" s="120"/>
      <c r="L775" s="120"/>
      <c r="M775" s="120"/>
      <c r="N775" s="120"/>
      <c r="O775" s="120"/>
      <c r="P775" s="120"/>
      <c r="Q775" s="120"/>
      <c r="R775" s="120"/>
      <c r="S775" s="120"/>
      <c r="T775" s="120"/>
      <c r="U775" s="123"/>
      <c r="V775" s="120"/>
      <c r="W775" s="120"/>
      <c r="X775" s="120"/>
      <c r="Y775" s="120"/>
      <c r="Z775" s="120"/>
    </row>
    <row r="776" spans="1:26" ht="12" customHeight="1">
      <c r="A776" s="140"/>
      <c r="B776" s="120"/>
      <c r="C776" s="120"/>
      <c r="D776" s="120"/>
      <c r="E776" s="120"/>
      <c r="F776" s="120"/>
      <c r="G776" s="120"/>
      <c r="H776" s="120"/>
      <c r="I776" s="120"/>
      <c r="J776" s="120"/>
      <c r="K776" s="120"/>
      <c r="L776" s="120"/>
      <c r="M776" s="120"/>
      <c r="N776" s="120"/>
      <c r="O776" s="120"/>
      <c r="P776" s="120"/>
      <c r="Q776" s="120"/>
      <c r="R776" s="120"/>
      <c r="S776" s="120"/>
      <c r="T776" s="120"/>
      <c r="U776" s="123"/>
      <c r="V776" s="120"/>
      <c r="W776" s="120"/>
      <c r="X776" s="120"/>
      <c r="Y776" s="120"/>
      <c r="Z776" s="120"/>
    </row>
    <row r="777" spans="1:26" ht="12" customHeight="1">
      <c r="A777" s="140"/>
      <c r="B777" s="120"/>
      <c r="C777" s="120"/>
      <c r="D777" s="120"/>
      <c r="E777" s="120"/>
      <c r="F777" s="120"/>
      <c r="G777" s="120"/>
      <c r="H777" s="120"/>
      <c r="I777" s="120"/>
      <c r="J777" s="120"/>
      <c r="K777" s="120"/>
      <c r="L777" s="120"/>
      <c r="M777" s="120"/>
      <c r="N777" s="120"/>
      <c r="O777" s="120"/>
      <c r="P777" s="120"/>
      <c r="Q777" s="120"/>
      <c r="R777" s="120"/>
      <c r="S777" s="120"/>
      <c r="T777" s="120"/>
      <c r="U777" s="123"/>
      <c r="V777" s="120"/>
      <c r="W777" s="120"/>
      <c r="X777" s="120"/>
      <c r="Y777" s="120"/>
      <c r="Z777" s="120"/>
    </row>
    <row r="778" spans="1:26" ht="12" customHeight="1">
      <c r="A778" s="140"/>
      <c r="B778" s="120"/>
      <c r="C778" s="120"/>
      <c r="D778" s="120"/>
      <c r="E778" s="120"/>
      <c r="F778" s="120"/>
      <c r="G778" s="120"/>
      <c r="H778" s="120"/>
      <c r="I778" s="120"/>
      <c r="J778" s="120"/>
      <c r="K778" s="120"/>
      <c r="L778" s="120"/>
      <c r="M778" s="120"/>
      <c r="N778" s="120"/>
      <c r="O778" s="120"/>
      <c r="P778" s="120"/>
      <c r="Q778" s="120"/>
      <c r="R778" s="120"/>
      <c r="S778" s="120"/>
      <c r="T778" s="120"/>
      <c r="U778" s="123"/>
      <c r="V778" s="120"/>
      <c r="W778" s="120"/>
      <c r="X778" s="120"/>
      <c r="Y778" s="120"/>
      <c r="Z778" s="120"/>
    </row>
    <row r="779" spans="1:26" ht="12" customHeight="1">
      <c r="A779" s="140"/>
      <c r="B779" s="120"/>
      <c r="C779" s="120"/>
      <c r="D779" s="120"/>
      <c r="E779" s="120"/>
      <c r="F779" s="120"/>
      <c r="G779" s="120"/>
      <c r="H779" s="120"/>
      <c r="I779" s="120"/>
      <c r="J779" s="120"/>
      <c r="K779" s="120"/>
      <c r="L779" s="120"/>
      <c r="M779" s="120"/>
      <c r="N779" s="120"/>
      <c r="O779" s="120"/>
      <c r="P779" s="120"/>
      <c r="Q779" s="120"/>
      <c r="R779" s="120"/>
      <c r="S779" s="120"/>
      <c r="T779" s="120"/>
      <c r="U779" s="123"/>
      <c r="V779" s="120"/>
      <c r="W779" s="120"/>
      <c r="X779" s="120"/>
      <c r="Y779" s="120"/>
      <c r="Z779" s="120"/>
    </row>
    <row r="780" spans="1:26" ht="12" customHeight="1">
      <c r="A780" s="140"/>
      <c r="B780" s="120"/>
      <c r="C780" s="120"/>
      <c r="D780" s="120"/>
      <c r="E780" s="120"/>
      <c r="F780" s="120"/>
      <c r="G780" s="120"/>
      <c r="H780" s="120"/>
      <c r="I780" s="120"/>
      <c r="J780" s="120"/>
      <c r="K780" s="120"/>
      <c r="L780" s="120"/>
      <c r="M780" s="120"/>
      <c r="N780" s="120"/>
      <c r="O780" s="120"/>
      <c r="P780" s="120"/>
      <c r="Q780" s="120"/>
      <c r="R780" s="120"/>
      <c r="S780" s="120"/>
      <c r="T780" s="120"/>
      <c r="U780" s="123"/>
      <c r="V780" s="120"/>
      <c r="W780" s="120"/>
      <c r="X780" s="120"/>
      <c r="Y780" s="120"/>
      <c r="Z780" s="120"/>
    </row>
    <row r="781" spans="1:26" ht="12" customHeight="1">
      <c r="A781" s="140"/>
      <c r="B781" s="120"/>
      <c r="C781" s="120"/>
      <c r="D781" s="120"/>
      <c r="E781" s="120"/>
      <c r="F781" s="120"/>
      <c r="G781" s="120"/>
      <c r="H781" s="120"/>
      <c r="I781" s="120"/>
      <c r="J781" s="120"/>
      <c r="K781" s="120"/>
      <c r="L781" s="120"/>
      <c r="M781" s="120"/>
      <c r="N781" s="120"/>
      <c r="O781" s="120"/>
      <c r="P781" s="120"/>
      <c r="Q781" s="120"/>
      <c r="R781" s="120"/>
      <c r="S781" s="120"/>
      <c r="T781" s="120"/>
      <c r="U781" s="123"/>
      <c r="V781" s="120"/>
      <c r="W781" s="120"/>
      <c r="X781" s="120"/>
      <c r="Y781" s="120"/>
      <c r="Z781" s="120"/>
    </row>
    <row r="782" spans="1:26" ht="12" customHeight="1">
      <c r="A782" s="140"/>
      <c r="B782" s="120"/>
      <c r="C782" s="120"/>
      <c r="D782" s="120"/>
      <c r="E782" s="120"/>
      <c r="F782" s="120"/>
      <c r="G782" s="120"/>
      <c r="H782" s="120"/>
      <c r="I782" s="120"/>
      <c r="J782" s="120"/>
      <c r="K782" s="120"/>
      <c r="L782" s="120"/>
      <c r="M782" s="120"/>
      <c r="N782" s="120"/>
      <c r="O782" s="120"/>
      <c r="P782" s="120"/>
      <c r="Q782" s="120"/>
      <c r="R782" s="120"/>
      <c r="S782" s="120"/>
      <c r="T782" s="120"/>
      <c r="U782" s="123"/>
      <c r="V782" s="120"/>
      <c r="W782" s="120"/>
      <c r="X782" s="120"/>
      <c r="Y782" s="120"/>
      <c r="Z782" s="120"/>
    </row>
    <row r="783" spans="1:26" ht="12" customHeight="1">
      <c r="A783" s="140"/>
      <c r="B783" s="120"/>
      <c r="C783" s="120"/>
      <c r="D783" s="120"/>
      <c r="E783" s="120"/>
      <c r="F783" s="120"/>
      <c r="G783" s="120"/>
      <c r="H783" s="120"/>
      <c r="I783" s="120"/>
      <c r="J783" s="120"/>
      <c r="K783" s="120"/>
      <c r="L783" s="120"/>
      <c r="M783" s="120"/>
      <c r="N783" s="120"/>
      <c r="O783" s="120"/>
      <c r="P783" s="120"/>
      <c r="Q783" s="120"/>
      <c r="R783" s="120"/>
      <c r="S783" s="120"/>
      <c r="T783" s="120"/>
      <c r="U783" s="123"/>
      <c r="V783" s="120"/>
      <c r="W783" s="120"/>
      <c r="X783" s="120"/>
      <c r="Y783" s="120"/>
      <c r="Z783" s="120"/>
    </row>
    <row r="784" spans="1:26" ht="12" customHeight="1">
      <c r="A784" s="140"/>
      <c r="B784" s="120"/>
      <c r="C784" s="120"/>
      <c r="D784" s="120"/>
      <c r="E784" s="120"/>
      <c r="F784" s="120"/>
      <c r="G784" s="120"/>
      <c r="H784" s="120"/>
      <c r="I784" s="120"/>
      <c r="J784" s="120"/>
      <c r="K784" s="120"/>
      <c r="L784" s="120"/>
      <c r="M784" s="120"/>
      <c r="N784" s="120"/>
      <c r="O784" s="120"/>
      <c r="P784" s="120"/>
      <c r="Q784" s="120"/>
      <c r="R784" s="120"/>
      <c r="S784" s="120"/>
      <c r="T784" s="120"/>
      <c r="U784" s="123"/>
      <c r="V784" s="120"/>
      <c r="W784" s="120"/>
      <c r="X784" s="120"/>
      <c r="Y784" s="120"/>
      <c r="Z784" s="120"/>
    </row>
    <row r="785" spans="1:26" ht="12" customHeight="1">
      <c r="A785" s="140"/>
      <c r="B785" s="120"/>
      <c r="C785" s="120"/>
      <c r="D785" s="120"/>
      <c r="E785" s="120"/>
      <c r="F785" s="120"/>
      <c r="G785" s="120"/>
      <c r="H785" s="120"/>
      <c r="I785" s="120"/>
      <c r="J785" s="120"/>
      <c r="K785" s="120"/>
      <c r="L785" s="120"/>
      <c r="M785" s="120"/>
      <c r="N785" s="120"/>
      <c r="O785" s="120"/>
      <c r="P785" s="120"/>
      <c r="Q785" s="120"/>
      <c r="R785" s="120"/>
      <c r="S785" s="120"/>
      <c r="T785" s="120"/>
      <c r="U785" s="123"/>
      <c r="V785" s="120"/>
      <c r="W785" s="120"/>
      <c r="X785" s="120"/>
      <c r="Y785" s="120"/>
      <c r="Z785" s="120"/>
    </row>
    <row r="786" spans="1:26" ht="12" customHeight="1">
      <c r="A786" s="140"/>
      <c r="B786" s="120"/>
      <c r="C786" s="120"/>
      <c r="D786" s="120"/>
      <c r="E786" s="120"/>
      <c r="F786" s="120"/>
      <c r="G786" s="120"/>
      <c r="H786" s="120"/>
      <c r="I786" s="120"/>
      <c r="J786" s="120"/>
      <c r="K786" s="120"/>
      <c r="L786" s="120"/>
      <c r="M786" s="120"/>
      <c r="N786" s="120"/>
      <c r="O786" s="120"/>
      <c r="P786" s="120"/>
      <c r="Q786" s="120"/>
      <c r="R786" s="120"/>
      <c r="S786" s="120"/>
      <c r="T786" s="120"/>
      <c r="U786" s="123"/>
      <c r="V786" s="120"/>
      <c r="W786" s="120"/>
      <c r="X786" s="120"/>
      <c r="Y786" s="120"/>
      <c r="Z786" s="120"/>
    </row>
    <row r="787" spans="1:26" ht="12" customHeight="1">
      <c r="A787" s="140"/>
      <c r="B787" s="120"/>
      <c r="C787" s="120"/>
      <c r="D787" s="120"/>
      <c r="E787" s="120"/>
      <c r="F787" s="120"/>
      <c r="G787" s="120"/>
      <c r="H787" s="120"/>
      <c r="I787" s="120"/>
      <c r="J787" s="120"/>
      <c r="K787" s="120"/>
      <c r="L787" s="120"/>
      <c r="M787" s="120"/>
      <c r="N787" s="120"/>
      <c r="O787" s="120"/>
      <c r="P787" s="120"/>
      <c r="Q787" s="120"/>
      <c r="R787" s="120"/>
      <c r="S787" s="120"/>
      <c r="T787" s="120"/>
      <c r="U787" s="123"/>
      <c r="V787" s="120"/>
      <c r="W787" s="120"/>
      <c r="X787" s="120"/>
      <c r="Y787" s="120"/>
      <c r="Z787" s="120"/>
    </row>
    <row r="788" spans="1:26" ht="12" customHeight="1">
      <c r="A788" s="140"/>
      <c r="B788" s="120"/>
      <c r="C788" s="120"/>
      <c r="D788" s="120"/>
      <c r="E788" s="120"/>
      <c r="F788" s="120"/>
      <c r="G788" s="120"/>
      <c r="H788" s="120"/>
      <c r="I788" s="120"/>
      <c r="J788" s="120"/>
      <c r="K788" s="120"/>
      <c r="L788" s="120"/>
      <c r="M788" s="120"/>
      <c r="N788" s="120"/>
      <c r="O788" s="120"/>
      <c r="P788" s="120"/>
      <c r="Q788" s="120"/>
      <c r="R788" s="120"/>
      <c r="S788" s="120"/>
      <c r="T788" s="120"/>
      <c r="U788" s="123"/>
      <c r="V788" s="120"/>
      <c r="W788" s="120"/>
      <c r="X788" s="120"/>
      <c r="Y788" s="120"/>
      <c r="Z788" s="120"/>
    </row>
    <row r="789" spans="1:26" ht="12" customHeight="1">
      <c r="A789" s="140"/>
      <c r="B789" s="120"/>
      <c r="C789" s="120"/>
      <c r="D789" s="120"/>
      <c r="E789" s="120"/>
      <c r="F789" s="120"/>
      <c r="G789" s="120"/>
      <c r="H789" s="120"/>
      <c r="I789" s="120"/>
      <c r="J789" s="120"/>
      <c r="K789" s="120"/>
      <c r="L789" s="120"/>
      <c r="M789" s="120"/>
      <c r="N789" s="120"/>
      <c r="O789" s="120"/>
      <c r="P789" s="120"/>
      <c r="Q789" s="120"/>
      <c r="R789" s="120"/>
      <c r="S789" s="120"/>
      <c r="T789" s="120"/>
      <c r="U789" s="123"/>
      <c r="V789" s="120"/>
      <c r="W789" s="120"/>
      <c r="X789" s="120"/>
      <c r="Y789" s="120"/>
      <c r="Z789" s="120"/>
    </row>
    <row r="790" spans="1:26" ht="12" customHeight="1">
      <c r="A790" s="140"/>
      <c r="B790" s="120"/>
      <c r="C790" s="120"/>
      <c r="D790" s="120"/>
      <c r="E790" s="120"/>
      <c r="F790" s="120"/>
      <c r="G790" s="120"/>
      <c r="H790" s="120"/>
      <c r="I790" s="120"/>
      <c r="J790" s="120"/>
      <c r="K790" s="120"/>
      <c r="L790" s="120"/>
      <c r="M790" s="120"/>
      <c r="N790" s="120"/>
      <c r="O790" s="120"/>
      <c r="P790" s="120"/>
      <c r="Q790" s="120"/>
      <c r="R790" s="120"/>
      <c r="S790" s="120"/>
      <c r="T790" s="120"/>
      <c r="U790" s="123"/>
      <c r="V790" s="120"/>
      <c r="W790" s="120"/>
      <c r="X790" s="120"/>
      <c r="Y790" s="120"/>
      <c r="Z790" s="120"/>
    </row>
    <row r="791" spans="1:26" ht="12" customHeight="1">
      <c r="A791" s="140"/>
      <c r="B791" s="120"/>
      <c r="C791" s="120"/>
      <c r="D791" s="120"/>
      <c r="E791" s="120"/>
      <c r="F791" s="120"/>
      <c r="G791" s="120"/>
      <c r="H791" s="120"/>
      <c r="I791" s="120"/>
      <c r="J791" s="120"/>
      <c r="K791" s="120"/>
      <c r="L791" s="120"/>
      <c r="M791" s="120"/>
      <c r="N791" s="120"/>
      <c r="O791" s="120"/>
      <c r="P791" s="120"/>
      <c r="Q791" s="120"/>
      <c r="R791" s="120"/>
      <c r="S791" s="120"/>
      <c r="T791" s="120"/>
      <c r="U791" s="123"/>
      <c r="V791" s="120"/>
      <c r="W791" s="120"/>
      <c r="X791" s="120"/>
      <c r="Y791" s="120"/>
      <c r="Z791" s="120"/>
    </row>
    <row r="792" spans="1:26" ht="12" customHeight="1">
      <c r="A792" s="140"/>
      <c r="B792" s="120"/>
      <c r="C792" s="120"/>
      <c r="D792" s="120"/>
      <c r="E792" s="120"/>
      <c r="F792" s="120"/>
      <c r="G792" s="120"/>
      <c r="H792" s="120"/>
      <c r="I792" s="120"/>
      <c r="J792" s="120"/>
      <c r="K792" s="120"/>
      <c r="L792" s="120"/>
      <c r="M792" s="120"/>
      <c r="N792" s="120"/>
      <c r="O792" s="120"/>
      <c r="P792" s="120"/>
      <c r="Q792" s="120"/>
      <c r="R792" s="120"/>
      <c r="S792" s="120"/>
      <c r="T792" s="120"/>
      <c r="U792" s="123"/>
      <c r="V792" s="120"/>
      <c r="W792" s="120"/>
      <c r="X792" s="120"/>
      <c r="Y792" s="120"/>
      <c r="Z792" s="120"/>
    </row>
    <row r="793" spans="1:26" ht="12" customHeight="1">
      <c r="A793" s="140"/>
      <c r="B793" s="120"/>
      <c r="C793" s="120"/>
      <c r="D793" s="120"/>
      <c r="E793" s="120"/>
      <c r="F793" s="120"/>
      <c r="G793" s="120"/>
      <c r="H793" s="120"/>
      <c r="I793" s="120"/>
      <c r="J793" s="120"/>
      <c r="K793" s="120"/>
      <c r="L793" s="120"/>
      <c r="M793" s="120"/>
      <c r="N793" s="120"/>
      <c r="O793" s="120"/>
      <c r="P793" s="120"/>
      <c r="Q793" s="120"/>
      <c r="R793" s="120"/>
      <c r="S793" s="120"/>
      <c r="T793" s="120"/>
      <c r="U793" s="123"/>
      <c r="V793" s="120"/>
      <c r="W793" s="120"/>
      <c r="X793" s="120"/>
      <c r="Y793" s="120"/>
      <c r="Z793" s="120"/>
    </row>
    <row r="794" spans="1:26" ht="12" customHeight="1">
      <c r="A794" s="140"/>
      <c r="B794" s="120"/>
      <c r="C794" s="120"/>
      <c r="D794" s="120"/>
      <c r="E794" s="120"/>
      <c r="F794" s="120"/>
      <c r="G794" s="120"/>
      <c r="H794" s="120"/>
      <c r="I794" s="120"/>
      <c r="J794" s="120"/>
      <c r="K794" s="120"/>
      <c r="L794" s="120"/>
      <c r="M794" s="120"/>
      <c r="N794" s="120"/>
      <c r="O794" s="120"/>
      <c r="P794" s="120"/>
      <c r="Q794" s="120"/>
      <c r="R794" s="120"/>
      <c r="S794" s="120"/>
      <c r="T794" s="120"/>
      <c r="U794" s="123"/>
      <c r="V794" s="120"/>
      <c r="W794" s="120"/>
      <c r="X794" s="120"/>
      <c r="Y794" s="120"/>
      <c r="Z794" s="120"/>
    </row>
    <row r="795" spans="1:26" ht="12" customHeight="1">
      <c r="A795" s="140"/>
      <c r="B795" s="120"/>
      <c r="C795" s="120"/>
      <c r="D795" s="120"/>
      <c r="E795" s="120"/>
      <c r="F795" s="120"/>
      <c r="G795" s="120"/>
      <c r="H795" s="120"/>
      <c r="I795" s="120"/>
      <c r="J795" s="120"/>
      <c r="K795" s="120"/>
      <c r="L795" s="120"/>
      <c r="M795" s="120"/>
      <c r="N795" s="120"/>
      <c r="O795" s="120"/>
      <c r="P795" s="120"/>
      <c r="Q795" s="120"/>
      <c r="R795" s="120"/>
      <c r="S795" s="120"/>
      <c r="T795" s="120"/>
      <c r="U795" s="123"/>
      <c r="V795" s="120"/>
      <c r="W795" s="120"/>
      <c r="X795" s="120"/>
      <c r="Y795" s="120"/>
      <c r="Z795" s="120"/>
    </row>
    <row r="796" spans="1:26" ht="12" customHeight="1">
      <c r="A796" s="140"/>
      <c r="B796" s="120"/>
      <c r="C796" s="120"/>
      <c r="D796" s="120"/>
      <c r="E796" s="120"/>
      <c r="F796" s="120"/>
      <c r="G796" s="120"/>
      <c r="H796" s="120"/>
      <c r="I796" s="120"/>
      <c r="J796" s="120"/>
      <c r="K796" s="120"/>
      <c r="L796" s="120"/>
      <c r="M796" s="120"/>
      <c r="N796" s="120"/>
      <c r="O796" s="120"/>
      <c r="P796" s="120"/>
      <c r="Q796" s="120"/>
      <c r="R796" s="120"/>
      <c r="S796" s="120"/>
      <c r="T796" s="120"/>
      <c r="U796" s="123"/>
      <c r="V796" s="120"/>
      <c r="W796" s="120"/>
      <c r="X796" s="120"/>
      <c r="Y796" s="120"/>
      <c r="Z796" s="120"/>
    </row>
    <row r="797" spans="1:26" ht="12" customHeight="1">
      <c r="A797" s="140"/>
      <c r="B797" s="120"/>
      <c r="C797" s="120"/>
      <c r="D797" s="120"/>
      <c r="E797" s="120"/>
      <c r="F797" s="120"/>
      <c r="G797" s="120"/>
      <c r="H797" s="120"/>
      <c r="I797" s="120"/>
      <c r="J797" s="120"/>
      <c r="K797" s="120"/>
      <c r="L797" s="120"/>
      <c r="M797" s="120"/>
      <c r="N797" s="120"/>
      <c r="O797" s="120"/>
      <c r="P797" s="120"/>
      <c r="Q797" s="120"/>
      <c r="R797" s="120"/>
      <c r="S797" s="120"/>
      <c r="T797" s="120"/>
      <c r="U797" s="123"/>
      <c r="V797" s="120"/>
      <c r="W797" s="120"/>
      <c r="X797" s="120"/>
      <c r="Y797" s="120"/>
      <c r="Z797" s="120"/>
    </row>
    <row r="798" spans="1:26" ht="12" customHeight="1">
      <c r="A798" s="140"/>
      <c r="B798" s="120"/>
      <c r="C798" s="120"/>
      <c r="D798" s="120"/>
      <c r="E798" s="120"/>
      <c r="F798" s="120"/>
      <c r="G798" s="120"/>
      <c r="H798" s="120"/>
      <c r="I798" s="120"/>
      <c r="J798" s="120"/>
      <c r="K798" s="120"/>
      <c r="L798" s="120"/>
      <c r="M798" s="120"/>
      <c r="N798" s="120"/>
      <c r="O798" s="120"/>
      <c r="P798" s="120"/>
      <c r="Q798" s="120"/>
      <c r="R798" s="120"/>
      <c r="S798" s="120"/>
      <c r="T798" s="120"/>
      <c r="U798" s="123"/>
      <c r="V798" s="120"/>
      <c r="W798" s="120"/>
      <c r="X798" s="120"/>
      <c r="Y798" s="120"/>
      <c r="Z798" s="120"/>
    </row>
    <row r="799" spans="1:26" ht="12" customHeight="1">
      <c r="A799" s="140"/>
      <c r="B799" s="120"/>
      <c r="C799" s="120"/>
      <c r="D799" s="120"/>
      <c r="E799" s="120"/>
      <c r="F799" s="120"/>
      <c r="G799" s="120"/>
      <c r="H799" s="120"/>
      <c r="I799" s="120"/>
      <c r="J799" s="120"/>
      <c r="K799" s="120"/>
      <c r="L799" s="120"/>
      <c r="M799" s="120"/>
      <c r="N799" s="120"/>
      <c r="O799" s="120"/>
      <c r="P799" s="120"/>
      <c r="Q799" s="120"/>
      <c r="R799" s="120"/>
      <c r="S799" s="120"/>
      <c r="T799" s="120"/>
      <c r="U799" s="123"/>
      <c r="V799" s="120"/>
      <c r="W799" s="120"/>
      <c r="X799" s="120"/>
      <c r="Y799" s="120"/>
      <c r="Z799" s="120"/>
    </row>
    <row r="800" spans="1:26" ht="12" customHeight="1">
      <c r="A800" s="140"/>
      <c r="B800" s="120"/>
      <c r="C800" s="120"/>
      <c r="D800" s="120"/>
      <c r="E800" s="120"/>
      <c r="F800" s="120"/>
      <c r="G800" s="120"/>
      <c r="H800" s="120"/>
      <c r="I800" s="120"/>
      <c r="J800" s="120"/>
      <c r="K800" s="120"/>
      <c r="L800" s="120"/>
      <c r="M800" s="120"/>
      <c r="N800" s="120"/>
      <c r="O800" s="120"/>
      <c r="P800" s="120"/>
      <c r="Q800" s="120"/>
      <c r="R800" s="120"/>
      <c r="S800" s="120"/>
      <c r="T800" s="120"/>
      <c r="U800" s="123"/>
      <c r="V800" s="120"/>
      <c r="W800" s="120"/>
      <c r="X800" s="120"/>
      <c r="Y800" s="120"/>
      <c r="Z800" s="120"/>
    </row>
    <row r="801" spans="1:26" ht="12" customHeight="1">
      <c r="A801" s="140"/>
      <c r="B801" s="120"/>
      <c r="C801" s="120"/>
      <c r="D801" s="120"/>
      <c r="E801" s="120"/>
      <c r="F801" s="120"/>
      <c r="G801" s="120"/>
      <c r="H801" s="120"/>
      <c r="I801" s="120"/>
      <c r="J801" s="120"/>
      <c r="K801" s="120"/>
      <c r="L801" s="120"/>
      <c r="M801" s="120"/>
      <c r="N801" s="120"/>
      <c r="O801" s="120"/>
      <c r="P801" s="120"/>
      <c r="Q801" s="120"/>
      <c r="R801" s="120"/>
      <c r="S801" s="120"/>
      <c r="T801" s="120"/>
      <c r="U801" s="123"/>
      <c r="V801" s="120"/>
      <c r="W801" s="120"/>
      <c r="X801" s="120"/>
      <c r="Y801" s="120"/>
      <c r="Z801" s="120"/>
    </row>
    <row r="802" spans="1:26" ht="12" customHeight="1">
      <c r="A802" s="140"/>
      <c r="B802" s="120"/>
      <c r="C802" s="120"/>
      <c r="D802" s="120"/>
      <c r="E802" s="120"/>
      <c r="F802" s="120"/>
      <c r="G802" s="120"/>
      <c r="H802" s="120"/>
      <c r="I802" s="120"/>
      <c r="J802" s="120"/>
      <c r="K802" s="120"/>
      <c r="L802" s="120"/>
      <c r="M802" s="120"/>
      <c r="N802" s="120"/>
      <c r="O802" s="120"/>
      <c r="P802" s="120"/>
      <c r="Q802" s="120"/>
      <c r="R802" s="120"/>
      <c r="S802" s="120"/>
      <c r="T802" s="120"/>
      <c r="U802" s="123"/>
      <c r="V802" s="120"/>
      <c r="W802" s="120"/>
      <c r="X802" s="120"/>
      <c r="Y802" s="120"/>
      <c r="Z802" s="120"/>
    </row>
    <row r="803" spans="1:26" ht="12" customHeight="1">
      <c r="A803" s="140"/>
      <c r="B803" s="120"/>
      <c r="C803" s="120"/>
      <c r="D803" s="120"/>
      <c r="E803" s="120"/>
      <c r="F803" s="120"/>
      <c r="G803" s="120"/>
      <c r="H803" s="120"/>
      <c r="I803" s="120"/>
      <c r="J803" s="120"/>
      <c r="K803" s="120"/>
      <c r="L803" s="120"/>
      <c r="M803" s="120"/>
      <c r="N803" s="120"/>
      <c r="O803" s="120"/>
      <c r="P803" s="120"/>
      <c r="Q803" s="120"/>
      <c r="R803" s="120"/>
      <c r="S803" s="120"/>
      <c r="T803" s="120"/>
      <c r="U803" s="123"/>
      <c r="V803" s="120"/>
      <c r="W803" s="120"/>
      <c r="X803" s="120"/>
      <c r="Y803" s="120"/>
      <c r="Z803" s="120"/>
    </row>
    <row r="804" spans="1:26" ht="12" customHeight="1">
      <c r="A804" s="140"/>
      <c r="B804" s="120"/>
      <c r="C804" s="120"/>
      <c r="D804" s="120"/>
      <c r="E804" s="120"/>
      <c r="F804" s="120"/>
      <c r="G804" s="120"/>
      <c r="H804" s="120"/>
      <c r="I804" s="120"/>
      <c r="J804" s="120"/>
      <c r="K804" s="120"/>
      <c r="L804" s="120"/>
      <c r="M804" s="120"/>
      <c r="N804" s="120"/>
      <c r="O804" s="120"/>
      <c r="P804" s="120"/>
      <c r="Q804" s="120"/>
      <c r="R804" s="120"/>
      <c r="S804" s="120"/>
      <c r="T804" s="120"/>
      <c r="U804" s="123"/>
      <c r="V804" s="120"/>
      <c r="W804" s="120"/>
      <c r="X804" s="120"/>
      <c r="Y804" s="120"/>
      <c r="Z804" s="120"/>
    </row>
    <row r="805" spans="1:26" ht="12" customHeight="1">
      <c r="A805" s="140"/>
      <c r="B805" s="120"/>
      <c r="C805" s="120"/>
      <c r="D805" s="120"/>
      <c r="E805" s="120"/>
      <c r="F805" s="120"/>
      <c r="G805" s="120"/>
      <c r="H805" s="120"/>
      <c r="I805" s="120"/>
      <c r="J805" s="120"/>
      <c r="K805" s="120"/>
      <c r="L805" s="120"/>
      <c r="M805" s="120"/>
      <c r="N805" s="120"/>
      <c r="O805" s="120"/>
      <c r="P805" s="120"/>
      <c r="Q805" s="120"/>
      <c r="R805" s="120"/>
      <c r="S805" s="120"/>
      <c r="T805" s="120"/>
      <c r="U805" s="123"/>
      <c r="V805" s="120"/>
      <c r="W805" s="120"/>
      <c r="X805" s="120"/>
      <c r="Y805" s="120"/>
      <c r="Z805" s="120"/>
    </row>
    <row r="806" spans="1:26" ht="12" customHeight="1">
      <c r="A806" s="140"/>
      <c r="B806" s="120"/>
      <c r="C806" s="120"/>
      <c r="D806" s="120"/>
      <c r="E806" s="120"/>
      <c r="F806" s="120"/>
      <c r="G806" s="120"/>
      <c r="H806" s="120"/>
      <c r="I806" s="120"/>
      <c r="J806" s="120"/>
      <c r="K806" s="120"/>
      <c r="L806" s="120"/>
      <c r="M806" s="120"/>
      <c r="N806" s="120"/>
      <c r="O806" s="120"/>
      <c r="P806" s="120"/>
      <c r="Q806" s="120"/>
      <c r="R806" s="120"/>
      <c r="S806" s="120"/>
      <c r="T806" s="120"/>
      <c r="U806" s="123"/>
      <c r="V806" s="120"/>
      <c r="W806" s="120"/>
      <c r="X806" s="120"/>
      <c r="Y806" s="120"/>
      <c r="Z806" s="120"/>
    </row>
    <row r="807" spans="1:26" ht="12" customHeight="1">
      <c r="A807" s="140"/>
      <c r="B807" s="120"/>
      <c r="C807" s="120"/>
      <c r="D807" s="120"/>
      <c r="E807" s="120"/>
      <c r="F807" s="120"/>
      <c r="G807" s="120"/>
      <c r="H807" s="120"/>
      <c r="I807" s="120"/>
      <c r="J807" s="120"/>
      <c r="K807" s="120"/>
      <c r="L807" s="120"/>
      <c r="M807" s="120"/>
      <c r="N807" s="120"/>
      <c r="O807" s="120"/>
      <c r="P807" s="120"/>
      <c r="Q807" s="120"/>
      <c r="R807" s="120"/>
      <c r="S807" s="120"/>
      <c r="T807" s="120"/>
      <c r="U807" s="123"/>
      <c r="V807" s="120"/>
      <c r="W807" s="120"/>
      <c r="X807" s="120"/>
      <c r="Y807" s="120"/>
      <c r="Z807" s="120"/>
    </row>
    <row r="808" spans="1:26" ht="12" customHeight="1">
      <c r="A808" s="140"/>
      <c r="B808" s="120"/>
      <c r="C808" s="120"/>
      <c r="D808" s="120"/>
      <c r="E808" s="120"/>
      <c r="F808" s="120"/>
      <c r="G808" s="120"/>
      <c r="H808" s="120"/>
      <c r="I808" s="120"/>
      <c r="J808" s="120"/>
      <c r="K808" s="120"/>
      <c r="L808" s="120"/>
      <c r="M808" s="120"/>
      <c r="N808" s="120"/>
      <c r="O808" s="120"/>
      <c r="P808" s="120"/>
      <c r="Q808" s="120"/>
      <c r="R808" s="120"/>
      <c r="S808" s="120"/>
      <c r="T808" s="120"/>
      <c r="U808" s="123"/>
      <c r="V808" s="120"/>
      <c r="W808" s="120"/>
      <c r="X808" s="120"/>
      <c r="Y808" s="120"/>
      <c r="Z808" s="120"/>
    </row>
    <row r="809" spans="1:26" ht="12" customHeight="1">
      <c r="A809" s="140"/>
      <c r="B809" s="120"/>
      <c r="C809" s="120"/>
      <c r="D809" s="120"/>
      <c r="E809" s="120"/>
      <c r="F809" s="120"/>
      <c r="G809" s="120"/>
      <c r="H809" s="120"/>
      <c r="I809" s="120"/>
      <c r="J809" s="120"/>
      <c r="K809" s="120"/>
      <c r="L809" s="120"/>
      <c r="M809" s="120"/>
      <c r="N809" s="120"/>
      <c r="O809" s="120"/>
      <c r="P809" s="120"/>
      <c r="Q809" s="120"/>
      <c r="R809" s="120"/>
      <c r="S809" s="120"/>
      <c r="T809" s="120"/>
      <c r="U809" s="123"/>
      <c r="V809" s="120"/>
      <c r="W809" s="120"/>
      <c r="X809" s="120"/>
      <c r="Y809" s="120"/>
      <c r="Z809" s="120"/>
    </row>
    <row r="810" spans="1:26" ht="12" customHeight="1">
      <c r="A810" s="140"/>
      <c r="B810" s="120"/>
      <c r="C810" s="120"/>
      <c r="D810" s="120"/>
      <c r="E810" s="120"/>
      <c r="F810" s="120"/>
      <c r="G810" s="120"/>
      <c r="H810" s="120"/>
      <c r="I810" s="120"/>
      <c r="J810" s="120"/>
      <c r="K810" s="120"/>
      <c r="L810" s="120"/>
      <c r="M810" s="120"/>
      <c r="N810" s="120"/>
      <c r="O810" s="120"/>
      <c r="P810" s="120"/>
      <c r="Q810" s="120"/>
      <c r="R810" s="120"/>
      <c r="S810" s="120"/>
      <c r="T810" s="120"/>
      <c r="U810" s="123"/>
      <c r="V810" s="120"/>
      <c r="W810" s="120"/>
      <c r="X810" s="120"/>
      <c r="Y810" s="120"/>
      <c r="Z810" s="120"/>
    </row>
    <row r="811" spans="1:26" ht="12" customHeight="1">
      <c r="A811" s="140"/>
      <c r="B811" s="120"/>
      <c r="C811" s="120"/>
      <c r="D811" s="120"/>
      <c r="E811" s="120"/>
      <c r="F811" s="120"/>
      <c r="G811" s="120"/>
      <c r="H811" s="120"/>
      <c r="I811" s="120"/>
      <c r="J811" s="120"/>
      <c r="K811" s="120"/>
      <c r="L811" s="120"/>
      <c r="M811" s="120"/>
      <c r="N811" s="120"/>
      <c r="O811" s="120"/>
      <c r="P811" s="120"/>
      <c r="Q811" s="120"/>
      <c r="R811" s="120"/>
      <c r="S811" s="120"/>
      <c r="T811" s="120"/>
      <c r="U811" s="123"/>
      <c r="V811" s="120"/>
      <c r="W811" s="120"/>
      <c r="X811" s="120"/>
      <c r="Y811" s="120"/>
      <c r="Z811" s="120"/>
    </row>
    <row r="812" spans="1:26" ht="12" customHeight="1">
      <c r="A812" s="140"/>
      <c r="B812" s="120"/>
      <c r="C812" s="120"/>
      <c r="D812" s="120"/>
      <c r="E812" s="120"/>
      <c r="F812" s="120"/>
      <c r="G812" s="120"/>
      <c r="H812" s="120"/>
      <c r="I812" s="120"/>
      <c r="J812" s="120"/>
      <c r="K812" s="120"/>
      <c r="L812" s="120"/>
      <c r="M812" s="120"/>
      <c r="N812" s="120"/>
      <c r="O812" s="120"/>
      <c r="P812" s="120"/>
      <c r="Q812" s="120"/>
      <c r="R812" s="120"/>
      <c r="S812" s="120"/>
      <c r="T812" s="120"/>
      <c r="U812" s="123"/>
      <c r="V812" s="120"/>
      <c r="W812" s="120"/>
      <c r="X812" s="120"/>
      <c r="Y812" s="120"/>
      <c r="Z812" s="120"/>
    </row>
    <row r="813" spans="1:26" ht="12" customHeight="1">
      <c r="A813" s="140"/>
      <c r="B813" s="120"/>
      <c r="C813" s="120"/>
      <c r="D813" s="120"/>
      <c r="E813" s="120"/>
      <c r="F813" s="120"/>
      <c r="G813" s="120"/>
      <c r="H813" s="120"/>
      <c r="I813" s="120"/>
      <c r="J813" s="120"/>
      <c r="K813" s="120"/>
      <c r="L813" s="120"/>
      <c r="M813" s="120"/>
      <c r="N813" s="120"/>
      <c r="O813" s="120"/>
      <c r="P813" s="120"/>
      <c r="Q813" s="120"/>
      <c r="R813" s="120"/>
      <c r="S813" s="120"/>
      <c r="T813" s="120"/>
      <c r="U813" s="123"/>
      <c r="V813" s="120"/>
      <c r="W813" s="120"/>
      <c r="X813" s="120"/>
      <c r="Y813" s="120"/>
      <c r="Z813" s="120"/>
    </row>
    <row r="814" spans="1:26" ht="12" customHeight="1">
      <c r="A814" s="140"/>
      <c r="B814" s="120"/>
      <c r="C814" s="120"/>
      <c r="D814" s="120"/>
      <c r="E814" s="120"/>
      <c r="F814" s="120"/>
      <c r="G814" s="120"/>
      <c r="H814" s="120"/>
      <c r="I814" s="120"/>
      <c r="J814" s="120"/>
      <c r="K814" s="120"/>
      <c r="L814" s="120"/>
      <c r="M814" s="120"/>
      <c r="N814" s="120"/>
      <c r="O814" s="120"/>
      <c r="P814" s="120"/>
      <c r="Q814" s="120"/>
      <c r="R814" s="120"/>
      <c r="S814" s="120"/>
      <c r="T814" s="120"/>
      <c r="U814" s="123"/>
      <c r="V814" s="120"/>
      <c r="W814" s="120"/>
      <c r="X814" s="120"/>
      <c r="Y814" s="120"/>
      <c r="Z814" s="120"/>
    </row>
    <row r="815" spans="1:26" ht="12" customHeight="1">
      <c r="A815" s="140"/>
      <c r="B815" s="120"/>
      <c r="C815" s="120"/>
      <c r="D815" s="120"/>
      <c r="E815" s="120"/>
      <c r="F815" s="120"/>
      <c r="G815" s="120"/>
      <c r="H815" s="120"/>
      <c r="I815" s="120"/>
      <c r="J815" s="120"/>
      <c r="K815" s="120"/>
      <c r="L815" s="120"/>
      <c r="M815" s="120"/>
      <c r="N815" s="120"/>
      <c r="O815" s="120"/>
      <c r="P815" s="120"/>
      <c r="Q815" s="120"/>
      <c r="R815" s="120"/>
      <c r="S815" s="120"/>
      <c r="T815" s="120"/>
      <c r="U815" s="123"/>
      <c r="V815" s="120"/>
      <c r="W815" s="120"/>
      <c r="X815" s="120"/>
      <c r="Y815" s="120"/>
      <c r="Z815" s="120"/>
    </row>
    <row r="816" spans="1:26" ht="12" customHeight="1">
      <c r="A816" s="140"/>
      <c r="B816" s="120"/>
      <c r="C816" s="120"/>
      <c r="D816" s="120"/>
      <c r="E816" s="120"/>
      <c r="F816" s="120"/>
      <c r="G816" s="120"/>
      <c r="H816" s="120"/>
      <c r="I816" s="120"/>
      <c r="J816" s="120"/>
      <c r="K816" s="120"/>
      <c r="L816" s="120"/>
      <c r="M816" s="120"/>
      <c r="N816" s="120"/>
      <c r="O816" s="120"/>
      <c r="P816" s="120"/>
      <c r="Q816" s="120"/>
      <c r="R816" s="120"/>
      <c r="S816" s="120"/>
      <c r="T816" s="120"/>
      <c r="U816" s="123"/>
      <c r="V816" s="120"/>
      <c r="W816" s="120"/>
      <c r="X816" s="120"/>
      <c r="Y816" s="120"/>
      <c r="Z816" s="120"/>
    </row>
    <row r="817" spans="1:26" ht="12" customHeight="1">
      <c r="A817" s="140"/>
      <c r="B817" s="120"/>
      <c r="C817" s="120"/>
      <c r="D817" s="120"/>
      <c r="E817" s="120"/>
      <c r="F817" s="120"/>
      <c r="G817" s="120"/>
      <c r="H817" s="120"/>
      <c r="I817" s="120"/>
      <c r="J817" s="120"/>
      <c r="K817" s="120"/>
      <c r="L817" s="120"/>
      <c r="M817" s="120"/>
      <c r="N817" s="120"/>
      <c r="O817" s="120"/>
      <c r="P817" s="120"/>
      <c r="Q817" s="120"/>
      <c r="R817" s="120"/>
      <c r="S817" s="120"/>
      <c r="T817" s="120"/>
      <c r="U817" s="123"/>
      <c r="V817" s="120"/>
      <c r="W817" s="120"/>
      <c r="X817" s="120"/>
      <c r="Y817" s="120"/>
      <c r="Z817" s="120"/>
    </row>
    <row r="818" spans="1:26" ht="12" customHeight="1">
      <c r="A818" s="140"/>
      <c r="B818" s="120"/>
      <c r="C818" s="120"/>
      <c r="D818" s="120"/>
      <c r="E818" s="120"/>
      <c r="F818" s="120"/>
      <c r="G818" s="120"/>
      <c r="H818" s="120"/>
      <c r="I818" s="120"/>
      <c r="J818" s="120"/>
      <c r="K818" s="120"/>
      <c r="L818" s="120"/>
      <c r="M818" s="120"/>
      <c r="N818" s="120"/>
      <c r="O818" s="120"/>
      <c r="P818" s="120"/>
      <c r="Q818" s="120"/>
      <c r="R818" s="120"/>
      <c r="S818" s="120"/>
      <c r="T818" s="120"/>
      <c r="U818" s="123"/>
      <c r="V818" s="120"/>
      <c r="W818" s="120"/>
      <c r="X818" s="120"/>
      <c r="Y818" s="120"/>
      <c r="Z818" s="120"/>
    </row>
    <row r="819" spans="1:26" ht="12" customHeight="1">
      <c r="A819" s="140"/>
      <c r="B819" s="120"/>
      <c r="C819" s="120"/>
      <c r="D819" s="120"/>
      <c r="E819" s="120"/>
      <c r="F819" s="120"/>
      <c r="G819" s="120"/>
      <c r="H819" s="120"/>
      <c r="I819" s="120"/>
      <c r="J819" s="120"/>
      <c r="K819" s="120"/>
      <c r="L819" s="120"/>
      <c r="M819" s="120"/>
      <c r="N819" s="120"/>
      <c r="O819" s="120"/>
      <c r="P819" s="120"/>
      <c r="Q819" s="120"/>
      <c r="R819" s="120"/>
      <c r="S819" s="120"/>
      <c r="T819" s="120"/>
      <c r="U819" s="123"/>
      <c r="V819" s="120"/>
      <c r="W819" s="120"/>
      <c r="X819" s="120"/>
      <c r="Y819" s="120"/>
      <c r="Z819" s="120"/>
    </row>
    <row r="820" spans="1:26" ht="12" customHeight="1">
      <c r="A820" s="140"/>
      <c r="B820" s="120"/>
      <c r="C820" s="120"/>
      <c r="D820" s="120"/>
      <c r="E820" s="120"/>
      <c r="F820" s="120"/>
      <c r="G820" s="120"/>
      <c r="H820" s="120"/>
      <c r="I820" s="120"/>
      <c r="J820" s="120"/>
      <c r="K820" s="120"/>
      <c r="L820" s="120"/>
      <c r="M820" s="120"/>
      <c r="N820" s="120"/>
      <c r="O820" s="120"/>
      <c r="P820" s="120"/>
      <c r="Q820" s="120"/>
      <c r="R820" s="120"/>
      <c r="S820" s="120"/>
      <c r="T820" s="120"/>
      <c r="U820" s="123"/>
      <c r="V820" s="120"/>
      <c r="W820" s="120"/>
      <c r="X820" s="120"/>
      <c r="Y820" s="120"/>
      <c r="Z820" s="120"/>
    </row>
    <row r="821" spans="1:26" ht="12" customHeight="1">
      <c r="A821" s="140"/>
      <c r="B821" s="120"/>
      <c r="C821" s="120"/>
      <c r="D821" s="120"/>
      <c r="E821" s="120"/>
      <c r="F821" s="120"/>
      <c r="G821" s="120"/>
      <c r="H821" s="120"/>
      <c r="I821" s="120"/>
      <c r="J821" s="120"/>
      <c r="K821" s="120"/>
      <c r="L821" s="120"/>
      <c r="M821" s="120"/>
      <c r="N821" s="120"/>
      <c r="O821" s="120"/>
      <c r="P821" s="120"/>
      <c r="Q821" s="120"/>
      <c r="R821" s="120"/>
      <c r="S821" s="120"/>
      <c r="T821" s="120"/>
      <c r="U821" s="123"/>
      <c r="V821" s="120"/>
      <c r="W821" s="120"/>
      <c r="X821" s="120"/>
      <c r="Y821" s="120"/>
      <c r="Z821" s="120"/>
    </row>
    <row r="822" spans="1:26" ht="12" customHeight="1">
      <c r="A822" s="140"/>
      <c r="B822" s="120"/>
      <c r="C822" s="120"/>
      <c r="D822" s="120"/>
      <c r="E822" s="120"/>
      <c r="F822" s="120"/>
      <c r="G822" s="120"/>
      <c r="H822" s="120"/>
      <c r="I822" s="120"/>
      <c r="J822" s="120"/>
      <c r="K822" s="120"/>
      <c r="L822" s="120"/>
      <c r="M822" s="120"/>
      <c r="N822" s="120"/>
      <c r="O822" s="120"/>
      <c r="P822" s="120"/>
      <c r="Q822" s="120"/>
      <c r="R822" s="120"/>
      <c r="S822" s="120"/>
      <c r="T822" s="120"/>
      <c r="U822" s="123"/>
      <c r="V822" s="120"/>
      <c r="W822" s="120"/>
      <c r="X822" s="120"/>
      <c r="Y822" s="120"/>
      <c r="Z822" s="120"/>
    </row>
    <row r="823" spans="1:26" ht="12" customHeight="1">
      <c r="A823" s="140"/>
      <c r="B823" s="120"/>
      <c r="C823" s="120"/>
      <c r="D823" s="120"/>
      <c r="E823" s="120"/>
      <c r="F823" s="120"/>
      <c r="G823" s="120"/>
      <c r="H823" s="120"/>
      <c r="I823" s="120"/>
      <c r="J823" s="120"/>
      <c r="K823" s="120"/>
      <c r="L823" s="120"/>
      <c r="M823" s="120"/>
      <c r="N823" s="120"/>
      <c r="O823" s="120"/>
      <c r="P823" s="120"/>
      <c r="Q823" s="120"/>
      <c r="R823" s="120"/>
      <c r="S823" s="120"/>
      <c r="T823" s="120"/>
      <c r="U823" s="123"/>
      <c r="V823" s="120"/>
      <c r="W823" s="120"/>
      <c r="X823" s="120"/>
      <c r="Y823" s="120"/>
      <c r="Z823" s="120"/>
    </row>
    <row r="824" spans="1:26" ht="12" customHeight="1">
      <c r="A824" s="140"/>
      <c r="B824" s="120"/>
      <c r="C824" s="120"/>
      <c r="D824" s="120"/>
      <c r="E824" s="120"/>
      <c r="F824" s="120"/>
      <c r="G824" s="120"/>
      <c r="H824" s="120"/>
      <c r="I824" s="120"/>
      <c r="J824" s="120"/>
      <c r="K824" s="120"/>
      <c r="L824" s="120"/>
      <c r="M824" s="120"/>
      <c r="N824" s="120"/>
      <c r="O824" s="120"/>
      <c r="P824" s="120"/>
      <c r="Q824" s="120"/>
      <c r="R824" s="120"/>
      <c r="S824" s="120"/>
      <c r="T824" s="120"/>
      <c r="U824" s="123"/>
      <c r="V824" s="120"/>
      <c r="W824" s="120"/>
      <c r="X824" s="120"/>
      <c r="Y824" s="120"/>
      <c r="Z824" s="120"/>
    </row>
    <row r="825" spans="1:26" ht="12" customHeight="1">
      <c r="A825" s="140"/>
      <c r="B825" s="120"/>
      <c r="C825" s="120"/>
      <c r="D825" s="120"/>
      <c r="E825" s="120"/>
      <c r="F825" s="120"/>
      <c r="G825" s="120"/>
      <c r="H825" s="120"/>
      <c r="I825" s="120"/>
      <c r="J825" s="120"/>
      <c r="K825" s="120"/>
      <c r="L825" s="120"/>
      <c r="M825" s="120"/>
      <c r="N825" s="120"/>
      <c r="O825" s="120"/>
      <c r="P825" s="120"/>
      <c r="Q825" s="120"/>
      <c r="R825" s="120"/>
      <c r="S825" s="120"/>
      <c r="T825" s="120"/>
      <c r="U825" s="123"/>
      <c r="V825" s="120"/>
      <c r="W825" s="120"/>
      <c r="X825" s="120"/>
      <c r="Y825" s="120"/>
      <c r="Z825" s="120"/>
    </row>
    <row r="826" spans="1:26" ht="12" customHeight="1">
      <c r="A826" s="140"/>
      <c r="B826" s="120"/>
      <c r="C826" s="120"/>
      <c r="D826" s="120"/>
      <c r="E826" s="120"/>
      <c r="F826" s="120"/>
      <c r="G826" s="120"/>
      <c r="H826" s="120"/>
      <c r="I826" s="120"/>
      <c r="J826" s="120"/>
      <c r="K826" s="120"/>
      <c r="L826" s="120"/>
      <c r="M826" s="120"/>
      <c r="N826" s="120"/>
      <c r="O826" s="120"/>
      <c r="P826" s="120"/>
      <c r="Q826" s="120"/>
      <c r="R826" s="120"/>
      <c r="S826" s="120"/>
      <c r="T826" s="120"/>
      <c r="U826" s="123"/>
      <c r="V826" s="120"/>
      <c r="W826" s="120"/>
      <c r="X826" s="120"/>
      <c r="Y826" s="120"/>
      <c r="Z826" s="120"/>
    </row>
    <row r="827" spans="1:26" ht="12" customHeight="1">
      <c r="A827" s="140"/>
      <c r="B827" s="120"/>
      <c r="C827" s="120"/>
      <c r="D827" s="120"/>
      <c r="E827" s="120"/>
      <c r="F827" s="120"/>
      <c r="G827" s="120"/>
      <c r="H827" s="120"/>
      <c r="I827" s="120"/>
      <c r="J827" s="120"/>
      <c r="K827" s="120"/>
      <c r="L827" s="120"/>
      <c r="M827" s="120"/>
      <c r="N827" s="120"/>
      <c r="O827" s="120"/>
      <c r="P827" s="120"/>
      <c r="Q827" s="120"/>
      <c r="R827" s="120"/>
      <c r="S827" s="120"/>
      <c r="T827" s="120"/>
      <c r="U827" s="123"/>
      <c r="V827" s="120"/>
      <c r="W827" s="120"/>
      <c r="X827" s="120"/>
      <c r="Y827" s="120"/>
      <c r="Z827" s="120"/>
    </row>
    <row r="828" spans="1:26" ht="12" customHeight="1">
      <c r="A828" s="140"/>
      <c r="B828" s="120"/>
      <c r="C828" s="120"/>
      <c r="D828" s="120"/>
      <c r="E828" s="120"/>
      <c r="F828" s="120"/>
      <c r="G828" s="120"/>
      <c r="H828" s="120"/>
      <c r="I828" s="120"/>
      <c r="J828" s="120"/>
      <c r="K828" s="120"/>
      <c r="L828" s="120"/>
      <c r="M828" s="120"/>
      <c r="N828" s="120"/>
      <c r="O828" s="120"/>
      <c r="P828" s="120"/>
      <c r="Q828" s="120"/>
      <c r="R828" s="120"/>
      <c r="S828" s="120"/>
      <c r="T828" s="120"/>
      <c r="U828" s="123"/>
      <c r="V828" s="120"/>
      <c r="W828" s="120"/>
      <c r="X828" s="120"/>
      <c r="Y828" s="120"/>
      <c r="Z828" s="120"/>
    </row>
    <row r="829" spans="1:26" ht="12" customHeight="1">
      <c r="A829" s="140"/>
      <c r="B829" s="120"/>
      <c r="C829" s="120"/>
      <c r="D829" s="120"/>
      <c r="E829" s="120"/>
      <c r="F829" s="120"/>
      <c r="G829" s="120"/>
      <c r="H829" s="120"/>
      <c r="I829" s="120"/>
      <c r="J829" s="120"/>
      <c r="K829" s="120"/>
      <c r="L829" s="120"/>
      <c r="M829" s="120"/>
      <c r="N829" s="120"/>
      <c r="O829" s="120"/>
      <c r="P829" s="120"/>
      <c r="Q829" s="120"/>
      <c r="R829" s="120"/>
      <c r="S829" s="120"/>
      <c r="T829" s="120"/>
      <c r="U829" s="123"/>
      <c r="V829" s="120"/>
      <c r="W829" s="120"/>
      <c r="X829" s="120"/>
      <c r="Y829" s="120"/>
      <c r="Z829" s="120"/>
    </row>
    <row r="830" spans="1:26" ht="12" customHeight="1">
      <c r="A830" s="140"/>
      <c r="B830" s="120"/>
      <c r="C830" s="120"/>
      <c r="D830" s="120"/>
      <c r="E830" s="120"/>
      <c r="F830" s="120"/>
      <c r="G830" s="120"/>
      <c r="H830" s="120"/>
      <c r="I830" s="120"/>
      <c r="J830" s="120"/>
      <c r="K830" s="120"/>
      <c r="L830" s="120"/>
      <c r="M830" s="120"/>
      <c r="N830" s="120"/>
      <c r="O830" s="120"/>
      <c r="P830" s="120"/>
      <c r="Q830" s="120"/>
      <c r="R830" s="120"/>
      <c r="S830" s="120"/>
      <c r="T830" s="120"/>
      <c r="U830" s="123"/>
      <c r="V830" s="120"/>
      <c r="W830" s="120"/>
      <c r="X830" s="120"/>
      <c r="Y830" s="120"/>
      <c r="Z830" s="120"/>
    </row>
    <row r="831" spans="1:26" ht="12" customHeight="1">
      <c r="A831" s="140"/>
      <c r="B831" s="120"/>
      <c r="C831" s="120"/>
      <c r="D831" s="120"/>
      <c r="E831" s="120"/>
      <c r="F831" s="120"/>
      <c r="G831" s="120"/>
      <c r="H831" s="120"/>
      <c r="I831" s="120"/>
      <c r="J831" s="120"/>
      <c r="K831" s="120"/>
      <c r="L831" s="120"/>
      <c r="M831" s="120"/>
      <c r="N831" s="120"/>
      <c r="O831" s="120"/>
      <c r="P831" s="120"/>
      <c r="Q831" s="120"/>
      <c r="R831" s="120"/>
      <c r="S831" s="120"/>
      <c r="T831" s="120"/>
      <c r="U831" s="123"/>
      <c r="V831" s="120"/>
      <c r="W831" s="120"/>
      <c r="X831" s="120"/>
      <c r="Y831" s="120"/>
      <c r="Z831" s="120"/>
    </row>
    <row r="832" spans="1:26" ht="12" customHeight="1">
      <c r="A832" s="140"/>
      <c r="B832" s="120"/>
      <c r="C832" s="120"/>
      <c r="D832" s="120"/>
      <c r="E832" s="120"/>
      <c r="F832" s="120"/>
      <c r="G832" s="120"/>
      <c r="H832" s="120"/>
      <c r="I832" s="120"/>
      <c r="J832" s="120"/>
      <c r="K832" s="120"/>
      <c r="L832" s="120"/>
      <c r="M832" s="120"/>
      <c r="N832" s="120"/>
      <c r="O832" s="120"/>
      <c r="P832" s="120"/>
      <c r="Q832" s="120"/>
      <c r="R832" s="120"/>
      <c r="S832" s="120"/>
      <c r="T832" s="120"/>
      <c r="U832" s="123"/>
      <c r="V832" s="120"/>
      <c r="W832" s="120"/>
      <c r="X832" s="120"/>
      <c r="Y832" s="120"/>
      <c r="Z832" s="120"/>
    </row>
    <row r="833" spans="1:26" ht="12" customHeight="1">
      <c r="A833" s="140"/>
      <c r="B833" s="120"/>
      <c r="C833" s="120"/>
      <c r="D833" s="120"/>
      <c r="E833" s="120"/>
      <c r="F833" s="120"/>
      <c r="G833" s="120"/>
      <c r="H833" s="120"/>
      <c r="I833" s="120"/>
      <c r="J833" s="120"/>
      <c r="K833" s="120"/>
      <c r="L833" s="120"/>
      <c r="M833" s="120"/>
      <c r="N833" s="120"/>
      <c r="O833" s="120"/>
      <c r="P833" s="120"/>
      <c r="Q833" s="120"/>
      <c r="R833" s="120"/>
      <c r="S833" s="120"/>
      <c r="T833" s="120"/>
      <c r="U833" s="123"/>
      <c r="V833" s="120"/>
      <c r="W833" s="120"/>
      <c r="X833" s="120"/>
      <c r="Y833" s="120"/>
      <c r="Z833" s="120"/>
    </row>
    <row r="834" spans="1:26" ht="12" customHeight="1">
      <c r="A834" s="140"/>
      <c r="B834" s="120"/>
      <c r="C834" s="120"/>
      <c r="D834" s="120"/>
      <c r="E834" s="120"/>
      <c r="F834" s="120"/>
      <c r="G834" s="120"/>
      <c r="H834" s="120"/>
      <c r="I834" s="120"/>
      <c r="J834" s="120"/>
      <c r="K834" s="120"/>
      <c r="L834" s="120"/>
      <c r="M834" s="120"/>
      <c r="N834" s="120"/>
      <c r="O834" s="120"/>
      <c r="P834" s="120"/>
      <c r="Q834" s="120"/>
      <c r="R834" s="120"/>
      <c r="S834" s="120"/>
      <c r="T834" s="120"/>
      <c r="U834" s="123"/>
      <c r="V834" s="120"/>
      <c r="W834" s="120"/>
      <c r="X834" s="120"/>
      <c r="Y834" s="120"/>
      <c r="Z834" s="120"/>
    </row>
    <row r="835" spans="1:26" ht="12" customHeight="1">
      <c r="A835" s="140"/>
      <c r="B835" s="120"/>
      <c r="C835" s="120"/>
      <c r="D835" s="120"/>
      <c r="E835" s="120"/>
      <c r="F835" s="120"/>
      <c r="G835" s="120"/>
      <c r="H835" s="120"/>
      <c r="I835" s="120"/>
      <c r="J835" s="120"/>
      <c r="K835" s="120"/>
      <c r="L835" s="120"/>
      <c r="M835" s="120"/>
      <c r="N835" s="120"/>
      <c r="O835" s="120"/>
      <c r="P835" s="120"/>
      <c r="Q835" s="120"/>
      <c r="R835" s="120"/>
      <c r="S835" s="120"/>
      <c r="T835" s="120"/>
      <c r="U835" s="123"/>
      <c r="V835" s="120"/>
      <c r="W835" s="120"/>
      <c r="X835" s="120"/>
      <c r="Y835" s="120"/>
      <c r="Z835" s="120"/>
    </row>
    <row r="836" spans="1:26" ht="12" customHeight="1">
      <c r="A836" s="140"/>
      <c r="B836" s="120"/>
      <c r="C836" s="120"/>
      <c r="D836" s="120"/>
      <c r="E836" s="120"/>
      <c r="F836" s="120"/>
      <c r="G836" s="120"/>
      <c r="H836" s="120"/>
      <c r="I836" s="120"/>
      <c r="J836" s="120"/>
      <c r="K836" s="120"/>
      <c r="L836" s="120"/>
      <c r="M836" s="120"/>
      <c r="N836" s="120"/>
      <c r="O836" s="120"/>
      <c r="P836" s="120"/>
      <c r="Q836" s="120"/>
      <c r="R836" s="120"/>
      <c r="S836" s="120"/>
      <c r="T836" s="120"/>
      <c r="U836" s="123"/>
      <c r="V836" s="120"/>
      <c r="W836" s="120"/>
      <c r="X836" s="120"/>
      <c r="Y836" s="120"/>
      <c r="Z836" s="120"/>
    </row>
    <row r="837" spans="1:26" ht="12" customHeight="1">
      <c r="A837" s="140"/>
      <c r="B837" s="120"/>
      <c r="C837" s="120"/>
      <c r="D837" s="120"/>
      <c r="E837" s="120"/>
      <c r="F837" s="120"/>
      <c r="G837" s="120"/>
      <c r="H837" s="120"/>
      <c r="I837" s="120"/>
      <c r="J837" s="120"/>
      <c r="K837" s="120"/>
      <c r="L837" s="120"/>
      <c r="M837" s="120"/>
      <c r="N837" s="120"/>
      <c r="O837" s="120"/>
      <c r="P837" s="120"/>
      <c r="Q837" s="120"/>
      <c r="R837" s="120"/>
      <c r="S837" s="120"/>
      <c r="T837" s="120"/>
      <c r="U837" s="123"/>
      <c r="V837" s="120"/>
      <c r="W837" s="120"/>
      <c r="X837" s="120"/>
      <c r="Y837" s="120"/>
      <c r="Z837" s="120"/>
    </row>
    <row r="838" spans="1:26" ht="12" customHeight="1">
      <c r="A838" s="140"/>
      <c r="B838" s="120"/>
      <c r="C838" s="120"/>
      <c r="D838" s="120"/>
      <c r="E838" s="120"/>
      <c r="F838" s="120"/>
      <c r="G838" s="120"/>
      <c r="H838" s="120"/>
      <c r="I838" s="120"/>
      <c r="J838" s="120"/>
      <c r="K838" s="120"/>
      <c r="L838" s="120"/>
      <c r="M838" s="120"/>
      <c r="N838" s="120"/>
      <c r="O838" s="120"/>
      <c r="P838" s="120"/>
      <c r="Q838" s="120"/>
      <c r="R838" s="120"/>
      <c r="S838" s="120"/>
      <c r="T838" s="120"/>
      <c r="U838" s="123"/>
      <c r="V838" s="120"/>
      <c r="W838" s="120"/>
      <c r="X838" s="120"/>
      <c r="Y838" s="120"/>
      <c r="Z838" s="120"/>
    </row>
    <row r="839" spans="1:26" ht="12" customHeight="1">
      <c r="A839" s="140"/>
      <c r="B839" s="120"/>
      <c r="C839" s="120"/>
      <c r="D839" s="120"/>
      <c r="E839" s="120"/>
      <c r="F839" s="120"/>
      <c r="G839" s="120"/>
      <c r="H839" s="120"/>
      <c r="I839" s="120"/>
      <c r="J839" s="120"/>
      <c r="K839" s="120"/>
      <c r="L839" s="120"/>
      <c r="M839" s="120"/>
      <c r="N839" s="120"/>
      <c r="O839" s="120"/>
      <c r="P839" s="120"/>
      <c r="Q839" s="120"/>
      <c r="R839" s="120"/>
      <c r="S839" s="120"/>
      <c r="T839" s="120"/>
      <c r="U839" s="123"/>
      <c r="V839" s="120"/>
      <c r="W839" s="120"/>
      <c r="X839" s="120"/>
      <c r="Y839" s="120"/>
      <c r="Z839" s="120"/>
    </row>
    <row r="840" spans="1:26" ht="12" customHeight="1">
      <c r="A840" s="140"/>
      <c r="B840" s="120"/>
      <c r="C840" s="120"/>
      <c r="D840" s="120"/>
      <c r="E840" s="120"/>
      <c r="F840" s="120"/>
      <c r="G840" s="120"/>
      <c r="H840" s="120"/>
      <c r="I840" s="120"/>
      <c r="J840" s="120"/>
      <c r="K840" s="120"/>
      <c r="L840" s="120"/>
      <c r="M840" s="120"/>
      <c r="N840" s="120"/>
      <c r="O840" s="120"/>
      <c r="P840" s="120"/>
      <c r="Q840" s="120"/>
      <c r="R840" s="120"/>
      <c r="S840" s="120"/>
      <c r="T840" s="120"/>
      <c r="U840" s="123"/>
      <c r="V840" s="120"/>
      <c r="W840" s="120"/>
      <c r="X840" s="120"/>
      <c r="Y840" s="120"/>
      <c r="Z840" s="120"/>
    </row>
    <row r="841" spans="1:26" ht="12" customHeight="1">
      <c r="A841" s="140"/>
      <c r="B841" s="120"/>
      <c r="C841" s="120"/>
      <c r="D841" s="120"/>
      <c r="E841" s="120"/>
      <c r="F841" s="120"/>
      <c r="G841" s="120"/>
      <c r="H841" s="120"/>
      <c r="I841" s="120"/>
      <c r="J841" s="120"/>
      <c r="K841" s="120"/>
      <c r="L841" s="120"/>
      <c r="M841" s="120"/>
      <c r="N841" s="120"/>
      <c r="O841" s="120"/>
      <c r="P841" s="120"/>
      <c r="Q841" s="120"/>
      <c r="R841" s="120"/>
      <c r="S841" s="120"/>
      <c r="T841" s="120"/>
      <c r="U841" s="123"/>
      <c r="V841" s="120"/>
      <c r="W841" s="120"/>
      <c r="X841" s="120"/>
      <c r="Y841" s="120"/>
      <c r="Z841" s="120"/>
    </row>
    <row r="842" spans="1:26" ht="12" customHeight="1">
      <c r="A842" s="140"/>
      <c r="B842" s="120"/>
      <c r="C842" s="120"/>
      <c r="D842" s="120"/>
      <c r="E842" s="120"/>
      <c r="F842" s="120"/>
      <c r="G842" s="120"/>
      <c r="H842" s="120"/>
      <c r="I842" s="120"/>
      <c r="J842" s="120"/>
      <c r="K842" s="120"/>
      <c r="L842" s="120"/>
      <c r="M842" s="120"/>
      <c r="N842" s="120"/>
      <c r="O842" s="120"/>
      <c r="P842" s="120"/>
      <c r="Q842" s="120"/>
      <c r="R842" s="120"/>
      <c r="S842" s="120"/>
      <c r="T842" s="120"/>
      <c r="U842" s="123"/>
      <c r="V842" s="120"/>
      <c r="W842" s="120"/>
      <c r="X842" s="120"/>
      <c r="Y842" s="120"/>
      <c r="Z842" s="120"/>
    </row>
    <row r="843" spans="1:26" ht="12" customHeight="1">
      <c r="A843" s="140"/>
      <c r="B843" s="120"/>
      <c r="C843" s="120"/>
      <c r="D843" s="120"/>
      <c r="E843" s="120"/>
      <c r="F843" s="120"/>
      <c r="G843" s="120"/>
      <c r="H843" s="120"/>
      <c r="I843" s="120"/>
      <c r="J843" s="120"/>
      <c r="K843" s="120"/>
      <c r="L843" s="120"/>
      <c r="M843" s="120"/>
      <c r="N843" s="120"/>
      <c r="O843" s="120"/>
      <c r="P843" s="120"/>
      <c r="Q843" s="120"/>
      <c r="R843" s="120"/>
      <c r="S843" s="120"/>
      <c r="T843" s="120"/>
      <c r="U843" s="123"/>
      <c r="V843" s="120"/>
      <c r="W843" s="120"/>
      <c r="X843" s="120"/>
      <c r="Y843" s="120"/>
      <c r="Z843" s="120"/>
    </row>
    <row r="844" spans="1:26" ht="12" customHeight="1">
      <c r="A844" s="140"/>
      <c r="B844" s="120"/>
      <c r="C844" s="120"/>
      <c r="D844" s="120"/>
      <c r="E844" s="120"/>
      <c r="F844" s="120"/>
      <c r="G844" s="120"/>
      <c r="H844" s="120"/>
      <c r="I844" s="120"/>
      <c r="J844" s="120"/>
      <c r="K844" s="120"/>
      <c r="L844" s="120"/>
      <c r="M844" s="120"/>
      <c r="N844" s="120"/>
      <c r="O844" s="120"/>
      <c r="P844" s="120"/>
      <c r="Q844" s="120"/>
      <c r="R844" s="120"/>
      <c r="S844" s="120"/>
      <c r="T844" s="120"/>
      <c r="U844" s="123"/>
      <c r="V844" s="120"/>
      <c r="W844" s="120"/>
      <c r="X844" s="120"/>
      <c r="Y844" s="120"/>
      <c r="Z844" s="120"/>
    </row>
    <row r="845" spans="1:26" ht="12" customHeight="1">
      <c r="A845" s="140"/>
      <c r="B845" s="120"/>
      <c r="C845" s="120"/>
      <c r="D845" s="120"/>
      <c r="E845" s="120"/>
      <c r="F845" s="120"/>
      <c r="G845" s="120"/>
      <c r="H845" s="120"/>
      <c r="I845" s="120"/>
      <c r="J845" s="120"/>
      <c r="K845" s="120"/>
      <c r="L845" s="120"/>
      <c r="M845" s="120"/>
      <c r="N845" s="120"/>
      <c r="O845" s="120"/>
      <c r="P845" s="120"/>
      <c r="Q845" s="120"/>
      <c r="R845" s="120"/>
      <c r="S845" s="120"/>
      <c r="T845" s="120"/>
      <c r="U845" s="123"/>
      <c r="V845" s="120"/>
      <c r="W845" s="120"/>
      <c r="X845" s="120"/>
      <c r="Y845" s="120"/>
      <c r="Z845" s="120"/>
    </row>
    <row r="846" spans="1:26" ht="12" customHeight="1">
      <c r="A846" s="140"/>
      <c r="B846" s="120"/>
      <c r="C846" s="120"/>
      <c r="D846" s="120"/>
      <c r="E846" s="120"/>
      <c r="F846" s="120"/>
      <c r="G846" s="120"/>
      <c r="H846" s="120"/>
      <c r="I846" s="120"/>
      <c r="J846" s="120"/>
      <c r="K846" s="120"/>
      <c r="L846" s="120"/>
      <c r="M846" s="120"/>
      <c r="N846" s="120"/>
      <c r="O846" s="120"/>
      <c r="P846" s="120"/>
      <c r="Q846" s="120"/>
      <c r="R846" s="120"/>
      <c r="S846" s="120"/>
      <c r="T846" s="120"/>
      <c r="U846" s="123"/>
      <c r="V846" s="120"/>
      <c r="W846" s="120"/>
      <c r="X846" s="120"/>
      <c r="Y846" s="120"/>
      <c r="Z846" s="120"/>
    </row>
    <row r="847" spans="1:26" ht="12" customHeight="1">
      <c r="A847" s="140"/>
      <c r="B847" s="120"/>
      <c r="C847" s="120"/>
      <c r="D847" s="120"/>
      <c r="E847" s="120"/>
      <c r="F847" s="120"/>
      <c r="G847" s="120"/>
      <c r="H847" s="120"/>
      <c r="I847" s="120"/>
      <c r="J847" s="120"/>
      <c r="K847" s="120"/>
      <c r="L847" s="120"/>
      <c r="M847" s="120"/>
      <c r="N847" s="120"/>
      <c r="O847" s="120"/>
      <c r="P847" s="120"/>
      <c r="Q847" s="120"/>
      <c r="R847" s="120"/>
      <c r="S847" s="120"/>
      <c r="T847" s="120"/>
      <c r="U847" s="123"/>
      <c r="V847" s="120"/>
      <c r="W847" s="120"/>
      <c r="X847" s="120"/>
      <c r="Y847" s="120"/>
      <c r="Z847" s="120"/>
    </row>
    <row r="848" spans="1:26" ht="12" customHeight="1">
      <c r="A848" s="140"/>
      <c r="B848" s="120"/>
      <c r="C848" s="120"/>
      <c r="D848" s="120"/>
      <c r="E848" s="120"/>
      <c r="F848" s="120"/>
      <c r="G848" s="120"/>
      <c r="H848" s="120"/>
      <c r="I848" s="120"/>
      <c r="J848" s="120"/>
      <c r="K848" s="120"/>
      <c r="L848" s="120"/>
      <c r="M848" s="120"/>
      <c r="N848" s="120"/>
      <c r="O848" s="120"/>
      <c r="P848" s="120"/>
      <c r="Q848" s="120"/>
      <c r="R848" s="120"/>
      <c r="S848" s="120"/>
      <c r="T848" s="120"/>
      <c r="U848" s="123"/>
      <c r="V848" s="120"/>
      <c r="W848" s="120"/>
      <c r="X848" s="120"/>
      <c r="Y848" s="120"/>
      <c r="Z848" s="120"/>
    </row>
    <row r="849" spans="1:26" ht="12" customHeight="1">
      <c r="A849" s="140"/>
      <c r="B849" s="120"/>
      <c r="C849" s="120"/>
      <c r="D849" s="120"/>
      <c r="E849" s="120"/>
      <c r="F849" s="120"/>
      <c r="G849" s="120"/>
      <c r="H849" s="120"/>
      <c r="I849" s="120"/>
      <c r="J849" s="120"/>
      <c r="K849" s="120"/>
      <c r="L849" s="120"/>
      <c r="M849" s="120"/>
      <c r="N849" s="120"/>
      <c r="O849" s="120"/>
      <c r="P849" s="120"/>
      <c r="Q849" s="120"/>
      <c r="R849" s="120"/>
      <c r="S849" s="120"/>
      <c r="T849" s="120"/>
      <c r="U849" s="123"/>
      <c r="V849" s="120"/>
      <c r="W849" s="120"/>
      <c r="X849" s="120"/>
      <c r="Y849" s="120"/>
      <c r="Z849" s="120"/>
    </row>
    <row r="850" spans="1:26" ht="12" customHeight="1">
      <c r="A850" s="140"/>
      <c r="B850" s="120"/>
      <c r="C850" s="120"/>
      <c r="D850" s="120"/>
      <c r="E850" s="120"/>
      <c r="F850" s="120"/>
      <c r="G850" s="120"/>
      <c r="H850" s="120"/>
      <c r="I850" s="120"/>
      <c r="J850" s="120"/>
      <c r="K850" s="120"/>
      <c r="L850" s="120"/>
      <c r="M850" s="120"/>
      <c r="N850" s="120"/>
      <c r="O850" s="120"/>
      <c r="P850" s="120"/>
      <c r="Q850" s="120"/>
      <c r="R850" s="120"/>
      <c r="S850" s="120"/>
      <c r="T850" s="120"/>
      <c r="U850" s="123"/>
      <c r="V850" s="120"/>
      <c r="W850" s="120"/>
      <c r="X850" s="120"/>
      <c r="Y850" s="120"/>
      <c r="Z850" s="120"/>
    </row>
    <row r="851" spans="1:26" ht="12" customHeight="1">
      <c r="A851" s="140"/>
      <c r="B851" s="120"/>
      <c r="C851" s="120"/>
      <c r="D851" s="120"/>
      <c r="E851" s="120"/>
      <c r="F851" s="120"/>
      <c r="G851" s="120"/>
      <c r="H851" s="120"/>
      <c r="I851" s="120"/>
      <c r="J851" s="120"/>
      <c r="K851" s="120"/>
      <c r="L851" s="120"/>
      <c r="M851" s="120"/>
      <c r="N851" s="120"/>
      <c r="O851" s="120"/>
      <c r="P851" s="120"/>
      <c r="Q851" s="120"/>
      <c r="R851" s="120"/>
      <c r="S851" s="120"/>
      <c r="T851" s="120"/>
      <c r="U851" s="123"/>
      <c r="V851" s="120"/>
      <c r="W851" s="120"/>
      <c r="X851" s="120"/>
      <c r="Y851" s="120"/>
      <c r="Z851" s="120"/>
    </row>
    <row r="852" spans="1:26" ht="12" customHeight="1">
      <c r="A852" s="140"/>
      <c r="B852" s="120"/>
      <c r="C852" s="120"/>
      <c r="D852" s="120"/>
      <c r="E852" s="120"/>
      <c r="F852" s="120"/>
      <c r="G852" s="120"/>
      <c r="H852" s="120"/>
      <c r="I852" s="120"/>
      <c r="J852" s="120"/>
      <c r="K852" s="120"/>
      <c r="L852" s="120"/>
      <c r="M852" s="120"/>
      <c r="N852" s="120"/>
      <c r="O852" s="120"/>
      <c r="P852" s="120"/>
      <c r="Q852" s="120"/>
      <c r="R852" s="120"/>
      <c r="S852" s="120"/>
      <c r="T852" s="120"/>
      <c r="U852" s="123"/>
      <c r="V852" s="120"/>
      <c r="W852" s="120"/>
      <c r="X852" s="120"/>
      <c r="Y852" s="120"/>
      <c r="Z852" s="120"/>
    </row>
    <row r="853" spans="1:26" ht="12" customHeight="1">
      <c r="A853" s="140"/>
      <c r="B853" s="120"/>
      <c r="C853" s="120"/>
      <c r="D853" s="120"/>
      <c r="E853" s="120"/>
      <c r="F853" s="120"/>
      <c r="G853" s="120"/>
      <c r="H853" s="120"/>
      <c r="I853" s="120"/>
      <c r="J853" s="120"/>
      <c r="K853" s="120"/>
      <c r="L853" s="120"/>
      <c r="M853" s="120"/>
      <c r="N853" s="120"/>
      <c r="O853" s="120"/>
      <c r="P853" s="120"/>
      <c r="Q853" s="120"/>
      <c r="R853" s="120"/>
      <c r="S853" s="120"/>
      <c r="T853" s="120"/>
      <c r="U853" s="123"/>
      <c r="V853" s="120"/>
      <c r="W853" s="120"/>
      <c r="X853" s="120"/>
      <c r="Y853" s="120"/>
      <c r="Z853" s="120"/>
    </row>
    <row r="854" spans="1:26" ht="12" customHeight="1">
      <c r="A854" s="140"/>
      <c r="B854" s="120"/>
      <c r="C854" s="120"/>
      <c r="D854" s="120"/>
      <c r="E854" s="120"/>
      <c r="F854" s="120"/>
      <c r="G854" s="120"/>
      <c r="H854" s="120"/>
      <c r="I854" s="120"/>
      <c r="J854" s="120"/>
      <c r="K854" s="120"/>
      <c r="L854" s="120"/>
      <c r="M854" s="120"/>
      <c r="N854" s="120"/>
      <c r="O854" s="120"/>
      <c r="P854" s="120"/>
      <c r="Q854" s="120"/>
      <c r="R854" s="120"/>
      <c r="S854" s="120"/>
      <c r="T854" s="120"/>
      <c r="U854" s="123"/>
      <c r="V854" s="120"/>
      <c r="W854" s="120"/>
      <c r="X854" s="120"/>
      <c r="Y854" s="120"/>
      <c r="Z854" s="120"/>
    </row>
    <row r="855" spans="1:26" ht="12" customHeight="1">
      <c r="A855" s="140"/>
      <c r="B855" s="120"/>
      <c r="C855" s="120"/>
      <c r="D855" s="120"/>
      <c r="E855" s="120"/>
      <c r="F855" s="120"/>
      <c r="G855" s="120"/>
      <c r="H855" s="120"/>
      <c r="I855" s="120"/>
      <c r="J855" s="120"/>
      <c r="K855" s="120"/>
      <c r="L855" s="120"/>
      <c r="M855" s="120"/>
      <c r="N855" s="120"/>
      <c r="O855" s="120"/>
      <c r="P855" s="120"/>
      <c r="Q855" s="120"/>
      <c r="R855" s="120"/>
      <c r="S855" s="120"/>
      <c r="T855" s="120"/>
      <c r="U855" s="123"/>
      <c r="V855" s="120"/>
      <c r="W855" s="120"/>
      <c r="X855" s="120"/>
      <c r="Y855" s="120"/>
      <c r="Z855" s="120"/>
    </row>
    <row r="856" spans="1:26" ht="12" customHeight="1">
      <c r="A856" s="140"/>
      <c r="B856" s="120"/>
      <c r="C856" s="120"/>
      <c r="D856" s="120"/>
      <c r="E856" s="120"/>
      <c r="F856" s="120"/>
      <c r="G856" s="120"/>
      <c r="H856" s="120"/>
      <c r="I856" s="120"/>
      <c r="J856" s="120"/>
      <c r="K856" s="120"/>
      <c r="L856" s="120"/>
      <c r="M856" s="120"/>
      <c r="N856" s="120"/>
      <c r="O856" s="120"/>
      <c r="P856" s="120"/>
      <c r="Q856" s="120"/>
      <c r="R856" s="120"/>
      <c r="S856" s="120"/>
      <c r="T856" s="120"/>
      <c r="U856" s="123"/>
      <c r="V856" s="120"/>
      <c r="W856" s="120"/>
      <c r="X856" s="120"/>
      <c r="Y856" s="120"/>
      <c r="Z856" s="120"/>
    </row>
    <row r="857" spans="1:26" ht="12" customHeight="1">
      <c r="A857" s="140"/>
      <c r="B857" s="120"/>
      <c r="C857" s="120"/>
      <c r="D857" s="120"/>
      <c r="E857" s="120"/>
      <c r="F857" s="120"/>
      <c r="G857" s="120"/>
      <c r="H857" s="120"/>
      <c r="I857" s="120"/>
      <c r="J857" s="120"/>
      <c r="K857" s="120"/>
      <c r="L857" s="120"/>
      <c r="M857" s="120"/>
      <c r="N857" s="120"/>
      <c r="O857" s="120"/>
      <c r="P857" s="120"/>
      <c r="Q857" s="120"/>
      <c r="R857" s="120"/>
      <c r="S857" s="120"/>
      <c r="T857" s="120"/>
      <c r="U857" s="123"/>
      <c r="V857" s="120"/>
      <c r="W857" s="120"/>
      <c r="X857" s="120"/>
      <c r="Y857" s="120"/>
      <c r="Z857" s="120"/>
    </row>
    <row r="858" spans="1:26" ht="12" customHeight="1">
      <c r="A858" s="140"/>
      <c r="B858" s="120"/>
      <c r="C858" s="120"/>
      <c r="D858" s="120"/>
      <c r="E858" s="120"/>
      <c r="F858" s="120"/>
      <c r="G858" s="120"/>
      <c r="H858" s="120"/>
      <c r="I858" s="120"/>
      <c r="J858" s="120"/>
      <c r="K858" s="120"/>
      <c r="L858" s="120"/>
      <c r="M858" s="120"/>
      <c r="N858" s="120"/>
      <c r="O858" s="120"/>
      <c r="P858" s="120"/>
      <c r="Q858" s="120"/>
      <c r="R858" s="120"/>
      <c r="S858" s="120"/>
      <c r="T858" s="120"/>
      <c r="U858" s="123"/>
      <c r="V858" s="120"/>
      <c r="W858" s="120"/>
      <c r="X858" s="120"/>
      <c r="Y858" s="120"/>
      <c r="Z858" s="120"/>
    </row>
    <row r="859" spans="1:26" ht="12" customHeight="1">
      <c r="A859" s="140"/>
      <c r="B859" s="120"/>
      <c r="C859" s="120"/>
      <c r="D859" s="120"/>
      <c r="E859" s="120"/>
      <c r="F859" s="120"/>
      <c r="G859" s="120"/>
      <c r="H859" s="120"/>
      <c r="I859" s="120"/>
      <c r="J859" s="120"/>
      <c r="K859" s="120"/>
      <c r="L859" s="120"/>
      <c r="M859" s="120"/>
      <c r="N859" s="120"/>
      <c r="O859" s="120"/>
      <c r="P859" s="120"/>
      <c r="Q859" s="120"/>
      <c r="R859" s="120"/>
      <c r="S859" s="120"/>
      <c r="T859" s="120"/>
      <c r="U859" s="123"/>
      <c r="V859" s="120"/>
      <c r="W859" s="120"/>
      <c r="X859" s="120"/>
      <c r="Y859" s="120"/>
      <c r="Z859" s="120"/>
    </row>
    <row r="860" spans="1:26" ht="12" customHeight="1">
      <c r="A860" s="140"/>
      <c r="B860" s="120"/>
      <c r="C860" s="120"/>
      <c r="D860" s="120"/>
      <c r="E860" s="120"/>
      <c r="F860" s="120"/>
      <c r="G860" s="120"/>
      <c r="H860" s="120"/>
      <c r="I860" s="120"/>
      <c r="J860" s="120"/>
      <c r="K860" s="120"/>
      <c r="L860" s="120"/>
      <c r="M860" s="120"/>
      <c r="N860" s="120"/>
      <c r="O860" s="120"/>
      <c r="P860" s="120"/>
      <c r="Q860" s="120"/>
      <c r="R860" s="120"/>
      <c r="S860" s="120"/>
      <c r="T860" s="120"/>
      <c r="U860" s="123"/>
      <c r="V860" s="120"/>
      <c r="W860" s="120"/>
      <c r="X860" s="120"/>
      <c r="Y860" s="120"/>
      <c r="Z860" s="120"/>
    </row>
    <row r="861" spans="1:26" ht="12" customHeight="1">
      <c r="A861" s="140"/>
      <c r="B861" s="120"/>
      <c r="C861" s="120"/>
      <c r="D861" s="120"/>
      <c r="E861" s="120"/>
      <c r="F861" s="120"/>
      <c r="G861" s="120"/>
      <c r="H861" s="120"/>
      <c r="I861" s="120"/>
      <c r="J861" s="120"/>
      <c r="K861" s="120"/>
      <c r="L861" s="120"/>
      <c r="M861" s="120"/>
      <c r="N861" s="120"/>
      <c r="O861" s="120"/>
      <c r="P861" s="120"/>
      <c r="Q861" s="120"/>
      <c r="R861" s="120"/>
      <c r="S861" s="120"/>
      <c r="T861" s="120"/>
      <c r="U861" s="123"/>
      <c r="V861" s="120"/>
      <c r="W861" s="120"/>
      <c r="X861" s="120"/>
      <c r="Y861" s="120"/>
      <c r="Z861" s="120"/>
    </row>
    <row r="862" spans="1:26" ht="12" customHeight="1">
      <c r="A862" s="140"/>
      <c r="B862" s="120"/>
      <c r="C862" s="120"/>
      <c r="D862" s="120"/>
      <c r="E862" s="120"/>
      <c r="F862" s="120"/>
      <c r="G862" s="120"/>
      <c r="H862" s="120"/>
      <c r="I862" s="120"/>
      <c r="J862" s="120"/>
      <c r="K862" s="120"/>
      <c r="L862" s="120"/>
      <c r="M862" s="120"/>
      <c r="N862" s="120"/>
      <c r="O862" s="120"/>
      <c r="P862" s="120"/>
      <c r="Q862" s="120"/>
      <c r="R862" s="120"/>
      <c r="S862" s="120"/>
      <c r="T862" s="120"/>
      <c r="U862" s="123"/>
      <c r="V862" s="120"/>
      <c r="W862" s="120"/>
      <c r="X862" s="120"/>
      <c r="Y862" s="120"/>
      <c r="Z862" s="120"/>
    </row>
    <row r="863" spans="1:26" ht="12" customHeight="1">
      <c r="A863" s="140"/>
      <c r="B863" s="120"/>
      <c r="C863" s="120"/>
      <c r="D863" s="120"/>
      <c r="E863" s="120"/>
      <c r="F863" s="120"/>
      <c r="G863" s="120"/>
      <c r="H863" s="120"/>
      <c r="I863" s="120"/>
      <c r="J863" s="120"/>
      <c r="K863" s="120"/>
      <c r="L863" s="120"/>
      <c r="M863" s="120"/>
      <c r="N863" s="120"/>
      <c r="O863" s="120"/>
      <c r="P863" s="120"/>
      <c r="Q863" s="120"/>
      <c r="R863" s="120"/>
      <c r="S863" s="120"/>
      <c r="T863" s="120"/>
      <c r="U863" s="123"/>
      <c r="V863" s="120"/>
      <c r="W863" s="120"/>
      <c r="X863" s="120"/>
      <c r="Y863" s="120"/>
      <c r="Z863" s="120"/>
    </row>
    <row r="864" spans="1:26" ht="12" customHeight="1">
      <c r="A864" s="140"/>
      <c r="B864" s="120"/>
      <c r="C864" s="120"/>
      <c r="D864" s="120"/>
      <c r="E864" s="120"/>
      <c r="F864" s="120"/>
      <c r="G864" s="120"/>
      <c r="H864" s="120"/>
      <c r="I864" s="120"/>
      <c r="J864" s="120"/>
      <c r="K864" s="120"/>
      <c r="L864" s="120"/>
      <c r="M864" s="120"/>
      <c r="N864" s="120"/>
      <c r="O864" s="120"/>
      <c r="P864" s="120"/>
      <c r="Q864" s="120"/>
      <c r="R864" s="120"/>
      <c r="S864" s="120"/>
      <c r="T864" s="120"/>
      <c r="U864" s="123"/>
      <c r="V864" s="120"/>
      <c r="W864" s="120"/>
      <c r="X864" s="120"/>
      <c r="Y864" s="120"/>
      <c r="Z864" s="120"/>
    </row>
    <row r="865" spans="1:26" ht="12" customHeight="1">
      <c r="A865" s="140"/>
      <c r="B865" s="120"/>
      <c r="C865" s="120"/>
      <c r="D865" s="120"/>
      <c r="E865" s="120"/>
      <c r="F865" s="120"/>
      <c r="G865" s="120"/>
      <c r="H865" s="120"/>
      <c r="I865" s="120"/>
      <c r="J865" s="120"/>
      <c r="K865" s="120"/>
      <c r="L865" s="120"/>
      <c r="M865" s="120"/>
      <c r="N865" s="120"/>
      <c r="O865" s="120"/>
      <c r="P865" s="120"/>
      <c r="Q865" s="120"/>
      <c r="R865" s="120"/>
      <c r="S865" s="120"/>
      <c r="T865" s="120"/>
      <c r="U865" s="123"/>
      <c r="V865" s="120"/>
      <c r="W865" s="120"/>
      <c r="X865" s="120"/>
      <c r="Y865" s="120"/>
      <c r="Z865" s="120"/>
    </row>
    <row r="866" spans="1:26" ht="12" customHeight="1">
      <c r="A866" s="140"/>
      <c r="B866" s="120"/>
      <c r="C866" s="120"/>
      <c r="D866" s="120"/>
      <c r="E866" s="120"/>
      <c r="F866" s="120"/>
      <c r="G866" s="120"/>
      <c r="H866" s="120"/>
      <c r="I866" s="120"/>
      <c r="J866" s="120"/>
      <c r="K866" s="120"/>
      <c r="L866" s="120"/>
      <c r="M866" s="120"/>
      <c r="N866" s="120"/>
      <c r="O866" s="120"/>
      <c r="P866" s="120"/>
      <c r="Q866" s="120"/>
      <c r="R866" s="120"/>
      <c r="S866" s="120"/>
      <c r="T866" s="120"/>
      <c r="U866" s="123"/>
      <c r="V866" s="120"/>
      <c r="W866" s="120"/>
      <c r="X866" s="120"/>
      <c r="Y866" s="120"/>
      <c r="Z866" s="120"/>
    </row>
    <row r="867" spans="1:26" ht="12" customHeight="1">
      <c r="A867" s="140"/>
      <c r="B867" s="120"/>
      <c r="C867" s="120"/>
      <c r="D867" s="120"/>
      <c r="E867" s="120"/>
      <c r="F867" s="120"/>
      <c r="G867" s="120"/>
      <c r="H867" s="120"/>
      <c r="I867" s="120"/>
      <c r="J867" s="120"/>
      <c r="K867" s="120"/>
      <c r="L867" s="120"/>
      <c r="M867" s="120"/>
      <c r="N867" s="120"/>
      <c r="O867" s="120"/>
      <c r="P867" s="120"/>
      <c r="Q867" s="120"/>
      <c r="R867" s="120"/>
      <c r="S867" s="120"/>
      <c r="T867" s="120"/>
      <c r="U867" s="123"/>
      <c r="V867" s="120"/>
      <c r="W867" s="120"/>
      <c r="X867" s="120"/>
      <c r="Y867" s="120"/>
      <c r="Z867" s="120"/>
    </row>
    <row r="868" spans="1:26" ht="12" customHeight="1">
      <c r="A868" s="140"/>
      <c r="B868" s="120"/>
      <c r="C868" s="120"/>
      <c r="D868" s="120"/>
      <c r="E868" s="120"/>
      <c r="F868" s="120"/>
      <c r="G868" s="120"/>
      <c r="H868" s="120"/>
      <c r="I868" s="120"/>
      <c r="J868" s="120"/>
      <c r="K868" s="120"/>
      <c r="L868" s="120"/>
      <c r="M868" s="120"/>
      <c r="N868" s="120"/>
      <c r="O868" s="120"/>
      <c r="P868" s="120"/>
      <c r="Q868" s="120"/>
      <c r="R868" s="120"/>
      <c r="S868" s="120"/>
      <c r="T868" s="120"/>
      <c r="U868" s="123"/>
      <c r="V868" s="120"/>
      <c r="W868" s="120"/>
      <c r="X868" s="120"/>
      <c r="Y868" s="120"/>
      <c r="Z868" s="120"/>
    </row>
    <row r="869" spans="1:26" ht="12" customHeight="1">
      <c r="A869" s="140"/>
      <c r="B869" s="120"/>
      <c r="C869" s="120"/>
      <c r="D869" s="120"/>
      <c r="E869" s="120"/>
      <c r="F869" s="120"/>
      <c r="G869" s="120"/>
      <c r="H869" s="120"/>
      <c r="I869" s="120"/>
      <c r="J869" s="120"/>
      <c r="K869" s="120"/>
      <c r="L869" s="120"/>
      <c r="M869" s="120"/>
      <c r="N869" s="120"/>
      <c r="O869" s="120"/>
      <c r="P869" s="120"/>
      <c r="Q869" s="120"/>
      <c r="R869" s="120"/>
      <c r="S869" s="120"/>
      <c r="T869" s="120"/>
      <c r="U869" s="123"/>
      <c r="V869" s="120"/>
      <c r="W869" s="120"/>
      <c r="X869" s="120"/>
      <c r="Y869" s="120"/>
      <c r="Z869" s="120"/>
    </row>
    <row r="870" spans="1:26" ht="12" customHeight="1">
      <c r="A870" s="140"/>
      <c r="B870" s="120"/>
      <c r="C870" s="120"/>
      <c r="D870" s="120"/>
      <c r="E870" s="120"/>
      <c r="F870" s="120"/>
      <c r="G870" s="120"/>
      <c r="H870" s="120"/>
      <c r="I870" s="120"/>
      <c r="J870" s="120"/>
      <c r="K870" s="120"/>
      <c r="L870" s="120"/>
      <c r="M870" s="120"/>
      <c r="N870" s="120"/>
      <c r="O870" s="120"/>
      <c r="P870" s="120"/>
      <c r="Q870" s="120"/>
      <c r="R870" s="120"/>
      <c r="S870" s="120"/>
      <c r="T870" s="120"/>
      <c r="U870" s="123"/>
      <c r="V870" s="120"/>
      <c r="W870" s="120"/>
      <c r="X870" s="120"/>
      <c r="Y870" s="120"/>
      <c r="Z870" s="120"/>
    </row>
    <row r="871" spans="1:26" ht="12" customHeight="1">
      <c r="A871" s="140"/>
      <c r="B871" s="120"/>
      <c r="C871" s="120"/>
      <c r="D871" s="120"/>
      <c r="E871" s="120"/>
      <c r="F871" s="120"/>
      <c r="G871" s="120"/>
      <c r="H871" s="120"/>
      <c r="I871" s="120"/>
      <c r="J871" s="120"/>
      <c r="K871" s="120"/>
      <c r="L871" s="120"/>
      <c r="M871" s="120"/>
      <c r="N871" s="120"/>
      <c r="O871" s="120"/>
      <c r="P871" s="120"/>
      <c r="Q871" s="120"/>
      <c r="R871" s="120"/>
      <c r="S871" s="120"/>
      <c r="T871" s="120"/>
      <c r="U871" s="123"/>
      <c r="V871" s="120"/>
      <c r="W871" s="120"/>
      <c r="X871" s="120"/>
      <c r="Y871" s="120"/>
      <c r="Z871" s="120"/>
    </row>
    <row r="872" spans="1:26" ht="12" customHeight="1">
      <c r="A872" s="140"/>
      <c r="B872" s="120"/>
      <c r="C872" s="120"/>
      <c r="D872" s="120"/>
      <c r="E872" s="120"/>
      <c r="F872" s="120"/>
      <c r="G872" s="120"/>
      <c r="H872" s="120"/>
      <c r="I872" s="120"/>
      <c r="J872" s="120"/>
      <c r="K872" s="120"/>
      <c r="L872" s="120"/>
      <c r="M872" s="120"/>
      <c r="N872" s="120"/>
      <c r="O872" s="120"/>
      <c r="P872" s="120"/>
      <c r="Q872" s="120"/>
      <c r="R872" s="120"/>
      <c r="S872" s="120"/>
      <c r="T872" s="120"/>
      <c r="U872" s="123"/>
      <c r="V872" s="120"/>
      <c r="W872" s="120"/>
      <c r="X872" s="120"/>
      <c r="Y872" s="120"/>
      <c r="Z872" s="120"/>
    </row>
    <row r="873" spans="1:26" ht="12" customHeight="1">
      <c r="A873" s="140"/>
      <c r="B873" s="120"/>
      <c r="C873" s="120"/>
      <c r="D873" s="120"/>
      <c r="E873" s="120"/>
      <c r="F873" s="120"/>
      <c r="G873" s="120"/>
      <c r="H873" s="120"/>
      <c r="I873" s="120"/>
      <c r="J873" s="120"/>
      <c r="K873" s="120"/>
      <c r="L873" s="120"/>
      <c r="M873" s="120"/>
      <c r="N873" s="120"/>
      <c r="O873" s="120"/>
      <c r="P873" s="120"/>
      <c r="Q873" s="120"/>
      <c r="R873" s="120"/>
      <c r="S873" s="120"/>
      <c r="T873" s="120"/>
      <c r="U873" s="123"/>
      <c r="V873" s="120"/>
      <c r="W873" s="120"/>
      <c r="X873" s="120"/>
      <c r="Y873" s="120"/>
      <c r="Z873" s="120"/>
    </row>
    <row r="874" spans="1:26" ht="12" customHeight="1">
      <c r="A874" s="140"/>
      <c r="B874" s="120"/>
      <c r="C874" s="120"/>
      <c r="D874" s="120"/>
      <c r="E874" s="120"/>
      <c r="F874" s="120"/>
      <c r="G874" s="120"/>
      <c r="H874" s="120"/>
      <c r="I874" s="120"/>
      <c r="J874" s="120"/>
      <c r="K874" s="120"/>
      <c r="L874" s="120"/>
      <c r="M874" s="120"/>
      <c r="N874" s="120"/>
      <c r="O874" s="120"/>
      <c r="P874" s="120"/>
      <c r="Q874" s="120"/>
      <c r="R874" s="120"/>
      <c r="S874" s="120"/>
      <c r="T874" s="120"/>
      <c r="U874" s="123"/>
      <c r="V874" s="120"/>
      <c r="W874" s="120"/>
      <c r="X874" s="120"/>
      <c r="Y874" s="120"/>
      <c r="Z874" s="120"/>
    </row>
    <row r="875" spans="1:26" ht="12" customHeight="1">
      <c r="A875" s="140"/>
      <c r="B875" s="120"/>
      <c r="C875" s="120"/>
      <c r="D875" s="120"/>
      <c r="E875" s="120"/>
      <c r="F875" s="120"/>
      <c r="G875" s="120"/>
      <c r="H875" s="120"/>
      <c r="I875" s="120"/>
      <c r="J875" s="120"/>
      <c r="K875" s="120"/>
      <c r="L875" s="120"/>
      <c r="M875" s="120"/>
      <c r="N875" s="120"/>
      <c r="O875" s="120"/>
      <c r="P875" s="120"/>
      <c r="Q875" s="120"/>
      <c r="R875" s="120"/>
      <c r="S875" s="120"/>
      <c r="T875" s="120"/>
      <c r="U875" s="123"/>
      <c r="V875" s="120"/>
      <c r="W875" s="120"/>
      <c r="X875" s="120"/>
      <c r="Y875" s="120"/>
      <c r="Z875" s="120"/>
    </row>
    <row r="876" spans="1:26" ht="12" customHeight="1">
      <c r="A876" s="140"/>
      <c r="B876" s="120"/>
      <c r="C876" s="120"/>
      <c r="D876" s="120"/>
      <c r="E876" s="120"/>
      <c r="F876" s="120"/>
      <c r="G876" s="120"/>
      <c r="H876" s="120"/>
      <c r="I876" s="120"/>
      <c r="J876" s="120"/>
      <c r="K876" s="120"/>
      <c r="L876" s="120"/>
      <c r="M876" s="120"/>
      <c r="N876" s="120"/>
      <c r="O876" s="120"/>
      <c r="P876" s="120"/>
      <c r="Q876" s="120"/>
      <c r="R876" s="120"/>
      <c r="S876" s="120"/>
      <c r="T876" s="120"/>
      <c r="U876" s="123"/>
      <c r="V876" s="120"/>
      <c r="W876" s="120"/>
      <c r="X876" s="120"/>
      <c r="Y876" s="120"/>
      <c r="Z876" s="120"/>
    </row>
    <row r="877" spans="1:26" ht="12" customHeight="1">
      <c r="A877" s="140"/>
      <c r="B877" s="120"/>
      <c r="C877" s="120"/>
      <c r="D877" s="120"/>
      <c r="E877" s="120"/>
      <c r="F877" s="120"/>
      <c r="G877" s="120"/>
      <c r="H877" s="120"/>
      <c r="I877" s="120"/>
      <c r="J877" s="120"/>
      <c r="K877" s="120"/>
      <c r="L877" s="120"/>
      <c r="M877" s="120"/>
      <c r="N877" s="120"/>
      <c r="O877" s="120"/>
      <c r="P877" s="120"/>
      <c r="Q877" s="120"/>
      <c r="R877" s="120"/>
      <c r="S877" s="120"/>
      <c r="T877" s="120"/>
      <c r="U877" s="123"/>
      <c r="V877" s="120"/>
      <c r="W877" s="120"/>
      <c r="X877" s="120"/>
      <c r="Y877" s="120"/>
      <c r="Z877" s="120"/>
    </row>
    <row r="878" spans="1:26" ht="12" customHeight="1">
      <c r="A878" s="140"/>
      <c r="B878" s="120"/>
      <c r="C878" s="120"/>
      <c r="D878" s="120"/>
      <c r="E878" s="120"/>
      <c r="F878" s="120"/>
      <c r="G878" s="120"/>
      <c r="H878" s="120"/>
      <c r="I878" s="120"/>
      <c r="J878" s="120"/>
      <c r="K878" s="120"/>
      <c r="L878" s="120"/>
      <c r="M878" s="120"/>
      <c r="N878" s="120"/>
      <c r="O878" s="120"/>
      <c r="P878" s="120"/>
      <c r="Q878" s="120"/>
      <c r="R878" s="120"/>
      <c r="S878" s="120"/>
      <c r="T878" s="120"/>
      <c r="U878" s="123"/>
      <c r="V878" s="120"/>
      <c r="W878" s="120"/>
      <c r="X878" s="120"/>
      <c r="Y878" s="120"/>
      <c r="Z878" s="120"/>
    </row>
    <row r="879" spans="1:26" ht="12" customHeight="1">
      <c r="A879" s="140"/>
      <c r="B879" s="120"/>
      <c r="C879" s="120"/>
      <c r="D879" s="120"/>
      <c r="E879" s="120"/>
      <c r="F879" s="120"/>
      <c r="G879" s="120"/>
      <c r="H879" s="120"/>
      <c r="I879" s="120"/>
      <c r="J879" s="120"/>
      <c r="K879" s="120"/>
      <c r="L879" s="120"/>
      <c r="M879" s="120"/>
      <c r="N879" s="120"/>
      <c r="O879" s="120"/>
      <c r="P879" s="120"/>
      <c r="Q879" s="120"/>
      <c r="R879" s="120"/>
      <c r="S879" s="120"/>
      <c r="T879" s="120"/>
      <c r="U879" s="123"/>
      <c r="V879" s="120"/>
      <c r="W879" s="120"/>
      <c r="X879" s="120"/>
      <c r="Y879" s="120"/>
      <c r="Z879" s="120"/>
    </row>
    <row r="880" spans="1:26" ht="12" customHeight="1">
      <c r="A880" s="140"/>
      <c r="B880" s="120"/>
      <c r="C880" s="120"/>
      <c r="D880" s="120"/>
      <c r="E880" s="120"/>
      <c r="F880" s="120"/>
      <c r="G880" s="120"/>
      <c r="H880" s="120"/>
      <c r="I880" s="120"/>
      <c r="J880" s="120"/>
      <c r="K880" s="120"/>
      <c r="L880" s="120"/>
      <c r="M880" s="120"/>
      <c r="N880" s="120"/>
      <c r="O880" s="120"/>
      <c r="P880" s="120"/>
      <c r="Q880" s="120"/>
      <c r="R880" s="120"/>
      <c r="S880" s="120"/>
      <c r="T880" s="120"/>
      <c r="U880" s="123"/>
      <c r="V880" s="120"/>
      <c r="W880" s="120"/>
      <c r="X880" s="120"/>
      <c r="Y880" s="120"/>
      <c r="Z880" s="120"/>
    </row>
    <row r="881" spans="1:26" ht="12" customHeight="1">
      <c r="A881" s="140"/>
      <c r="B881" s="120"/>
      <c r="C881" s="120"/>
      <c r="D881" s="120"/>
      <c r="E881" s="120"/>
      <c r="F881" s="120"/>
      <c r="G881" s="120"/>
      <c r="H881" s="120"/>
      <c r="I881" s="120"/>
      <c r="J881" s="120"/>
      <c r="K881" s="120"/>
      <c r="L881" s="120"/>
      <c r="M881" s="120"/>
      <c r="N881" s="120"/>
      <c r="O881" s="120"/>
      <c r="P881" s="120"/>
      <c r="Q881" s="120"/>
      <c r="R881" s="120"/>
      <c r="S881" s="120"/>
      <c r="T881" s="120"/>
      <c r="U881" s="123"/>
      <c r="V881" s="120"/>
      <c r="W881" s="120"/>
      <c r="X881" s="120"/>
      <c r="Y881" s="120"/>
      <c r="Z881" s="120"/>
    </row>
    <row r="882" spans="1:26" ht="12" customHeight="1">
      <c r="A882" s="140"/>
      <c r="B882" s="120"/>
      <c r="C882" s="120"/>
      <c r="D882" s="120"/>
      <c r="E882" s="120"/>
      <c r="F882" s="120"/>
      <c r="G882" s="120"/>
      <c r="H882" s="120"/>
      <c r="I882" s="120"/>
      <c r="J882" s="120"/>
      <c r="K882" s="120"/>
      <c r="L882" s="120"/>
      <c r="M882" s="120"/>
      <c r="N882" s="120"/>
      <c r="O882" s="120"/>
      <c r="P882" s="120"/>
      <c r="Q882" s="120"/>
      <c r="R882" s="120"/>
      <c r="S882" s="120"/>
      <c r="T882" s="120"/>
      <c r="U882" s="123"/>
      <c r="V882" s="120"/>
      <c r="W882" s="120"/>
      <c r="X882" s="120"/>
      <c r="Y882" s="120"/>
      <c r="Z882" s="120"/>
    </row>
    <row r="883" spans="1:26" ht="12" customHeight="1">
      <c r="A883" s="140"/>
      <c r="B883" s="120"/>
      <c r="C883" s="120"/>
      <c r="D883" s="120"/>
      <c r="E883" s="120"/>
      <c r="F883" s="120"/>
      <c r="G883" s="120"/>
      <c r="H883" s="120"/>
      <c r="I883" s="120"/>
      <c r="J883" s="120"/>
      <c r="K883" s="120"/>
      <c r="L883" s="120"/>
      <c r="M883" s="120"/>
      <c r="N883" s="120"/>
      <c r="O883" s="120"/>
      <c r="P883" s="120"/>
      <c r="Q883" s="120"/>
      <c r="R883" s="120"/>
      <c r="S883" s="120"/>
      <c r="T883" s="120"/>
      <c r="U883" s="123"/>
      <c r="V883" s="120"/>
      <c r="W883" s="120"/>
      <c r="X883" s="120"/>
      <c r="Y883" s="120"/>
      <c r="Z883" s="120"/>
    </row>
    <row r="884" spans="1:26" ht="12" customHeight="1">
      <c r="A884" s="140"/>
      <c r="B884" s="120"/>
      <c r="C884" s="120"/>
      <c r="D884" s="120"/>
      <c r="E884" s="120"/>
      <c r="F884" s="120"/>
      <c r="G884" s="120"/>
      <c r="H884" s="120"/>
      <c r="I884" s="120"/>
      <c r="J884" s="120"/>
      <c r="K884" s="120"/>
      <c r="L884" s="120"/>
      <c r="M884" s="120"/>
      <c r="N884" s="120"/>
      <c r="O884" s="120"/>
      <c r="P884" s="120"/>
      <c r="Q884" s="120"/>
      <c r="R884" s="120"/>
      <c r="S884" s="120"/>
      <c r="T884" s="120"/>
      <c r="U884" s="123"/>
      <c r="V884" s="120"/>
      <c r="W884" s="120"/>
      <c r="X884" s="120"/>
      <c r="Y884" s="120"/>
      <c r="Z884" s="120"/>
    </row>
    <row r="885" spans="1:26" ht="12" customHeight="1">
      <c r="A885" s="140"/>
      <c r="B885" s="120"/>
      <c r="C885" s="120"/>
      <c r="D885" s="120"/>
      <c r="E885" s="120"/>
      <c r="F885" s="120"/>
      <c r="G885" s="120"/>
      <c r="H885" s="120"/>
      <c r="I885" s="120"/>
      <c r="J885" s="120"/>
      <c r="K885" s="120"/>
      <c r="L885" s="120"/>
      <c r="M885" s="120"/>
      <c r="N885" s="120"/>
      <c r="O885" s="120"/>
      <c r="P885" s="120"/>
      <c r="Q885" s="120"/>
      <c r="R885" s="120"/>
      <c r="S885" s="120"/>
      <c r="T885" s="120"/>
      <c r="U885" s="123"/>
      <c r="V885" s="120"/>
      <c r="W885" s="120"/>
      <c r="X885" s="120"/>
      <c r="Y885" s="120"/>
      <c r="Z885" s="120"/>
    </row>
    <row r="886" spans="1:26" ht="12" customHeight="1">
      <c r="A886" s="140"/>
      <c r="B886" s="120"/>
      <c r="C886" s="120"/>
      <c r="D886" s="120"/>
      <c r="E886" s="120"/>
      <c r="F886" s="120"/>
      <c r="G886" s="120"/>
      <c r="H886" s="120"/>
      <c r="I886" s="120"/>
      <c r="J886" s="120"/>
      <c r="K886" s="120"/>
      <c r="L886" s="120"/>
      <c r="M886" s="120"/>
      <c r="N886" s="120"/>
      <c r="O886" s="120"/>
      <c r="P886" s="120"/>
      <c r="Q886" s="120"/>
      <c r="R886" s="120"/>
      <c r="S886" s="120"/>
      <c r="T886" s="120"/>
      <c r="U886" s="123"/>
      <c r="V886" s="120"/>
      <c r="W886" s="120"/>
      <c r="X886" s="120"/>
      <c r="Y886" s="120"/>
      <c r="Z886" s="120"/>
    </row>
    <row r="887" spans="1:26" ht="12" customHeight="1">
      <c r="A887" s="140"/>
      <c r="B887" s="120"/>
      <c r="C887" s="120"/>
      <c r="D887" s="120"/>
      <c r="E887" s="120"/>
      <c r="F887" s="120"/>
      <c r="G887" s="120"/>
      <c r="H887" s="120"/>
      <c r="I887" s="120"/>
      <c r="J887" s="120"/>
      <c r="K887" s="120"/>
      <c r="L887" s="120"/>
      <c r="M887" s="120"/>
      <c r="N887" s="120"/>
      <c r="O887" s="120"/>
      <c r="P887" s="120"/>
      <c r="Q887" s="120"/>
      <c r="R887" s="120"/>
      <c r="S887" s="120"/>
      <c r="T887" s="120"/>
      <c r="U887" s="123"/>
      <c r="V887" s="120"/>
      <c r="W887" s="120"/>
      <c r="X887" s="120"/>
      <c r="Y887" s="120"/>
      <c r="Z887" s="120"/>
    </row>
    <row r="888" spans="1:26" ht="12" customHeight="1">
      <c r="A888" s="140"/>
      <c r="B888" s="120"/>
      <c r="C888" s="120"/>
      <c r="D888" s="120"/>
      <c r="E888" s="120"/>
      <c r="F888" s="120"/>
      <c r="G888" s="120"/>
      <c r="H888" s="120"/>
      <c r="I888" s="120"/>
      <c r="J888" s="120"/>
      <c r="K888" s="120"/>
      <c r="L888" s="120"/>
      <c r="M888" s="120"/>
      <c r="N888" s="120"/>
      <c r="O888" s="120"/>
      <c r="P888" s="120"/>
      <c r="Q888" s="120"/>
      <c r="R888" s="120"/>
      <c r="S888" s="120"/>
      <c r="T888" s="120"/>
      <c r="U888" s="123"/>
      <c r="V888" s="120"/>
      <c r="W888" s="120"/>
      <c r="X888" s="120"/>
      <c r="Y888" s="120"/>
      <c r="Z888" s="120"/>
    </row>
    <row r="889" spans="1:26" ht="12" customHeight="1">
      <c r="A889" s="140"/>
      <c r="B889" s="120"/>
      <c r="C889" s="120"/>
      <c r="D889" s="120"/>
      <c r="E889" s="120"/>
      <c r="F889" s="120"/>
      <c r="G889" s="120"/>
      <c r="H889" s="120"/>
      <c r="I889" s="120"/>
      <c r="J889" s="120"/>
      <c r="K889" s="120"/>
      <c r="L889" s="120"/>
      <c r="M889" s="120"/>
      <c r="N889" s="120"/>
      <c r="O889" s="120"/>
      <c r="P889" s="120"/>
      <c r="Q889" s="120"/>
      <c r="R889" s="120"/>
      <c r="S889" s="120"/>
      <c r="T889" s="120"/>
      <c r="U889" s="123"/>
      <c r="V889" s="120"/>
      <c r="W889" s="120"/>
      <c r="X889" s="120"/>
      <c r="Y889" s="120"/>
      <c r="Z889" s="120"/>
    </row>
    <row r="890" spans="1:26" ht="12" customHeight="1">
      <c r="A890" s="140"/>
      <c r="B890" s="120"/>
      <c r="C890" s="120"/>
      <c r="D890" s="120"/>
      <c r="E890" s="120"/>
      <c r="F890" s="120"/>
      <c r="G890" s="120"/>
      <c r="H890" s="120"/>
      <c r="I890" s="120"/>
      <c r="J890" s="120"/>
      <c r="K890" s="120"/>
      <c r="L890" s="120"/>
      <c r="M890" s="120"/>
      <c r="N890" s="120"/>
      <c r="O890" s="120"/>
      <c r="P890" s="120"/>
      <c r="Q890" s="120"/>
      <c r="R890" s="120"/>
      <c r="S890" s="120"/>
      <c r="T890" s="120"/>
      <c r="U890" s="123"/>
      <c r="V890" s="120"/>
      <c r="W890" s="120"/>
      <c r="X890" s="120"/>
      <c r="Y890" s="120"/>
      <c r="Z890" s="120"/>
    </row>
    <row r="891" spans="1:26" ht="12" customHeight="1">
      <c r="A891" s="140"/>
      <c r="B891" s="120"/>
      <c r="C891" s="120"/>
      <c r="D891" s="120"/>
      <c r="E891" s="120"/>
      <c r="F891" s="120"/>
      <c r="G891" s="120"/>
      <c r="H891" s="120"/>
      <c r="I891" s="120"/>
      <c r="J891" s="120"/>
      <c r="K891" s="120"/>
      <c r="L891" s="120"/>
      <c r="M891" s="120"/>
      <c r="N891" s="120"/>
      <c r="O891" s="120"/>
      <c r="P891" s="120"/>
      <c r="Q891" s="120"/>
      <c r="R891" s="120"/>
      <c r="S891" s="120"/>
      <c r="T891" s="120"/>
      <c r="U891" s="123"/>
      <c r="V891" s="120"/>
      <c r="W891" s="120"/>
      <c r="X891" s="120"/>
      <c r="Y891" s="120"/>
      <c r="Z891" s="120"/>
    </row>
    <row r="892" spans="1:26" ht="12" customHeight="1">
      <c r="A892" s="140"/>
      <c r="B892" s="120"/>
      <c r="C892" s="120"/>
      <c r="D892" s="120"/>
      <c r="E892" s="120"/>
      <c r="F892" s="120"/>
      <c r="G892" s="120"/>
      <c r="H892" s="120"/>
      <c r="I892" s="120"/>
      <c r="J892" s="120"/>
      <c r="K892" s="120"/>
      <c r="L892" s="120"/>
      <c r="M892" s="120"/>
      <c r="N892" s="120"/>
      <c r="O892" s="120"/>
      <c r="P892" s="120"/>
      <c r="Q892" s="120"/>
      <c r="R892" s="120"/>
      <c r="S892" s="120"/>
      <c r="T892" s="120"/>
      <c r="U892" s="123"/>
      <c r="V892" s="120"/>
      <c r="W892" s="120"/>
      <c r="X892" s="120"/>
      <c r="Y892" s="120"/>
      <c r="Z892" s="120"/>
    </row>
    <row r="893" spans="1:26" ht="12" customHeight="1">
      <c r="A893" s="140"/>
      <c r="B893" s="120"/>
      <c r="C893" s="120"/>
      <c r="D893" s="120"/>
      <c r="E893" s="120"/>
      <c r="F893" s="120"/>
      <c r="G893" s="120"/>
      <c r="H893" s="120"/>
      <c r="I893" s="120"/>
      <c r="J893" s="120"/>
      <c r="K893" s="120"/>
      <c r="L893" s="120"/>
      <c r="M893" s="120"/>
      <c r="N893" s="120"/>
      <c r="O893" s="120"/>
      <c r="P893" s="120"/>
      <c r="Q893" s="120"/>
      <c r="R893" s="120"/>
      <c r="S893" s="120"/>
      <c r="T893" s="120"/>
      <c r="U893" s="123"/>
      <c r="V893" s="120"/>
      <c r="W893" s="120"/>
      <c r="X893" s="120"/>
      <c r="Y893" s="120"/>
      <c r="Z893" s="120"/>
    </row>
    <row r="894" spans="1:26" ht="12" customHeight="1">
      <c r="A894" s="140"/>
      <c r="B894" s="120"/>
      <c r="C894" s="120"/>
      <c r="D894" s="120"/>
      <c r="E894" s="120"/>
      <c r="F894" s="120"/>
      <c r="G894" s="120"/>
      <c r="H894" s="120"/>
      <c r="I894" s="120"/>
      <c r="J894" s="120"/>
      <c r="K894" s="120"/>
      <c r="L894" s="120"/>
      <c r="M894" s="120"/>
      <c r="N894" s="120"/>
      <c r="O894" s="120"/>
      <c r="P894" s="120"/>
      <c r="Q894" s="120"/>
      <c r="R894" s="120"/>
      <c r="S894" s="120"/>
      <c r="T894" s="120"/>
      <c r="U894" s="123"/>
      <c r="V894" s="120"/>
      <c r="W894" s="120"/>
      <c r="X894" s="120"/>
      <c r="Y894" s="120"/>
      <c r="Z894" s="120"/>
    </row>
    <row r="895" spans="1:26" ht="12" customHeight="1">
      <c r="A895" s="140"/>
      <c r="B895" s="120"/>
      <c r="C895" s="120"/>
      <c r="D895" s="120"/>
      <c r="E895" s="120"/>
      <c r="F895" s="120"/>
      <c r="G895" s="120"/>
      <c r="H895" s="120"/>
      <c r="I895" s="120"/>
      <c r="J895" s="120"/>
      <c r="K895" s="120"/>
      <c r="L895" s="120"/>
      <c r="M895" s="120"/>
      <c r="N895" s="120"/>
      <c r="O895" s="120"/>
      <c r="P895" s="120"/>
      <c r="Q895" s="120"/>
      <c r="R895" s="120"/>
      <c r="S895" s="120"/>
      <c r="T895" s="120"/>
      <c r="U895" s="123"/>
      <c r="V895" s="120"/>
      <c r="W895" s="120"/>
      <c r="X895" s="120"/>
      <c r="Y895" s="120"/>
      <c r="Z895" s="120"/>
    </row>
    <row r="896" spans="1:26" ht="12" customHeight="1">
      <c r="A896" s="140"/>
      <c r="B896" s="120"/>
      <c r="C896" s="120"/>
      <c r="D896" s="120"/>
      <c r="E896" s="120"/>
      <c r="F896" s="120"/>
      <c r="G896" s="120"/>
      <c r="H896" s="120"/>
      <c r="I896" s="120"/>
      <c r="J896" s="120"/>
      <c r="K896" s="120"/>
      <c r="L896" s="120"/>
      <c r="M896" s="120"/>
      <c r="N896" s="120"/>
      <c r="O896" s="120"/>
      <c r="P896" s="120"/>
      <c r="Q896" s="120"/>
      <c r="R896" s="120"/>
      <c r="S896" s="120"/>
      <c r="T896" s="120"/>
      <c r="U896" s="123"/>
      <c r="V896" s="120"/>
      <c r="W896" s="120"/>
      <c r="X896" s="120"/>
      <c r="Y896" s="120"/>
      <c r="Z896" s="120"/>
    </row>
    <row r="897" spans="1:26" ht="12" customHeight="1">
      <c r="A897" s="140"/>
      <c r="B897" s="120"/>
      <c r="C897" s="120"/>
      <c r="D897" s="120"/>
      <c r="E897" s="120"/>
      <c r="F897" s="120"/>
      <c r="G897" s="120"/>
      <c r="H897" s="120"/>
      <c r="I897" s="120"/>
      <c r="J897" s="120"/>
      <c r="K897" s="120"/>
      <c r="L897" s="120"/>
      <c r="M897" s="120"/>
      <c r="N897" s="120"/>
      <c r="O897" s="120"/>
      <c r="P897" s="120"/>
      <c r="Q897" s="120"/>
      <c r="R897" s="120"/>
      <c r="S897" s="120"/>
      <c r="T897" s="120"/>
      <c r="U897" s="123"/>
      <c r="V897" s="120"/>
      <c r="W897" s="120"/>
      <c r="X897" s="120"/>
      <c r="Y897" s="120"/>
      <c r="Z897" s="120"/>
    </row>
    <row r="898" spans="1:26" ht="12" customHeight="1">
      <c r="A898" s="140"/>
      <c r="B898" s="120"/>
      <c r="C898" s="120"/>
      <c r="D898" s="120"/>
      <c r="E898" s="120"/>
      <c r="F898" s="120"/>
      <c r="G898" s="120"/>
      <c r="H898" s="120"/>
      <c r="I898" s="120"/>
      <c r="J898" s="120"/>
      <c r="K898" s="120"/>
      <c r="L898" s="120"/>
      <c r="M898" s="120"/>
      <c r="N898" s="120"/>
      <c r="O898" s="120"/>
      <c r="P898" s="120"/>
      <c r="Q898" s="120"/>
      <c r="R898" s="120"/>
      <c r="S898" s="120"/>
      <c r="T898" s="120"/>
      <c r="U898" s="123"/>
      <c r="V898" s="120"/>
      <c r="W898" s="120"/>
      <c r="X898" s="120"/>
      <c r="Y898" s="120"/>
      <c r="Z898" s="120"/>
    </row>
    <row r="899" spans="1:26" ht="12" customHeight="1">
      <c r="A899" s="140"/>
      <c r="B899" s="120"/>
      <c r="C899" s="120"/>
      <c r="D899" s="120"/>
      <c r="E899" s="120"/>
      <c r="F899" s="120"/>
      <c r="G899" s="120"/>
      <c r="H899" s="120"/>
      <c r="I899" s="120"/>
      <c r="J899" s="120"/>
      <c r="K899" s="120"/>
      <c r="L899" s="120"/>
      <c r="M899" s="120"/>
      <c r="N899" s="120"/>
      <c r="O899" s="120"/>
      <c r="P899" s="120"/>
      <c r="Q899" s="120"/>
      <c r="R899" s="120"/>
      <c r="S899" s="120"/>
      <c r="T899" s="120"/>
      <c r="U899" s="123"/>
      <c r="V899" s="120"/>
      <c r="W899" s="120"/>
      <c r="X899" s="120"/>
      <c r="Y899" s="120"/>
      <c r="Z899" s="120"/>
    </row>
    <row r="900" spans="1:26" ht="12" customHeight="1">
      <c r="A900" s="140"/>
      <c r="B900" s="120"/>
      <c r="C900" s="120"/>
      <c r="D900" s="120"/>
      <c r="E900" s="120"/>
      <c r="F900" s="120"/>
      <c r="G900" s="120"/>
      <c r="H900" s="120"/>
      <c r="I900" s="120"/>
      <c r="J900" s="120"/>
      <c r="K900" s="120"/>
      <c r="L900" s="120"/>
      <c r="M900" s="120"/>
      <c r="N900" s="120"/>
      <c r="O900" s="120"/>
      <c r="P900" s="120"/>
      <c r="Q900" s="120"/>
      <c r="R900" s="120"/>
      <c r="S900" s="120"/>
      <c r="T900" s="120"/>
      <c r="U900" s="123"/>
      <c r="V900" s="120"/>
      <c r="W900" s="120"/>
      <c r="X900" s="120"/>
      <c r="Y900" s="120"/>
      <c r="Z900" s="120"/>
    </row>
    <row r="901" spans="1:26" ht="12" customHeight="1">
      <c r="A901" s="140"/>
      <c r="B901" s="120"/>
      <c r="C901" s="120"/>
      <c r="D901" s="120"/>
      <c r="E901" s="120"/>
      <c r="F901" s="120"/>
      <c r="G901" s="120"/>
      <c r="H901" s="120"/>
      <c r="I901" s="120"/>
      <c r="J901" s="120"/>
      <c r="K901" s="120"/>
      <c r="L901" s="120"/>
      <c r="M901" s="120"/>
      <c r="N901" s="120"/>
      <c r="O901" s="120"/>
      <c r="P901" s="120"/>
      <c r="Q901" s="120"/>
      <c r="R901" s="120"/>
      <c r="S901" s="120"/>
      <c r="T901" s="120"/>
      <c r="U901" s="123"/>
      <c r="V901" s="120"/>
      <c r="W901" s="120"/>
      <c r="X901" s="120"/>
      <c r="Y901" s="120"/>
      <c r="Z901" s="120"/>
    </row>
    <row r="902" spans="1:26" ht="12" customHeight="1">
      <c r="A902" s="140"/>
      <c r="B902" s="120"/>
      <c r="C902" s="120"/>
      <c r="D902" s="120"/>
      <c r="E902" s="120"/>
      <c r="F902" s="120"/>
      <c r="G902" s="120"/>
      <c r="H902" s="120"/>
      <c r="I902" s="120"/>
      <c r="J902" s="120"/>
      <c r="K902" s="120"/>
      <c r="L902" s="120"/>
      <c r="M902" s="120"/>
      <c r="N902" s="120"/>
      <c r="O902" s="120"/>
      <c r="P902" s="120"/>
      <c r="Q902" s="120"/>
      <c r="R902" s="120"/>
      <c r="S902" s="120"/>
      <c r="T902" s="120"/>
      <c r="U902" s="123"/>
      <c r="V902" s="120"/>
      <c r="W902" s="120"/>
      <c r="X902" s="120"/>
      <c r="Y902" s="120"/>
      <c r="Z902" s="120"/>
    </row>
    <row r="903" spans="1:26" ht="12" customHeight="1">
      <c r="A903" s="140"/>
      <c r="B903" s="120"/>
      <c r="C903" s="120"/>
      <c r="D903" s="120"/>
      <c r="E903" s="120"/>
      <c r="F903" s="120"/>
      <c r="G903" s="120"/>
      <c r="H903" s="120"/>
      <c r="I903" s="120"/>
      <c r="J903" s="120"/>
      <c r="K903" s="120"/>
      <c r="L903" s="120"/>
      <c r="M903" s="120"/>
      <c r="N903" s="120"/>
      <c r="O903" s="120"/>
      <c r="P903" s="120"/>
      <c r="Q903" s="120"/>
      <c r="R903" s="120"/>
      <c r="S903" s="120"/>
      <c r="T903" s="120"/>
      <c r="U903" s="123"/>
      <c r="V903" s="120"/>
      <c r="W903" s="120"/>
      <c r="X903" s="120"/>
      <c r="Y903" s="120"/>
      <c r="Z903" s="120"/>
    </row>
    <row r="904" spans="1:26" ht="12" customHeight="1">
      <c r="A904" s="140"/>
      <c r="B904" s="120"/>
      <c r="C904" s="120"/>
      <c r="D904" s="120"/>
      <c r="E904" s="120"/>
      <c r="F904" s="120"/>
      <c r="G904" s="120"/>
      <c r="H904" s="120"/>
      <c r="I904" s="120"/>
      <c r="J904" s="120"/>
      <c r="K904" s="120"/>
      <c r="L904" s="120"/>
      <c r="M904" s="120"/>
      <c r="N904" s="120"/>
      <c r="O904" s="120"/>
      <c r="P904" s="120"/>
      <c r="Q904" s="120"/>
      <c r="R904" s="120"/>
      <c r="S904" s="120"/>
      <c r="T904" s="120"/>
      <c r="U904" s="123"/>
      <c r="V904" s="120"/>
      <c r="W904" s="120"/>
      <c r="X904" s="120"/>
      <c r="Y904" s="120"/>
      <c r="Z904" s="120"/>
    </row>
    <row r="905" spans="1:26" ht="12" customHeight="1">
      <c r="A905" s="140"/>
      <c r="B905" s="120"/>
      <c r="C905" s="120"/>
      <c r="D905" s="120"/>
      <c r="E905" s="120"/>
      <c r="F905" s="120"/>
      <c r="G905" s="120"/>
      <c r="H905" s="120"/>
      <c r="I905" s="120"/>
      <c r="J905" s="120"/>
      <c r="K905" s="120"/>
      <c r="L905" s="120"/>
      <c r="M905" s="120"/>
      <c r="N905" s="120"/>
      <c r="O905" s="120"/>
      <c r="P905" s="120"/>
      <c r="Q905" s="120"/>
      <c r="R905" s="120"/>
      <c r="S905" s="120"/>
      <c r="T905" s="120"/>
      <c r="U905" s="123"/>
      <c r="V905" s="120"/>
      <c r="W905" s="120"/>
      <c r="X905" s="120"/>
      <c r="Y905" s="120"/>
      <c r="Z905" s="120"/>
    </row>
    <row r="906" spans="1:26" ht="12" customHeight="1">
      <c r="A906" s="140"/>
      <c r="B906" s="120"/>
      <c r="C906" s="120"/>
      <c r="D906" s="120"/>
      <c r="E906" s="120"/>
      <c r="F906" s="120"/>
      <c r="G906" s="120"/>
      <c r="H906" s="120"/>
      <c r="I906" s="120"/>
      <c r="J906" s="120"/>
      <c r="K906" s="120"/>
      <c r="L906" s="120"/>
      <c r="M906" s="120"/>
      <c r="N906" s="120"/>
      <c r="O906" s="120"/>
      <c r="P906" s="120"/>
      <c r="Q906" s="120"/>
      <c r="R906" s="120"/>
      <c r="S906" s="120"/>
      <c r="T906" s="120"/>
      <c r="U906" s="123"/>
      <c r="V906" s="120"/>
      <c r="W906" s="120"/>
      <c r="X906" s="120"/>
      <c r="Y906" s="120"/>
      <c r="Z906" s="120"/>
    </row>
    <row r="907" spans="1:26" ht="12" customHeight="1">
      <c r="A907" s="140"/>
      <c r="B907" s="120"/>
      <c r="C907" s="120"/>
      <c r="D907" s="120"/>
      <c r="E907" s="120"/>
      <c r="F907" s="120"/>
      <c r="G907" s="120"/>
      <c r="H907" s="120"/>
      <c r="I907" s="120"/>
      <c r="J907" s="120"/>
      <c r="K907" s="120"/>
      <c r="L907" s="120"/>
      <c r="M907" s="120"/>
      <c r="N907" s="120"/>
      <c r="O907" s="120"/>
      <c r="P907" s="120"/>
      <c r="Q907" s="120"/>
      <c r="R907" s="120"/>
      <c r="S907" s="120"/>
      <c r="T907" s="120"/>
      <c r="U907" s="123"/>
      <c r="V907" s="120"/>
      <c r="W907" s="120"/>
      <c r="X907" s="120"/>
      <c r="Y907" s="120"/>
      <c r="Z907" s="120"/>
    </row>
    <row r="908" spans="1:26" ht="12" customHeight="1">
      <c r="A908" s="140"/>
      <c r="B908" s="120"/>
      <c r="C908" s="120"/>
      <c r="D908" s="120"/>
      <c r="E908" s="120"/>
      <c r="F908" s="120"/>
      <c r="G908" s="120"/>
      <c r="H908" s="120"/>
      <c r="I908" s="120"/>
      <c r="J908" s="120"/>
      <c r="K908" s="120"/>
      <c r="L908" s="120"/>
      <c r="M908" s="120"/>
      <c r="N908" s="120"/>
      <c r="O908" s="120"/>
      <c r="P908" s="120"/>
      <c r="Q908" s="120"/>
      <c r="R908" s="120"/>
      <c r="S908" s="120"/>
      <c r="T908" s="120"/>
      <c r="U908" s="123"/>
      <c r="V908" s="120"/>
      <c r="W908" s="120"/>
      <c r="X908" s="120"/>
      <c r="Y908" s="120"/>
      <c r="Z908" s="120"/>
    </row>
    <row r="909" spans="1:26" ht="12" customHeight="1">
      <c r="A909" s="140"/>
      <c r="B909" s="120"/>
      <c r="C909" s="120"/>
      <c r="D909" s="120"/>
      <c r="E909" s="120"/>
      <c r="F909" s="120"/>
      <c r="G909" s="120"/>
      <c r="H909" s="120"/>
      <c r="I909" s="120"/>
      <c r="J909" s="120"/>
      <c r="K909" s="120"/>
      <c r="L909" s="120"/>
      <c r="M909" s="120"/>
      <c r="N909" s="120"/>
      <c r="O909" s="120"/>
      <c r="P909" s="120"/>
      <c r="Q909" s="120"/>
      <c r="R909" s="120"/>
      <c r="S909" s="120"/>
      <c r="T909" s="120"/>
      <c r="U909" s="123"/>
      <c r="V909" s="120"/>
      <c r="W909" s="120"/>
      <c r="X909" s="120"/>
      <c r="Y909" s="120"/>
      <c r="Z909" s="120"/>
    </row>
    <row r="910" spans="1:26" ht="12" customHeight="1">
      <c r="A910" s="140"/>
      <c r="B910" s="120"/>
      <c r="C910" s="120"/>
      <c r="D910" s="120"/>
      <c r="E910" s="120"/>
      <c r="F910" s="120"/>
      <c r="G910" s="120"/>
      <c r="H910" s="120"/>
      <c r="I910" s="120"/>
      <c r="J910" s="120"/>
      <c r="K910" s="120"/>
      <c r="L910" s="120"/>
      <c r="M910" s="120"/>
      <c r="N910" s="120"/>
      <c r="O910" s="120"/>
      <c r="P910" s="120"/>
      <c r="Q910" s="120"/>
      <c r="R910" s="120"/>
      <c r="S910" s="120"/>
      <c r="T910" s="120"/>
      <c r="U910" s="123"/>
      <c r="V910" s="120"/>
      <c r="W910" s="120"/>
      <c r="X910" s="120"/>
      <c r="Y910" s="120"/>
      <c r="Z910" s="120"/>
    </row>
    <row r="911" spans="1:26" ht="12" customHeight="1">
      <c r="A911" s="140"/>
      <c r="B911" s="120"/>
      <c r="C911" s="120"/>
      <c r="D911" s="120"/>
      <c r="E911" s="120"/>
      <c r="F911" s="120"/>
      <c r="G911" s="120"/>
      <c r="H911" s="120"/>
      <c r="I911" s="120"/>
      <c r="J911" s="120"/>
      <c r="K911" s="120"/>
      <c r="L911" s="120"/>
      <c r="M911" s="120"/>
      <c r="N911" s="120"/>
      <c r="O911" s="120"/>
      <c r="P911" s="120"/>
      <c r="Q911" s="120"/>
      <c r="R911" s="120"/>
      <c r="S911" s="120"/>
      <c r="T911" s="120"/>
      <c r="U911" s="123"/>
      <c r="V911" s="120"/>
      <c r="W911" s="120"/>
      <c r="X911" s="120"/>
      <c r="Y911" s="120"/>
      <c r="Z911" s="120"/>
    </row>
    <row r="912" spans="1:26" ht="12" customHeight="1">
      <c r="A912" s="140"/>
      <c r="B912" s="120"/>
      <c r="C912" s="120"/>
      <c r="D912" s="120"/>
      <c r="E912" s="120"/>
      <c r="F912" s="120"/>
      <c r="G912" s="120"/>
      <c r="H912" s="120"/>
      <c r="I912" s="120"/>
      <c r="J912" s="120"/>
      <c r="K912" s="120"/>
      <c r="L912" s="120"/>
      <c r="M912" s="120"/>
      <c r="N912" s="120"/>
      <c r="O912" s="120"/>
      <c r="P912" s="120"/>
      <c r="Q912" s="120"/>
      <c r="R912" s="120"/>
      <c r="S912" s="120"/>
      <c r="T912" s="120"/>
      <c r="U912" s="123"/>
      <c r="V912" s="120"/>
      <c r="W912" s="120"/>
      <c r="X912" s="120"/>
      <c r="Y912" s="120"/>
      <c r="Z912" s="120"/>
    </row>
    <row r="913" spans="1:26" ht="12" customHeight="1">
      <c r="A913" s="140"/>
      <c r="B913" s="120"/>
      <c r="C913" s="120"/>
      <c r="D913" s="120"/>
      <c r="E913" s="120"/>
      <c r="F913" s="120"/>
      <c r="G913" s="120"/>
      <c r="H913" s="120"/>
      <c r="I913" s="120"/>
      <c r="J913" s="120"/>
      <c r="K913" s="120"/>
      <c r="L913" s="120"/>
      <c r="M913" s="120"/>
      <c r="N913" s="120"/>
      <c r="O913" s="120"/>
      <c r="P913" s="120"/>
      <c r="Q913" s="120"/>
      <c r="R913" s="120"/>
      <c r="S913" s="120"/>
      <c r="T913" s="120"/>
      <c r="U913" s="123"/>
      <c r="V913" s="120"/>
      <c r="W913" s="120"/>
      <c r="X913" s="120"/>
      <c r="Y913" s="120"/>
      <c r="Z913" s="120"/>
    </row>
    <row r="914" spans="1:26" ht="12" customHeight="1">
      <c r="A914" s="140"/>
      <c r="B914" s="120"/>
      <c r="C914" s="120"/>
      <c r="D914" s="120"/>
      <c r="E914" s="120"/>
      <c r="F914" s="120"/>
      <c r="G914" s="120"/>
      <c r="H914" s="120"/>
      <c r="I914" s="120"/>
      <c r="J914" s="120"/>
      <c r="K914" s="120"/>
      <c r="L914" s="120"/>
      <c r="M914" s="120"/>
      <c r="N914" s="120"/>
      <c r="O914" s="120"/>
      <c r="P914" s="120"/>
      <c r="Q914" s="120"/>
      <c r="R914" s="120"/>
      <c r="S914" s="120"/>
      <c r="T914" s="120"/>
      <c r="U914" s="123"/>
      <c r="V914" s="120"/>
      <c r="W914" s="120"/>
      <c r="X914" s="120"/>
      <c r="Y914" s="120"/>
      <c r="Z914" s="120"/>
    </row>
    <row r="915" spans="1:26" ht="12" customHeight="1">
      <c r="A915" s="140"/>
      <c r="B915" s="120"/>
      <c r="C915" s="120"/>
      <c r="D915" s="120"/>
      <c r="E915" s="120"/>
      <c r="F915" s="120"/>
      <c r="G915" s="120"/>
      <c r="H915" s="120"/>
      <c r="I915" s="120"/>
      <c r="J915" s="120"/>
      <c r="K915" s="120"/>
      <c r="L915" s="120"/>
      <c r="M915" s="120"/>
      <c r="N915" s="120"/>
      <c r="O915" s="120"/>
      <c r="P915" s="120"/>
      <c r="Q915" s="120"/>
      <c r="R915" s="120"/>
      <c r="S915" s="120"/>
      <c r="T915" s="120"/>
      <c r="U915" s="123"/>
      <c r="V915" s="120"/>
      <c r="W915" s="120"/>
      <c r="X915" s="120"/>
      <c r="Y915" s="120"/>
      <c r="Z915" s="120"/>
    </row>
    <row r="916" spans="1:26" ht="12" customHeight="1">
      <c r="A916" s="140"/>
      <c r="B916" s="120"/>
      <c r="C916" s="120"/>
      <c r="D916" s="120"/>
      <c r="E916" s="120"/>
      <c r="F916" s="120"/>
      <c r="G916" s="120"/>
      <c r="H916" s="120"/>
      <c r="I916" s="120"/>
      <c r="J916" s="120"/>
      <c r="K916" s="120"/>
      <c r="L916" s="120"/>
      <c r="M916" s="120"/>
      <c r="N916" s="120"/>
      <c r="O916" s="120"/>
      <c r="P916" s="120"/>
      <c r="Q916" s="120"/>
      <c r="R916" s="120"/>
      <c r="S916" s="120"/>
      <c r="T916" s="120"/>
      <c r="U916" s="123"/>
      <c r="V916" s="120"/>
      <c r="W916" s="120"/>
      <c r="X916" s="120"/>
      <c r="Y916" s="120"/>
      <c r="Z916" s="120"/>
    </row>
    <row r="917" spans="1:26" ht="12" customHeight="1">
      <c r="A917" s="140"/>
      <c r="B917" s="120"/>
      <c r="C917" s="120"/>
      <c r="D917" s="120"/>
      <c r="E917" s="120"/>
      <c r="F917" s="120"/>
      <c r="G917" s="120"/>
      <c r="H917" s="120"/>
      <c r="I917" s="120"/>
      <c r="J917" s="120"/>
      <c r="K917" s="120"/>
      <c r="L917" s="120"/>
      <c r="M917" s="120"/>
      <c r="N917" s="120"/>
      <c r="O917" s="120"/>
      <c r="P917" s="120"/>
      <c r="Q917" s="120"/>
      <c r="R917" s="120"/>
      <c r="S917" s="120"/>
      <c r="T917" s="120"/>
      <c r="U917" s="123"/>
      <c r="V917" s="120"/>
      <c r="W917" s="120"/>
      <c r="X917" s="120"/>
      <c r="Y917" s="120"/>
      <c r="Z917" s="120"/>
    </row>
    <row r="918" spans="1:26" ht="12" customHeight="1">
      <c r="A918" s="140"/>
      <c r="B918" s="120"/>
      <c r="C918" s="120"/>
      <c r="D918" s="120"/>
      <c r="E918" s="120"/>
      <c r="F918" s="120"/>
      <c r="G918" s="120"/>
      <c r="H918" s="120"/>
      <c r="I918" s="120"/>
      <c r="J918" s="120"/>
      <c r="K918" s="120"/>
      <c r="L918" s="120"/>
      <c r="M918" s="120"/>
      <c r="N918" s="120"/>
      <c r="O918" s="120"/>
      <c r="P918" s="120"/>
      <c r="Q918" s="120"/>
      <c r="R918" s="120"/>
      <c r="S918" s="120"/>
      <c r="T918" s="120"/>
      <c r="U918" s="123"/>
      <c r="V918" s="120"/>
      <c r="W918" s="120"/>
      <c r="X918" s="120"/>
      <c r="Y918" s="120"/>
      <c r="Z918" s="120"/>
    </row>
    <row r="919" spans="1:26" ht="12" customHeight="1">
      <c r="A919" s="140"/>
      <c r="B919" s="120"/>
      <c r="C919" s="120"/>
      <c r="D919" s="120"/>
      <c r="E919" s="120"/>
      <c r="F919" s="120"/>
      <c r="G919" s="120"/>
      <c r="H919" s="120"/>
      <c r="I919" s="120"/>
      <c r="J919" s="120"/>
      <c r="K919" s="120"/>
      <c r="L919" s="120"/>
      <c r="M919" s="120"/>
      <c r="N919" s="120"/>
      <c r="O919" s="120"/>
      <c r="P919" s="120"/>
      <c r="Q919" s="120"/>
      <c r="R919" s="120"/>
      <c r="S919" s="120"/>
      <c r="T919" s="120"/>
      <c r="U919" s="123"/>
      <c r="V919" s="120"/>
      <c r="W919" s="120"/>
      <c r="X919" s="120"/>
      <c r="Y919" s="120"/>
      <c r="Z919" s="120"/>
    </row>
    <row r="920" spans="1:26" ht="12" customHeight="1">
      <c r="A920" s="140"/>
      <c r="B920" s="120"/>
      <c r="C920" s="120"/>
      <c r="D920" s="120"/>
      <c r="E920" s="120"/>
      <c r="F920" s="120"/>
      <c r="G920" s="120"/>
      <c r="H920" s="120"/>
      <c r="I920" s="120"/>
      <c r="J920" s="120"/>
      <c r="K920" s="120"/>
      <c r="L920" s="120"/>
      <c r="M920" s="120"/>
      <c r="N920" s="120"/>
      <c r="O920" s="120"/>
      <c r="P920" s="120"/>
      <c r="Q920" s="120"/>
      <c r="R920" s="120"/>
      <c r="S920" s="120"/>
      <c r="T920" s="120"/>
      <c r="U920" s="123"/>
      <c r="V920" s="120"/>
      <c r="W920" s="120"/>
      <c r="X920" s="120"/>
      <c r="Y920" s="120"/>
      <c r="Z920" s="120"/>
    </row>
    <row r="921" spans="1:26" ht="12" customHeight="1">
      <c r="A921" s="140"/>
      <c r="B921" s="120"/>
      <c r="C921" s="120"/>
      <c r="D921" s="120"/>
      <c r="E921" s="120"/>
      <c r="F921" s="120"/>
      <c r="G921" s="120"/>
      <c r="H921" s="120"/>
      <c r="I921" s="120"/>
      <c r="J921" s="120"/>
      <c r="K921" s="120"/>
      <c r="L921" s="120"/>
      <c r="M921" s="120"/>
      <c r="N921" s="120"/>
      <c r="O921" s="120"/>
      <c r="P921" s="120"/>
      <c r="Q921" s="120"/>
      <c r="R921" s="120"/>
      <c r="S921" s="120"/>
      <c r="T921" s="120"/>
      <c r="U921" s="123"/>
      <c r="V921" s="120"/>
      <c r="W921" s="120"/>
      <c r="X921" s="120"/>
      <c r="Y921" s="120"/>
      <c r="Z921" s="120"/>
    </row>
    <row r="922" spans="1:26" ht="12" customHeight="1">
      <c r="A922" s="140"/>
      <c r="B922" s="120"/>
      <c r="C922" s="120"/>
      <c r="D922" s="120"/>
      <c r="E922" s="120"/>
      <c r="F922" s="120"/>
      <c r="G922" s="120"/>
      <c r="H922" s="120"/>
      <c r="I922" s="120"/>
      <c r="J922" s="120"/>
      <c r="K922" s="120"/>
      <c r="L922" s="120"/>
      <c r="M922" s="120"/>
      <c r="N922" s="120"/>
      <c r="O922" s="120"/>
      <c r="P922" s="120"/>
      <c r="Q922" s="120"/>
      <c r="R922" s="120"/>
      <c r="S922" s="120"/>
      <c r="T922" s="120"/>
      <c r="U922" s="123"/>
      <c r="V922" s="120"/>
      <c r="W922" s="120"/>
      <c r="X922" s="120"/>
      <c r="Y922" s="120"/>
      <c r="Z922" s="120"/>
    </row>
    <row r="923" spans="1:26" ht="12" customHeight="1">
      <c r="A923" s="140"/>
      <c r="B923" s="120"/>
      <c r="C923" s="120"/>
      <c r="D923" s="120"/>
      <c r="E923" s="120"/>
      <c r="F923" s="120"/>
      <c r="G923" s="120"/>
      <c r="H923" s="120"/>
      <c r="I923" s="120"/>
      <c r="J923" s="120"/>
      <c r="K923" s="120"/>
      <c r="L923" s="120"/>
      <c r="M923" s="120"/>
      <c r="N923" s="120"/>
      <c r="O923" s="120"/>
      <c r="P923" s="120"/>
      <c r="Q923" s="120"/>
      <c r="R923" s="120"/>
      <c r="S923" s="120"/>
      <c r="T923" s="120"/>
      <c r="U923" s="123"/>
      <c r="V923" s="120"/>
      <c r="W923" s="120"/>
      <c r="X923" s="120"/>
      <c r="Y923" s="120"/>
      <c r="Z923" s="120"/>
    </row>
    <row r="924" spans="1:26" ht="12" customHeight="1">
      <c r="A924" s="140"/>
      <c r="B924" s="120"/>
      <c r="C924" s="120"/>
      <c r="D924" s="120"/>
      <c r="E924" s="120"/>
      <c r="F924" s="120"/>
      <c r="G924" s="120"/>
      <c r="H924" s="120"/>
      <c r="I924" s="120"/>
      <c r="J924" s="120"/>
      <c r="K924" s="120"/>
      <c r="L924" s="120"/>
      <c r="M924" s="120"/>
      <c r="N924" s="120"/>
      <c r="O924" s="120"/>
      <c r="P924" s="120"/>
      <c r="Q924" s="120"/>
      <c r="R924" s="120"/>
      <c r="S924" s="120"/>
      <c r="T924" s="120"/>
      <c r="U924" s="123"/>
      <c r="V924" s="120"/>
      <c r="W924" s="120"/>
      <c r="X924" s="120"/>
      <c r="Y924" s="120"/>
      <c r="Z924" s="120"/>
    </row>
    <row r="925" spans="1:26" ht="12" customHeight="1">
      <c r="A925" s="140"/>
      <c r="B925" s="120"/>
      <c r="C925" s="120"/>
      <c r="D925" s="120"/>
      <c r="E925" s="120"/>
      <c r="F925" s="120"/>
      <c r="G925" s="120"/>
      <c r="H925" s="120"/>
      <c r="I925" s="120"/>
      <c r="J925" s="120"/>
      <c r="K925" s="120"/>
      <c r="L925" s="120"/>
      <c r="M925" s="120"/>
      <c r="N925" s="120"/>
      <c r="O925" s="120"/>
      <c r="P925" s="120"/>
      <c r="Q925" s="120"/>
      <c r="R925" s="120"/>
      <c r="S925" s="120"/>
      <c r="T925" s="120"/>
      <c r="U925" s="123"/>
      <c r="V925" s="120"/>
      <c r="W925" s="120"/>
      <c r="X925" s="120"/>
      <c r="Y925" s="120"/>
      <c r="Z925" s="120"/>
    </row>
    <row r="926" spans="1:26" ht="12" customHeight="1">
      <c r="A926" s="140"/>
      <c r="B926" s="120"/>
      <c r="C926" s="120"/>
      <c r="D926" s="120"/>
      <c r="E926" s="120"/>
      <c r="F926" s="120"/>
      <c r="G926" s="120"/>
      <c r="H926" s="120"/>
      <c r="I926" s="120"/>
      <c r="J926" s="120"/>
      <c r="K926" s="120"/>
      <c r="L926" s="120"/>
      <c r="M926" s="120"/>
      <c r="N926" s="120"/>
      <c r="O926" s="120"/>
      <c r="P926" s="120"/>
      <c r="Q926" s="120"/>
      <c r="R926" s="120"/>
      <c r="S926" s="120"/>
      <c r="T926" s="120"/>
      <c r="U926" s="123"/>
      <c r="V926" s="120"/>
      <c r="W926" s="120"/>
      <c r="X926" s="120"/>
      <c r="Y926" s="120"/>
      <c r="Z926" s="120"/>
    </row>
    <row r="927" spans="1:26" ht="12" customHeight="1">
      <c r="A927" s="140"/>
      <c r="B927" s="120"/>
      <c r="C927" s="120"/>
      <c r="D927" s="120"/>
      <c r="E927" s="120"/>
      <c r="F927" s="120"/>
      <c r="G927" s="120"/>
      <c r="H927" s="120"/>
      <c r="I927" s="120"/>
      <c r="J927" s="120"/>
      <c r="K927" s="120"/>
      <c r="L927" s="120"/>
      <c r="M927" s="120"/>
      <c r="N927" s="120"/>
      <c r="O927" s="120"/>
      <c r="P927" s="120"/>
      <c r="Q927" s="120"/>
      <c r="R927" s="120"/>
      <c r="S927" s="120"/>
      <c r="T927" s="120"/>
      <c r="U927" s="123"/>
      <c r="V927" s="120"/>
      <c r="W927" s="120"/>
      <c r="X927" s="120"/>
      <c r="Y927" s="120"/>
      <c r="Z927" s="120"/>
    </row>
    <row r="928" spans="1:26" ht="12" customHeight="1">
      <c r="A928" s="140"/>
      <c r="B928" s="120"/>
      <c r="C928" s="120"/>
      <c r="D928" s="120"/>
      <c r="E928" s="120"/>
      <c r="F928" s="120"/>
      <c r="G928" s="120"/>
      <c r="H928" s="120"/>
      <c r="I928" s="120"/>
      <c r="J928" s="120"/>
      <c r="K928" s="120"/>
      <c r="L928" s="120"/>
      <c r="M928" s="120"/>
      <c r="N928" s="120"/>
      <c r="O928" s="120"/>
      <c r="P928" s="120"/>
      <c r="Q928" s="120"/>
      <c r="R928" s="120"/>
      <c r="S928" s="120"/>
      <c r="T928" s="120"/>
      <c r="U928" s="123"/>
      <c r="V928" s="120"/>
      <c r="W928" s="120"/>
      <c r="X928" s="120"/>
      <c r="Y928" s="120"/>
      <c r="Z928" s="120"/>
    </row>
    <row r="929" spans="1:26" ht="12" customHeight="1">
      <c r="A929" s="140"/>
      <c r="B929" s="120"/>
      <c r="C929" s="120"/>
      <c r="D929" s="120"/>
      <c r="E929" s="120"/>
      <c r="F929" s="120"/>
      <c r="G929" s="120"/>
      <c r="H929" s="120"/>
      <c r="I929" s="120"/>
      <c r="J929" s="120"/>
      <c r="K929" s="120"/>
      <c r="L929" s="120"/>
      <c r="M929" s="120"/>
      <c r="N929" s="120"/>
      <c r="O929" s="120"/>
      <c r="P929" s="120"/>
      <c r="Q929" s="120"/>
      <c r="R929" s="120"/>
      <c r="S929" s="120"/>
      <c r="T929" s="120"/>
      <c r="U929" s="123"/>
      <c r="V929" s="120"/>
      <c r="W929" s="120"/>
      <c r="X929" s="120"/>
      <c r="Y929" s="120"/>
      <c r="Z929" s="120"/>
    </row>
    <row r="930" spans="1:26" ht="12" customHeight="1">
      <c r="A930" s="140"/>
      <c r="B930" s="120"/>
      <c r="C930" s="120"/>
      <c r="D930" s="120"/>
      <c r="E930" s="120"/>
      <c r="F930" s="120"/>
      <c r="G930" s="120"/>
      <c r="H930" s="120"/>
      <c r="I930" s="120"/>
      <c r="J930" s="120"/>
      <c r="K930" s="120"/>
      <c r="L930" s="120"/>
      <c r="M930" s="120"/>
      <c r="N930" s="120"/>
      <c r="O930" s="120"/>
      <c r="P930" s="120"/>
      <c r="Q930" s="120"/>
      <c r="R930" s="120"/>
      <c r="S930" s="120"/>
      <c r="T930" s="120"/>
      <c r="U930" s="123"/>
      <c r="V930" s="120"/>
      <c r="W930" s="120"/>
      <c r="X930" s="120"/>
      <c r="Y930" s="120"/>
      <c r="Z930" s="120"/>
    </row>
    <row r="931" spans="1:26" ht="12" customHeight="1">
      <c r="A931" s="140"/>
      <c r="B931" s="120"/>
      <c r="C931" s="120"/>
      <c r="D931" s="120"/>
      <c r="E931" s="120"/>
      <c r="F931" s="120"/>
      <c r="G931" s="120"/>
      <c r="H931" s="120"/>
      <c r="I931" s="120"/>
      <c r="J931" s="120"/>
      <c r="K931" s="120"/>
      <c r="L931" s="120"/>
      <c r="M931" s="120"/>
      <c r="N931" s="120"/>
      <c r="O931" s="120"/>
      <c r="P931" s="120"/>
      <c r="Q931" s="120"/>
      <c r="R931" s="120"/>
      <c r="S931" s="120"/>
      <c r="T931" s="120"/>
      <c r="U931" s="123"/>
      <c r="V931" s="120"/>
      <c r="W931" s="120"/>
      <c r="X931" s="120"/>
      <c r="Y931" s="120"/>
      <c r="Z931" s="120"/>
    </row>
    <row r="932" spans="1:26" ht="12" customHeight="1">
      <c r="A932" s="140"/>
      <c r="B932" s="120"/>
      <c r="C932" s="120"/>
      <c r="D932" s="120"/>
      <c r="E932" s="120"/>
      <c r="F932" s="120"/>
      <c r="G932" s="120"/>
      <c r="H932" s="120"/>
      <c r="I932" s="120"/>
      <c r="J932" s="120"/>
      <c r="K932" s="120"/>
      <c r="L932" s="120"/>
      <c r="M932" s="120"/>
      <c r="N932" s="120"/>
      <c r="O932" s="120"/>
      <c r="P932" s="120"/>
      <c r="Q932" s="120"/>
      <c r="R932" s="120"/>
      <c r="S932" s="120"/>
      <c r="T932" s="120"/>
      <c r="U932" s="123"/>
      <c r="V932" s="120"/>
      <c r="W932" s="120"/>
      <c r="X932" s="120"/>
      <c r="Y932" s="120"/>
      <c r="Z932" s="120"/>
    </row>
    <row r="933" spans="1:26" ht="12" customHeight="1">
      <c r="A933" s="140"/>
      <c r="B933" s="120"/>
      <c r="C933" s="120"/>
      <c r="D933" s="120"/>
      <c r="E933" s="120"/>
      <c r="F933" s="120"/>
      <c r="G933" s="120"/>
      <c r="H933" s="120"/>
      <c r="I933" s="120"/>
      <c r="J933" s="120"/>
      <c r="K933" s="120"/>
      <c r="L933" s="120"/>
      <c r="M933" s="120"/>
      <c r="N933" s="120"/>
      <c r="O933" s="120"/>
      <c r="P933" s="120"/>
      <c r="Q933" s="120"/>
      <c r="R933" s="120"/>
      <c r="S933" s="120"/>
      <c r="T933" s="120"/>
      <c r="U933" s="123"/>
      <c r="V933" s="120"/>
      <c r="W933" s="120"/>
      <c r="X933" s="120"/>
      <c r="Y933" s="120"/>
      <c r="Z933" s="120"/>
    </row>
    <row r="934" spans="1:26" ht="12" customHeight="1">
      <c r="A934" s="140"/>
      <c r="B934" s="120"/>
      <c r="C934" s="120"/>
      <c r="D934" s="120"/>
      <c r="E934" s="120"/>
      <c r="F934" s="120"/>
      <c r="G934" s="120"/>
      <c r="H934" s="120"/>
      <c r="I934" s="120"/>
      <c r="J934" s="120"/>
      <c r="K934" s="120"/>
      <c r="L934" s="120"/>
      <c r="M934" s="120"/>
      <c r="N934" s="120"/>
      <c r="O934" s="120"/>
      <c r="P934" s="120"/>
      <c r="Q934" s="120"/>
      <c r="R934" s="120"/>
      <c r="S934" s="120"/>
      <c r="T934" s="120"/>
      <c r="U934" s="123"/>
      <c r="V934" s="120"/>
      <c r="W934" s="120"/>
      <c r="X934" s="120"/>
      <c r="Y934" s="120"/>
      <c r="Z934" s="120"/>
    </row>
    <row r="935" spans="1:26" ht="12" customHeight="1">
      <c r="A935" s="140"/>
      <c r="B935" s="120"/>
      <c r="C935" s="120"/>
      <c r="D935" s="120"/>
      <c r="E935" s="120"/>
      <c r="F935" s="120"/>
      <c r="G935" s="120"/>
      <c r="H935" s="120"/>
      <c r="I935" s="120"/>
      <c r="J935" s="120"/>
      <c r="K935" s="120"/>
      <c r="L935" s="120"/>
      <c r="M935" s="120"/>
      <c r="N935" s="120"/>
      <c r="O935" s="120"/>
      <c r="P935" s="120"/>
      <c r="Q935" s="120"/>
      <c r="R935" s="120"/>
      <c r="S935" s="120"/>
      <c r="T935" s="120"/>
      <c r="U935" s="123"/>
      <c r="V935" s="120"/>
      <c r="W935" s="120"/>
      <c r="X935" s="120"/>
      <c r="Y935" s="120"/>
      <c r="Z935" s="120"/>
    </row>
    <row r="936" spans="1:26" ht="12" customHeight="1">
      <c r="A936" s="140"/>
      <c r="B936" s="120"/>
      <c r="C936" s="120"/>
      <c r="D936" s="120"/>
      <c r="E936" s="120"/>
      <c r="F936" s="120"/>
      <c r="G936" s="120"/>
      <c r="H936" s="120"/>
      <c r="I936" s="120"/>
      <c r="J936" s="120"/>
      <c r="K936" s="120"/>
      <c r="L936" s="120"/>
      <c r="M936" s="120"/>
      <c r="N936" s="120"/>
      <c r="O936" s="120"/>
      <c r="P936" s="120"/>
      <c r="Q936" s="120"/>
      <c r="R936" s="120"/>
      <c r="S936" s="120"/>
      <c r="T936" s="120"/>
      <c r="U936" s="123"/>
      <c r="V936" s="120"/>
      <c r="W936" s="120"/>
      <c r="X936" s="120"/>
      <c r="Y936" s="120"/>
      <c r="Z936" s="120"/>
    </row>
    <row r="937" spans="1:26" ht="12" customHeight="1">
      <c r="A937" s="140"/>
      <c r="B937" s="120"/>
      <c r="C937" s="120"/>
      <c r="D937" s="120"/>
      <c r="E937" s="120"/>
      <c r="F937" s="120"/>
      <c r="G937" s="120"/>
      <c r="H937" s="120"/>
      <c r="I937" s="120"/>
      <c r="J937" s="120"/>
      <c r="K937" s="120"/>
      <c r="L937" s="120"/>
      <c r="M937" s="120"/>
      <c r="N937" s="120"/>
      <c r="O937" s="120"/>
      <c r="P937" s="120"/>
      <c r="Q937" s="120"/>
      <c r="R937" s="120"/>
      <c r="S937" s="120"/>
      <c r="T937" s="120"/>
      <c r="U937" s="123"/>
      <c r="V937" s="120"/>
      <c r="W937" s="120"/>
      <c r="X937" s="120"/>
      <c r="Y937" s="120"/>
      <c r="Z937" s="120"/>
    </row>
    <row r="938" spans="1:26" ht="12" customHeight="1">
      <c r="A938" s="140"/>
      <c r="B938" s="120"/>
      <c r="C938" s="120"/>
      <c r="D938" s="120"/>
      <c r="E938" s="120"/>
      <c r="F938" s="120"/>
      <c r="G938" s="120"/>
      <c r="H938" s="120"/>
      <c r="I938" s="120"/>
      <c r="J938" s="120"/>
      <c r="K938" s="120"/>
      <c r="L938" s="120"/>
      <c r="M938" s="120"/>
      <c r="N938" s="120"/>
      <c r="O938" s="120"/>
      <c r="P938" s="120"/>
      <c r="Q938" s="120"/>
      <c r="R938" s="120"/>
      <c r="S938" s="120"/>
      <c r="T938" s="120"/>
      <c r="U938" s="123"/>
      <c r="V938" s="120"/>
      <c r="W938" s="120"/>
      <c r="X938" s="120"/>
      <c r="Y938" s="120"/>
      <c r="Z938" s="120"/>
    </row>
    <row r="939" spans="1:26" ht="12" customHeight="1">
      <c r="A939" s="140"/>
      <c r="B939" s="120"/>
      <c r="C939" s="120"/>
      <c r="D939" s="120"/>
      <c r="E939" s="120"/>
      <c r="F939" s="120"/>
      <c r="G939" s="120"/>
      <c r="H939" s="120"/>
      <c r="I939" s="120"/>
      <c r="J939" s="120"/>
      <c r="K939" s="120"/>
      <c r="L939" s="120"/>
      <c r="M939" s="120"/>
      <c r="N939" s="120"/>
      <c r="O939" s="120"/>
      <c r="P939" s="120"/>
      <c r="Q939" s="120"/>
      <c r="R939" s="120"/>
      <c r="S939" s="120"/>
      <c r="T939" s="120"/>
      <c r="U939" s="123"/>
      <c r="V939" s="120"/>
      <c r="W939" s="120"/>
      <c r="X939" s="120"/>
      <c r="Y939" s="120"/>
      <c r="Z939" s="120"/>
    </row>
    <row r="940" spans="1:26" ht="12" customHeight="1">
      <c r="A940" s="140"/>
      <c r="B940" s="120"/>
      <c r="C940" s="120"/>
      <c r="D940" s="120"/>
      <c r="E940" s="120"/>
      <c r="F940" s="120"/>
      <c r="G940" s="120"/>
      <c r="H940" s="120"/>
      <c r="I940" s="120"/>
      <c r="J940" s="120"/>
      <c r="K940" s="120"/>
      <c r="L940" s="120"/>
      <c r="M940" s="120"/>
      <c r="N940" s="120"/>
      <c r="O940" s="120"/>
      <c r="P940" s="120"/>
      <c r="Q940" s="120"/>
      <c r="R940" s="120"/>
      <c r="S940" s="120"/>
      <c r="T940" s="120"/>
      <c r="U940" s="123"/>
      <c r="V940" s="120"/>
      <c r="W940" s="120"/>
      <c r="X940" s="120"/>
      <c r="Y940" s="120"/>
      <c r="Z940" s="120"/>
    </row>
    <row r="941" spans="1:26" ht="12" customHeight="1">
      <c r="A941" s="140"/>
      <c r="B941" s="120"/>
      <c r="C941" s="120"/>
      <c r="D941" s="120"/>
      <c r="E941" s="120"/>
      <c r="F941" s="120"/>
      <c r="G941" s="120"/>
      <c r="H941" s="120"/>
      <c r="I941" s="120"/>
      <c r="J941" s="120"/>
      <c r="K941" s="120"/>
      <c r="L941" s="120"/>
      <c r="M941" s="120"/>
      <c r="N941" s="120"/>
      <c r="O941" s="120"/>
      <c r="P941" s="120"/>
      <c r="Q941" s="120"/>
      <c r="R941" s="120"/>
      <c r="S941" s="120"/>
      <c r="T941" s="120"/>
      <c r="U941" s="123"/>
      <c r="V941" s="120"/>
      <c r="W941" s="120"/>
      <c r="X941" s="120"/>
      <c r="Y941" s="120"/>
      <c r="Z941" s="120"/>
    </row>
    <row r="942" spans="1:26" ht="12" customHeight="1">
      <c r="A942" s="140"/>
      <c r="B942" s="120"/>
      <c r="C942" s="120"/>
      <c r="D942" s="120"/>
      <c r="E942" s="120"/>
      <c r="F942" s="120"/>
      <c r="G942" s="120"/>
      <c r="H942" s="120"/>
      <c r="I942" s="120"/>
      <c r="J942" s="120"/>
      <c r="K942" s="120"/>
      <c r="L942" s="120"/>
      <c r="M942" s="120"/>
      <c r="N942" s="120"/>
      <c r="O942" s="120"/>
      <c r="P942" s="120"/>
      <c r="Q942" s="120"/>
      <c r="R942" s="120"/>
      <c r="S942" s="120"/>
      <c r="T942" s="120"/>
      <c r="U942" s="123"/>
      <c r="V942" s="120"/>
      <c r="W942" s="120"/>
      <c r="X942" s="120"/>
      <c r="Y942" s="120"/>
      <c r="Z942" s="120"/>
    </row>
    <row r="943" spans="1:26" ht="12" customHeight="1">
      <c r="A943" s="140"/>
      <c r="B943" s="120"/>
      <c r="C943" s="120"/>
      <c r="D943" s="120"/>
      <c r="E943" s="120"/>
      <c r="F943" s="120"/>
      <c r="G943" s="120"/>
      <c r="H943" s="120"/>
      <c r="I943" s="120"/>
      <c r="J943" s="120"/>
      <c r="K943" s="120"/>
      <c r="L943" s="120"/>
      <c r="M943" s="120"/>
      <c r="N943" s="120"/>
      <c r="O943" s="120"/>
      <c r="P943" s="120"/>
      <c r="Q943" s="120"/>
      <c r="R943" s="120"/>
      <c r="S943" s="120"/>
      <c r="T943" s="120"/>
      <c r="U943" s="123"/>
      <c r="V943" s="120"/>
      <c r="W943" s="120"/>
      <c r="X943" s="120"/>
      <c r="Y943" s="120"/>
      <c r="Z943" s="120"/>
    </row>
    <row r="944" spans="1:26" ht="12" customHeight="1">
      <c r="A944" s="140"/>
      <c r="B944" s="120"/>
      <c r="C944" s="120"/>
      <c r="D944" s="120"/>
      <c r="E944" s="120"/>
      <c r="F944" s="120"/>
      <c r="G944" s="120"/>
      <c r="H944" s="120"/>
      <c r="I944" s="120"/>
      <c r="J944" s="120"/>
      <c r="K944" s="120"/>
      <c r="L944" s="120"/>
      <c r="M944" s="120"/>
      <c r="N944" s="120"/>
      <c r="O944" s="120"/>
      <c r="P944" s="120"/>
      <c r="Q944" s="120"/>
      <c r="R944" s="120"/>
      <c r="S944" s="120"/>
      <c r="T944" s="120"/>
      <c r="U944" s="123"/>
      <c r="V944" s="120"/>
      <c r="W944" s="120"/>
      <c r="X944" s="120"/>
      <c r="Y944" s="120"/>
      <c r="Z944" s="120"/>
    </row>
    <row r="945" spans="1:26" ht="12" customHeight="1">
      <c r="A945" s="140"/>
      <c r="B945" s="120"/>
      <c r="C945" s="120"/>
      <c r="D945" s="120"/>
      <c r="E945" s="120"/>
      <c r="F945" s="120"/>
      <c r="G945" s="120"/>
      <c r="H945" s="120"/>
      <c r="I945" s="120"/>
      <c r="J945" s="120"/>
      <c r="K945" s="120"/>
      <c r="L945" s="120"/>
      <c r="M945" s="120"/>
      <c r="N945" s="120"/>
      <c r="O945" s="120"/>
      <c r="P945" s="120"/>
      <c r="Q945" s="120"/>
      <c r="R945" s="120"/>
      <c r="S945" s="120"/>
      <c r="T945" s="120"/>
      <c r="U945" s="123"/>
      <c r="V945" s="120"/>
      <c r="W945" s="120"/>
      <c r="X945" s="120"/>
      <c r="Y945" s="120"/>
      <c r="Z945" s="120"/>
    </row>
    <row r="946" spans="1:26" ht="12" customHeight="1">
      <c r="A946" s="140"/>
      <c r="B946" s="120"/>
      <c r="C946" s="120"/>
      <c r="D946" s="120"/>
      <c r="E946" s="120"/>
      <c r="F946" s="120"/>
      <c r="G946" s="120"/>
      <c r="H946" s="120"/>
      <c r="I946" s="120"/>
      <c r="J946" s="120"/>
      <c r="K946" s="120"/>
      <c r="L946" s="120"/>
      <c r="M946" s="120"/>
      <c r="N946" s="120"/>
      <c r="O946" s="120"/>
      <c r="P946" s="120"/>
      <c r="Q946" s="120"/>
      <c r="R946" s="120"/>
      <c r="S946" s="120"/>
      <c r="T946" s="120"/>
      <c r="U946" s="123"/>
      <c r="V946" s="120"/>
      <c r="W946" s="120"/>
      <c r="X946" s="120"/>
      <c r="Y946" s="120"/>
      <c r="Z946" s="120"/>
    </row>
    <row r="947" spans="1:26" ht="12" customHeight="1">
      <c r="A947" s="140"/>
      <c r="B947" s="120"/>
      <c r="C947" s="120"/>
      <c r="D947" s="120"/>
      <c r="E947" s="120"/>
      <c r="F947" s="120"/>
      <c r="G947" s="120"/>
      <c r="H947" s="120"/>
      <c r="I947" s="120"/>
      <c r="J947" s="120"/>
      <c r="K947" s="120"/>
      <c r="L947" s="120"/>
      <c r="M947" s="120"/>
      <c r="N947" s="120"/>
      <c r="O947" s="120"/>
      <c r="P947" s="120"/>
      <c r="Q947" s="120"/>
      <c r="R947" s="120"/>
      <c r="S947" s="120"/>
      <c r="T947" s="120"/>
      <c r="U947" s="123"/>
      <c r="V947" s="120"/>
      <c r="W947" s="120"/>
      <c r="X947" s="120"/>
      <c r="Y947" s="120"/>
      <c r="Z947" s="120"/>
    </row>
    <row r="948" spans="1:26" ht="12" customHeight="1">
      <c r="A948" s="140"/>
      <c r="B948" s="120"/>
      <c r="C948" s="120"/>
      <c r="D948" s="120"/>
      <c r="E948" s="120"/>
      <c r="F948" s="120"/>
      <c r="G948" s="120"/>
      <c r="H948" s="120"/>
      <c r="I948" s="120"/>
      <c r="J948" s="120"/>
      <c r="K948" s="120"/>
      <c r="L948" s="120"/>
      <c r="M948" s="120"/>
      <c r="N948" s="120"/>
      <c r="O948" s="120"/>
      <c r="P948" s="120"/>
      <c r="Q948" s="120"/>
      <c r="R948" s="120"/>
      <c r="S948" s="120"/>
      <c r="T948" s="120"/>
      <c r="U948" s="123"/>
      <c r="V948" s="120"/>
      <c r="W948" s="120"/>
      <c r="X948" s="120"/>
      <c r="Y948" s="120"/>
      <c r="Z948" s="120"/>
    </row>
    <row r="949" spans="1:26" ht="12" customHeight="1">
      <c r="A949" s="140"/>
      <c r="B949" s="120"/>
      <c r="C949" s="120"/>
      <c r="D949" s="120"/>
      <c r="E949" s="120"/>
      <c r="F949" s="120"/>
      <c r="G949" s="120"/>
      <c r="H949" s="120"/>
      <c r="I949" s="120"/>
      <c r="J949" s="120"/>
      <c r="K949" s="120"/>
      <c r="L949" s="120"/>
      <c r="M949" s="120"/>
      <c r="N949" s="120"/>
      <c r="O949" s="120"/>
      <c r="P949" s="120"/>
      <c r="Q949" s="120"/>
      <c r="R949" s="120"/>
      <c r="S949" s="120"/>
      <c r="T949" s="120"/>
      <c r="U949" s="123"/>
      <c r="V949" s="120"/>
      <c r="W949" s="120"/>
      <c r="X949" s="120"/>
      <c r="Y949" s="120"/>
      <c r="Z949" s="120"/>
    </row>
    <row r="950" spans="1:26" ht="12" customHeight="1">
      <c r="A950" s="140"/>
      <c r="B950" s="120"/>
      <c r="C950" s="120"/>
      <c r="D950" s="120"/>
      <c r="E950" s="120"/>
      <c r="F950" s="120"/>
      <c r="G950" s="120"/>
      <c r="H950" s="120"/>
      <c r="I950" s="120"/>
      <c r="J950" s="120"/>
      <c r="K950" s="120"/>
      <c r="L950" s="120"/>
      <c r="M950" s="120"/>
      <c r="N950" s="120"/>
      <c r="O950" s="120"/>
      <c r="P950" s="120"/>
      <c r="Q950" s="120"/>
      <c r="R950" s="120"/>
      <c r="S950" s="120"/>
      <c r="T950" s="120"/>
      <c r="U950" s="123"/>
      <c r="V950" s="120"/>
      <c r="W950" s="120"/>
      <c r="X950" s="120"/>
      <c r="Y950" s="120"/>
      <c r="Z950" s="120"/>
    </row>
    <row r="951" spans="1:26" ht="12" customHeight="1">
      <c r="A951" s="140"/>
      <c r="B951" s="120"/>
      <c r="C951" s="120"/>
      <c r="D951" s="120"/>
      <c r="E951" s="120"/>
      <c r="F951" s="120"/>
      <c r="G951" s="120"/>
      <c r="H951" s="120"/>
      <c r="I951" s="120"/>
      <c r="J951" s="120"/>
      <c r="K951" s="120"/>
      <c r="L951" s="120"/>
      <c r="M951" s="120"/>
      <c r="N951" s="120"/>
      <c r="O951" s="120"/>
      <c r="P951" s="120"/>
      <c r="Q951" s="120"/>
      <c r="R951" s="120"/>
      <c r="S951" s="120"/>
      <c r="T951" s="120"/>
      <c r="U951" s="123"/>
      <c r="V951" s="120"/>
      <c r="W951" s="120"/>
      <c r="X951" s="120"/>
      <c r="Y951" s="120"/>
      <c r="Z951" s="120"/>
    </row>
    <row r="952" spans="1:26" ht="12" customHeight="1">
      <c r="A952" s="140"/>
      <c r="B952" s="120"/>
      <c r="C952" s="120"/>
      <c r="D952" s="120"/>
      <c r="E952" s="120"/>
      <c r="F952" s="120"/>
      <c r="G952" s="120"/>
      <c r="H952" s="120"/>
      <c r="I952" s="120"/>
      <c r="J952" s="120"/>
      <c r="K952" s="120"/>
      <c r="L952" s="120"/>
      <c r="M952" s="120"/>
      <c r="N952" s="120"/>
      <c r="O952" s="120"/>
      <c r="P952" s="120"/>
      <c r="Q952" s="120"/>
      <c r="R952" s="120"/>
      <c r="S952" s="120"/>
      <c r="T952" s="120"/>
      <c r="U952" s="123"/>
      <c r="V952" s="120"/>
      <c r="W952" s="120"/>
      <c r="X952" s="120"/>
      <c r="Y952" s="120"/>
      <c r="Z952" s="120"/>
    </row>
    <row r="953" spans="1:26" ht="12" customHeight="1">
      <c r="A953" s="140"/>
      <c r="B953" s="120"/>
      <c r="C953" s="120"/>
      <c r="D953" s="120"/>
      <c r="E953" s="120"/>
      <c r="F953" s="120"/>
      <c r="G953" s="120"/>
      <c r="H953" s="120"/>
      <c r="I953" s="120"/>
      <c r="J953" s="120"/>
      <c r="K953" s="120"/>
      <c r="L953" s="120"/>
      <c r="M953" s="120"/>
      <c r="N953" s="120"/>
      <c r="O953" s="120"/>
      <c r="P953" s="120"/>
      <c r="Q953" s="120"/>
      <c r="R953" s="120"/>
      <c r="S953" s="120"/>
      <c r="T953" s="120"/>
      <c r="U953" s="123"/>
      <c r="V953" s="120"/>
      <c r="W953" s="120"/>
      <c r="X953" s="120"/>
      <c r="Y953" s="120"/>
      <c r="Z953" s="120"/>
    </row>
    <row r="954" spans="1:26" ht="12" customHeight="1">
      <c r="A954" s="140"/>
      <c r="B954" s="120"/>
      <c r="C954" s="120"/>
      <c r="D954" s="120"/>
      <c r="E954" s="120"/>
      <c r="F954" s="120"/>
      <c r="G954" s="120"/>
      <c r="H954" s="120"/>
      <c r="I954" s="120"/>
      <c r="J954" s="120"/>
      <c r="K954" s="120"/>
      <c r="L954" s="120"/>
      <c r="M954" s="120"/>
      <c r="N954" s="120"/>
      <c r="O954" s="120"/>
      <c r="P954" s="120"/>
      <c r="Q954" s="120"/>
      <c r="R954" s="120"/>
      <c r="S954" s="120"/>
      <c r="T954" s="120"/>
      <c r="U954" s="123"/>
      <c r="V954" s="120"/>
      <c r="W954" s="120"/>
      <c r="X954" s="120"/>
      <c r="Y954" s="120"/>
      <c r="Z954" s="120"/>
    </row>
    <row r="955" spans="1:26" ht="12" customHeight="1">
      <c r="A955" s="140"/>
      <c r="B955" s="120"/>
      <c r="C955" s="120"/>
      <c r="D955" s="120"/>
      <c r="E955" s="120"/>
      <c r="F955" s="120"/>
      <c r="G955" s="120"/>
      <c r="H955" s="120"/>
      <c r="I955" s="120"/>
      <c r="J955" s="120"/>
      <c r="K955" s="120"/>
      <c r="L955" s="120"/>
      <c r="M955" s="120"/>
      <c r="N955" s="120"/>
      <c r="O955" s="120"/>
      <c r="P955" s="120"/>
      <c r="Q955" s="120"/>
      <c r="R955" s="120"/>
      <c r="S955" s="120"/>
      <c r="T955" s="120"/>
      <c r="U955" s="123"/>
      <c r="V955" s="120"/>
      <c r="W955" s="120"/>
      <c r="X955" s="120"/>
      <c r="Y955" s="120"/>
      <c r="Z955" s="120"/>
    </row>
    <row r="956" spans="1:26" ht="12" customHeight="1">
      <c r="A956" s="140"/>
      <c r="B956" s="120"/>
      <c r="C956" s="120"/>
      <c r="D956" s="120"/>
      <c r="E956" s="120"/>
      <c r="F956" s="120"/>
      <c r="G956" s="120"/>
      <c r="H956" s="120"/>
      <c r="I956" s="120"/>
      <c r="J956" s="120"/>
      <c r="K956" s="120"/>
      <c r="L956" s="120"/>
      <c r="M956" s="120"/>
      <c r="N956" s="120"/>
      <c r="O956" s="120"/>
      <c r="P956" s="120"/>
      <c r="Q956" s="120"/>
      <c r="R956" s="120"/>
      <c r="S956" s="120"/>
      <c r="T956" s="120"/>
      <c r="U956" s="123"/>
      <c r="V956" s="120"/>
      <c r="W956" s="120"/>
      <c r="X956" s="120"/>
      <c r="Y956" s="120"/>
      <c r="Z956" s="120"/>
    </row>
    <row r="957" spans="1:26" ht="12" customHeight="1">
      <c r="A957" s="140"/>
      <c r="B957" s="120"/>
      <c r="C957" s="120"/>
      <c r="D957" s="120"/>
      <c r="E957" s="120"/>
      <c r="F957" s="120"/>
      <c r="G957" s="120"/>
      <c r="H957" s="120"/>
      <c r="I957" s="120"/>
      <c r="J957" s="120"/>
      <c r="K957" s="120"/>
      <c r="L957" s="120"/>
      <c r="M957" s="120"/>
      <c r="N957" s="120"/>
      <c r="O957" s="120"/>
      <c r="P957" s="120"/>
      <c r="Q957" s="120"/>
      <c r="R957" s="120"/>
      <c r="S957" s="120"/>
      <c r="T957" s="120"/>
      <c r="U957" s="123"/>
      <c r="V957" s="120"/>
      <c r="W957" s="120"/>
      <c r="X957" s="120"/>
      <c r="Y957" s="120"/>
      <c r="Z957" s="120"/>
    </row>
    <row r="958" spans="1:26" ht="12" customHeight="1">
      <c r="A958" s="140"/>
      <c r="B958" s="120"/>
      <c r="C958" s="120"/>
      <c r="D958" s="120"/>
      <c r="E958" s="120"/>
      <c r="F958" s="120"/>
      <c r="G958" s="120"/>
      <c r="H958" s="120"/>
      <c r="I958" s="120"/>
      <c r="J958" s="120"/>
      <c r="K958" s="120"/>
      <c r="L958" s="120"/>
      <c r="M958" s="120"/>
      <c r="N958" s="120"/>
      <c r="O958" s="120"/>
      <c r="P958" s="120"/>
      <c r="Q958" s="120"/>
      <c r="R958" s="120"/>
      <c r="S958" s="120"/>
      <c r="T958" s="120"/>
      <c r="U958" s="123"/>
      <c r="V958" s="120"/>
      <c r="W958" s="120"/>
      <c r="X958" s="120"/>
      <c r="Y958" s="120"/>
      <c r="Z958" s="120"/>
    </row>
    <row r="959" spans="1:26" ht="12" customHeight="1">
      <c r="A959" s="140"/>
      <c r="B959" s="120"/>
      <c r="C959" s="120"/>
      <c r="D959" s="120"/>
      <c r="E959" s="120"/>
      <c r="F959" s="120"/>
      <c r="G959" s="120"/>
      <c r="H959" s="120"/>
      <c r="I959" s="120"/>
      <c r="J959" s="120"/>
      <c r="K959" s="120"/>
      <c r="L959" s="120"/>
      <c r="M959" s="120"/>
      <c r="N959" s="120"/>
      <c r="O959" s="120"/>
      <c r="P959" s="120"/>
      <c r="Q959" s="120"/>
      <c r="R959" s="120"/>
      <c r="S959" s="120"/>
      <c r="T959" s="120"/>
      <c r="U959" s="123"/>
      <c r="V959" s="120"/>
      <c r="W959" s="120"/>
      <c r="X959" s="120"/>
      <c r="Y959" s="120"/>
      <c r="Z959" s="120"/>
    </row>
    <row r="960" spans="1:26" ht="12" customHeight="1">
      <c r="A960" s="140"/>
      <c r="B960" s="120"/>
      <c r="C960" s="120"/>
      <c r="D960" s="120"/>
      <c r="E960" s="120"/>
      <c r="F960" s="120"/>
      <c r="G960" s="120"/>
      <c r="H960" s="120"/>
      <c r="I960" s="120"/>
      <c r="J960" s="120"/>
      <c r="K960" s="120"/>
      <c r="L960" s="120"/>
      <c r="M960" s="120"/>
      <c r="N960" s="120"/>
      <c r="O960" s="120"/>
      <c r="P960" s="120"/>
      <c r="Q960" s="120"/>
      <c r="R960" s="120"/>
      <c r="S960" s="120"/>
      <c r="T960" s="120"/>
      <c r="U960" s="123"/>
      <c r="V960" s="120"/>
      <c r="W960" s="120"/>
      <c r="X960" s="120"/>
      <c r="Y960" s="120"/>
      <c r="Z960" s="120"/>
    </row>
    <row r="961" spans="1:26" ht="12" customHeight="1">
      <c r="A961" s="140"/>
      <c r="B961" s="120"/>
      <c r="C961" s="120"/>
      <c r="D961" s="120"/>
      <c r="E961" s="120"/>
      <c r="F961" s="120"/>
      <c r="G961" s="120"/>
      <c r="H961" s="120"/>
      <c r="I961" s="120"/>
      <c r="J961" s="120"/>
      <c r="K961" s="120"/>
      <c r="L961" s="120"/>
      <c r="M961" s="120"/>
      <c r="N961" s="120"/>
      <c r="O961" s="120"/>
      <c r="P961" s="120"/>
      <c r="Q961" s="120"/>
      <c r="R961" s="120"/>
      <c r="S961" s="120"/>
      <c r="T961" s="120"/>
      <c r="U961" s="123"/>
      <c r="V961" s="120"/>
      <c r="W961" s="120"/>
      <c r="X961" s="120"/>
      <c r="Y961" s="120"/>
      <c r="Z961" s="120"/>
    </row>
    <row r="962" spans="1:26" ht="12" customHeight="1">
      <c r="A962" s="140"/>
      <c r="B962" s="120"/>
      <c r="C962" s="120"/>
      <c r="D962" s="120"/>
      <c r="E962" s="120"/>
      <c r="F962" s="120"/>
      <c r="G962" s="120"/>
      <c r="H962" s="120"/>
      <c r="I962" s="120"/>
      <c r="J962" s="120"/>
      <c r="K962" s="120"/>
      <c r="L962" s="120"/>
      <c r="M962" s="120"/>
      <c r="N962" s="120"/>
      <c r="O962" s="120"/>
      <c r="P962" s="120"/>
      <c r="Q962" s="120"/>
      <c r="R962" s="120"/>
      <c r="S962" s="120"/>
      <c r="T962" s="120"/>
      <c r="U962" s="123"/>
      <c r="V962" s="120"/>
      <c r="W962" s="120"/>
      <c r="X962" s="120"/>
      <c r="Y962" s="120"/>
      <c r="Z962" s="120"/>
    </row>
    <row r="963" spans="1:26" ht="12" customHeight="1">
      <c r="A963" s="140"/>
      <c r="B963" s="120"/>
      <c r="C963" s="120"/>
      <c r="D963" s="120"/>
      <c r="E963" s="120"/>
      <c r="F963" s="120"/>
      <c r="G963" s="120"/>
      <c r="H963" s="120"/>
      <c r="I963" s="120"/>
      <c r="J963" s="120"/>
      <c r="K963" s="120"/>
      <c r="L963" s="120"/>
      <c r="M963" s="120"/>
      <c r="N963" s="120"/>
      <c r="O963" s="120"/>
      <c r="P963" s="120"/>
      <c r="Q963" s="120"/>
      <c r="R963" s="120"/>
      <c r="S963" s="120"/>
      <c r="T963" s="120"/>
      <c r="U963" s="123"/>
      <c r="V963" s="120"/>
      <c r="W963" s="120"/>
      <c r="X963" s="120"/>
      <c r="Y963" s="120"/>
      <c r="Z963" s="120"/>
    </row>
    <row r="964" spans="1:26" ht="12" customHeight="1">
      <c r="A964" s="140"/>
      <c r="B964" s="120"/>
      <c r="C964" s="120"/>
      <c r="D964" s="120"/>
      <c r="E964" s="120"/>
      <c r="F964" s="120"/>
      <c r="G964" s="120"/>
      <c r="H964" s="120"/>
      <c r="I964" s="120"/>
      <c r="J964" s="120"/>
      <c r="K964" s="120"/>
      <c r="L964" s="120"/>
      <c r="M964" s="120"/>
      <c r="N964" s="120"/>
      <c r="O964" s="120"/>
      <c r="P964" s="120"/>
      <c r="Q964" s="120"/>
      <c r="R964" s="120"/>
      <c r="S964" s="120"/>
      <c r="T964" s="120"/>
      <c r="U964" s="123"/>
      <c r="V964" s="120"/>
      <c r="W964" s="120"/>
      <c r="X964" s="120"/>
      <c r="Y964" s="120"/>
      <c r="Z964" s="120"/>
    </row>
    <row r="965" spans="1:26" ht="12" customHeight="1">
      <c r="A965" s="140"/>
      <c r="B965" s="120"/>
      <c r="C965" s="120"/>
      <c r="D965" s="120"/>
      <c r="E965" s="120"/>
      <c r="F965" s="120"/>
      <c r="G965" s="120"/>
      <c r="H965" s="120"/>
      <c r="I965" s="120"/>
      <c r="J965" s="120"/>
      <c r="K965" s="120"/>
      <c r="L965" s="120"/>
      <c r="M965" s="120"/>
      <c r="N965" s="120"/>
      <c r="O965" s="120"/>
      <c r="P965" s="120"/>
      <c r="Q965" s="120"/>
      <c r="R965" s="120"/>
      <c r="S965" s="120"/>
      <c r="T965" s="120"/>
      <c r="U965" s="123"/>
      <c r="V965" s="120"/>
      <c r="W965" s="120"/>
      <c r="X965" s="120"/>
      <c r="Y965" s="120"/>
      <c r="Z965" s="120"/>
    </row>
    <row r="966" spans="1:26" ht="12" customHeight="1">
      <c r="A966" s="140"/>
      <c r="B966" s="120"/>
      <c r="C966" s="120"/>
      <c r="D966" s="120"/>
      <c r="E966" s="120"/>
      <c r="F966" s="120"/>
      <c r="G966" s="120"/>
      <c r="H966" s="120"/>
      <c r="I966" s="120"/>
      <c r="J966" s="120"/>
      <c r="K966" s="120"/>
      <c r="L966" s="120"/>
      <c r="M966" s="120"/>
      <c r="N966" s="120"/>
      <c r="O966" s="120"/>
      <c r="P966" s="120"/>
      <c r="Q966" s="120"/>
      <c r="R966" s="120"/>
      <c r="S966" s="120"/>
      <c r="T966" s="120"/>
      <c r="U966" s="123"/>
      <c r="V966" s="120"/>
      <c r="W966" s="120"/>
      <c r="X966" s="120"/>
      <c r="Y966" s="120"/>
      <c r="Z966" s="120"/>
    </row>
    <row r="967" spans="1:26" ht="12" customHeight="1">
      <c r="A967" s="140"/>
      <c r="B967" s="120"/>
      <c r="C967" s="120"/>
      <c r="D967" s="120"/>
      <c r="E967" s="120"/>
      <c r="F967" s="120"/>
      <c r="G967" s="120"/>
      <c r="H967" s="120"/>
      <c r="I967" s="120"/>
      <c r="J967" s="120"/>
      <c r="K967" s="120"/>
      <c r="L967" s="120"/>
      <c r="M967" s="120"/>
      <c r="N967" s="120"/>
      <c r="O967" s="120"/>
      <c r="P967" s="120"/>
      <c r="Q967" s="120"/>
      <c r="R967" s="120"/>
      <c r="S967" s="120"/>
      <c r="T967" s="120"/>
      <c r="U967" s="123"/>
      <c r="V967" s="120"/>
      <c r="W967" s="120"/>
      <c r="X967" s="120"/>
      <c r="Y967" s="120"/>
      <c r="Z967" s="120"/>
    </row>
    <row r="968" spans="1:26" ht="12" customHeight="1">
      <c r="A968" s="140"/>
      <c r="B968" s="120"/>
      <c r="C968" s="120"/>
      <c r="D968" s="120"/>
      <c r="E968" s="120"/>
      <c r="F968" s="120"/>
      <c r="G968" s="120"/>
      <c r="H968" s="120"/>
      <c r="I968" s="120"/>
      <c r="J968" s="120"/>
      <c r="K968" s="120"/>
      <c r="L968" s="120"/>
      <c r="M968" s="120"/>
      <c r="N968" s="120"/>
      <c r="O968" s="120"/>
      <c r="P968" s="120"/>
      <c r="Q968" s="120"/>
      <c r="R968" s="120"/>
      <c r="S968" s="120"/>
      <c r="T968" s="120"/>
      <c r="U968" s="123"/>
      <c r="V968" s="120"/>
      <c r="W968" s="120"/>
      <c r="X968" s="120"/>
      <c r="Y968" s="120"/>
      <c r="Z968" s="120"/>
    </row>
    <row r="969" spans="1:26" ht="12" customHeight="1">
      <c r="A969" s="140"/>
      <c r="B969" s="120"/>
      <c r="C969" s="120"/>
      <c r="D969" s="120"/>
      <c r="E969" s="120"/>
      <c r="F969" s="120"/>
      <c r="G969" s="120"/>
      <c r="H969" s="120"/>
      <c r="I969" s="120"/>
      <c r="J969" s="120"/>
      <c r="K969" s="120"/>
      <c r="L969" s="120"/>
      <c r="M969" s="120"/>
      <c r="N969" s="120"/>
      <c r="O969" s="120"/>
      <c r="P969" s="120"/>
      <c r="Q969" s="120"/>
      <c r="R969" s="120"/>
      <c r="S969" s="120"/>
      <c r="T969" s="120"/>
      <c r="U969" s="123"/>
      <c r="V969" s="120"/>
      <c r="W969" s="120"/>
      <c r="X969" s="120"/>
      <c r="Y969" s="120"/>
      <c r="Z969" s="120"/>
    </row>
    <row r="970" spans="1:26" ht="12" customHeight="1">
      <c r="A970" s="140"/>
      <c r="B970" s="120"/>
      <c r="C970" s="120"/>
      <c r="D970" s="120"/>
      <c r="E970" s="120"/>
      <c r="F970" s="120"/>
      <c r="G970" s="120"/>
      <c r="H970" s="120"/>
      <c r="I970" s="120"/>
      <c r="J970" s="120"/>
      <c r="K970" s="120"/>
      <c r="L970" s="120"/>
      <c r="M970" s="120"/>
      <c r="N970" s="120"/>
      <c r="O970" s="120"/>
      <c r="P970" s="120"/>
      <c r="Q970" s="120"/>
      <c r="R970" s="120"/>
      <c r="S970" s="120"/>
      <c r="T970" s="120"/>
      <c r="U970" s="123"/>
      <c r="V970" s="120"/>
      <c r="W970" s="120"/>
      <c r="X970" s="120"/>
      <c r="Y970" s="120"/>
      <c r="Z970" s="120"/>
    </row>
    <row r="971" spans="1:26" ht="12" customHeight="1">
      <c r="A971" s="140"/>
      <c r="B971" s="120"/>
      <c r="C971" s="120"/>
      <c r="D971" s="120"/>
      <c r="E971" s="120"/>
      <c r="F971" s="120"/>
      <c r="G971" s="120"/>
      <c r="H971" s="120"/>
      <c r="I971" s="120"/>
      <c r="J971" s="120"/>
      <c r="K971" s="120"/>
      <c r="L971" s="120"/>
      <c r="M971" s="120"/>
      <c r="N971" s="120"/>
      <c r="O971" s="120"/>
      <c r="P971" s="120"/>
      <c r="Q971" s="120"/>
      <c r="R971" s="120"/>
      <c r="S971" s="120"/>
      <c r="T971" s="120"/>
      <c r="U971" s="123"/>
      <c r="V971" s="120"/>
      <c r="W971" s="120"/>
      <c r="X971" s="120"/>
      <c r="Y971" s="120"/>
      <c r="Z971" s="120"/>
    </row>
    <row r="972" spans="1:26" ht="12" customHeight="1">
      <c r="A972" s="140"/>
      <c r="B972" s="120"/>
      <c r="C972" s="120"/>
      <c r="D972" s="120"/>
      <c r="E972" s="120"/>
      <c r="F972" s="120"/>
      <c r="G972" s="120"/>
      <c r="H972" s="120"/>
      <c r="I972" s="120"/>
      <c r="J972" s="120"/>
      <c r="K972" s="120"/>
      <c r="L972" s="120"/>
      <c r="M972" s="120"/>
      <c r="N972" s="120"/>
      <c r="O972" s="120"/>
      <c r="P972" s="120"/>
      <c r="Q972" s="120"/>
      <c r="R972" s="120"/>
      <c r="S972" s="120"/>
      <c r="T972" s="120"/>
      <c r="U972" s="123"/>
      <c r="V972" s="120"/>
      <c r="W972" s="120"/>
      <c r="X972" s="120"/>
      <c r="Y972" s="120"/>
      <c r="Z972" s="120"/>
    </row>
    <row r="973" spans="1:26" ht="12" customHeight="1">
      <c r="A973" s="140"/>
      <c r="B973" s="120"/>
      <c r="C973" s="120"/>
      <c r="D973" s="120"/>
      <c r="E973" s="120"/>
      <c r="F973" s="120"/>
      <c r="G973" s="120"/>
      <c r="H973" s="120"/>
      <c r="I973" s="120"/>
      <c r="J973" s="120"/>
      <c r="K973" s="120"/>
      <c r="L973" s="120"/>
      <c r="M973" s="120"/>
      <c r="N973" s="120"/>
      <c r="O973" s="120"/>
      <c r="P973" s="120"/>
      <c r="Q973" s="120"/>
      <c r="R973" s="120"/>
      <c r="S973" s="120"/>
      <c r="T973" s="120"/>
      <c r="U973" s="123"/>
      <c r="V973" s="120"/>
      <c r="W973" s="120"/>
      <c r="X973" s="120"/>
      <c r="Y973" s="120"/>
      <c r="Z973" s="120"/>
    </row>
    <row r="974" spans="1:26" ht="12" customHeight="1">
      <c r="A974" s="140"/>
      <c r="B974" s="120"/>
      <c r="C974" s="120"/>
      <c r="D974" s="120"/>
      <c r="E974" s="120"/>
      <c r="F974" s="120"/>
      <c r="G974" s="120"/>
      <c r="H974" s="120"/>
      <c r="I974" s="120"/>
      <c r="J974" s="120"/>
      <c r="K974" s="120"/>
      <c r="L974" s="120"/>
      <c r="M974" s="120"/>
      <c r="N974" s="120"/>
      <c r="O974" s="120"/>
      <c r="P974" s="120"/>
      <c r="Q974" s="120"/>
      <c r="R974" s="120"/>
      <c r="S974" s="120"/>
      <c r="T974" s="120"/>
      <c r="U974" s="123"/>
      <c r="V974" s="120"/>
      <c r="W974" s="120"/>
      <c r="X974" s="120"/>
      <c r="Y974" s="120"/>
      <c r="Z974" s="120"/>
    </row>
    <row r="975" spans="1:26" ht="12" customHeight="1">
      <c r="A975" s="140"/>
      <c r="B975" s="120"/>
      <c r="C975" s="120"/>
      <c r="D975" s="120"/>
      <c r="E975" s="120"/>
      <c r="F975" s="120"/>
      <c r="G975" s="120"/>
      <c r="H975" s="120"/>
      <c r="I975" s="120"/>
      <c r="J975" s="120"/>
      <c r="K975" s="120"/>
      <c r="L975" s="120"/>
      <c r="M975" s="120"/>
      <c r="N975" s="120"/>
      <c r="O975" s="120"/>
      <c r="P975" s="120"/>
      <c r="Q975" s="120"/>
      <c r="R975" s="120"/>
      <c r="S975" s="120"/>
      <c r="T975" s="120"/>
      <c r="U975" s="123"/>
      <c r="V975" s="120"/>
      <c r="W975" s="120"/>
      <c r="X975" s="120"/>
      <c r="Y975" s="120"/>
      <c r="Z975" s="120"/>
    </row>
    <row r="976" spans="1:26" ht="12" customHeight="1">
      <c r="A976" s="140"/>
      <c r="B976" s="120"/>
      <c r="C976" s="120"/>
      <c r="D976" s="120"/>
      <c r="E976" s="120"/>
      <c r="F976" s="120"/>
      <c r="G976" s="120"/>
      <c r="H976" s="120"/>
      <c r="I976" s="120"/>
      <c r="J976" s="120"/>
      <c r="K976" s="120"/>
      <c r="L976" s="120"/>
      <c r="M976" s="120"/>
      <c r="N976" s="120"/>
      <c r="O976" s="120"/>
      <c r="P976" s="120"/>
      <c r="Q976" s="120"/>
      <c r="R976" s="120"/>
      <c r="S976" s="120"/>
      <c r="T976" s="120"/>
      <c r="U976" s="123"/>
      <c r="V976" s="120"/>
      <c r="W976" s="120"/>
      <c r="X976" s="120"/>
      <c r="Y976" s="120"/>
      <c r="Z976" s="120"/>
    </row>
    <row r="977" spans="1:26" ht="12" customHeight="1">
      <c r="A977" s="140"/>
      <c r="B977" s="120"/>
      <c r="C977" s="120"/>
      <c r="D977" s="120"/>
      <c r="E977" s="120"/>
      <c r="F977" s="120"/>
      <c r="G977" s="120"/>
      <c r="H977" s="120"/>
      <c r="I977" s="120"/>
      <c r="J977" s="120"/>
      <c r="K977" s="120"/>
      <c r="L977" s="120"/>
      <c r="M977" s="120"/>
      <c r="N977" s="120"/>
      <c r="O977" s="120"/>
      <c r="P977" s="120"/>
      <c r="Q977" s="120"/>
      <c r="R977" s="120"/>
      <c r="S977" s="120"/>
      <c r="T977" s="120"/>
      <c r="U977" s="123"/>
      <c r="V977" s="120"/>
      <c r="W977" s="120"/>
      <c r="X977" s="120"/>
      <c r="Y977" s="120"/>
      <c r="Z977" s="120"/>
    </row>
    <row r="978" spans="1:26" ht="12" customHeight="1">
      <c r="A978" s="140"/>
      <c r="B978" s="120"/>
      <c r="C978" s="120"/>
      <c r="D978" s="120"/>
      <c r="E978" s="120"/>
      <c r="F978" s="120"/>
      <c r="G978" s="120"/>
      <c r="H978" s="120"/>
      <c r="I978" s="120"/>
      <c r="J978" s="120"/>
      <c r="K978" s="120"/>
      <c r="L978" s="120"/>
      <c r="M978" s="120"/>
      <c r="N978" s="120"/>
      <c r="O978" s="120"/>
      <c r="P978" s="120"/>
      <c r="Q978" s="120"/>
      <c r="R978" s="120"/>
      <c r="S978" s="120"/>
      <c r="T978" s="120"/>
      <c r="U978" s="123"/>
      <c r="V978" s="120"/>
      <c r="W978" s="120"/>
      <c r="X978" s="120"/>
      <c r="Y978" s="120"/>
      <c r="Z978" s="120"/>
    </row>
    <row r="979" spans="1:26" ht="12" customHeight="1">
      <c r="A979" s="140"/>
      <c r="B979" s="120"/>
      <c r="C979" s="120"/>
      <c r="D979" s="120"/>
      <c r="E979" s="120"/>
      <c r="F979" s="120"/>
      <c r="G979" s="120"/>
      <c r="H979" s="120"/>
      <c r="I979" s="120"/>
      <c r="J979" s="120"/>
      <c r="K979" s="120"/>
      <c r="L979" s="120"/>
      <c r="M979" s="120"/>
      <c r="N979" s="120"/>
      <c r="O979" s="120"/>
      <c r="P979" s="120"/>
      <c r="Q979" s="120"/>
      <c r="R979" s="120"/>
      <c r="S979" s="120"/>
      <c r="T979" s="120"/>
      <c r="U979" s="123"/>
      <c r="V979" s="120"/>
      <c r="W979" s="120"/>
      <c r="X979" s="120"/>
      <c r="Y979" s="120"/>
      <c r="Z979" s="120"/>
    </row>
    <row r="980" spans="1:26" ht="12" customHeight="1">
      <c r="A980" s="140"/>
      <c r="B980" s="120"/>
      <c r="C980" s="120"/>
      <c r="D980" s="120"/>
      <c r="E980" s="120"/>
      <c r="F980" s="120"/>
      <c r="G980" s="120"/>
      <c r="H980" s="120"/>
      <c r="I980" s="120"/>
      <c r="J980" s="120"/>
      <c r="K980" s="120"/>
      <c r="L980" s="120"/>
      <c r="M980" s="120"/>
      <c r="N980" s="120"/>
      <c r="O980" s="120"/>
      <c r="P980" s="120"/>
      <c r="Q980" s="120"/>
      <c r="R980" s="120"/>
      <c r="S980" s="120"/>
      <c r="T980" s="120"/>
      <c r="U980" s="123"/>
      <c r="V980" s="120"/>
      <c r="W980" s="120"/>
      <c r="X980" s="120"/>
      <c r="Y980" s="120"/>
      <c r="Z980" s="120"/>
    </row>
    <row r="981" spans="1:26" ht="12" customHeight="1">
      <c r="A981" s="140"/>
      <c r="B981" s="120"/>
      <c r="C981" s="120"/>
      <c r="D981" s="120"/>
      <c r="E981" s="120"/>
      <c r="F981" s="120"/>
      <c r="G981" s="120"/>
      <c r="H981" s="120"/>
      <c r="I981" s="120"/>
      <c r="J981" s="120"/>
      <c r="K981" s="120"/>
      <c r="L981" s="120"/>
      <c r="M981" s="120"/>
      <c r="N981" s="120"/>
      <c r="O981" s="120"/>
      <c r="P981" s="120"/>
      <c r="Q981" s="120"/>
      <c r="R981" s="120"/>
      <c r="S981" s="120"/>
      <c r="T981" s="120"/>
      <c r="U981" s="123"/>
      <c r="V981" s="120"/>
      <c r="W981" s="120"/>
      <c r="X981" s="120"/>
      <c r="Y981" s="120"/>
      <c r="Z981" s="120"/>
    </row>
    <row r="982" spans="1:26" ht="12" customHeight="1">
      <c r="A982" s="140"/>
      <c r="B982" s="120"/>
      <c r="C982" s="120"/>
      <c r="D982" s="120"/>
      <c r="E982" s="120"/>
      <c r="F982" s="120"/>
      <c r="G982" s="120"/>
      <c r="H982" s="120"/>
      <c r="I982" s="120"/>
      <c r="J982" s="120"/>
      <c r="K982" s="120"/>
      <c r="L982" s="120"/>
      <c r="M982" s="120"/>
      <c r="N982" s="120"/>
      <c r="O982" s="120"/>
      <c r="P982" s="120"/>
      <c r="Q982" s="120"/>
      <c r="R982" s="120"/>
      <c r="S982" s="120"/>
      <c r="T982" s="120"/>
      <c r="U982" s="123"/>
      <c r="V982" s="120"/>
      <c r="W982" s="120"/>
      <c r="X982" s="120"/>
      <c r="Y982" s="120"/>
      <c r="Z982" s="120"/>
    </row>
    <row r="983" spans="1:26" ht="12" customHeight="1">
      <c r="A983" s="140"/>
      <c r="B983" s="120"/>
      <c r="C983" s="120"/>
      <c r="D983" s="120"/>
      <c r="E983" s="120"/>
      <c r="F983" s="120"/>
      <c r="G983" s="120"/>
      <c r="H983" s="120"/>
      <c r="I983" s="120"/>
      <c r="J983" s="120"/>
      <c r="K983" s="120"/>
      <c r="L983" s="120"/>
      <c r="M983" s="120"/>
      <c r="N983" s="120"/>
      <c r="O983" s="120"/>
      <c r="P983" s="120"/>
      <c r="Q983" s="120"/>
      <c r="R983" s="120"/>
      <c r="S983" s="120"/>
      <c r="T983" s="120"/>
      <c r="U983" s="123"/>
      <c r="V983" s="120"/>
      <c r="W983" s="120"/>
      <c r="X983" s="120"/>
      <c r="Y983" s="120"/>
      <c r="Z983" s="120"/>
    </row>
    <row r="984" spans="1:26" ht="12" customHeight="1">
      <c r="A984" s="140"/>
      <c r="B984" s="120"/>
      <c r="C984" s="120"/>
      <c r="D984" s="120"/>
      <c r="E984" s="120"/>
      <c r="F984" s="120"/>
      <c r="G984" s="120"/>
      <c r="H984" s="120"/>
      <c r="I984" s="120"/>
      <c r="J984" s="120"/>
      <c r="K984" s="120"/>
      <c r="L984" s="120"/>
      <c r="M984" s="120"/>
      <c r="N984" s="120"/>
      <c r="O984" s="120"/>
      <c r="P984" s="120"/>
      <c r="Q984" s="120"/>
      <c r="R984" s="120"/>
      <c r="S984" s="120"/>
      <c r="T984" s="120"/>
      <c r="U984" s="123"/>
      <c r="V984" s="120"/>
      <c r="W984" s="120"/>
      <c r="X984" s="120"/>
      <c r="Y984" s="120"/>
      <c r="Z984" s="120"/>
    </row>
    <row r="985" spans="1:26" ht="12" customHeight="1">
      <c r="A985" s="140"/>
      <c r="B985" s="120"/>
      <c r="C985" s="120"/>
      <c r="D985" s="120"/>
      <c r="E985" s="120"/>
      <c r="F985" s="120"/>
      <c r="G985" s="120"/>
      <c r="H985" s="120"/>
      <c r="I985" s="120"/>
      <c r="J985" s="120"/>
      <c r="K985" s="120"/>
      <c r="L985" s="120"/>
      <c r="M985" s="120"/>
      <c r="N985" s="120"/>
      <c r="O985" s="120"/>
      <c r="P985" s="120"/>
      <c r="Q985" s="120"/>
      <c r="R985" s="120"/>
      <c r="S985" s="120"/>
      <c r="T985" s="120"/>
      <c r="U985" s="123"/>
      <c r="V985" s="120"/>
      <c r="W985" s="120"/>
      <c r="X985" s="120"/>
      <c r="Y985" s="120"/>
      <c r="Z985" s="120"/>
    </row>
    <row r="986" spans="1:26" ht="12" customHeight="1">
      <c r="A986" s="140"/>
      <c r="B986" s="120"/>
      <c r="C986" s="120"/>
      <c r="D986" s="120"/>
      <c r="E986" s="120"/>
      <c r="F986" s="120"/>
      <c r="G986" s="120"/>
      <c r="H986" s="120"/>
      <c r="I986" s="120"/>
      <c r="J986" s="120"/>
      <c r="K986" s="120"/>
      <c r="L986" s="120"/>
      <c r="M986" s="120"/>
      <c r="N986" s="120"/>
      <c r="O986" s="120"/>
      <c r="P986" s="120"/>
      <c r="Q986" s="120"/>
      <c r="R986" s="120"/>
      <c r="S986" s="120"/>
      <c r="T986" s="120"/>
      <c r="U986" s="123"/>
      <c r="V986" s="120"/>
      <c r="W986" s="120"/>
      <c r="X986" s="120"/>
      <c r="Y986" s="120"/>
      <c r="Z986" s="120"/>
    </row>
    <row r="987" spans="1:26" ht="12" customHeight="1">
      <c r="A987" s="140"/>
      <c r="B987" s="120"/>
      <c r="C987" s="120"/>
      <c r="D987" s="120"/>
      <c r="E987" s="120"/>
      <c r="F987" s="120"/>
      <c r="G987" s="120"/>
      <c r="H987" s="120"/>
      <c r="I987" s="120"/>
      <c r="J987" s="120"/>
      <c r="K987" s="120"/>
      <c r="L987" s="120"/>
      <c r="M987" s="120"/>
      <c r="N987" s="120"/>
      <c r="O987" s="120"/>
      <c r="P987" s="120"/>
      <c r="Q987" s="120"/>
      <c r="R987" s="120"/>
      <c r="S987" s="120"/>
      <c r="T987" s="120"/>
      <c r="U987" s="123"/>
      <c r="V987" s="120"/>
      <c r="W987" s="120"/>
      <c r="X987" s="120"/>
      <c r="Y987" s="120"/>
      <c r="Z987" s="120"/>
    </row>
    <row r="988" spans="1:26" ht="12" customHeight="1">
      <c r="A988" s="140"/>
      <c r="B988" s="120"/>
      <c r="C988" s="120"/>
      <c r="D988" s="120"/>
      <c r="E988" s="120"/>
      <c r="F988" s="120"/>
      <c r="G988" s="120"/>
      <c r="H988" s="120"/>
      <c r="I988" s="120"/>
      <c r="J988" s="120"/>
      <c r="K988" s="120"/>
      <c r="L988" s="120"/>
      <c r="M988" s="120"/>
      <c r="N988" s="120"/>
      <c r="O988" s="120"/>
      <c r="P988" s="120"/>
      <c r="Q988" s="120"/>
      <c r="R988" s="120"/>
      <c r="S988" s="120"/>
      <c r="T988" s="120"/>
      <c r="U988" s="123"/>
      <c r="V988" s="120"/>
      <c r="W988" s="120"/>
      <c r="X988" s="120"/>
      <c r="Y988" s="120"/>
      <c r="Z988" s="120"/>
    </row>
    <row r="989" spans="1:26" ht="12" customHeight="1">
      <c r="A989" s="140"/>
      <c r="B989" s="120"/>
      <c r="C989" s="120"/>
      <c r="D989" s="120"/>
      <c r="E989" s="120"/>
      <c r="F989" s="120"/>
      <c r="G989" s="120"/>
      <c r="H989" s="120"/>
      <c r="I989" s="120"/>
      <c r="J989" s="120"/>
      <c r="K989" s="120"/>
      <c r="L989" s="120"/>
      <c r="M989" s="120"/>
      <c r="N989" s="120"/>
      <c r="O989" s="120"/>
      <c r="P989" s="120"/>
      <c r="Q989" s="120"/>
      <c r="R989" s="120"/>
      <c r="S989" s="120"/>
      <c r="T989" s="120"/>
      <c r="U989" s="123"/>
      <c r="V989" s="120"/>
      <c r="W989" s="120"/>
      <c r="X989" s="120"/>
      <c r="Y989" s="120"/>
      <c r="Z989" s="120"/>
    </row>
    <row r="990" spans="1:26" ht="12" customHeight="1">
      <c r="A990" s="140"/>
      <c r="B990" s="120"/>
      <c r="C990" s="120"/>
      <c r="D990" s="120"/>
      <c r="E990" s="120"/>
      <c r="F990" s="120"/>
      <c r="G990" s="120"/>
      <c r="H990" s="120"/>
      <c r="I990" s="120"/>
      <c r="J990" s="120"/>
      <c r="K990" s="120"/>
      <c r="L990" s="120"/>
      <c r="M990" s="120"/>
      <c r="N990" s="120"/>
      <c r="O990" s="120"/>
      <c r="P990" s="120"/>
      <c r="Q990" s="120"/>
      <c r="R990" s="120"/>
      <c r="S990" s="120"/>
      <c r="T990" s="120"/>
      <c r="U990" s="123"/>
      <c r="V990" s="120"/>
      <c r="W990" s="120"/>
      <c r="X990" s="120"/>
      <c r="Y990" s="120"/>
      <c r="Z990" s="120"/>
    </row>
    <row r="991" spans="1:26" ht="12" customHeight="1">
      <c r="A991" s="140"/>
      <c r="B991" s="120"/>
      <c r="C991" s="120"/>
      <c r="D991" s="120"/>
      <c r="E991" s="120"/>
      <c r="F991" s="120"/>
      <c r="G991" s="120"/>
      <c r="H991" s="120"/>
      <c r="I991" s="120"/>
      <c r="J991" s="120"/>
      <c r="K991" s="120"/>
      <c r="L991" s="120"/>
      <c r="M991" s="120"/>
      <c r="N991" s="120"/>
      <c r="O991" s="120"/>
      <c r="P991" s="120"/>
      <c r="Q991" s="120"/>
      <c r="R991" s="120"/>
      <c r="S991" s="120"/>
      <c r="T991" s="120"/>
      <c r="U991" s="123"/>
      <c r="V991" s="120"/>
      <c r="W991" s="120"/>
      <c r="X991" s="120"/>
      <c r="Y991" s="120"/>
      <c r="Z991" s="120"/>
    </row>
    <row r="992" spans="1:26" ht="12" customHeight="1">
      <c r="A992" s="140"/>
      <c r="B992" s="120"/>
      <c r="C992" s="120"/>
      <c r="D992" s="120"/>
      <c r="E992" s="120"/>
      <c r="F992" s="120"/>
      <c r="G992" s="120"/>
      <c r="H992" s="120"/>
      <c r="I992" s="120"/>
      <c r="J992" s="120"/>
      <c r="K992" s="120"/>
      <c r="L992" s="120"/>
      <c r="M992" s="120"/>
      <c r="N992" s="120"/>
      <c r="O992" s="120"/>
      <c r="P992" s="120"/>
      <c r="Q992" s="120"/>
      <c r="R992" s="120"/>
      <c r="S992" s="120"/>
      <c r="T992" s="120"/>
      <c r="U992" s="123"/>
      <c r="V992" s="120"/>
      <c r="W992" s="120"/>
      <c r="X992" s="120"/>
      <c r="Y992" s="120"/>
      <c r="Z992" s="120"/>
    </row>
    <row r="993" spans="1:26" ht="12" customHeight="1">
      <c r="A993" s="140"/>
      <c r="B993" s="120"/>
      <c r="C993" s="120"/>
      <c r="D993" s="120"/>
      <c r="E993" s="120"/>
      <c r="F993" s="120"/>
      <c r="G993" s="120"/>
      <c r="H993" s="120"/>
      <c r="I993" s="120"/>
      <c r="J993" s="120"/>
      <c r="K993" s="120"/>
      <c r="L993" s="120"/>
      <c r="M993" s="120"/>
      <c r="N993" s="120"/>
      <c r="O993" s="120"/>
      <c r="P993" s="120"/>
      <c r="Q993" s="120"/>
      <c r="R993" s="120"/>
      <c r="S993" s="120"/>
      <c r="T993" s="120"/>
      <c r="U993" s="123"/>
      <c r="V993" s="120"/>
      <c r="W993" s="120"/>
      <c r="X993" s="120"/>
      <c r="Y993" s="120"/>
      <c r="Z993" s="120"/>
    </row>
    <row r="994" spans="1:26" ht="12" customHeight="1">
      <c r="A994" s="140"/>
      <c r="B994" s="120"/>
      <c r="C994" s="120"/>
      <c r="D994" s="120"/>
      <c r="E994" s="120"/>
      <c r="F994" s="120"/>
      <c r="G994" s="120"/>
      <c r="H994" s="120"/>
      <c r="I994" s="120"/>
      <c r="J994" s="120"/>
      <c r="K994" s="120"/>
      <c r="L994" s="120"/>
      <c r="M994" s="120"/>
      <c r="N994" s="120"/>
      <c r="O994" s="120"/>
      <c r="P994" s="120"/>
      <c r="Q994" s="120"/>
      <c r="R994" s="120"/>
      <c r="S994" s="120"/>
      <c r="T994" s="120"/>
      <c r="U994" s="123"/>
      <c r="V994" s="120"/>
      <c r="W994" s="120"/>
      <c r="X994" s="120"/>
      <c r="Y994" s="120"/>
      <c r="Z994" s="120"/>
    </row>
    <row r="995" spans="1:26" ht="12" customHeight="1">
      <c r="A995" s="140"/>
      <c r="B995" s="120"/>
      <c r="C995" s="120"/>
      <c r="D995" s="120"/>
      <c r="E995" s="120"/>
      <c r="F995" s="120"/>
      <c r="G995" s="120"/>
      <c r="H995" s="120"/>
      <c r="I995" s="120"/>
      <c r="J995" s="120"/>
      <c r="K995" s="120"/>
      <c r="L995" s="120"/>
      <c r="M995" s="120"/>
      <c r="N995" s="120"/>
      <c r="O995" s="120"/>
      <c r="P995" s="120"/>
      <c r="Q995" s="120"/>
      <c r="R995" s="120"/>
      <c r="S995" s="120"/>
      <c r="T995" s="120"/>
      <c r="U995" s="123"/>
      <c r="V995" s="120"/>
      <c r="W995" s="120"/>
      <c r="X995" s="120"/>
      <c r="Y995" s="120"/>
      <c r="Z995" s="120"/>
    </row>
    <row r="996" spans="1:26" ht="12" customHeight="1">
      <c r="A996" s="140"/>
      <c r="B996" s="120"/>
      <c r="C996" s="120"/>
      <c r="D996" s="120"/>
      <c r="E996" s="120"/>
      <c r="F996" s="120"/>
      <c r="G996" s="120"/>
      <c r="H996" s="120"/>
      <c r="I996" s="120"/>
      <c r="J996" s="120"/>
      <c r="K996" s="120"/>
      <c r="L996" s="120"/>
      <c r="M996" s="120"/>
      <c r="N996" s="120"/>
      <c r="O996" s="120"/>
      <c r="P996" s="120"/>
      <c r="Q996" s="120"/>
      <c r="R996" s="120"/>
      <c r="S996" s="120"/>
      <c r="T996" s="120"/>
      <c r="U996" s="123"/>
      <c r="V996" s="120"/>
      <c r="W996" s="120"/>
      <c r="X996" s="120"/>
      <c r="Y996" s="120"/>
      <c r="Z996" s="120"/>
    </row>
    <row r="997" spans="1:26" ht="12" customHeight="1">
      <c r="A997" s="140"/>
      <c r="B997" s="120"/>
      <c r="C997" s="120"/>
      <c r="D997" s="120"/>
      <c r="E997" s="120"/>
      <c r="F997" s="120"/>
      <c r="G997" s="120"/>
      <c r="H997" s="120"/>
      <c r="I997" s="120"/>
      <c r="J997" s="120"/>
      <c r="K997" s="120"/>
      <c r="L997" s="120"/>
      <c r="M997" s="120"/>
      <c r="N997" s="120"/>
      <c r="O997" s="120"/>
      <c r="P997" s="120"/>
      <c r="Q997" s="120"/>
      <c r="R997" s="120"/>
      <c r="S997" s="120"/>
      <c r="T997" s="120"/>
      <c r="U997" s="123"/>
      <c r="V997" s="120"/>
      <c r="W997" s="120"/>
      <c r="X997" s="120"/>
      <c r="Y997" s="120"/>
      <c r="Z997" s="120"/>
    </row>
    <row r="998" spans="1:26" ht="12" customHeight="1">
      <c r="A998" s="140"/>
      <c r="B998" s="120"/>
      <c r="C998" s="120"/>
      <c r="D998" s="120"/>
      <c r="E998" s="120"/>
      <c r="F998" s="120"/>
      <c r="G998" s="120"/>
      <c r="H998" s="120"/>
      <c r="I998" s="120"/>
      <c r="J998" s="120"/>
      <c r="K998" s="120"/>
      <c r="L998" s="120"/>
      <c r="M998" s="120"/>
      <c r="N998" s="120"/>
      <c r="O998" s="120"/>
      <c r="P998" s="120"/>
      <c r="Q998" s="120"/>
      <c r="R998" s="120"/>
      <c r="S998" s="120"/>
      <c r="T998" s="120"/>
      <c r="U998" s="123"/>
      <c r="V998" s="120"/>
      <c r="W998" s="120"/>
      <c r="X998" s="120"/>
      <c r="Y998" s="120"/>
      <c r="Z998" s="120"/>
    </row>
    <row r="999" spans="1:26" ht="12" customHeight="1">
      <c r="A999" s="140"/>
      <c r="B999" s="120"/>
      <c r="C999" s="120"/>
      <c r="D999" s="120"/>
      <c r="E999" s="120"/>
      <c r="F999" s="120"/>
      <c r="G999" s="120"/>
      <c r="H999" s="120"/>
      <c r="I999" s="120"/>
      <c r="J999" s="120"/>
      <c r="K999" s="120"/>
      <c r="L999" s="120"/>
      <c r="M999" s="120"/>
      <c r="N999" s="120"/>
      <c r="O999" s="120"/>
      <c r="P999" s="120"/>
      <c r="Q999" s="120"/>
      <c r="R999" s="120"/>
      <c r="S999" s="120"/>
      <c r="T999" s="120"/>
      <c r="U999" s="123"/>
      <c r="V999" s="120"/>
      <c r="W999" s="120"/>
      <c r="X999" s="120"/>
      <c r="Y999" s="120"/>
      <c r="Z999" s="120"/>
    </row>
    <row r="1000" spans="1:26" ht="12" customHeight="1">
      <c r="A1000" s="140"/>
      <c r="B1000" s="120"/>
      <c r="C1000" s="120"/>
      <c r="D1000" s="120"/>
      <c r="E1000" s="120"/>
      <c r="F1000" s="120"/>
      <c r="G1000" s="120"/>
      <c r="H1000" s="120"/>
      <c r="I1000" s="120"/>
      <c r="J1000" s="120"/>
      <c r="K1000" s="120"/>
      <c r="L1000" s="120"/>
      <c r="M1000" s="120"/>
      <c r="N1000" s="120"/>
      <c r="O1000" s="120"/>
      <c r="P1000" s="120"/>
      <c r="Q1000" s="120"/>
      <c r="R1000" s="120"/>
      <c r="S1000" s="120"/>
      <c r="T1000" s="120"/>
      <c r="U1000" s="123"/>
      <c r="V1000" s="120"/>
      <c r="W1000" s="120"/>
      <c r="X1000" s="120"/>
      <c r="Y1000" s="120"/>
      <c r="Z1000" s="120"/>
    </row>
  </sheetData>
  <mergeCells count="13">
    <mergeCell ref="A139:C139"/>
    <mergeCell ref="F1:R1"/>
    <mergeCell ref="D122:F122"/>
    <mergeCell ref="D123:S125"/>
    <mergeCell ref="D128:H128"/>
    <mergeCell ref="J128:K128"/>
    <mergeCell ref="D129:H129"/>
    <mergeCell ref="J131:M131"/>
    <mergeCell ref="D131:H131"/>
    <mergeCell ref="D132:H132"/>
    <mergeCell ref="J132:M132"/>
    <mergeCell ref="A138:C138"/>
    <mergeCell ref="E138:F138"/>
  </mergeCells>
  <conditionalFormatting sqref="A25">
    <cfRule type="expression" dxfId="80" priority="1">
      <formula>AND(B25&gt;0,OR(A25="",A25="Other: (Specify)"))</formula>
    </cfRule>
  </conditionalFormatting>
  <conditionalFormatting sqref="A37">
    <cfRule type="expression" dxfId="79" priority="2">
      <formula>AND(B37&gt;0,OR(A37="",A37="Other: (Specify)"))</formula>
    </cfRule>
  </conditionalFormatting>
  <conditionalFormatting sqref="A53">
    <cfRule type="expression" dxfId="78" priority="3">
      <formula>AND(B53&gt;0,OR(A53="",A53="Other: (Specify)"))</formula>
    </cfRule>
  </conditionalFormatting>
  <conditionalFormatting sqref="A61">
    <cfRule type="expression" dxfId="77" priority="4">
      <formula>AND(B61&gt;0,OR(A61="",A61="Other: (Specify)"))</formula>
    </cfRule>
  </conditionalFormatting>
  <conditionalFormatting sqref="A69">
    <cfRule type="expression" dxfId="76" priority="5">
      <formula>AND(B69&gt;0,OR(A69="",A69="Other: (Specify)"))</formula>
    </cfRule>
  </conditionalFormatting>
  <conditionalFormatting sqref="A76">
    <cfRule type="expression" dxfId="75" priority="6">
      <formula>AND(B76&gt;0,OR(A76="",A76="Other: (Specify)"))</formula>
    </cfRule>
  </conditionalFormatting>
  <conditionalFormatting sqref="A93:A95">
    <cfRule type="expression" dxfId="74" priority="7">
      <formula>AND(B93&gt;0,OR(A93="",A93="Other: (Specify)"))</formula>
    </cfRule>
  </conditionalFormatting>
  <conditionalFormatting sqref="A103">
    <cfRule type="expression" dxfId="73" priority="8">
      <formula>AND(B103&gt;0,OR(A103="",A103="Other: (Specify)"))</formula>
    </cfRule>
  </conditionalFormatting>
  <conditionalFormatting sqref="C10">
    <cfRule type="expression" dxfId="72" priority="9">
      <formula>"(S10+T10)&gt;C10 "</formula>
    </cfRule>
  </conditionalFormatting>
  <conditionalFormatting sqref="E105:Q105">
    <cfRule type="cellIs" dxfId="71" priority="10" stopIfTrue="1" operator="notEqual">
      <formula>E$108</formula>
    </cfRule>
  </conditionalFormatting>
  <conditionalFormatting sqref="R4:R15">
    <cfRule type="cellIs" dxfId="70" priority="11" stopIfTrue="1" operator="notEqual">
      <formula>$B4</formula>
    </cfRule>
  </conditionalFormatting>
  <conditionalFormatting sqref="R8">
    <cfRule type="cellIs" dxfId="69" priority="12" stopIfTrue="1" operator="notEqual">
      <formula>$B8</formula>
    </cfRule>
  </conditionalFormatting>
  <conditionalFormatting sqref="R11:R12">
    <cfRule type="cellIs" dxfId="68" priority="13" stopIfTrue="1" operator="notEqual">
      <formula>$B11</formula>
    </cfRule>
  </conditionalFormatting>
  <conditionalFormatting sqref="R17:R27">
    <cfRule type="cellIs" dxfId="67" priority="14" stopIfTrue="1" operator="notEqual">
      <formula>$B17</formula>
    </cfRule>
  </conditionalFormatting>
  <conditionalFormatting sqref="R26">
    <cfRule type="cellIs" dxfId="66" priority="15" stopIfTrue="1" operator="notEqual">
      <formula>$B26</formula>
    </cfRule>
  </conditionalFormatting>
  <conditionalFormatting sqref="R29:R38">
    <cfRule type="cellIs" dxfId="65" priority="16" stopIfTrue="1" operator="notEqual">
      <formula>$B29</formula>
    </cfRule>
  </conditionalFormatting>
  <conditionalFormatting sqref="R38">
    <cfRule type="cellIs" dxfId="64" priority="17" stopIfTrue="1" operator="notEqual">
      <formula>$B38</formula>
    </cfRule>
  </conditionalFormatting>
  <conditionalFormatting sqref="R40:R43">
    <cfRule type="cellIs" dxfId="63" priority="18" stopIfTrue="1" operator="notEqual">
      <formula>$B40</formula>
    </cfRule>
  </conditionalFormatting>
  <conditionalFormatting sqref="R42">
    <cfRule type="cellIs" dxfId="62" priority="19" stopIfTrue="1" operator="notEqual">
      <formula>$B42</formula>
    </cfRule>
  </conditionalFormatting>
  <conditionalFormatting sqref="R45:R54">
    <cfRule type="cellIs" dxfId="61" priority="20" stopIfTrue="1" operator="notEqual">
      <formula>$B45</formula>
    </cfRule>
  </conditionalFormatting>
  <conditionalFormatting sqref="R54">
    <cfRule type="cellIs" dxfId="60" priority="21" stopIfTrue="1" operator="notEqual">
      <formula>$B54</formula>
    </cfRule>
  </conditionalFormatting>
  <conditionalFormatting sqref="R56:R63">
    <cfRule type="cellIs" dxfId="59" priority="22" stopIfTrue="1" operator="notEqual">
      <formula>$B56</formula>
    </cfRule>
  </conditionalFormatting>
  <conditionalFormatting sqref="R62:R63">
    <cfRule type="cellIs" dxfId="58" priority="23" stopIfTrue="1" operator="notEqual">
      <formula>$B62</formula>
    </cfRule>
  </conditionalFormatting>
  <conditionalFormatting sqref="R65:R70">
    <cfRule type="cellIs" dxfId="57" priority="24" stopIfTrue="1" operator="notEqual">
      <formula>$B65</formula>
    </cfRule>
  </conditionalFormatting>
  <conditionalFormatting sqref="R70">
    <cfRule type="cellIs" dxfId="56" priority="25" stopIfTrue="1" operator="notEqual">
      <formula>$B70</formula>
    </cfRule>
  </conditionalFormatting>
  <conditionalFormatting sqref="R72:R77">
    <cfRule type="cellIs" dxfId="55" priority="26" stopIfTrue="1" operator="notEqual">
      <formula>$B72</formula>
    </cfRule>
  </conditionalFormatting>
  <conditionalFormatting sqref="R77">
    <cfRule type="cellIs" dxfId="54" priority="27" stopIfTrue="1" operator="notEqual">
      <formula>$B77</formula>
    </cfRule>
  </conditionalFormatting>
  <conditionalFormatting sqref="R79:R80">
    <cfRule type="cellIs" dxfId="53" priority="28" stopIfTrue="1" operator="notEqual">
      <formula>$B79</formula>
    </cfRule>
  </conditionalFormatting>
  <conditionalFormatting sqref="R83:R96">
    <cfRule type="cellIs" dxfId="52" priority="29" stopIfTrue="1" operator="notEqual">
      <formula>$B83</formula>
    </cfRule>
  </conditionalFormatting>
  <conditionalFormatting sqref="R96">
    <cfRule type="cellIs" dxfId="51" priority="30" stopIfTrue="1" operator="notEqual">
      <formula>$B96</formula>
    </cfRule>
  </conditionalFormatting>
  <conditionalFormatting sqref="R99:R105">
    <cfRule type="cellIs" dxfId="50" priority="31" stopIfTrue="1" operator="notEqual">
      <formula>$B99</formula>
    </cfRule>
  </conditionalFormatting>
  <conditionalFormatting sqref="R104:R105">
    <cfRule type="cellIs" dxfId="49" priority="32" stopIfTrue="1" operator="notEqual">
      <formula>$B104</formula>
    </cfRule>
  </conditionalFormatting>
  <conditionalFormatting sqref="S10">
    <cfRule type="expression" dxfId="48" priority="33" stopIfTrue="1">
      <formula>(S10+T10)&gt;C10</formula>
    </cfRule>
  </conditionalFormatting>
  <conditionalFormatting sqref="S13:S14">
    <cfRule type="expression" dxfId="47" priority="34" stopIfTrue="1">
      <formula>(S13+T13)&gt;C13</formula>
    </cfRule>
  </conditionalFormatting>
  <conditionalFormatting sqref="S17:S25">
    <cfRule type="expression" dxfId="46" priority="35" stopIfTrue="1">
      <formula>(S17+T17)&gt;C17</formula>
    </cfRule>
  </conditionalFormatting>
  <conditionalFormatting sqref="S27">
    <cfRule type="expression" dxfId="45" priority="36" stopIfTrue="1">
      <formula>(S27+T27)&gt;C27</formula>
    </cfRule>
  </conditionalFormatting>
  <conditionalFormatting sqref="S29:S37">
    <cfRule type="expression" dxfId="44" priority="37" stopIfTrue="1">
      <formula>(S29+T29)&gt;C29</formula>
    </cfRule>
  </conditionalFormatting>
  <conditionalFormatting sqref="S40:S41">
    <cfRule type="expression" dxfId="43" priority="38" stopIfTrue="1">
      <formula>(S40+T40)&gt;C40</formula>
    </cfRule>
  </conditionalFormatting>
  <conditionalFormatting sqref="S43">
    <cfRule type="expression" dxfId="42" priority="39" stopIfTrue="1">
      <formula>(S43+T43)&gt;C43</formula>
    </cfRule>
  </conditionalFormatting>
  <conditionalFormatting sqref="S45:S53">
    <cfRule type="expression" dxfId="41" priority="40" stopIfTrue="1">
      <formula>(S45+T45)&gt;C45</formula>
    </cfRule>
  </conditionalFormatting>
  <conditionalFormatting sqref="S65:S69">
    <cfRule type="expression" dxfId="40" priority="41" stopIfTrue="1">
      <formula>(S65+T65)&gt;C65</formula>
    </cfRule>
  </conditionalFormatting>
  <conditionalFormatting sqref="S79:S80">
    <cfRule type="expression" dxfId="39" priority="42" stopIfTrue="1">
      <formula>(S79+T79)&gt;C79</formula>
    </cfRule>
  </conditionalFormatting>
  <conditionalFormatting sqref="S84:S87">
    <cfRule type="expression" dxfId="38" priority="43" stopIfTrue="1">
      <formula>(S84+T84)&gt;C84</formula>
    </cfRule>
  </conditionalFormatting>
  <conditionalFormatting sqref="S89:S95">
    <cfRule type="expression" dxfId="37" priority="44" stopIfTrue="1">
      <formula>(S89+T89)&gt;C89</formula>
    </cfRule>
  </conditionalFormatting>
  <conditionalFormatting sqref="S99:S103">
    <cfRule type="expression" dxfId="36" priority="45" stopIfTrue="1">
      <formula>(S99+T99)&gt;C99</formula>
    </cfRule>
  </conditionalFormatting>
  <conditionalFormatting sqref="T9">
    <cfRule type="expression" dxfId="35" priority="46" stopIfTrue="1">
      <formula>T9&gt;C9</formula>
    </cfRule>
  </conditionalFormatting>
  <conditionalFormatting sqref="T10">
    <cfRule type="expression" dxfId="34" priority="47" stopIfTrue="1">
      <formula>(S10+T10)&gt;C10</formula>
    </cfRule>
  </conditionalFormatting>
  <conditionalFormatting sqref="T13:T14">
    <cfRule type="expression" dxfId="33" priority="48" stopIfTrue="1">
      <formula>(S13+T13)&gt;C13</formula>
    </cfRule>
  </conditionalFormatting>
  <conditionalFormatting sqref="T17:T25">
    <cfRule type="expression" dxfId="32" priority="49" stopIfTrue="1">
      <formula>(S17+T17)&gt;C17</formula>
    </cfRule>
  </conditionalFormatting>
  <conditionalFormatting sqref="T27">
    <cfRule type="expression" dxfId="31" priority="50" stopIfTrue="1">
      <formula>(S27+T27)&gt;C27</formula>
    </cfRule>
  </conditionalFormatting>
  <conditionalFormatting sqref="T29:T37">
    <cfRule type="expression" dxfId="30" priority="51" stopIfTrue="1">
      <formula>(S29+T29)&gt;C29</formula>
    </cfRule>
  </conditionalFormatting>
  <conditionalFormatting sqref="T40:T41">
    <cfRule type="expression" dxfId="29" priority="52" stopIfTrue="1">
      <formula>(S40+T40)&gt;C40</formula>
    </cfRule>
  </conditionalFormatting>
  <conditionalFormatting sqref="T43">
    <cfRule type="expression" dxfId="28" priority="53" stopIfTrue="1">
      <formula>(S43+T43)&gt;C43</formula>
    </cfRule>
  </conditionalFormatting>
  <conditionalFormatting sqref="T45:T53">
    <cfRule type="expression" dxfId="27" priority="54" stopIfTrue="1">
      <formula>(S45+T45)&gt;C45</formula>
    </cfRule>
  </conditionalFormatting>
  <conditionalFormatting sqref="T65:T69">
    <cfRule type="expression" dxfId="26" priority="55" stopIfTrue="1">
      <formula>(S65+T65)&gt;C65</formula>
    </cfRule>
  </conditionalFormatting>
  <conditionalFormatting sqref="T79:T80">
    <cfRule type="expression" dxfId="25" priority="56" stopIfTrue="1">
      <formula>(S79+T79)&gt;C79</formula>
    </cfRule>
  </conditionalFormatting>
  <conditionalFormatting sqref="T84:T87">
    <cfRule type="expression" dxfId="24" priority="57" stopIfTrue="1">
      <formula>(S84+T84)&gt;C84</formula>
    </cfRule>
  </conditionalFormatting>
  <conditionalFormatting sqref="T89:T95">
    <cfRule type="expression" dxfId="23" priority="58" stopIfTrue="1">
      <formula>(S89+T89)&gt;C89</formula>
    </cfRule>
  </conditionalFormatting>
  <conditionalFormatting sqref="T99:T103">
    <cfRule type="expression" dxfId="22" priority="59" stopIfTrue="1">
      <formula>(S99+T99)&gt;C99</formula>
    </cfRule>
  </conditionalFormatting>
  <dataValidations count="1">
    <dataValidation type="decimal" operator="greaterThanOrEqual" allowBlank="1" showInputMessage="1" showErrorMessage="1" prompt="Whole Numbers Only - Do not enter any decimals in the sheet. Please use whole numbers only." sqref="A1:F1 S1:Z1 A2:Z24 B25:Z25 A26:Z36 B37:Z37 A38:Z52 B53:Z53 A54:Z60 B61:Z61 A62:Z68 B69:Z69 A70:Z75 B76:Z76 A77:Z92 B93:Z95 A96:Z102 B103:Z103 A104:Z121 G122:Z122 A122:D123 A124:C125 T123:Z125 A126:Z127 I128:J128 L128:Z128 A128:D129 I129:Z129 A130:Z130 A131:D132 I131:J132 N131:Z132 A133:Z137 D138:E138 G138:Z138 A138:A139 D139:Z139 A140:Z1000" xr:uid="{00000000-0002-0000-0400-000000000000}">
      <formula1>0</formula1>
    </dataValidation>
  </dataValidations>
  <printOptions horizontalCentered="1"/>
  <pageMargins left="0.25" right="0.25" top="0.5" bottom="0.5" header="0" footer="0"/>
  <pageSetup paperSize="5" orientation="landscape"/>
  <headerFooter>
    <oddFooter>&amp;C&amp;P&amp;R&amp;A</oddFooter>
  </headerFooter>
  <rowBreaks count="1" manualBreakCount="1">
    <brk id="70"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topLeftCell="A78" workbookViewId="0">
      <selection sqref="A1:J1"/>
    </sheetView>
  </sheetViews>
  <sheetFormatPr defaultColWidth="12.6328125" defaultRowHeight="15" customHeight="1"/>
  <cols>
    <col min="1" max="1" width="32.7265625" customWidth="1"/>
    <col min="2" max="3" width="12.08984375" customWidth="1"/>
    <col min="4" max="6" width="12.90625" customWidth="1"/>
    <col min="7" max="10" width="12.08984375" customWidth="1"/>
    <col min="11" max="11" width="8.90625" hidden="1" customWidth="1"/>
    <col min="12" max="26" width="8.6328125" customWidth="1"/>
  </cols>
  <sheetData>
    <row r="1" spans="1:26" ht="12" customHeight="1">
      <c r="A1" s="1145" t="s">
        <v>812</v>
      </c>
      <c r="B1" s="921"/>
      <c r="C1" s="921"/>
      <c r="D1" s="921"/>
      <c r="E1" s="921"/>
      <c r="F1" s="921"/>
      <c r="G1" s="921"/>
      <c r="H1" s="921"/>
      <c r="I1" s="921"/>
      <c r="J1" s="943"/>
      <c r="K1" s="141"/>
      <c r="L1" s="143"/>
      <c r="M1" s="143"/>
      <c r="N1" s="143"/>
      <c r="O1" s="143"/>
      <c r="P1" s="143"/>
      <c r="Q1" s="143"/>
      <c r="R1" s="143"/>
      <c r="S1" s="143"/>
      <c r="T1" s="143"/>
      <c r="U1" s="143"/>
      <c r="V1" s="143"/>
      <c r="W1" s="143"/>
      <c r="X1" s="143"/>
      <c r="Y1" s="143"/>
      <c r="Z1" s="143"/>
    </row>
    <row r="2" spans="1:26" ht="12" customHeight="1">
      <c r="A2" s="144"/>
      <c r="B2" s="74" t="s">
        <v>815</v>
      </c>
      <c r="C2" s="74" t="s">
        <v>816</v>
      </c>
      <c r="D2" s="74" t="s">
        <v>817</v>
      </c>
      <c r="E2" s="74" t="s">
        <v>818</v>
      </c>
      <c r="F2" s="74" t="s">
        <v>819</v>
      </c>
      <c r="G2" s="74" t="s">
        <v>820</v>
      </c>
      <c r="H2" s="74" t="s">
        <v>821</v>
      </c>
      <c r="I2" s="74" t="s">
        <v>823</v>
      </c>
      <c r="J2" s="74" t="s">
        <v>824</v>
      </c>
      <c r="K2" s="146"/>
      <c r="L2" s="147"/>
      <c r="M2" s="147"/>
      <c r="N2" s="147"/>
      <c r="O2" s="147"/>
      <c r="P2" s="147"/>
      <c r="Q2" s="147"/>
      <c r="R2" s="147"/>
      <c r="S2" s="147"/>
      <c r="T2" s="147"/>
      <c r="U2" s="147"/>
      <c r="V2" s="147"/>
      <c r="W2" s="147"/>
      <c r="X2" s="147"/>
      <c r="Y2" s="147"/>
      <c r="Z2" s="147"/>
    </row>
    <row r="3" spans="1:26" ht="12" customHeight="1">
      <c r="A3" s="78" t="s">
        <v>451</v>
      </c>
      <c r="B3" s="148"/>
      <c r="C3" s="148"/>
      <c r="D3" s="148"/>
      <c r="E3" s="148"/>
      <c r="F3" s="148"/>
      <c r="G3" s="148"/>
      <c r="H3" s="148"/>
      <c r="I3" s="148"/>
      <c r="J3" s="148"/>
      <c r="K3" s="149"/>
      <c r="L3" s="120"/>
      <c r="M3" s="120"/>
      <c r="N3" s="120"/>
      <c r="O3" s="120"/>
      <c r="P3" s="120"/>
      <c r="Q3" s="120"/>
      <c r="R3" s="120"/>
      <c r="S3" s="120"/>
      <c r="T3" s="120"/>
      <c r="U3" s="120"/>
      <c r="V3" s="120"/>
      <c r="W3" s="120"/>
      <c r="X3" s="120"/>
      <c r="Y3" s="120"/>
      <c r="Z3" s="120"/>
    </row>
    <row r="4" spans="1:26" ht="12" customHeight="1">
      <c r="A4" s="82" t="s">
        <v>457</v>
      </c>
      <c r="B4" s="150">
        <f>'Sources and Uses Budget'!C4</f>
        <v>6195898</v>
      </c>
      <c r="C4" s="151"/>
      <c r="D4" s="151">
        <f>B4</f>
        <v>6195898</v>
      </c>
      <c r="E4" s="152"/>
      <c r="F4" s="152"/>
      <c r="G4" s="152"/>
      <c r="H4" s="152"/>
      <c r="I4" s="152"/>
      <c r="J4" s="152"/>
      <c r="K4" s="149"/>
      <c r="L4" s="120"/>
      <c r="M4" s="120"/>
      <c r="N4" s="120"/>
      <c r="O4" s="120"/>
      <c r="P4" s="120"/>
      <c r="Q4" s="120"/>
      <c r="R4" s="120"/>
      <c r="S4" s="120"/>
      <c r="T4" s="120"/>
      <c r="U4" s="120"/>
      <c r="V4" s="120"/>
      <c r="W4" s="120"/>
      <c r="X4" s="120"/>
      <c r="Y4" s="120"/>
      <c r="Z4" s="120"/>
    </row>
    <row r="5" spans="1:26" ht="12" customHeight="1">
      <c r="A5" s="82" t="s">
        <v>444</v>
      </c>
      <c r="B5" s="150">
        <f>'Sources and Uses Budget'!C5</f>
        <v>0</v>
      </c>
      <c r="C5" s="151"/>
      <c r="D5" s="151"/>
      <c r="E5" s="152"/>
      <c r="F5" s="152"/>
      <c r="G5" s="152"/>
      <c r="H5" s="152"/>
      <c r="I5" s="152"/>
      <c r="J5" s="152"/>
      <c r="K5" s="149"/>
      <c r="L5" s="120"/>
      <c r="M5" s="120"/>
      <c r="N5" s="120"/>
      <c r="O5" s="120"/>
      <c r="P5" s="120"/>
      <c r="Q5" s="120"/>
      <c r="R5" s="120"/>
      <c r="S5" s="120"/>
      <c r="T5" s="120"/>
      <c r="U5" s="120"/>
      <c r="V5" s="120"/>
      <c r="W5" s="120"/>
      <c r="X5" s="120"/>
      <c r="Y5" s="120"/>
      <c r="Z5" s="120"/>
    </row>
    <row r="6" spans="1:26" ht="12" customHeight="1">
      <c r="A6" s="82" t="s">
        <v>469</v>
      </c>
      <c r="B6" s="150">
        <f>'Sources and Uses Budget'!C6</f>
        <v>0</v>
      </c>
      <c r="C6" s="151"/>
      <c r="D6" s="151"/>
      <c r="E6" s="152"/>
      <c r="F6" s="152"/>
      <c r="G6" s="152"/>
      <c r="H6" s="152"/>
      <c r="I6" s="152"/>
      <c r="J6" s="152"/>
      <c r="K6" s="149"/>
      <c r="L6" s="120"/>
      <c r="M6" s="120"/>
      <c r="N6" s="120"/>
      <c r="O6" s="120"/>
      <c r="P6" s="120"/>
      <c r="Q6" s="120"/>
      <c r="R6" s="120"/>
      <c r="S6" s="120"/>
      <c r="T6" s="120"/>
      <c r="U6" s="120"/>
      <c r="V6" s="120"/>
      <c r="W6" s="120"/>
      <c r="X6" s="120"/>
      <c r="Y6" s="120"/>
      <c r="Z6" s="120"/>
    </row>
    <row r="7" spans="1:26" ht="12" customHeight="1">
      <c r="A7" s="82" t="s">
        <v>472</v>
      </c>
      <c r="B7" s="150">
        <f>'Sources and Uses Budget'!C7</f>
        <v>0</v>
      </c>
      <c r="C7" s="151"/>
      <c r="D7" s="151"/>
      <c r="E7" s="152"/>
      <c r="F7" s="152"/>
      <c r="G7" s="152"/>
      <c r="H7" s="152"/>
      <c r="I7" s="152"/>
      <c r="J7" s="152"/>
      <c r="K7" s="149"/>
      <c r="L7" s="120"/>
      <c r="M7" s="120"/>
      <c r="N7" s="120"/>
      <c r="O7" s="120"/>
      <c r="P7" s="120"/>
      <c r="Q7" s="120"/>
      <c r="R7" s="120"/>
      <c r="S7" s="120"/>
      <c r="T7" s="120"/>
      <c r="U7" s="120"/>
      <c r="V7" s="120"/>
      <c r="W7" s="120"/>
      <c r="X7" s="120"/>
      <c r="Y7" s="120"/>
      <c r="Z7" s="120"/>
    </row>
    <row r="8" spans="1:26" ht="12" customHeight="1">
      <c r="A8" s="87" t="s">
        <v>475</v>
      </c>
      <c r="B8" s="150">
        <f>'Sources and Uses Budget'!C8</f>
        <v>6195898</v>
      </c>
      <c r="C8" s="150">
        <f t="shared" ref="C8:D8" si="0">SUM(C4:C7)</f>
        <v>0</v>
      </c>
      <c r="D8" s="150">
        <f t="shared" si="0"/>
        <v>6195898</v>
      </c>
      <c r="E8" s="152"/>
      <c r="F8" s="152"/>
      <c r="G8" s="152"/>
      <c r="H8" s="152"/>
      <c r="I8" s="152"/>
      <c r="J8" s="152"/>
      <c r="K8" s="149"/>
      <c r="L8" s="120"/>
      <c r="M8" s="120"/>
      <c r="N8" s="120"/>
      <c r="O8" s="120"/>
      <c r="P8" s="120"/>
      <c r="Q8" s="120"/>
      <c r="R8" s="120"/>
      <c r="S8" s="120"/>
      <c r="T8" s="120"/>
      <c r="U8" s="120"/>
      <c r="V8" s="120"/>
      <c r="W8" s="120"/>
      <c r="X8" s="120"/>
      <c r="Y8" s="120"/>
      <c r="Z8" s="120"/>
    </row>
    <row r="9" spans="1:26" ht="12" customHeight="1">
      <c r="A9" s="82" t="s">
        <v>482</v>
      </c>
      <c r="B9" s="150">
        <f>'Sources and Uses Budget'!C9</f>
        <v>54804102</v>
      </c>
      <c r="C9" s="151"/>
      <c r="D9" s="151">
        <f>B9</f>
        <v>54804102</v>
      </c>
      <c r="E9" s="152"/>
      <c r="F9" s="152"/>
      <c r="G9" s="152"/>
      <c r="H9" s="150">
        <f>'Sources and Uses Budget'!T9</f>
        <v>54579102</v>
      </c>
      <c r="I9" s="151"/>
      <c r="J9" s="151">
        <f>H9</f>
        <v>54579102</v>
      </c>
      <c r="K9" s="149"/>
      <c r="L9" s="120"/>
      <c r="M9" s="120"/>
      <c r="N9" s="120"/>
      <c r="O9" s="120"/>
      <c r="P9" s="120"/>
      <c r="Q9" s="120"/>
      <c r="R9" s="120"/>
      <c r="S9" s="120"/>
      <c r="T9" s="120"/>
      <c r="U9" s="120"/>
      <c r="V9" s="120"/>
      <c r="W9" s="120"/>
      <c r="X9" s="120"/>
      <c r="Y9" s="120"/>
      <c r="Z9" s="120"/>
    </row>
    <row r="10" spans="1:26" ht="12" customHeight="1">
      <c r="A10" s="82" t="s">
        <v>484</v>
      </c>
      <c r="B10" s="150">
        <f>'Sources and Uses Budget'!C10</f>
        <v>0</v>
      </c>
      <c r="C10" s="151"/>
      <c r="D10" s="151"/>
      <c r="E10" s="150">
        <f>'Sources and Uses Budget'!S10</f>
        <v>0</v>
      </c>
      <c r="F10" s="151"/>
      <c r="G10" s="151"/>
      <c r="H10" s="150">
        <f>'Sources and Uses Budget'!T10</f>
        <v>0</v>
      </c>
      <c r="I10" s="151"/>
      <c r="J10" s="151"/>
      <c r="K10" s="149"/>
      <c r="L10" s="120"/>
      <c r="M10" s="120"/>
      <c r="N10" s="120"/>
      <c r="O10" s="120"/>
      <c r="P10" s="120"/>
      <c r="Q10" s="120"/>
      <c r="R10" s="120"/>
      <c r="S10" s="120"/>
      <c r="T10" s="120"/>
      <c r="U10" s="120"/>
      <c r="V10" s="120"/>
      <c r="W10" s="120"/>
      <c r="X10" s="120"/>
      <c r="Y10" s="120"/>
      <c r="Z10" s="120"/>
    </row>
    <row r="11" spans="1:26" ht="12" customHeight="1">
      <c r="A11" s="87" t="s">
        <v>486</v>
      </c>
      <c r="B11" s="150">
        <f>'Sources and Uses Budget'!C11</f>
        <v>54804102</v>
      </c>
      <c r="C11" s="150">
        <f t="shared" ref="C11:D11" si="1">SUM(C9:C10)</f>
        <v>0</v>
      </c>
      <c r="D11" s="150">
        <f t="shared" si="1"/>
        <v>54804102</v>
      </c>
      <c r="E11" s="152"/>
      <c r="F11" s="152"/>
      <c r="G11" s="152"/>
      <c r="H11" s="150">
        <f>'Sources and Uses Budget'!T11</f>
        <v>54579102</v>
      </c>
      <c r="I11" s="150">
        <f t="shared" ref="I11:J11" si="2">SUM(I9:I10)</f>
        <v>0</v>
      </c>
      <c r="J11" s="150">
        <f t="shared" si="2"/>
        <v>54579102</v>
      </c>
      <c r="K11" s="149"/>
      <c r="L11" s="120"/>
      <c r="M11" s="120"/>
      <c r="N11" s="120"/>
      <c r="O11" s="120"/>
      <c r="P11" s="120"/>
      <c r="Q11" s="120"/>
      <c r="R11" s="120"/>
      <c r="S11" s="120"/>
      <c r="T11" s="120"/>
      <c r="U11" s="120"/>
      <c r="V11" s="120"/>
      <c r="W11" s="120"/>
      <c r="X11" s="120"/>
      <c r="Y11" s="120"/>
      <c r="Z11" s="120"/>
    </row>
    <row r="12" spans="1:26" ht="12" customHeight="1">
      <c r="A12" s="87" t="s">
        <v>490</v>
      </c>
      <c r="B12" s="150">
        <f>'Sources and Uses Budget'!C12</f>
        <v>61000000</v>
      </c>
      <c r="C12" s="150">
        <f t="shared" ref="C12:D12" si="3">SUM(C8+C11)</f>
        <v>0</v>
      </c>
      <c r="D12" s="150">
        <f t="shared" si="3"/>
        <v>61000000</v>
      </c>
      <c r="E12" s="152"/>
      <c r="F12" s="152"/>
      <c r="G12" s="152"/>
      <c r="H12" s="152"/>
      <c r="I12" s="152"/>
      <c r="J12" s="152"/>
      <c r="K12" s="149"/>
      <c r="L12" s="120"/>
      <c r="M12" s="120"/>
      <c r="N12" s="120"/>
      <c r="O12" s="120"/>
      <c r="P12" s="120"/>
      <c r="Q12" s="120"/>
      <c r="R12" s="120"/>
      <c r="S12" s="120"/>
      <c r="T12" s="120"/>
      <c r="U12" s="120"/>
      <c r="V12" s="120"/>
      <c r="W12" s="120"/>
      <c r="X12" s="120"/>
      <c r="Y12" s="120"/>
      <c r="Z12" s="120"/>
    </row>
    <row r="13" spans="1:26" ht="12" customHeight="1">
      <c r="A13" s="90" t="s">
        <v>492</v>
      </c>
      <c r="B13" s="150">
        <f>'Sources and Uses Budget'!C13</f>
        <v>0</v>
      </c>
      <c r="C13" s="151"/>
      <c r="D13" s="151"/>
      <c r="E13" s="150">
        <f>'Sources and Uses Budget'!S13</f>
        <v>0</v>
      </c>
      <c r="F13" s="151"/>
      <c r="G13" s="151"/>
      <c r="H13" s="150">
        <f>'Sources and Uses Budget'!T13</f>
        <v>0</v>
      </c>
      <c r="I13" s="151"/>
      <c r="J13" s="151"/>
      <c r="K13" s="149"/>
      <c r="L13" s="120"/>
      <c r="M13" s="120"/>
      <c r="N13" s="120"/>
      <c r="O13" s="120"/>
      <c r="P13" s="120"/>
      <c r="Q13" s="120"/>
      <c r="R13" s="120"/>
      <c r="S13" s="120"/>
      <c r="T13" s="120"/>
      <c r="U13" s="120"/>
      <c r="V13" s="120"/>
      <c r="W13" s="120"/>
      <c r="X13" s="120"/>
      <c r="Y13" s="120"/>
      <c r="Z13" s="120"/>
    </row>
    <row r="14" spans="1:26" ht="12" customHeight="1">
      <c r="A14" s="82" t="s">
        <v>853</v>
      </c>
      <c r="B14" s="150">
        <f>'Sources and Uses Budget'!C14</f>
        <v>0</v>
      </c>
      <c r="C14" s="151"/>
      <c r="D14" s="151"/>
      <c r="E14" s="150">
        <f>'Sources and Uses Budget'!S14</f>
        <v>0</v>
      </c>
      <c r="F14" s="151"/>
      <c r="G14" s="151"/>
      <c r="H14" s="150">
        <f>'Sources and Uses Budget'!T14</f>
        <v>0</v>
      </c>
      <c r="I14" s="151"/>
      <c r="J14" s="151"/>
      <c r="K14" s="149"/>
      <c r="L14" s="120"/>
      <c r="M14" s="120"/>
      <c r="N14" s="120"/>
      <c r="O14" s="120"/>
      <c r="P14" s="120"/>
      <c r="Q14" s="120"/>
      <c r="R14" s="120"/>
      <c r="S14" s="120"/>
      <c r="T14" s="120"/>
      <c r="U14" s="120"/>
      <c r="V14" s="120"/>
      <c r="W14" s="120"/>
      <c r="X14" s="120"/>
      <c r="Y14" s="120"/>
      <c r="Z14" s="120"/>
    </row>
    <row r="15" spans="1:26" ht="12" customHeight="1">
      <c r="A15" s="82" t="s">
        <v>498</v>
      </c>
      <c r="B15" s="150">
        <f>'Sources and Uses Budget'!C15</f>
        <v>0</v>
      </c>
      <c r="C15" s="151"/>
      <c r="D15" s="151"/>
      <c r="E15" s="152">
        <f>'Sources and Uses Budget'!S15</f>
        <v>0</v>
      </c>
      <c r="F15" s="152"/>
      <c r="G15" s="152"/>
      <c r="H15" s="152">
        <f>'Sources and Uses Budget'!T15</f>
        <v>0</v>
      </c>
      <c r="I15" s="152"/>
      <c r="J15" s="152"/>
      <c r="K15" s="149"/>
      <c r="L15" s="120"/>
      <c r="M15" s="120"/>
      <c r="N15" s="120"/>
      <c r="O15" s="120"/>
      <c r="P15" s="120"/>
      <c r="Q15" s="120"/>
      <c r="R15" s="120"/>
      <c r="S15" s="120"/>
      <c r="T15" s="120"/>
      <c r="U15" s="120"/>
      <c r="V15" s="120"/>
      <c r="W15" s="120"/>
      <c r="X15" s="120"/>
      <c r="Y15" s="120"/>
      <c r="Z15" s="120"/>
    </row>
    <row r="16" spans="1:26" ht="12" customHeight="1">
      <c r="A16" s="78" t="s">
        <v>502</v>
      </c>
      <c r="B16" s="148"/>
      <c r="C16" s="148"/>
      <c r="D16" s="148"/>
      <c r="E16" s="148"/>
      <c r="F16" s="148"/>
      <c r="G16" s="148"/>
      <c r="H16" s="148"/>
      <c r="I16" s="148"/>
      <c r="J16" s="148"/>
      <c r="K16" s="149"/>
      <c r="L16" s="120"/>
      <c r="M16" s="120"/>
      <c r="N16" s="120"/>
      <c r="O16" s="120"/>
      <c r="P16" s="120"/>
      <c r="Q16" s="120"/>
      <c r="R16" s="120"/>
      <c r="S16" s="120"/>
      <c r="T16" s="120"/>
      <c r="U16" s="120"/>
      <c r="V16" s="120"/>
      <c r="W16" s="120"/>
      <c r="X16" s="120"/>
      <c r="Y16" s="120"/>
      <c r="Z16" s="120"/>
    </row>
    <row r="17" spans="1:26" ht="12" customHeight="1">
      <c r="A17" s="82" t="s">
        <v>503</v>
      </c>
      <c r="B17" s="150">
        <f>'Sources and Uses Budget'!C17</f>
        <v>0</v>
      </c>
      <c r="C17" s="151"/>
      <c r="D17" s="151"/>
      <c r="E17" s="150">
        <f>'Sources and Uses Budget'!S17</f>
        <v>0</v>
      </c>
      <c r="F17" s="151"/>
      <c r="G17" s="151"/>
      <c r="H17" s="150">
        <f>'Sources and Uses Budget'!T17</f>
        <v>0</v>
      </c>
      <c r="I17" s="151"/>
      <c r="J17" s="151"/>
      <c r="K17" s="149"/>
      <c r="L17" s="120"/>
      <c r="M17" s="120"/>
      <c r="N17" s="120"/>
      <c r="O17" s="120"/>
      <c r="P17" s="120"/>
      <c r="Q17" s="120"/>
      <c r="R17" s="120"/>
      <c r="S17" s="120"/>
      <c r="T17" s="120"/>
      <c r="U17" s="120"/>
      <c r="V17" s="120"/>
      <c r="W17" s="120"/>
      <c r="X17" s="120"/>
      <c r="Y17" s="120"/>
      <c r="Z17" s="120"/>
    </row>
    <row r="18" spans="1:26" ht="12" customHeight="1">
      <c r="A18" s="82" t="s">
        <v>508</v>
      </c>
      <c r="B18" s="150">
        <f>'Sources and Uses Budget'!C18</f>
        <v>14100000</v>
      </c>
      <c r="C18" s="151">
        <f t="shared" ref="C18:C21" si="4">B18</f>
        <v>14100000</v>
      </c>
      <c r="D18" s="151"/>
      <c r="E18" s="150">
        <f>'Sources and Uses Budget'!S18</f>
        <v>14100000</v>
      </c>
      <c r="F18" s="151">
        <f t="shared" ref="F18:F21" si="5">E18</f>
        <v>14100000</v>
      </c>
      <c r="G18" s="151"/>
      <c r="H18" s="150">
        <f>'Sources and Uses Budget'!T18</f>
        <v>0</v>
      </c>
      <c r="I18" s="151"/>
      <c r="J18" s="151"/>
      <c r="K18" s="149"/>
      <c r="L18" s="120"/>
      <c r="M18" s="120"/>
      <c r="N18" s="120"/>
      <c r="O18" s="120"/>
      <c r="P18" s="120"/>
      <c r="Q18" s="120"/>
      <c r="R18" s="120"/>
      <c r="S18" s="120"/>
      <c r="T18" s="120"/>
      <c r="U18" s="120"/>
      <c r="V18" s="120"/>
      <c r="W18" s="120"/>
      <c r="X18" s="120"/>
      <c r="Y18" s="120"/>
      <c r="Z18" s="120"/>
    </row>
    <row r="19" spans="1:26" ht="12" customHeight="1">
      <c r="A19" s="82" t="s">
        <v>511</v>
      </c>
      <c r="B19" s="150">
        <f>'Sources and Uses Budget'!C19</f>
        <v>846000</v>
      </c>
      <c r="C19" s="151">
        <f t="shared" si="4"/>
        <v>846000</v>
      </c>
      <c r="D19" s="151"/>
      <c r="E19" s="150">
        <f>'Sources and Uses Budget'!S19</f>
        <v>846000</v>
      </c>
      <c r="F19" s="151">
        <f t="shared" si="5"/>
        <v>846000</v>
      </c>
      <c r="G19" s="151"/>
      <c r="H19" s="150">
        <f>'Sources and Uses Budget'!T19</f>
        <v>0</v>
      </c>
      <c r="I19" s="151"/>
      <c r="J19" s="151"/>
      <c r="K19" s="149"/>
      <c r="L19" s="120"/>
      <c r="M19" s="120"/>
      <c r="N19" s="120"/>
      <c r="O19" s="120"/>
      <c r="P19" s="120"/>
      <c r="Q19" s="120"/>
      <c r="R19" s="120"/>
      <c r="S19" s="120"/>
      <c r="T19" s="120"/>
      <c r="U19" s="120"/>
      <c r="V19" s="120"/>
      <c r="W19" s="120"/>
      <c r="X19" s="120"/>
      <c r="Y19" s="120"/>
      <c r="Z19" s="120"/>
    </row>
    <row r="20" spans="1:26" ht="12" customHeight="1">
      <c r="A20" s="82" t="s">
        <v>513</v>
      </c>
      <c r="B20" s="150">
        <f>'Sources and Uses Budget'!C20</f>
        <v>282000</v>
      </c>
      <c r="C20" s="151">
        <f t="shared" si="4"/>
        <v>282000</v>
      </c>
      <c r="D20" s="151"/>
      <c r="E20" s="150">
        <f>'Sources and Uses Budget'!S20</f>
        <v>282000</v>
      </c>
      <c r="F20" s="151">
        <f t="shared" si="5"/>
        <v>282000</v>
      </c>
      <c r="G20" s="151"/>
      <c r="H20" s="150">
        <f>'Sources and Uses Budget'!T20</f>
        <v>0</v>
      </c>
      <c r="I20" s="151"/>
      <c r="J20" s="151"/>
      <c r="K20" s="149"/>
      <c r="L20" s="120"/>
      <c r="M20" s="120"/>
      <c r="N20" s="120"/>
      <c r="O20" s="120"/>
      <c r="P20" s="120"/>
      <c r="Q20" s="120"/>
      <c r="R20" s="120"/>
      <c r="S20" s="120"/>
      <c r="T20" s="120"/>
      <c r="U20" s="120"/>
      <c r="V20" s="120"/>
      <c r="W20" s="120"/>
      <c r="X20" s="120"/>
      <c r="Y20" s="120"/>
      <c r="Z20" s="120"/>
    </row>
    <row r="21" spans="1:26" ht="12" customHeight="1">
      <c r="A21" s="82" t="s">
        <v>515</v>
      </c>
      <c r="B21" s="150">
        <f>'Sources and Uses Budget'!C21</f>
        <v>846000</v>
      </c>
      <c r="C21" s="151">
        <f t="shared" si="4"/>
        <v>846000</v>
      </c>
      <c r="D21" s="151"/>
      <c r="E21" s="150">
        <f>'Sources and Uses Budget'!S21</f>
        <v>846000</v>
      </c>
      <c r="F21" s="151">
        <f t="shared" si="5"/>
        <v>846000</v>
      </c>
      <c r="G21" s="151"/>
      <c r="H21" s="150">
        <f>'Sources and Uses Budget'!T21</f>
        <v>0</v>
      </c>
      <c r="I21" s="151"/>
      <c r="J21" s="151"/>
      <c r="K21" s="149"/>
      <c r="L21" s="120"/>
      <c r="M21" s="120"/>
      <c r="N21" s="120"/>
      <c r="O21" s="120"/>
      <c r="P21" s="120"/>
      <c r="Q21" s="120"/>
      <c r="R21" s="120"/>
      <c r="S21" s="120"/>
      <c r="T21" s="120"/>
      <c r="U21" s="120"/>
      <c r="V21" s="120"/>
      <c r="W21" s="120"/>
      <c r="X21" s="120"/>
      <c r="Y21" s="120"/>
      <c r="Z21" s="120"/>
    </row>
    <row r="22" spans="1:26" ht="12" customHeight="1">
      <c r="A22" s="82" t="s">
        <v>517</v>
      </c>
      <c r="B22" s="150">
        <f>'Sources and Uses Budget'!C22</f>
        <v>0</v>
      </c>
      <c r="C22" s="151"/>
      <c r="D22" s="151"/>
      <c r="E22" s="150">
        <f>'Sources and Uses Budget'!S22</f>
        <v>0</v>
      </c>
      <c r="F22" s="151"/>
      <c r="G22" s="151"/>
      <c r="H22" s="150">
        <f>'Sources and Uses Budget'!T22</f>
        <v>0</v>
      </c>
      <c r="I22" s="151"/>
      <c r="J22" s="151"/>
      <c r="K22" s="149"/>
      <c r="L22" s="120"/>
      <c r="M22" s="120"/>
      <c r="N22" s="120"/>
      <c r="O22" s="120"/>
      <c r="P22" s="120"/>
      <c r="Q22" s="120"/>
      <c r="R22" s="120"/>
      <c r="S22" s="120"/>
      <c r="T22" s="120"/>
      <c r="U22" s="120"/>
      <c r="V22" s="120"/>
      <c r="W22" s="120"/>
      <c r="X22" s="120"/>
      <c r="Y22" s="120"/>
      <c r="Z22" s="120"/>
    </row>
    <row r="23" spans="1:26" ht="12" customHeight="1">
      <c r="A23" s="82" t="s">
        <v>519</v>
      </c>
      <c r="B23" s="150">
        <f>'Sources and Uses Budget'!C23</f>
        <v>162150</v>
      </c>
      <c r="C23" s="151">
        <f>B23</f>
        <v>162150</v>
      </c>
      <c r="D23" s="151"/>
      <c r="E23" s="150">
        <f>'Sources and Uses Budget'!S23</f>
        <v>162150</v>
      </c>
      <c r="F23" s="151">
        <f>E23</f>
        <v>162150</v>
      </c>
      <c r="G23" s="151"/>
      <c r="H23" s="150">
        <f>'Sources and Uses Budget'!T23</f>
        <v>0</v>
      </c>
      <c r="I23" s="151"/>
      <c r="J23" s="151"/>
      <c r="K23" s="149"/>
      <c r="L23" s="120"/>
      <c r="M23" s="120"/>
      <c r="N23" s="120"/>
      <c r="O23" s="120"/>
      <c r="P23" s="120"/>
      <c r="Q23" s="120"/>
      <c r="R23" s="120"/>
      <c r="S23" s="120"/>
      <c r="T23" s="120"/>
      <c r="U23" s="120"/>
      <c r="V23" s="120"/>
      <c r="W23" s="120"/>
      <c r="X23" s="120"/>
      <c r="Y23" s="120"/>
      <c r="Z23" s="120"/>
    </row>
    <row r="24" spans="1:26" ht="12" customHeight="1">
      <c r="A24" s="82" t="s">
        <v>522</v>
      </c>
      <c r="B24" s="150">
        <f>'Sources and Uses Budget'!C24</f>
        <v>0</v>
      </c>
      <c r="C24" s="151"/>
      <c r="D24" s="151"/>
      <c r="E24" s="150">
        <f>'Sources and Uses Budget'!S24</f>
        <v>0</v>
      </c>
      <c r="F24" s="151"/>
      <c r="G24" s="151"/>
      <c r="H24" s="150">
        <f>'Sources and Uses Budget'!T24</f>
        <v>0</v>
      </c>
      <c r="I24" s="151"/>
      <c r="J24" s="151"/>
      <c r="K24" s="149"/>
      <c r="L24" s="120"/>
      <c r="M24" s="120"/>
      <c r="N24" s="120"/>
      <c r="O24" s="120"/>
      <c r="P24" s="120"/>
      <c r="Q24" s="120"/>
      <c r="R24" s="120"/>
      <c r="S24" s="120"/>
      <c r="T24" s="120"/>
      <c r="U24" s="120"/>
      <c r="V24" s="120"/>
      <c r="W24" s="120"/>
      <c r="X24" s="120"/>
      <c r="Y24" s="120"/>
      <c r="Z24" s="120"/>
    </row>
    <row r="25" spans="1:26" ht="12" customHeight="1">
      <c r="A25" s="82" t="str">
        <f>'Sources and Uses Budget'!$A25</f>
        <v>Other: Payment and Performance Bond</v>
      </c>
      <c r="B25" s="150">
        <f>'Sources and Uses Budget'!C25</f>
        <v>162150</v>
      </c>
      <c r="C25" s="151">
        <f>B25</f>
        <v>162150</v>
      </c>
      <c r="D25" s="151"/>
      <c r="E25" s="150">
        <f>'Sources and Uses Budget'!S25</f>
        <v>162150</v>
      </c>
      <c r="F25" s="151">
        <f>E25</f>
        <v>162150</v>
      </c>
      <c r="G25" s="151"/>
      <c r="H25" s="150">
        <f>'Sources and Uses Budget'!T25</f>
        <v>0</v>
      </c>
      <c r="I25" s="151"/>
      <c r="J25" s="151"/>
      <c r="K25" s="149"/>
      <c r="L25" s="120"/>
      <c r="M25" s="120"/>
      <c r="N25" s="120"/>
      <c r="O25" s="120"/>
      <c r="P25" s="120"/>
      <c r="Q25" s="120"/>
      <c r="R25" s="120"/>
      <c r="S25" s="120"/>
      <c r="T25" s="120"/>
      <c r="U25" s="120"/>
      <c r="V25" s="120"/>
      <c r="W25" s="120"/>
      <c r="X25" s="120"/>
      <c r="Y25" s="120"/>
      <c r="Z25" s="120"/>
    </row>
    <row r="26" spans="1:26" ht="12" customHeight="1">
      <c r="A26" s="87" t="s">
        <v>525</v>
      </c>
      <c r="B26" s="150">
        <f>'Sources and Uses Budget'!C26</f>
        <v>16398300</v>
      </c>
      <c r="C26" s="150">
        <f t="shared" ref="C26:D26" si="6">SUM(C17:C25)</f>
        <v>16398300</v>
      </c>
      <c r="D26" s="150">
        <f t="shared" si="6"/>
        <v>0</v>
      </c>
      <c r="E26" s="150">
        <f>'Sources and Uses Budget'!S26</f>
        <v>16398300</v>
      </c>
      <c r="F26" s="183">
        <f t="shared" ref="F26:G26" si="7">SUM(F17:F25)</f>
        <v>16398300</v>
      </c>
      <c r="G26" s="183">
        <f t="shared" si="7"/>
        <v>0</v>
      </c>
      <c r="H26" s="150">
        <f>'Sources and Uses Budget'!T26</f>
        <v>0</v>
      </c>
      <c r="I26" s="183">
        <f t="shared" ref="I26:J26" si="8">SUM(I17:I25)</f>
        <v>0</v>
      </c>
      <c r="J26" s="183">
        <f t="shared" si="8"/>
        <v>0</v>
      </c>
      <c r="K26" s="149"/>
      <c r="L26" s="120"/>
      <c r="M26" s="120"/>
      <c r="N26" s="120"/>
      <c r="O26" s="120"/>
      <c r="P26" s="120"/>
      <c r="Q26" s="120"/>
      <c r="R26" s="120"/>
      <c r="S26" s="120"/>
      <c r="T26" s="120"/>
      <c r="U26" s="120"/>
      <c r="V26" s="120"/>
      <c r="W26" s="120"/>
      <c r="X26" s="120"/>
      <c r="Y26" s="120"/>
      <c r="Z26" s="120"/>
    </row>
    <row r="27" spans="1:26" ht="12" customHeight="1">
      <c r="A27" s="87" t="s">
        <v>534</v>
      </c>
      <c r="B27" s="150">
        <f>'Sources and Uses Budget'!C27</f>
        <v>470000</v>
      </c>
      <c r="C27" s="151">
        <f>B27</f>
        <v>470000</v>
      </c>
      <c r="D27" s="151"/>
      <c r="E27" s="150">
        <f>'Sources and Uses Budget'!S27</f>
        <v>470000</v>
      </c>
      <c r="F27" s="151">
        <f>E27</f>
        <v>470000</v>
      </c>
      <c r="G27" s="151"/>
      <c r="H27" s="150">
        <f>'Sources and Uses Budget'!T27</f>
        <v>0</v>
      </c>
      <c r="I27" s="151"/>
      <c r="J27" s="151"/>
      <c r="K27" s="149"/>
      <c r="L27" s="120"/>
      <c r="M27" s="120"/>
      <c r="N27" s="120"/>
      <c r="O27" s="120"/>
      <c r="P27" s="120"/>
      <c r="Q27" s="120"/>
      <c r="R27" s="120"/>
      <c r="S27" s="120"/>
      <c r="T27" s="120"/>
      <c r="U27" s="120"/>
      <c r="V27" s="120"/>
      <c r="W27" s="120"/>
      <c r="X27" s="120"/>
      <c r="Y27" s="120"/>
      <c r="Z27" s="120"/>
    </row>
    <row r="28" spans="1:26" ht="12" customHeight="1">
      <c r="A28" s="78" t="s">
        <v>539</v>
      </c>
      <c r="B28" s="148"/>
      <c r="C28" s="148"/>
      <c r="D28" s="148"/>
      <c r="E28" s="148"/>
      <c r="F28" s="148"/>
      <c r="G28" s="148"/>
      <c r="H28" s="148"/>
      <c r="I28" s="148"/>
      <c r="J28" s="148"/>
      <c r="K28" s="149"/>
      <c r="L28" s="120"/>
      <c r="M28" s="120"/>
      <c r="N28" s="120"/>
      <c r="O28" s="120"/>
      <c r="P28" s="120"/>
      <c r="Q28" s="120"/>
      <c r="R28" s="120"/>
      <c r="S28" s="120"/>
      <c r="T28" s="120"/>
      <c r="U28" s="120"/>
      <c r="V28" s="120"/>
      <c r="W28" s="120"/>
      <c r="X28" s="120"/>
      <c r="Y28" s="120"/>
      <c r="Z28" s="120"/>
    </row>
    <row r="29" spans="1:26" ht="12" customHeight="1">
      <c r="A29" s="82" t="s">
        <v>503</v>
      </c>
      <c r="B29" s="150">
        <f>'Sources and Uses Budget'!C29</f>
        <v>0</v>
      </c>
      <c r="C29" s="151"/>
      <c r="D29" s="151"/>
      <c r="E29" s="150">
        <f>'Sources and Uses Budget'!S29</f>
        <v>0</v>
      </c>
      <c r="F29" s="151"/>
      <c r="G29" s="151"/>
      <c r="H29" s="150">
        <f>'Sources and Uses Budget'!T29</f>
        <v>0</v>
      </c>
      <c r="I29" s="151"/>
      <c r="J29" s="151"/>
      <c r="K29" s="149"/>
      <c r="L29" s="120"/>
      <c r="M29" s="120"/>
      <c r="N29" s="120"/>
      <c r="O29" s="120"/>
      <c r="P29" s="120"/>
      <c r="Q29" s="120"/>
      <c r="R29" s="120"/>
      <c r="S29" s="120"/>
      <c r="T29" s="120"/>
      <c r="U29" s="120"/>
      <c r="V29" s="120"/>
      <c r="W29" s="120"/>
      <c r="X29" s="120"/>
      <c r="Y29" s="120"/>
      <c r="Z29" s="120"/>
    </row>
    <row r="30" spans="1:26" ht="12" customHeight="1">
      <c r="A30" s="82" t="s">
        <v>508</v>
      </c>
      <c r="B30" s="150">
        <f>'Sources and Uses Budget'!C30</f>
        <v>0</v>
      </c>
      <c r="C30" s="151"/>
      <c r="D30" s="151"/>
      <c r="E30" s="150">
        <f>'Sources and Uses Budget'!S30</f>
        <v>0</v>
      </c>
      <c r="F30" s="151"/>
      <c r="G30" s="151"/>
      <c r="H30" s="150">
        <f>'Sources and Uses Budget'!T30</f>
        <v>0</v>
      </c>
      <c r="I30" s="151"/>
      <c r="J30" s="151"/>
      <c r="K30" s="149"/>
      <c r="L30" s="120"/>
      <c r="M30" s="120"/>
      <c r="N30" s="120"/>
      <c r="O30" s="120"/>
      <c r="P30" s="120"/>
      <c r="Q30" s="120"/>
      <c r="R30" s="120"/>
      <c r="S30" s="120"/>
      <c r="T30" s="120"/>
      <c r="U30" s="120"/>
      <c r="V30" s="120"/>
      <c r="W30" s="120"/>
      <c r="X30" s="120"/>
      <c r="Y30" s="120"/>
      <c r="Z30" s="120"/>
    </row>
    <row r="31" spans="1:26" ht="12" customHeight="1">
      <c r="A31" s="82" t="s">
        <v>511</v>
      </c>
      <c r="B31" s="150">
        <f>'Sources and Uses Budget'!C31</f>
        <v>0</v>
      </c>
      <c r="C31" s="151"/>
      <c r="D31" s="151"/>
      <c r="E31" s="150">
        <f>'Sources and Uses Budget'!S31</f>
        <v>0</v>
      </c>
      <c r="F31" s="151"/>
      <c r="G31" s="151"/>
      <c r="H31" s="150">
        <f>'Sources and Uses Budget'!T31</f>
        <v>0</v>
      </c>
      <c r="I31" s="151"/>
      <c r="J31" s="151"/>
      <c r="K31" s="149"/>
      <c r="L31" s="120"/>
      <c r="M31" s="120"/>
      <c r="N31" s="120"/>
      <c r="O31" s="120"/>
      <c r="P31" s="120"/>
      <c r="Q31" s="120"/>
      <c r="R31" s="120"/>
      <c r="S31" s="120"/>
      <c r="T31" s="120"/>
      <c r="U31" s="120"/>
      <c r="V31" s="120"/>
      <c r="W31" s="120"/>
      <c r="X31" s="120"/>
      <c r="Y31" s="120"/>
      <c r="Z31" s="120"/>
    </row>
    <row r="32" spans="1:26" ht="12" customHeight="1">
      <c r="A32" s="82" t="s">
        <v>513</v>
      </c>
      <c r="B32" s="150">
        <f>'Sources and Uses Budget'!C32</f>
        <v>0</v>
      </c>
      <c r="C32" s="151"/>
      <c r="D32" s="151"/>
      <c r="E32" s="150">
        <f>'Sources and Uses Budget'!S32</f>
        <v>0</v>
      </c>
      <c r="F32" s="151"/>
      <c r="G32" s="151"/>
      <c r="H32" s="150">
        <f>'Sources and Uses Budget'!T32</f>
        <v>0</v>
      </c>
      <c r="I32" s="151"/>
      <c r="J32" s="151"/>
      <c r="K32" s="149"/>
      <c r="L32" s="120"/>
      <c r="M32" s="120"/>
      <c r="N32" s="120"/>
      <c r="O32" s="120"/>
      <c r="P32" s="120"/>
      <c r="Q32" s="120"/>
      <c r="R32" s="120"/>
      <c r="S32" s="120"/>
      <c r="T32" s="120"/>
      <c r="U32" s="120"/>
      <c r="V32" s="120"/>
      <c r="W32" s="120"/>
      <c r="X32" s="120"/>
      <c r="Y32" s="120"/>
      <c r="Z32" s="120"/>
    </row>
    <row r="33" spans="1:26" ht="12" customHeight="1">
      <c r="A33" s="82" t="s">
        <v>515</v>
      </c>
      <c r="B33" s="150">
        <f>'Sources and Uses Budget'!C33</f>
        <v>0</v>
      </c>
      <c r="C33" s="151"/>
      <c r="D33" s="151"/>
      <c r="E33" s="150">
        <f>'Sources and Uses Budget'!S33</f>
        <v>0</v>
      </c>
      <c r="F33" s="151"/>
      <c r="G33" s="151"/>
      <c r="H33" s="150">
        <f>'Sources and Uses Budget'!T33</f>
        <v>0</v>
      </c>
      <c r="I33" s="151"/>
      <c r="J33" s="151"/>
      <c r="K33" s="149"/>
      <c r="L33" s="120"/>
      <c r="M33" s="120"/>
      <c r="N33" s="120"/>
      <c r="O33" s="120"/>
      <c r="P33" s="120"/>
      <c r="Q33" s="120"/>
      <c r="R33" s="120"/>
      <c r="S33" s="120"/>
      <c r="T33" s="120"/>
      <c r="U33" s="120"/>
      <c r="V33" s="120"/>
      <c r="W33" s="120"/>
      <c r="X33" s="120"/>
      <c r="Y33" s="120"/>
      <c r="Z33" s="120"/>
    </row>
    <row r="34" spans="1:26" ht="12" customHeight="1">
      <c r="A34" s="82" t="s">
        <v>517</v>
      </c>
      <c r="B34" s="150">
        <f>'Sources and Uses Budget'!C34</f>
        <v>0</v>
      </c>
      <c r="C34" s="151"/>
      <c r="D34" s="151"/>
      <c r="E34" s="150">
        <f>'Sources and Uses Budget'!S34</f>
        <v>0</v>
      </c>
      <c r="F34" s="151"/>
      <c r="G34" s="151"/>
      <c r="H34" s="150">
        <f>'Sources and Uses Budget'!T34</f>
        <v>0</v>
      </c>
      <c r="I34" s="151"/>
      <c r="J34" s="151"/>
      <c r="K34" s="149"/>
      <c r="L34" s="120"/>
      <c r="M34" s="120"/>
      <c r="N34" s="120"/>
      <c r="O34" s="120"/>
      <c r="P34" s="120"/>
      <c r="Q34" s="120"/>
      <c r="R34" s="120"/>
      <c r="S34" s="120"/>
      <c r="T34" s="120"/>
      <c r="U34" s="120"/>
      <c r="V34" s="120"/>
      <c r="W34" s="120"/>
      <c r="X34" s="120"/>
      <c r="Y34" s="120"/>
      <c r="Z34" s="120"/>
    </row>
    <row r="35" spans="1:26" ht="12" customHeight="1">
      <c r="A35" s="82" t="s">
        <v>519</v>
      </c>
      <c r="B35" s="150">
        <f>'Sources and Uses Budget'!C35</f>
        <v>0</v>
      </c>
      <c r="C35" s="151"/>
      <c r="D35" s="151"/>
      <c r="E35" s="150">
        <f>'Sources and Uses Budget'!S35</f>
        <v>0</v>
      </c>
      <c r="F35" s="151"/>
      <c r="G35" s="151"/>
      <c r="H35" s="150">
        <f>'Sources and Uses Budget'!T35</f>
        <v>0</v>
      </c>
      <c r="I35" s="151"/>
      <c r="J35" s="151"/>
      <c r="K35" s="149"/>
      <c r="L35" s="120"/>
      <c r="M35" s="120"/>
      <c r="N35" s="120"/>
      <c r="O35" s="120"/>
      <c r="P35" s="120"/>
      <c r="Q35" s="120"/>
      <c r="R35" s="120"/>
      <c r="S35" s="120"/>
      <c r="T35" s="120"/>
      <c r="U35" s="120"/>
      <c r="V35" s="120"/>
      <c r="W35" s="120"/>
      <c r="X35" s="120"/>
      <c r="Y35" s="120"/>
      <c r="Z35" s="120"/>
    </row>
    <row r="36" spans="1:26" ht="12" customHeight="1">
      <c r="A36" s="82" t="s">
        <v>522</v>
      </c>
      <c r="B36" s="150">
        <f>'Sources and Uses Budget'!C36</f>
        <v>0</v>
      </c>
      <c r="C36" s="151"/>
      <c r="D36" s="151"/>
      <c r="E36" s="150">
        <f>'Sources and Uses Budget'!S36</f>
        <v>0</v>
      </c>
      <c r="F36" s="151"/>
      <c r="G36" s="151"/>
      <c r="H36" s="150">
        <f>'Sources and Uses Budget'!T36</f>
        <v>0</v>
      </c>
      <c r="I36" s="151"/>
      <c r="J36" s="151"/>
      <c r="K36" s="149"/>
      <c r="L36" s="120"/>
      <c r="M36" s="120"/>
      <c r="N36" s="120"/>
      <c r="O36" s="120"/>
      <c r="P36" s="120"/>
      <c r="Q36" s="120"/>
      <c r="R36" s="120"/>
      <c r="S36" s="120"/>
      <c r="T36" s="120"/>
      <c r="U36" s="120"/>
      <c r="V36" s="120"/>
      <c r="W36" s="120"/>
      <c r="X36" s="120"/>
      <c r="Y36" s="120"/>
      <c r="Z36" s="120"/>
    </row>
    <row r="37" spans="1:26" ht="12" customHeight="1">
      <c r="A37" s="82" t="str">
        <f>'Sources and Uses Budget'!$A37</f>
        <v>Other: (Specify)</v>
      </c>
      <c r="B37" s="150">
        <f>'Sources and Uses Budget'!C37</f>
        <v>0</v>
      </c>
      <c r="C37" s="151"/>
      <c r="D37" s="151"/>
      <c r="E37" s="150">
        <f>'Sources and Uses Budget'!S37</f>
        <v>0</v>
      </c>
      <c r="F37" s="151"/>
      <c r="G37" s="151"/>
      <c r="H37" s="150">
        <f>'Sources and Uses Budget'!T37</f>
        <v>0</v>
      </c>
      <c r="I37" s="151"/>
      <c r="J37" s="151"/>
      <c r="K37" s="149"/>
      <c r="L37" s="120"/>
      <c r="M37" s="120"/>
      <c r="N37" s="120"/>
      <c r="O37" s="120"/>
      <c r="P37" s="120"/>
      <c r="Q37" s="120"/>
      <c r="R37" s="120"/>
      <c r="S37" s="120"/>
      <c r="T37" s="120"/>
      <c r="U37" s="120"/>
      <c r="V37" s="120"/>
      <c r="W37" s="120"/>
      <c r="X37" s="120"/>
      <c r="Y37" s="120"/>
      <c r="Z37" s="120"/>
    </row>
    <row r="38" spans="1:26" ht="12" customHeight="1">
      <c r="A38" s="87" t="s">
        <v>554</v>
      </c>
      <c r="B38" s="150">
        <f>'Sources and Uses Budget'!C38</f>
        <v>0</v>
      </c>
      <c r="C38" s="150">
        <f t="shared" ref="C38:D38" si="9">SUM(C29:C37)</f>
        <v>0</v>
      </c>
      <c r="D38" s="150">
        <f t="shared" si="9"/>
        <v>0</v>
      </c>
      <c r="E38" s="150">
        <f>'Sources and Uses Budget'!S38</f>
        <v>0</v>
      </c>
      <c r="F38" s="183">
        <f t="shared" ref="F38:G38" si="10">SUM(F29:F37)</f>
        <v>0</v>
      </c>
      <c r="G38" s="183">
        <f t="shared" si="10"/>
        <v>0</v>
      </c>
      <c r="H38" s="150">
        <f>'Sources and Uses Budget'!T38</f>
        <v>0</v>
      </c>
      <c r="I38" s="183">
        <f t="shared" ref="I38:J38" si="11">SUM(I29:I37)</f>
        <v>0</v>
      </c>
      <c r="J38" s="183">
        <f t="shared" si="11"/>
        <v>0</v>
      </c>
      <c r="K38" s="149"/>
      <c r="L38" s="120"/>
      <c r="M38" s="120"/>
      <c r="N38" s="120"/>
      <c r="O38" s="120"/>
      <c r="P38" s="120"/>
      <c r="Q38" s="120"/>
      <c r="R38" s="120"/>
      <c r="S38" s="120"/>
      <c r="T38" s="120"/>
      <c r="U38" s="120"/>
      <c r="V38" s="120"/>
      <c r="W38" s="120"/>
      <c r="X38" s="120"/>
      <c r="Y38" s="120"/>
      <c r="Z38" s="120"/>
    </row>
    <row r="39" spans="1:26" ht="12" customHeight="1">
      <c r="A39" s="78" t="s">
        <v>557</v>
      </c>
      <c r="B39" s="148"/>
      <c r="C39" s="148"/>
      <c r="D39" s="148"/>
      <c r="E39" s="148"/>
      <c r="F39" s="148"/>
      <c r="G39" s="148"/>
      <c r="H39" s="148"/>
      <c r="I39" s="148"/>
      <c r="J39" s="148"/>
      <c r="K39" s="149"/>
      <c r="L39" s="120"/>
      <c r="M39" s="120"/>
      <c r="N39" s="120"/>
      <c r="O39" s="120"/>
      <c r="P39" s="120"/>
      <c r="Q39" s="120"/>
      <c r="R39" s="120"/>
      <c r="S39" s="120"/>
      <c r="T39" s="120"/>
      <c r="U39" s="120"/>
      <c r="V39" s="120"/>
      <c r="W39" s="120"/>
      <c r="X39" s="120"/>
      <c r="Y39" s="120"/>
      <c r="Z39" s="120"/>
    </row>
    <row r="40" spans="1:26" ht="12" customHeight="1">
      <c r="A40" s="82" t="s">
        <v>559</v>
      </c>
      <c r="B40" s="150">
        <f>'Sources and Uses Budget'!C40</f>
        <v>150000</v>
      </c>
      <c r="C40" s="151">
        <f>B40</f>
        <v>150000</v>
      </c>
      <c r="D40" s="151"/>
      <c r="E40" s="150">
        <f>'Sources and Uses Budget'!S40</f>
        <v>150000</v>
      </c>
      <c r="F40" s="151">
        <f>E40</f>
        <v>150000</v>
      </c>
      <c r="G40" s="151"/>
      <c r="H40" s="150">
        <f>'Sources and Uses Budget'!T40</f>
        <v>0</v>
      </c>
      <c r="I40" s="151"/>
      <c r="J40" s="151"/>
      <c r="K40" s="149"/>
      <c r="L40" s="120"/>
      <c r="M40" s="120"/>
      <c r="N40" s="120"/>
      <c r="O40" s="120"/>
      <c r="P40" s="120"/>
      <c r="Q40" s="120"/>
      <c r="R40" s="120"/>
      <c r="S40" s="120"/>
      <c r="T40" s="120"/>
      <c r="U40" s="120"/>
      <c r="V40" s="120"/>
      <c r="W40" s="120"/>
      <c r="X40" s="120"/>
      <c r="Y40" s="120"/>
      <c r="Z40" s="120"/>
    </row>
    <row r="41" spans="1:26" ht="12" customHeight="1">
      <c r="A41" s="82" t="s">
        <v>562</v>
      </c>
      <c r="B41" s="150">
        <f>'Sources and Uses Budget'!C41</f>
        <v>0</v>
      </c>
      <c r="C41" s="151"/>
      <c r="D41" s="151"/>
      <c r="E41" s="150">
        <f>'Sources and Uses Budget'!S41</f>
        <v>0</v>
      </c>
      <c r="F41" s="151"/>
      <c r="G41" s="151"/>
      <c r="H41" s="150">
        <f>'Sources and Uses Budget'!T41</f>
        <v>0</v>
      </c>
      <c r="I41" s="151"/>
      <c r="J41" s="151"/>
      <c r="K41" s="149"/>
      <c r="L41" s="120"/>
      <c r="M41" s="120"/>
      <c r="N41" s="120"/>
      <c r="O41" s="120"/>
      <c r="P41" s="120"/>
      <c r="Q41" s="120"/>
      <c r="R41" s="120"/>
      <c r="S41" s="120"/>
      <c r="T41" s="120"/>
      <c r="U41" s="120"/>
      <c r="V41" s="120"/>
      <c r="W41" s="120"/>
      <c r="X41" s="120"/>
      <c r="Y41" s="120"/>
      <c r="Z41" s="120"/>
    </row>
    <row r="42" spans="1:26" ht="12" customHeight="1">
      <c r="A42" s="87" t="s">
        <v>564</v>
      </c>
      <c r="B42" s="150">
        <f>'Sources and Uses Budget'!C42</f>
        <v>150000</v>
      </c>
      <c r="C42" s="150">
        <f t="shared" ref="C42:D42" si="12">SUM(C39:C41)</f>
        <v>150000</v>
      </c>
      <c r="D42" s="150">
        <f t="shared" si="12"/>
        <v>0</v>
      </c>
      <c r="E42" s="150">
        <f>'Sources and Uses Budget'!S42</f>
        <v>150000</v>
      </c>
      <c r="F42" s="183">
        <f t="shared" ref="F42:G42" si="13">SUM(F40:F41)</f>
        <v>150000</v>
      </c>
      <c r="G42" s="183">
        <f t="shared" si="13"/>
        <v>0</v>
      </c>
      <c r="H42" s="150">
        <f>'Sources and Uses Budget'!T42</f>
        <v>0</v>
      </c>
      <c r="I42" s="183">
        <f t="shared" ref="I42:J42" si="14">SUM(I40:I41)</f>
        <v>0</v>
      </c>
      <c r="J42" s="183">
        <f t="shared" si="14"/>
        <v>0</v>
      </c>
      <c r="K42" s="149"/>
      <c r="L42" s="120"/>
      <c r="M42" s="120"/>
      <c r="N42" s="120"/>
      <c r="O42" s="120"/>
      <c r="P42" s="120"/>
      <c r="Q42" s="120"/>
      <c r="R42" s="120"/>
      <c r="S42" s="120"/>
      <c r="T42" s="120"/>
      <c r="U42" s="120"/>
      <c r="V42" s="120"/>
      <c r="W42" s="120"/>
      <c r="X42" s="120"/>
      <c r="Y42" s="120"/>
      <c r="Z42" s="120"/>
    </row>
    <row r="43" spans="1:26" ht="12" customHeight="1">
      <c r="A43" s="87" t="s">
        <v>566</v>
      </c>
      <c r="B43" s="150">
        <f>'Sources and Uses Budget'!C43</f>
        <v>80000</v>
      </c>
      <c r="C43" s="151">
        <f>B43</f>
        <v>80000</v>
      </c>
      <c r="D43" s="151"/>
      <c r="E43" s="150">
        <f>'Sources and Uses Budget'!S43</f>
        <v>80000</v>
      </c>
      <c r="F43" s="151">
        <f>E43</f>
        <v>80000</v>
      </c>
      <c r="G43" s="151"/>
      <c r="H43" s="150">
        <f>'Sources and Uses Budget'!T43</f>
        <v>0</v>
      </c>
      <c r="I43" s="151"/>
      <c r="J43" s="151"/>
      <c r="K43" s="149"/>
      <c r="L43" s="120"/>
      <c r="M43" s="120"/>
      <c r="N43" s="120"/>
      <c r="O43" s="120"/>
      <c r="P43" s="120"/>
      <c r="Q43" s="120"/>
      <c r="R43" s="120"/>
      <c r="S43" s="120"/>
      <c r="T43" s="120"/>
      <c r="U43" s="120"/>
      <c r="V43" s="120"/>
      <c r="W43" s="120"/>
      <c r="X43" s="120"/>
      <c r="Y43" s="120"/>
      <c r="Z43" s="120"/>
    </row>
    <row r="44" spans="1:26" ht="12" customHeight="1">
      <c r="A44" s="78" t="s">
        <v>568</v>
      </c>
      <c r="B44" s="148"/>
      <c r="C44" s="148"/>
      <c r="D44" s="148"/>
      <c r="E44" s="148"/>
      <c r="F44" s="148"/>
      <c r="G44" s="148"/>
      <c r="H44" s="148"/>
      <c r="I44" s="148"/>
      <c r="J44" s="148"/>
      <c r="K44" s="149"/>
      <c r="L44" s="120"/>
      <c r="M44" s="120"/>
      <c r="N44" s="120"/>
      <c r="O44" s="120"/>
      <c r="P44" s="120"/>
      <c r="Q44" s="120"/>
      <c r="R44" s="120"/>
      <c r="S44" s="120"/>
      <c r="T44" s="120"/>
      <c r="U44" s="120"/>
      <c r="V44" s="120"/>
      <c r="W44" s="120"/>
      <c r="X44" s="120"/>
      <c r="Y44" s="120"/>
      <c r="Z44" s="120"/>
    </row>
    <row r="45" spans="1:26" ht="12" customHeight="1">
      <c r="A45" s="82" t="s">
        <v>569</v>
      </c>
      <c r="B45" s="150">
        <f>'Sources and Uses Budget'!C45</f>
        <v>8010412</v>
      </c>
      <c r="C45" s="151">
        <f t="shared" ref="C45:C46" si="15">B45</f>
        <v>8010412</v>
      </c>
      <c r="D45" s="151"/>
      <c r="E45" s="150">
        <f>'Sources and Uses Budget'!S45</f>
        <v>6422613</v>
      </c>
      <c r="F45" s="151">
        <f t="shared" ref="F45:F46" si="16">E45</f>
        <v>6422613</v>
      </c>
      <c r="G45" s="151"/>
      <c r="H45" s="150">
        <f>'Sources and Uses Budget'!T45</f>
        <v>0</v>
      </c>
      <c r="I45" s="151"/>
      <c r="J45" s="151"/>
      <c r="K45" s="149"/>
      <c r="L45" s="120"/>
      <c r="M45" s="120"/>
      <c r="N45" s="120"/>
      <c r="O45" s="120"/>
      <c r="P45" s="120"/>
      <c r="Q45" s="120"/>
      <c r="R45" s="120"/>
      <c r="S45" s="120"/>
      <c r="T45" s="120"/>
      <c r="U45" s="120"/>
      <c r="V45" s="120"/>
      <c r="W45" s="120"/>
      <c r="X45" s="120"/>
      <c r="Y45" s="120"/>
      <c r="Z45" s="120"/>
    </row>
    <row r="46" spans="1:26" ht="12" customHeight="1">
      <c r="A46" s="82" t="s">
        <v>573</v>
      </c>
      <c r="B46" s="150">
        <f>'Sources and Uses Budget'!C46</f>
        <v>635520</v>
      </c>
      <c r="C46" s="151">
        <f t="shared" si="15"/>
        <v>635520</v>
      </c>
      <c r="D46" s="151"/>
      <c r="E46" s="150">
        <f>'Sources and Uses Budget'!S46</f>
        <v>635520</v>
      </c>
      <c r="F46" s="151">
        <f t="shared" si="16"/>
        <v>635520</v>
      </c>
      <c r="G46" s="151"/>
      <c r="H46" s="150">
        <f>'Sources and Uses Budget'!T46</f>
        <v>0</v>
      </c>
      <c r="I46" s="151"/>
      <c r="J46" s="151"/>
      <c r="K46" s="149"/>
      <c r="L46" s="120"/>
      <c r="M46" s="120"/>
      <c r="N46" s="120"/>
      <c r="O46" s="120"/>
      <c r="P46" s="120"/>
      <c r="Q46" s="120"/>
      <c r="R46" s="120"/>
      <c r="S46" s="120"/>
      <c r="T46" s="120"/>
      <c r="U46" s="120"/>
      <c r="V46" s="120"/>
      <c r="W46" s="120"/>
      <c r="X46" s="120"/>
      <c r="Y46" s="120"/>
      <c r="Z46" s="120"/>
    </row>
    <row r="47" spans="1:26" ht="12" customHeight="1">
      <c r="A47" s="82" t="s">
        <v>574</v>
      </c>
      <c r="B47" s="150">
        <f>'Sources and Uses Budget'!C47</f>
        <v>0</v>
      </c>
      <c r="C47" s="151"/>
      <c r="D47" s="151"/>
      <c r="E47" s="150">
        <f>'Sources and Uses Budget'!S47</f>
        <v>0</v>
      </c>
      <c r="F47" s="151"/>
      <c r="G47" s="151"/>
      <c r="H47" s="150">
        <f>'Sources and Uses Budget'!T47</f>
        <v>0</v>
      </c>
      <c r="I47" s="151"/>
      <c r="J47" s="151"/>
      <c r="K47" s="149"/>
      <c r="L47" s="120"/>
      <c r="M47" s="120"/>
      <c r="N47" s="120"/>
      <c r="O47" s="120"/>
      <c r="P47" s="120"/>
      <c r="Q47" s="120"/>
      <c r="R47" s="120"/>
      <c r="S47" s="120"/>
      <c r="T47" s="120"/>
      <c r="U47" s="120"/>
      <c r="V47" s="120"/>
      <c r="W47" s="120"/>
      <c r="X47" s="120"/>
      <c r="Y47" s="120"/>
      <c r="Z47" s="120"/>
    </row>
    <row r="48" spans="1:26" ht="12" customHeight="1">
      <c r="A48" s="82" t="s">
        <v>576</v>
      </c>
      <c r="B48" s="150">
        <f>'Sources and Uses Budget'!C48</f>
        <v>0</v>
      </c>
      <c r="C48" s="151"/>
      <c r="D48" s="151"/>
      <c r="E48" s="150">
        <f>'Sources and Uses Budget'!S48</f>
        <v>0</v>
      </c>
      <c r="F48" s="151"/>
      <c r="G48" s="151"/>
      <c r="H48" s="150">
        <f>'Sources and Uses Budget'!T48</f>
        <v>0</v>
      </c>
      <c r="I48" s="151"/>
      <c r="J48" s="151"/>
      <c r="K48" s="149"/>
      <c r="L48" s="120"/>
      <c r="M48" s="120"/>
      <c r="N48" s="120"/>
      <c r="O48" s="120"/>
      <c r="P48" s="120"/>
      <c r="Q48" s="120"/>
      <c r="R48" s="120"/>
      <c r="S48" s="120"/>
      <c r="T48" s="120"/>
      <c r="U48" s="120"/>
      <c r="V48" s="120"/>
      <c r="W48" s="120"/>
      <c r="X48" s="120"/>
      <c r="Y48" s="120"/>
      <c r="Z48" s="120"/>
    </row>
    <row r="49" spans="1:26" ht="12" customHeight="1">
      <c r="A49" s="82" t="s">
        <v>580</v>
      </c>
      <c r="B49" s="150">
        <f>'Sources and Uses Budget'!C49</f>
        <v>275776</v>
      </c>
      <c r="C49" s="151">
        <f t="shared" ref="C49:C50" si="17">B49</f>
        <v>275776</v>
      </c>
      <c r="D49" s="151"/>
      <c r="E49" s="150">
        <f>'Sources and Uses Budget'!S49</f>
        <v>0</v>
      </c>
      <c r="F49" s="151"/>
      <c r="G49" s="151"/>
      <c r="H49" s="150">
        <f>'Sources and Uses Budget'!T49</f>
        <v>0</v>
      </c>
      <c r="I49" s="151"/>
      <c r="J49" s="151"/>
      <c r="K49" s="149"/>
      <c r="L49" s="120"/>
      <c r="M49" s="120"/>
      <c r="N49" s="120"/>
      <c r="O49" s="120"/>
      <c r="P49" s="120"/>
      <c r="Q49" s="120"/>
      <c r="R49" s="120"/>
      <c r="S49" s="120"/>
      <c r="T49" s="120"/>
      <c r="U49" s="120"/>
      <c r="V49" s="120"/>
      <c r="W49" s="120"/>
      <c r="X49" s="120"/>
      <c r="Y49" s="120"/>
      <c r="Z49" s="120"/>
    </row>
    <row r="50" spans="1:26" ht="12" customHeight="1">
      <c r="A50" s="82" t="s">
        <v>584</v>
      </c>
      <c r="B50" s="150">
        <f>'Sources and Uses Budget'!C50</f>
        <v>150000</v>
      </c>
      <c r="C50" s="151">
        <f t="shared" si="17"/>
        <v>150000</v>
      </c>
      <c r="D50" s="151"/>
      <c r="E50" s="150">
        <f>'Sources and Uses Budget'!S50</f>
        <v>150000</v>
      </c>
      <c r="F50" s="151">
        <f>E50</f>
        <v>150000</v>
      </c>
      <c r="G50" s="151"/>
      <c r="H50" s="150">
        <f>'Sources and Uses Budget'!T50</f>
        <v>0</v>
      </c>
      <c r="I50" s="151"/>
      <c r="J50" s="151"/>
      <c r="K50" s="149"/>
      <c r="L50" s="120"/>
      <c r="M50" s="120"/>
      <c r="N50" s="120"/>
      <c r="O50" s="120"/>
      <c r="P50" s="120"/>
      <c r="Q50" s="120"/>
      <c r="R50" s="120"/>
      <c r="S50" s="120"/>
      <c r="T50" s="120"/>
      <c r="U50" s="120"/>
      <c r="V50" s="120"/>
      <c r="W50" s="120"/>
      <c r="X50" s="120"/>
      <c r="Y50" s="120"/>
      <c r="Z50" s="120"/>
    </row>
    <row r="51" spans="1:26" ht="12" customHeight="1">
      <c r="A51" s="82" t="s">
        <v>585</v>
      </c>
      <c r="B51" s="150">
        <f>'Sources and Uses Budget'!C51</f>
        <v>0</v>
      </c>
      <c r="C51" s="151"/>
      <c r="D51" s="151"/>
      <c r="E51" s="150">
        <f>'Sources and Uses Budget'!S51</f>
        <v>0</v>
      </c>
      <c r="F51" s="151"/>
      <c r="G51" s="151"/>
      <c r="H51" s="150">
        <f>'Sources and Uses Budget'!T51</f>
        <v>0</v>
      </c>
      <c r="I51" s="151"/>
      <c r="J51" s="151"/>
      <c r="K51" s="149"/>
      <c r="L51" s="120"/>
      <c r="M51" s="120"/>
      <c r="N51" s="120"/>
      <c r="O51" s="120"/>
      <c r="P51" s="120"/>
      <c r="Q51" s="120"/>
      <c r="R51" s="120"/>
      <c r="S51" s="120"/>
      <c r="T51" s="120"/>
      <c r="U51" s="120"/>
      <c r="V51" s="120"/>
      <c r="W51" s="120"/>
      <c r="X51" s="120"/>
      <c r="Y51" s="120"/>
      <c r="Z51" s="120"/>
    </row>
    <row r="52" spans="1:26" ht="12" customHeight="1">
      <c r="A52" s="82" t="s">
        <v>587</v>
      </c>
      <c r="B52" s="150">
        <f>'Sources and Uses Budget'!C52</f>
        <v>141000</v>
      </c>
      <c r="C52" s="151">
        <f t="shared" ref="C52:C53" si="18">B52</f>
        <v>141000</v>
      </c>
      <c r="D52" s="151"/>
      <c r="E52" s="150">
        <f>'Sources and Uses Budget'!S52</f>
        <v>141000</v>
      </c>
      <c r="F52" s="151">
        <f t="shared" ref="F52:F53" si="19">E52</f>
        <v>141000</v>
      </c>
      <c r="G52" s="151"/>
      <c r="H52" s="150">
        <f>'Sources and Uses Budget'!T52</f>
        <v>0</v>
      </c>
      <c r="I52" s="151"/>
      <c r="J52" s="151"/>
      <c r="K52" s="149"/>
      <c r="L52" s="120"/>
      <c r="M52" s="120"/>
      <c r="N52" s="120"/>
      <c r="O52" s="120"/>
      <c r="P52" s="120"/>
      <c r="Q52" s="120"/>
      <c r="R52" s="120"/>
      <c r="S52" s="120"/>
      <c r="T52" s="120"/>
      <c r="U52" s="120"/>
      <c r="V52" s="120"/>
      <c r="W52" s="120"/>
      <c r="X52" s="120"/>
      <c r="Y52" s="120"/>
      <c r="Z52" s="120"/>
    </row>
    <row r="53" spans="1:26" ht="12" customHeight="1">
      <c r="A53" s="82" t="str">
        <f>'Sources and Uses Budget'!$A53</f>
        <v>Other: Loan Closing Costs /Underwriting</v>
      </c>
      <c r="B53" s="150">
        <f>'Sources and Uses Budget'!C53</f>
        <v>450000</v>
      </c>
      <c r="C53" s="151">
        <f t="shared" si="18"/>
        <v>450000</v>
      </c>
      <c r="D53" s="151"/>
      <c r="E53" s="150">
        <f>'Sources and Uses Budget'!S53</f>
        <v>450000</v>
      </c>
      <c r="F53" s="151">
        <f t="shared" si="19"/>
        <v>450000</v>
      </c>
      <c r="G53" s="151"/>
      <c r="H53" s="150">
        <f>'Sources and Uses Budget'!T53</f>
        <v>0</v>
      </c>
      <c r="I53" s="151"/>
      <c r="J53" s="151"/>
      <c r="K53" s="149"/>
      <c r="L53" s="120"/>
      <c r="M53" s="120"/>
      <c r="N53" s="120"/>
      <c r="O53" s="120"/>
      <c r="P53" s="120"/>
      <c r="Q53" s="120"/>
      <c r="R53" s="120"/>
      <c r="S53" s="120"/>
      <c r="T53" s="120"/>
      <c r="U53" s="120"/>
      <c r="V53" s="120"/>
      <c r="W53" s="120"/>
      <c r="X53" s="120"/>
      <c r="Y53" s="120"/>
      <c r="Z53" s="120"/>
    </row>
    <row r="54" spans="1:26" ht="12" customHeight="1">
      <c r="A54" s="87" t="s">
        <v>593</v>
      </c>
      <c r="B54" s="150">
        <f>'Sources and Uses Budget'!C54</f>
        <v>9662708</v>
      </c>
      <c r="C54" s="183">
        <f t="shared" ref="C54:D54" si="20">SUM(C45:C53)</f>
        <v>9662708</v>
      </c>
      <c r="D54" s="183">
        <f t="shared" si="20"/>
        <v>0</v>
      </c>
      <c r="E54" s="150">
        <f>'Sources and Uses Budget'!S54</f>
        <v>7799133</v>
      </c>
      <c r="F54" s="183">
        <f t="shared" ref="F54:G54" si="21">SUM(F45:F53)</f>
        <v>7799133</v>
      </c>
      <c r="G54" s="183">
        <f t="shared" si="21"/>
        <v>0</v>
      </c>
      <c r="H54" s="150">
        <f>'Sources and Uses Budget'!T54</f>
        <v>0</v>
      </c>
      <c r="I54" s="183">
        <f t="shared" ref="I54:J54" si="22">SUM(I45:I53)</f>
        <v>0</v>
      </c>
      <c r="J54" s="183">
        <f t="shared" si="22"/>
        <v>0</v>
      </c>
      <c r="K54" s="198"/>
      <c r="L54" s="138"/>
      <c r="M54" s="138"/>
      <c r="N54" s="138"/>
      <c r="O54" s="138"/>
      <c r="P54" s="138"/>
      <c r="Q54" s="138"/>
      <c r="R54" s="138"/>
      <c r="S54" s="138"/>
      <c r="T54" s="138"/>
      <c r="U54" s="138"/>
      <c r="V54" s="138"/>
      <c r="W54" s="138"/>
      <c r="X54" s="138"/>
      <c r="Y54" s="138"/>
      <c r="Z54" s="138"/>
    </row>
    <row r="55" spans="1:26" ht="12" customHeight="1">
      <c r="A55" s="78" t="s">
        <v>598</v>
      </c>
      <c r="B55" s="148"/>
      <c r="C55" s="148"/>
      <c r="D55" s="148"/>
      <c r="E55" s="148"/>
      <c r="F55" s="148"/>
      <c r="G55" s="148"/>
      <c r="H55" s="148"/>
      <c r="I55" s="148"/>
      <c r="J55" s="148"/>
      <c r="K55" s="149"/>
      <c r="L55" s="120"/>
      <c r="M55" s="120"/>
      <c r="N55" s="120"/>
      <c r="O55" s="120"/>
      <c r="P55" s="120"/>
      <c r="Q55" s="120"/>
      <c r="R55" s="120"/>
      <c r="S55" s="120"/>
      <c r="T55" s="120"/>
      <c r="U55" s="120"/>
      <c r="V55" s="120"/>
      <c r="W55" s="120"/>
      <c r="X55" s="120"/>
      <c r="Y55" s="120"/>
      <c r="Z55" s="120"/>
    </row>
    <row r="56" spans="1:26" ht="12" customHeight="1">
      <c r="A56" s="82" t="s">
        <v>602</v>
      </c>
      <c r="B56" s="150">
        <f>'Sources and Uses Budget'!C56</f>
        <v>0</v>
      </c>
      <c r="C56" s="151"/>
      <c r="D56" s="151"/>
      <c r="E56" s="152"/>
      <c r="F56" s="152"/>
      <c r="G56" s="152"/>
      <c r="H56" s="152"/>
      <c r="I56" s="152"/>
      <c r="J56" s="152"/>
      <c r="K56" s="149"/>
      <c r="L56" s="120"/>
      <c r="M56" s="120"/>
      <c r="N56" s="120"/>
      <c r="O56" s="120"/>
      <c r="P56" s="120"/>
      <c r="Q56" s="120"/>
      <c r="R56" s="120"/>
      <c r="S56" s="120"/>
      <c r="T56" s="120"/>
      <c r="U56" s="120"/>
      <c r="V56" s="120"/>
      <c r="W56" s="120"/>
      <c r="X56" s="120"/>
      <c r="Y56" s="120"/>
      <c r="Z56" s="120"/>
    </row>
    <row r="57" spans="1:26" ht="12" customHeight="1">
      <c r="A57" s="82" t="s">
        <v>574</v>
      </c>
      <c r="B57" s="150">
        <f>'Sources and Uses Budget'!C57</f>
        <v>0</v>
      </c>
      <c r="C57" s="151"/>
      <c r="D57" s="151"/>
      <c r="E57" s="152"/>
      <c r="F57" s="152"/>
      <c r="G57" s="152"/>
      <c r="H57" s="152"/>
      <c r="I57" s="152"/>
      <c r="J57" s="152"/>
      <c r="K57" s="149"/>
      <c r="L57" s="120"/>
      <c r="M57" s="120"/>
      <c r="N57" s="120"/>
      <c r="O57" s="120"/>
      <c r="P57" s="120"/>
      <c r="Q57" s="120"/>
      <c r="R57" s="120"/>
      <c r="S57" s="120"/>
      <c r="T57" s="120"/>
      <c r="U57" s="120"/>
      <c r="V57" s="120"/>
      <c r="W57" s="120"/>
      <c r="X57" s="120"/>
      <c r="Y57" s="120"/>
      <c r="Z57" s="120"/>
    </row>
    <row r="58" spans="1:26" ht="12" customHeight="1">
      <c r="A58" s="82" t="s">
        <v>584</v>
      </c>
      <c r="B58" s="150">
        <f>'Sources and Uses Budget'!C58</f>
        <v>0</v>
      </c>
      <c r="C58" s="151"/>
      <c r="D58" s="151"/>
      <c r="E58" s="152"/>
      <c r="F58" s="152"/>
      <c r="G58" s="152"/>
      <c r="H58" s="152"/>
      <c r="I58" s="152"/>
      <c r="J58" s="152"/>
      <c r="K58" s="149"/>
      <c r="L58" s="120"/>
      <c r="M58" s="120"/>
      <c r="N58" s="120"/>
      <c r="O58" s="120"/>
      <c r="P58" s="120"/>
      <c r="Q58" s="120"/>
      <c r="R58" s="120"/>
      <c r="S58" s="120"/>
      <c r="T58" s="120"/>
      <c r="U58" s="120"/>
      <c r="V58" s="120"/>
      <c r="W58" s="120"/>
      <c r="X58" s="120"/>
      <c r="Y58" s="120"/>
      <c r="Z58" s="120"/>
    </row>
    <row r="59" spans="1:26" ht="12" customHeight="1">
      <c r="A59" s="82" t="s">
        <v>585</v>
      </c>
      <c r="B59" s="150">
        <f>'Sources and Uses Budget'!C59</f>
        <v>0</v>
      </c>
      <c r="C59" s="151"/>
      <c r="D59" s="151"/>
      <c r="E59" s="152"/>
      <c r="F59" s="152"/>
      <c r="G59" s="152"/>
      <c r="H59" s="152"/>
      <c r="I59" s="152"/>
      <c r="J59" s="152"/>
      <c r="K59" s="149"/>
      <c r="L59" s="120"/>
      <c r="M59" s="120"/>
      <c r="N59" s="120"/>
      <c r="O59" s="120"/>
      <c r="P59" s="120"/>
      <c r="Q59" s="120"/>
      <c r="R59" s="120"/>
      <c r="S59" s="120"/>
      <c r="T59" s="120"/>
      <c r="U59" s="120"/>
      <c r="V59" s="120"/>
      <c r="W59" s="120"/>
      <c r="X59" s="120"/>
      <c r="Y59" s="120"/>
      <c r="Z59" s="120"/>
    </row>
    <row r="60" spans="1:26" ht="12" customHeight="1">
      <c r="A60" s="82" t="s">
        <v>587</v>
      </c>
      <c r="B60" s="150">
        <f>'Sources and Uses Budget'!C60</f>
        <v>0</v>
      </c>
      <c r="C60" s="151"/>
      <c r="D60" s="151"/>
      <c r="E60" s="152"/>
      <c r="F60" s="152"/>
      <c r="G60" s="152"/>
      <c r="H60" s="152"/>
      <c r="I60" s="152"/>
      <c r="J60" s="152"/>
      <c r="K60" s="149"/>
      <c r="L60" s="120"/>
      <c r="M60" s="120"/>
      <c r="N60" s="120"/>
      <c r="O60" s="120"/>
      <c r="P60" s="120"/>
      <c r="Q60" s="120"/>
      <c r="R60" s="120"/>
      <c r="S60" s="120"/>
      <c r="T60" s="120"/>
      <c r="U60" s="120"/>
      <c r="V60" s="120"/>
      <c r="W60" s="120"/>
      <c r="X60" s="120"/>
      <c r="Y60" s="120"/>
      <c r="Z60" s="120"/>
    </row>
    <row r="61" spans="1:26" ht="12" customHeight="1">
      <c r="A61" s="82" t="str">
        <f>'Sources and Uses Budget'!$A61</f>
        <v>Other: (Specify)</v>
      </c>
      <c r="B61" s="150">
        <f>'Sources and Uses Budget'!C61</f>
        <v>0</v>
      </c>
      <c r="C61" s="151"/>
      <c r="D61" s="151"/>
      <c r="E61" s="152"/>
      <c r="F61" s="152"/>
      <c r="G61" s="152"/>
      <c r="H61" s="152"/>
      <c r="I61" s="152"/>
      <c r="J61" s="152"/>
      <c r="K61" s="149"/>
      <c r="L61" s="120"/>
      <c r="M61" s="120"/>
      <c r="N61" s="120"/>
      <c r="O61" s="120"/>
      <c r="P61" s="120"/>
      <c r="Q61" s="120"/>
      <c r="R61" s="120"/>
      <c r="S61" s="120"/>
      <c r="T61" s="120"/>
      <c r="U61" s="120"/>
      <c r="V61" s="120"/>
      <c r="W61" s="120"/>
      <c r="X61" s="120"/>
      <c r="Y61" s="120"/>
      <c r="Z61" s="120"/>
    </row>
    <row r="62" spans="1:26" ht="13.5" customHeight="1">
      <c r="A62" s="87" t="s">
        <v>611</v>
      </c>
      <c r="B62" s="150">
        <f>'Sources and Uses Budget'!C62</f>
        <v>0</v>
      </c>
      <c r="C62" s="150">
        <f t="shared" ref="C62:D62" si="23">SUM(C56:C61)</f>
        <v>0</v>
      </c>
      <c r="D62" s="150">
        <f t="shared" si="23"/>
        <v>0</v>
      </c>
      <c r="E62" s="152"/>
      <c r="F62" s="152"/>
      <c r="G62" s="152"/>
      <c r="H62" s="152"/>
      <c r="I62" s="152"/>
      <c r="J62" s="152"/>
      <c r="K62" s="149"/>
      <c r="L62" s="120"/>
      <c r="M62" s="120"/>
      <c r="N62" s="120"/>
      <c r="O62" s="120"/>
      <c r="P62" s="120"/>
      <c r="Q62" s="120"/>
      <c r="R62" s="120"/>
      <c r="S62" s="120"/>
      <c r="T62" s="120"/>
      <c r="U62" s="120"/>
      <c r="V62" s="120"/>
      <c r="W62" s="120"/>
      <c r="X62" s="120"/>
      <c r="Y62" s="120"/>
      <c r="Z62" s="120"/>
    </row>
    <row r="63" spans="1:26" ht="12" customHeight="1">
      <c r="A63" s="110" t="s">
        <v>616</v>
      </c>
      <c r="B63" s="150">
        <f>'Sources and Uses Budget'!C63</f>
        <v>87761008</v>
      </c>
      <c r="C63" s="150">
        <f t="shared" ref="C63:D63" si="24">SUM(C8+C11+C13+C14+C15+C26+C27+C38+C42+C43+C54+C62)</f>
        <v>26761008</v>
      </c>
      <c r="D63" s="150">
        <f t="shared" si="24"/>
        <v>61000000</v>
      </c>
      <c r="E63" s="150">
        <f>'Sources and Uses Budget'!S63</f>
        <v>24897433</v>
      </c>
      <c r="F63" s="150">
        <f t="shared" ref="F63:G63" si="25">SUM(F10+F13+F14+F15+F26+F27+F38+F42+F43+F54)</f>
        <v>24897433</v>
      </c>
      <c r="G63" s="150">
        <f t="shared" si="25"/>
        <v>0</v>
      </c>
      <c r="H63" s="150">
        <f>'Sources and Uses Budget'!T63</f>
        <v>54579102</v>
      </c>
      <c r="I63" s="150">
        <f t="shared" ref="I63:J63" si="26">SUM(I11+I13+I14+I15+I26+I27+I38+I42+I43+I54)</f>
        <v>0</v>
      </c>
      <c r="J63" s="150">
        <f t="shared" si="26"/>
        <v>54579102</v>
      </c>
      <c r="K63" s="149"/>
      <c r="L63" s="120"/>
      <c r="M63" s="120"/>
      <c r="N63" s="120"/>
      <c r="O63" s="120"/>
      <c r="P63" s="120"/>
      <c r="Q63" s="120"/>
      <c r="R63" s="120"/>
      <c r="S63" s="120"/>
      <c r="T63" s="120"/>
      <c r="U63" s="120"/>
      <c r="V63" s="120"/>
      <c r="W63" s="120"/>
      <c r="X63" s="120"/>
      <c r="Y63" s="120"/>
      <c r="Z63" s="120"/>
    </row>
    <row r="64" spans="1:26" ht="12" customHeight="1">
      <c r="A64" s="78" t="s">
        <v>626</v>
      </c>
      <c r="B64" s="148"/>
      <c r="C64" s="148"/>
      <c r="D64" s="148"/>
      <c r="E64" s="148"/>
      <c r="F64" s="148"/>
      <c r="G64" s="148"/>
      <c r="H64" s="148"/>
      <c r="I64" s="148"/>
      <c r="J64" s="148"/>
      <c r="K64" s="149"/>
      <c r="L64" s="120"/>
      <c r="M64" s="120"/>
      <c r="N64" s="120"/>
      <c r="O64" s="120"/>
      <c r="P64" s="120"/>
      <c r="Q64" s="120"/>
      <c r="R64" s="120"/>
      <c r="S64" s="120"/>
      <c r="T64" s="120"/>
      <c r="U64" s="120"/>
      <c r="V64" s="120"/>
      <c r="W64" s="120"/>
      <c r="X64" s="120"/>
      <c r="Y64" s="120"/>
      <c r="Z64" s="120"/>
    </row>
    <row r="65" spans="1:26" ht="12" customHeight="1">
      <c r="A65" s="82" t="s">
        <v>628</v>
      </c>
      <c r="B65" s="150">
        <f>'Sources and Uses Budget'!C65</f>
        <v>100000</v>
      </c>
      <c r="C65" s="151">
        <f>B65</f>
        <v>100000</v>
      </c>
      <c r="D65" s="151"/>
      <c r="E65" s="150">
        <f>'Sources and Uses Budget'!S65</f>
        <v>100000</v>
      </c>
      <c r="F65" s="151">
        <f>E65</f>
        <v>100000</v>
      </c>
      <c r="G65" s="151"/>
      <c r="H65" s="150">
        <f>'Sources and Uses Budget'!T65</f>
        <v>0</v>
      </c>
      <c r="I65" s="151"/>
      <c r="J65" s="151"/>
      <c r="K65" s="149"/>
      <c r="L65" s="120"/>
      <c r="M65" s="120"/>
      <c r="N65" s="120"/>
      <c r="O65" s="120"/>
      <c r="P65" s="120"/>
      <c r="Q65" s="120"/>
      <c r="R65" s="120"/>
      <c r="S65" s="120"/>
      <c r="T65" s="120"/>
      <c r="U65" s="120"/>
      <c r="V65" s="120"/>
      <c r="W65" s="120"/>
      <c r="X65" s="120"/>
      <c r="Y65" s="120"/>
      <c r="Z65" s="120"/>
    </row>
    <row r="66" spans="1:26" ht="12" customHeight="1">
      <c r="A66" s="82" t="s">
        <v>632</v>
      </c>
      <c r="B66" s="150">
        <f>'Sources and Uses Budget'!C66</f>
        <v>0</v>
      </c>
      <c r="C66" s="151"/>
      <c r="D66" s="151"/>
      <c r="E66" s="150">
        <f>'Sources and Uses Budget'!S66</f>
        <v>0</v>
      </c>
      <c r="F66" s="151"/>
      <c r="G66" s="151"/>
      <c r="H66" s="150">
        <f>'Sources and Uses Budget'!T66</f>
        <v>0</v>
      </c>
      <c r="I66" s="151"/>
      <c r="J66" s="151"/>
      <c r="K66" s="149"/>
      <c r="L66" s="120"/>
      <c r="M66" s="120"/>
      <c r="N66" s="120"/>
      <c r="O66" s="120"/>
      <c r="P66" s="120"/>
      <c r="Q66" s="120"/>
      <c r="R66" s="120"/>
      <c r="S66" s="120"/>
      <c r="T66" s="120"/>
      <c r="U66" s="120"/>
      <c r="V66" s="120"/>
      <c r="W66" s="120"/>
      <c r="X66" s="120"/>
      <c r="Y66" s="120"/>
      <c r="Z66" s="120"/>
    </row>
    <row r="67" spans="1:26" ht="12" customHeight="1">
      <c r="A67" s="82" t="s">
        <v>635</v>
      </c>
      <c r="B67" s="150">
        <f>'Sources and Uses Budget'!C67</f>
        <v>0</v>
      </c>
      <c r="C67" s="151"/>
      <c r="D67" s="151"/>
      <c r="E67" s="150">
        <f>'Sources and Uses Budget'!S67</f>
        <v>0</v>
      </c>
      <c r="F67" s="151"/>
      <c r="G67" s="151"/>
      <c r="H67" s="150">
        <f>'Sources and Uses Budget'!T67</f>
        <v>0</v>
      </c>
      <c r="I67" s="151"/>
      <c r="J67" s="151"/>
      <c r="K67" s="149"/>
      <c r="L67" s="120"/>
      <c r="M67" s="120"/>
      <c r="N67" s="120"/>
      <c r="O67" s="120"/>
      <c r="P67" s="120"/>
      <c r="Q67" s="120"/>
      <c r="R67" s="120"/>
      <c r="S67" s="120"/>
      <c r="T67" s="120"/>
      <c r="U67" s="120"/>
      <c r="V67" s="120"/>
      <c r="W67" s="120"/>
      <c r="X67" s="120"/>
      <c r="Y67" s="120"/>
      <c r="Z67" s="120"/>
    </row>
    <row r="68" spans="1:26" ht="12" customHeight="1">
      <c r="A68" s="82" t="s">
        <v>638</v>
      </c>
      <c r="B68" s="150">
        <f>'Sources and Uses Budget'!C68</f>
        <v>0</v>
      </c>
      <c r="C68" s="151"/>
      <c r="D68" s="151"/>
      <c r="E68" s="150">
        <f>'Sources and Uses Budget'!S68</f>
        <v>0</v>
      </c>
      <c r="F68" s="151"/>
      <c r="G68" s="151"/>
      <c r="H68" s="150">
        <f>'Sources and Uses Budget'!T68</f>
        <v>0</v>
      </c>
      <c r="I68" s="151"/>
      <c r="J68" s="151"/>
      <c r="K68" s="149"/>
      <c r="L68" s="120"/>
      <c r="M68" s="120"/>
      <c r="N68" s="120"/>
      <c r="O68" s="120"/>
      <c r="P68" s="120"/>
      <c r="Q68" s="120"/>
      <c r="R68" s="120"/>
      <c r="S68" s="120"/>
      <c r="T68" s="120"/>
      <c r="U68" s="120"/>
      <c r="V68" s="120"/>
      <c r="W68" s="120"/>
      <c r="X68" s="120"/>
      <c r="Y68" s="120"/>
      <c r="Z68" s="120"/>
    </row>
    <row r="69" spans="1:26" ht="12" customHeight="1">
      <c r="A69" s="82" t="str">
        <f>'Sources and Uses Budget'!$A69</f>
        <v>Borrower Legal</v>
      </c>
      <c r="B69" s="150">
        <f>'Sources and Uses Budget'!C69</f>
        <v>150000</v>
      </c>
      <c r="C69" s="151">
        <f>B69</f>
        <v>150000</v>
      </c>
      <c r="D69" s="151"/>
      <c r="E69" s="150">
        <f>'Sources and Uses Budget'!S69</f>
        <v>112500</v>
      </c>
      <c r="F69" s="151">
        <f>E69</f>
        <v>112500</v>
      </c>
      <c r="G69" s="151"/>
      <c r="H69" s="150">
        <f>'Sources and Uses Budget'!T69</f>
        <v>0</v>
      </c>
      <c r="I69" s="151"/>
      <c r="J69" s="151"/>
      <c r="K69" s="149"/>
      <c r="L69" s="120"/>
      <c r="M69" s="120"/>
      <c r="N69" s="120"/>
      <c r="O69" s="120"/>
      <c r="P69" s="120"/>
      <c r="Q69" s="120"/>
      <c r="R69" s="120"/>
      <c r="S69" s="120"/>
      <c r="T69" s="120"/>
      <c r="U69" s="120"/>
      <c r="V69" s="120"/>
      <c r="W69" s="120"/>
      <c r="X69" s="120"/>
      <c r="Y69" s="120"/>
      <c r="Z69" s="120"/>
    </row>
    <row r="70" spans="1:26" ht="12" customHeight="1">
      <c r="A70" s="87" t="s">
        <v>1016</v>
      </c>
      <c r="B70" s="150">
        <f>'Sources and Uses Budget'!C70</f>
        <v>250000</v>
      </c>
      <c r="C70" s="150">
        <f t="shared" ref="C70:D70" si="27">SUM(C64:C69)</f>
        <v>250000</v>
      </c>
      <c r="D70" s="150">
        <f t="shared" si="27"/>
        <v>0</v>
      </c>
      <c r="E70" s="150">
        <f>'Sources and Uses Budget'!S70</f>
        <v>212500</v>
      </c>
      <c r="F70" s="183">
        <f t="shared" ref="F70:G70" si="28">SUM(F65:F69)</f>
        <v>212500</v>
      </c>
      <c r="G70" s="183">
        <f t="shared" si="28"/>
        <v>0</v>
      </c>
      <c r="H70" s="150">
        <f>'Sources and Uses Budget'!T70</f>
        <v>0</v>
      </c>
      <c r="I70" s="183">
        <f t="shared" ref="I70:J70" si="29">SUM(I65:I69)</f>
        <v>0</v>
      </c>
      <c r="J70" s="183">
        <f t="shared" si="29"/>
        <v>0</v>
      </c>
      <c r="K70" s="149"/>
      <c r="L70" s="120"/>
      <c r="M70" s="120"/>
      <c r="N70" s="120"/>
      <c r="O70" s="120"/>
      <c r="P70" s="120"/>
      <c r="Q70" s="120"/>
      <c r="R70" s="120"/>
      <c r="S70" s="120"/>
      <c r="T70" s="120"/>
      <c r="U70" s="120"/>
      <c r="V70" s="120"/>
      <c r="W70" s="120"/>
      <c r="X70" s="120"/>
      <c r="Y70" s="120"/>
      <c r="Z70" s="120"/>
    </row>
    <row r="71" spans="1:26" ht="12" customHeight="1">
      <c r="A71" s="78" t="s">
        <v>652</v>
      </c>
      <c r="B71" s="148"/>
      <c r="C71" s="148"/>
      <c r="D71" s="148"/>
      <c r="E71" s="148"/>
      <c r="F71" s="148"/>
      <c r="G71" s="148"/>
      <c r="H71" s="148"/>
      <c r="I71" s="148"/>
      <c r="J71" s="148"/>
      <c r="K71" s="149"/>
      <c r="L71" s="120"/>
      <c r="M71" s="120"/>
      <c r="N71" s="120"/>
      <c r="O71" s="120"/>
      <c r="P71" s="120"/>
      <c r="Q71" s="120"/>
      <c r="R71" s="120"/>
      <c r="S71" s="120"/>
      <c r="T71" s="120"/>
      <c r="U71" s="120"/>
      <c r="V71" s="120"/>
      <c r="W71" s="120"/>
      <c r="X71" s="120"/>
      <c r="Y71" s="120"/>
      <c r="Z71" s="120"/>
    </row>
    <row r="72" spans="1:26" ht="12" customHeight="1">
      <c r="A72" s="82" t="s">
        <v>655</v>
      </c>
      <c r="B72" s="150">
        <f>'Sources and Uses Budget'!C72</f>
        <v>0</v>
      </c>
      <c r="C72" s="151"/>
      <c r="D72" s="151"/>
      <c r="E72" s="152"/>
      <c r="F72" s="152"/>
      <c r="G72" s="152"/>
      <c r="H72" s="152"/>
      <c r="I72" s="152"/>
      <c r="J72" s="152"/>
      <c r="K72" s="149"/>
      <c r="L72" s="120"/>
      <c r="M72" s="120"/>
      <c r="N72" s="120"/>
      <c r="O72" s="120"/>
      <c r="P72" s="120"/>
      <c r="Q72" s="120"/>
      <c r="R72" s="120"/>
      <c r="S72" s="120"/>
      <c r="T72" s="120"/>
      <c r="U72" s="120"/>
      <c r="V72" s="120"/>
      <c r="W72" s="120"/>
      <c r="X72" s="120"/>
      <c r="Y72" s="120"/>
      <c r="Z72" s="120"/>
    </row>
    <row r="73" spans="1:26" ht="12" customHeight="1">
      <c r="A73" s="82" t="s">
        <v>658</v>
      </c>
      <c r="B73" s="150">
        <f>'Sources and Uses Budget'!C73</f>
        <v>0</v>
      </c>
      <c r="C73" s="151"/>
      <c r="D73" s="151"/>
      <c r="E73" s="152"/>
      <c r="F73" s="152"/>
      <c r="G73" s="152"/>
      <c r="H73" s="152"/>
      <c r="I73" s="152"/>
      <c r="J73" s="152"/>
      <c r="K73" s="149"/>
      <c r="L73" s="120"/>
      <c r="M73" s="120"/>
      <c r="N73" s="120"/>
      <c r="O73" s="120"/>
      <c r="P73" s="120"/>
      <c r="Q73" s="120"/>
      <c r="R73" s="120"/>
      <c r="S73" s="120"/>
      <c r="T73" s="120"/>
      <c r="U73" s="120"/>
      <c r="V73" s="120"/>
      <c r="W73" s="120"/>
      <c r="X73" s="120"/>
      <c r="Y73" s="120"/>
      <c r="Z73" s="120"/>
    </row>
    <row r="74" spans="1:26" ht="12" customHeight="1">
      <c r="A74" s="90" t="s">
        <v>660</v>
      </c>
      <c r="B74" s="150">
        <f>'Sources and Uses Budget'!C74</f>
        <v>0</v>
      </c>
      <c r="C74" s="151"/>
      <c r="D74" s="151"/>
      <c r="E74" s="152"/>
      <c r="F74" s="152"/>
      <c r="G74" s="152"/>
      <c r="H74" s="152"/>
      <c r="I74" s="152"/>
      <c r="J74" s="152"/>
      <c r="K74" s="149"/>
      <c r="L74" s="120"/>
      <c r="M74" s="120"/>
      <c r="N74" s="120"/>
      <c r="O74" s="120"/>
      <c r="P74" s="120"/>
      <c r="Q74" s="120"/>
      <c r="R74" s="120"/>
      <c r="S74" s="120"/>
      <c r="T74" s="120"/>
      <c r="U74" s="120"/>
      <c r="V74" s="120"/>
      <c r="W74" s="120"/>
      <c r="X74" s="120"/>
      <c r="Y74" s="120"/>
      <c r="Z74" s="120"/>
    </row>
    <row r="75" spans="1:26" ht="12" customHeight="1">
      <c r="A75" s="82" t="s">
        <v>663</v>
      </c>
      <c r="B75" s="150">
        <f>'Sources and Uses Budget'!C75</f>
        <v>1306000</v>
      </c>
      <c r="C75" s="151">
        <f t="shared" ref="C75:C76" si="30">B75</f>
        <v>1306000</v>
      </c>
      <c r="D75" s="151"/>
      <c r="E75" s="152"/>
      <c r="F75" s="152"/>
      <c r="G75" s="152"/>
      <c r="H75" s="152"/>
      <c r="I75" s="152"/>
      <c r="J75" s="152"/>
      <c r="K75" s="149"/>
      <c r="L75" s="120"/>
      <c r="M75" s="120"/>
      <c r="N75" s="120"/>
      <c r="O75" s="120"/>
      <c r="P75" s="120"/>
      <c r="Q75" s="120"/>
      <c r="R75" s="120"/>
      <c r="S75" s="120"/>
      <c r="T75" s="120"/>
      <c r="U75" s="120"/>
      <c r="V75" s="120"/>
      <c r="W75" s="120"/>
      <c r="X75" s="120"/>
      <c r="Y75" s="120"/>
      <c r="Z75" s="120"/>
    </row>
    <row r="76" spans="1:26" ht="12" customHeight="1">
      <c r="A76" s="82" t="str">
        <f>'Sources and Uses Budget'!$A76</f>
        <v xml:space="preserve">Other: Social Service Reserve </v>
      </c>
      <c r="B76" s="150">
        <f>'Sources and Uses Budget'!C76</f>
        <v>840000</v>
      </c>
      <c r="C76" s="151">
        <f t="shared" si="30"/>
        <v>840000</v>
      </c>
      <c r="D76" s="151"/>
      <c r="E76" s="152"/>
      <c r="F76" s="152"/>
      <c r="G76" s="152"/>
      <c r="H76" s="152"/>
      <c r="I76" s="152"/>
      <c r="J76" s="152"/>
      <c r="K76" s="149"/>
      <c r="L76" s="120"/>
      <c r="M76" s="120"/>
      <c r="N76" s="120"/>
      <c r="O76" s="120"/>
      <c r="P76" s="120"/>
      <c r="Q76" s="120"/>
      <c r="R76" s="120"/>
      <c r="S76" s="120"/>
      <c r="T76" s="120"/>
      <c r="U76" s="120"/>
      <c r="V76" s="120"/>
      <c r="W76" s="120"/>
      <c r="X76" s="120"/>
      <c r="Y76" s="120"/>
      <c r="Z76" s="120"/>
    </row>
    <row r="77" spans="1:26" ht="12" customHeight="1">
      <c r="A77" s="87" t="s">
        <v>670</v>
      </c>
      <c r="B77" s="150">
        <f>'Sources and Uses Budget'!C77</f>
        <v>2146000</v>
      </c>
      <c r="C77" s="150">
        <f t="shared" ref="C77:D77" si="31">SUM(C72:C76)</f>
        <v>2146000</v>
      </c>
      <c r="D77" s="150">
        <f t="shared" si="31"/>
        <v>0</v>
      </c>
      <c r="E77" s="152"/>
      <c r="F77" s="152"/>
      <c r="G77" s="152"/>
      <c r="H77" s="152"/>
      <c r="I77" s="152"/>
      <c r="J77" s="152"/>
      <c r="K77" s="149"/>
      <c r="L77" s="120"/>
      <c r="M77" s="120"/>
      <c r="N77" s="120"/>
      <c r="O77" s="120"/>
      <c r="P77" s="120"/>
      <c r="Q77" s="120"/>
      <c r="R77" s="120"/>
      <c r="S77" s="120"/>
      <c r="T77" s="120"/>
      <c r="U77" s="120"/>
      <c r="V77" s="120"/>
      <c r="W77" s="120"/>
      <c r="X77" s="120"/>
      <c r="Y77" s="120"/>
      <c r="Z77" s="120"/>
    </row>
    <row r="78" spans="1:26" ht="12" customHeight="1">
      <c r="A78" s="78" t="s">
        <v>674</v>
      </c>
      <c r="B78" s="148"/>
      <c r="C78" s="148"/>
      <c r="D78" s="148"/>
      <c r="E78" s="148"/>
      <c r="F78" s="148"/>
      <c r="G78" s="148"/>
      <c r="H78" s="148"/>
      <c r="I78" s="148"/>
      <c r="J78" s="148"/>
      <c r="K78" s="149"/>
      <c r="L78" s="120"/>
      <c r="M78" s="120"/>
      <c r="N78" s="120"/>
      <c r="O78" s="120"/>
      <c r="P78" s="120"/>
      <c r="Q78" s="120"/>
      <c r="R78" s="120"/>
      <c r="S78" s="120"/>
      <c r="T78" s="120"/>
      <c r="U78" s="120"/>
      <c r="V78" s="120"/>
      <c r="W78" s="120"/>
      <c r="X78" s="120"/>
      <c r="Y78" s="120"/>
      <c r="Z78" s="120"/>
    </row>
    <row r="79" spans="1:26" ht="12" customHeight="1">
      <c r="A79" s="82" t="s">
        <v>676</v>
      </c>
      <c r="B79" s="150">
        <f>'Sources and Uses Budget'!C79</f>
        <v>1639830</v>
      </c>
      <c r="C79" s="151">
        <f t="shared" ref="C79:C80" si="32">B79</f>
        <v>1639830</v>
      </c>
      <c r="D79" s="151"/>
      <c r="E79" s="150">
        <f>'Sources and Uses Budget'!S79</f>
        <v>1639830</v>
      </c>
      <c r="F79" s="151">
        <f t="shared" ref="F79:F80" si="33">E79</f>
        <v>1639830</v>
      </c>
      <c r="G79" s="151"/>
      <c r="H79" s="150">
        <f>'Sources and Uses Budget'!T79</f>
        <v>0</v>
      </c>
      <c r="I79" s="151"/>
      <c r="J79" s="151"/>
      <c r="K79" s="149"/>
      <c r="L79" s="120"/>
      <c r="M79" s="120"/>
      <c r="N79" s="120"/>
      <c r="O79" s="120"/>
      <c r="P79" s="120"/>
      <c r="Q79" s="120"/>
      <c r="R79" s="120"/>
      <c r="S79" s="120"/>
      <c r="T79" s="120"/>
      <c r="U79" s="120"/>
      <c r="V79" s="120"/>
      <c r="W79" s="120"/>
      <c r="X79" s="120"/>
      <c r="Y79" s="120"/>
      <c r="Z79" s="120"/>
    </row>
    <row r="80" spans="1:26" ht="12" customHeight="1">
      <c r="A80" s="82" t="s">
        <v>681</v>
      </c>
      <c r="B80" s="150">
        <f>'Sources and Uses Budget'!C80</f>
        <v>125000</v>
      </c>
      <c r="C80" s="151">
        <f t="shared" si="32"/>
        <v>125000</v>
      </c>
      <c r="D80" s="151"/>
      <c r="E80" s="150">
        <f>'Sources and Uses Budget'!S80</f>
        <v>125000</v>
      </c>
      <c r="F80" s="151">
        <f t="shared" si="33"/>
        <v>125000</v>
      </c>
      <c r="G80" s="151"/>
      <c r="H80" s="150">
        <f>'Sources and Uses Budget'!T80</f>
        <v>0</v>
      </c>
      <c r="I80" s="151"/>
      <c r="J80" s="151"/>
      <c r="K80" s="149"/>
      <c r="L80" s="120"/>
      <c r="M80" s="120"/>
      <c r="N80" s="120"/>
      <c r="O80" s="120"/>
      <c r="P80" s="120"/>
      <c r="Q80" s="120"/>
      <c r="R80" s="120"/>
      <c r="S80" s="120"/>
      <c r="T80" s="120"/>
      <c r="U80" s="120"/>
      <c r="V80" s="120"/>
      <c r="W80" s="120"/>
      <c r="X80" s="120"/>
      <c r="Y80" s="120"/>
      <c r="Z80" s="120"/>
    </row>
    <row r="81" spans="1:26" ht="12" customHeight="1">
      <c r="A81" s="87" t="s">
        <v>685</v>
      </c>
      <c r="B81" s="150">
        <f>'Sources and Uses Budget'!C81</f>
        <v>1764830</v>
      </c>
      <c r="C81" s="150">
        <f t="shared" ref="C81:D81" si="34">SUM(C79:C80)</f>
        <v>1764830</v>
      </c>
      <c r="D81" s="150">
        <f t="shared" si="34"/>
        <v>0</v>
      </c>
      <c r="E81" s="150">
        <f>'Sources and Uses Budget'!S81</f>
        <v>1764830</v>
      </c>
      <c r="F81" s="150">
        <f t="shared" ref="F81:G81" si="35">SUM(F79:F80)</f>
        <v>1764830</v>
      </c>
      <c r="G81" s="150">
        <f t="shared" si="35"/>
        <v>0</v>
      </c>
      <c r="H81" s="150">
        <f>'Sources and Uses Budget'!T81</f>
        <v>0</v>
      </c>
      <c r="I81" s="150">
        <f t="shared" ref="I81:J81" si="36">SUM(I79:I80)</f>
        <v>0</v>
      </c>
      <c r="J81" s="150">
        <f t="shared" si="36"/>
        <v>0</v>
      </c>
      <c r="K81" s="149"/>
      <c r="L81" s="120"/>
      <c r="M81" s="120"/>
      <c r="N81" s="120"/>
      <c r="O81" s="120"/>
      <c r="P81" s="120"/>
      <c r="Q81" s="120"/>
      <c r="R81" s="120"/>
      <c r="S81" s="120"/>
      <c r="T81" s="120"/>
      <c r="U81" s="120"/>
      <c r="V81" s="120"/>
      <c r="W81" s="120"/>
      <c r="X81" s="120"/>
      <c r="Y81" s="120"/>
      <c r="Z81" s="120"/>
    </row>
    <row r="82" spans="1:26" ht="12" customHeight="1">
      <c r="A82" s="78" t="s">
        <v>690</v>
      </c>
      <c r="B82" s="148"/>
      <c r="C82" s="148"/>
      <c r="D82" s="148"/>
      <c r="E82" s="148"/>
      <c r="F82" s="148"/>
      <c r="G82" s="148"/>
      <c r="H82" s="148"/>
      <c r="I82" s="148"/>
      <c r="J82" s="148"/>
      <c r="K82" s="149"/>
      <c r="L82" s="120"/>
      <c r="M82" s="120"/>
      <c r="N82" s="120"/>
      <c r="O82" s="120"/>
      <c r="P82" s="120"/>
      <c r="Q82" s="120"/>
      <c r="R82" s="120"/>
      <c r="S82" s="120"/>
      <c r="T82" s="120"/>
      <c r="U82" s="120"/>
      <c r="V82" s="120"/>
      <c r="W82" s="120"/>
      <c r="X82" s="120"/>
      <c r="Y82" s="120"/>
      <c r="Z82" s="120"/>
    </row>
    <row r="83" spans="1:26" ht="13.5" customHeight="1">
      <c r="A83" s="82" t="s">
        <v>692</v>
      </c>
      <c r="B83" s="150">
        <f>'Sources and Uses Budget'!C83</f>
        <v>141756</v>
      </c>
      <c r="C83" s="151">
        <f t="shared" ref="C83:C84" si="37">B83</f>
        <v>141756</v>
      </c>
      <c r="D83" s="151"/>
      <c r="E83" s="152"/>
      <c r="F83" s="152"/>
      <c r="G83" s="152"/>
      <c r="H83" s="152"/>
      <c r="I83" s="152"/>
      <c r="J83" s="152"/>
      <c r="K83" s="149"/>
      <c r="L83" s="120"/>
      <c r="M83" s="120"/>
      <c r="N83" s="120"/>
      <c r="O83" s="120"/>
      <c r="P83" s="120"/>
      <c r="Q83" s="120"/>
      <c r="R83" s="120"/>
      <c r="S83" s="120"/>
      <c r="T83" s="120"/>
      <c r="U83" s="120"/>
      <c r="V83" s="120"/>
      <c r="W83" s="120"/>
      <c r="X83" s="120"/>
      <c r="Y83" s="120"/>
      <c r="Z83" s="120"/>
    </row>
    <row r="84" spans="1:26" ht="12" customHeight="1">
      <c r="A84" s="82" t="s">
        <v>696</v>
      </c>
      <c r="B84" s="150">
        <f>'Sources and Uses Budget'!C84</f>
        <v>55000</v>
      </c>
      <c r="C84" s="151">
        <f t="shared" si="37"/>
        <v>55000</v>
      </c>
      <c r="D84" s="151"/>
      <c r="E84" s="150">
        <f>'Sources and Uses Budget'!S84</f>
        <v>55000</v>
      </c>
      <c r="F84" s="151">
        <f>E84</f>
        <v>55000</v>
      </c>
      <c r="G84" s="151"/>
      <c r="H84" s="150">
        <f>'Sources and Uses Budget'!T84</f>
        <v>0</v>
      </c>
      <c r="I84" s="151"/>
      <c r="J84" s="151"/>
      <c r="K84" s="149"/>
      <c r="L84" s="120"/>
      <c r="M84" s="120"/>
      <c r="N84" s="120"/>
      <c r="O84" s="120"/>
      <c r="P84" s="120"/>
      <c r="Q84" s="120"/>
      <c r="R84" s="120"/>
      <c r="S84" s="120"/>
      <c r="T84" s="120"/>
      <c r="U84" s="120"/>
      <c r="V84" s="120"/>
      <c r="W84" s="120"/>
      <c r="X84" s="120"/>
      <c r="Y84" s="120"/>
      <c r="Z84" s="120"/>
    </row>
    <row r="85" spans="1:26" ht="12" customHeight="1">
      <c r="A85" s="82" t="s">
        <v>701</v>
      </c>
      <c r="B85" s="150">
        <f>'Sources and Uses Budget'!C85</f>
        <v>0</v>
      </c>
      <c r="C85" s="151"/>
      <c r="D85" s="151"/>
      <c r="E85" s="150">
        <f>'Sources and Uses Budget'!S85</f>
        <v>0</v>
      </c>
      <c r="F85" s="151"/>
      <c r="G85" s="151"/>
      <c r="H85" s="150">
        <f>'Sources and Uses Budget'!T85</f>
        <v>0</v>
      </c>
      <c r="I85" s="151"/>
      <c r="J85" s="151"/>
      <c r="K85" s="149"/>
      <c r="L85" s="120"/>
      <c r="M85" s="120"/>
      <c r="N85" s="120"/>
      <c r="O85" s="120"/>
      <c r="P85" s="120"/>
      <c r="Q85" s="120"/>
      <c r="R85" s="120"/>
      <c r="S85" s="120"/>
      <c r="T85" s="120"/>
      <c r="U85" s="120"/>
      <c r="V85" s="120"/>
      <c r="W85" s="120"/>
      <c r="X85" s="120"/>
      <c r="Y85" s="120"/>
      <c r="Z85" s="120"/>
    </row>
    <row r="86" spans="1:26" ht="12" customHeight="1">
      <c r="A86" s="82" t="s">
        <v>704</v>
      </c>
      <c r="B86" s="150">
        <f>'Sources and Uses Budget'!C86</f>
        <v>200000</v>
      </c>
      <c r="C86" s="151">
        <f>B86</f>
        <v>200000</v>
      </c>
      <c r="D86" s="151"/>
      <c r="E86" s="150">
        <f>'Sources and Uses Budget'!S86</f>
        <v>200000</v>
      </c>
      <c r="F86" s="151">
        <f>E86</f>
        <v>200000</v>
      </c>
      <c r="G86" s="151"/>
      <c r="H86" s="150">
        <f>'Sources and Uses Budget'!T86</f>
        <v>0</v>
      </c>
      <c r="I86" s="151"/>
      <c r="J86" s="151"/>
      <c r="K86" s="149"/>
      <c r="L86" s="120"/>
      <c r="M86" s="120"/>
      <c r="N86" s="120"/>
      <c r="O86" s="120"/>
      <c r="P86" s="120"/>
      <c r="Q86" s="120"/>
      <c r="R86" s="120"/>
      <c r="S86" s="120"/>
      <c r="T86" s="120"/>
      <c r="U86" s="120"/>
      <c r="V86" s="120"/>
      <c r="W86" s="120"/>
      <c r="X86" s="120"/>
      <c r="Y86" s="120"/>
      <c r="Z86" s="120"/>
    </row>
    <row r="87" spans="1:26" ht="12" customHeight="1">
      <c r="A87" s="82" t="s">
        <v>709</v>
      </c>
      <c r="B87" s="150">
        <f>'Sources and Uses Budget'!C87</f>
        <v>0</v>
      </c>
      <c r="C87" s="151"/>
      <c r="D87" s="151"/>
      <c r="E87" s="150">
        <f>'Sources and Uses Budget'!S87</f>
        <v>0</v>
      </c>
      <c r="F87" s="151"/>
      <c r="G87" s="151"/>
      <c r="H87" s="150">
        <f>'Sources and Uses Budget'!T87</f>
        <v>0</v>
      </c>
      <c r="I87" s="151"/>
      <c r="J87" s="151"/>
      <c r="K87" s="149"/>
      <c r="L87" s="120"/>
      <c r="M87" s="120"/>
      <c r="N87" s="120"/>
      <c r="O87" s="120"/>
      <c r="P87" s="120"/>
      <c r="Q87" s="120"/>
      <c r="R87" s="120"/>
      <c r="S87" s="120"/>
      <c r="T87" s="120"/>
      <c r="U87" s="120"/>
      <c r="V87" s="120"/>
      <c r="W87" s="120"/>
      <c r="X87" s="120"/>
      <c r="Y87" s="120"/>
      <c r="Z87" s="120"/>
    </row>
    <row r="88" spans="1:26" ht="12" customHeight="1">
      <c r="A88" s="82" t="s">
        <v>711</v>
      </c>
      <c r="B88" s="150">
        <f>'Sources and Uses Budget'!C88</f>
        <v>0</v>
      </c>
      <c r="C88" s="151"/>
      <c r="D88" s="151"/>
      <c r="E88" s="152"/>
      <c r="F88" s="152"/>
      <c r="G88" s="152"/>
      <c r="H88" s="152"/>
      <c r="I88" s="152"/>
      <c r="J88" s="152"/>
      <c r="K88" s="149"/>
      <c r="L88" s="120"/>
      <c r="M88" s="120"/>
      <c r="N88" s="120"/>
      <c r="O88" s="120"/>
      <c r="P88" s="120"/>
      <c r="Q88" s="120"/>
      <c r="R88" s="120"/>
      <c r="S88" s="120"/>
      <c r="T88" s="120"/>
      <c r="U88" s="120"/>
      <c r="V88" s="120"/>
      <c r="W88" s="120"/>
      <c r="X88" s="120"/>
      <c r="Y88" s="120"/>
      <c r="Z88" s="120"/>
    </row>
    <row r="89" spans="1:26" ht="12" customHeight="1">
      <c r="A89" s="82" t="s">
        <v>714</v>
      </c>
      <c r="B89" s="150">
        <f>'Sources and Uses Budget'!C89</f>
        <v>0</v>
      </c>
      <c r="C89" s="151"/>
      <c r="D89" s="151"/>
      <c r="E89" s="150">
        <f>'Sources and Uses Budget'!S89</f>
        <v>0</v>
      </c>
      <c r="F89" s="151"/>
      <c r="G89" s="151"/>
      <c r="H89" s="150">
        <f>'Sources and Uses Budget'!T89</f>
        <v>0</v>
      </c>
      <c r="I89" s="151"/>
      <c r="J89" s="151"/>
      <c r="K89" s="149"/>
      <c r="L89" s="120"/>
      <c r="M89" s="120"/>
      <c r="N89" s="120"/>
      <c r="O89" s="120"/>
      <c r="P89" s="120"/>
      <c r="Q89" s="120"/>
      <c r="R89" s="120"/>
      <c r="S89" s="120"/>
      <c r="T89" s="120"/>
      <c r="U89" s="120"/>
      <c r="V89" s="120"/>
      <c r="W89" s="120"/>
      <c r="X89" s="120"/>
      <c r="Y89" s="120"/>
      <c r="Z89" s="120"/>
    </row>
    <row r="90" spans="1:26" ht="12" customHeight="1">
      <c r="A90" s="82" t="s">
        <v>716</v>
      </c>
      <c r="B90" s="150">
        <f>'Sources and Uses Budget'!C90</f>
        <v>30000</v>
      </c>
      <c r="C90" s="151">
        <f t="shared" ref="C90:C91" si="38">B90</f>
        <v>30000</v>
      </c>
      <c r="D90" s="151"/>
      <c r="E90" s="150">
        <f>'Sources and Uses Budget'!S90</f>
        <v>30000</v>
      </c>
      <c r="F90" s="151">
        <f>E90</f>
        <v>30000</v>
      </c>
      <c r="G90" s="151"/>
      <c r="H90" s="150">
        <f>'Sources and Uses Budget'!T90</f>
        <v>0</v>
      </c>
      <c r="I90" s="151"/>
      <c r="J90" s="151"/>
      <c r="K90" s="149"/>
      <c r="L90" s="120"/>
      <c r="M90" s="120"/>
      <c r="N90" s="120"/>
      <c r="O90" s="120"/>
      <c r="P90" s="120"/>
      <c r="Q90" s="120"/>
      <c r="R90" s="120"/>
      <c r="S90" s="120"/>
      <c r="T90" s="120"/>
      <c r="U90" s="120"/>
      <c r="V90" s="120"/>
      <c r="W90" s="120"/>
      <c r="X90" s="120"/>
      <c r="Y90" s="120"/>
      <c r="Z90" s="120"/>
    </row>
    <row r="91" spans="1:26" ht="12" customHeight="1">
      <c r="A91" s="82" t="s">
        <v>720</v>
      </c>
      <c r="B91" s="150">
        <f>'Sources and Uses Budget'!C91</f>
        <v>25000</v>
      </c>
      <c r="C91" s="151">
        <f t="shared" si="38"/>
        <v>25000</v>
      </c>
      <c r="D91" s="151"/>
      <c r="E91" s="150">
        <f>'Sources and Uses Budget'!S91</f>
        <v>0</v>
      </c>
      <c r="F91" s="151"/>
      <c r="G91" s="151"/>
      <c r="H91" s="150">
        <f>'Sources and Uses Budget'!T91</f>
        <v>0</v>
      </c>
      <c r="I91" s="151"/>
      <c r="J91" s="151"/>
      <c r="K91" s="149"/>
      <c r="L91" s="120"/>
      <c r="M91" s="120"/>
      <c r="N91" s="120"/>
      <c r="O91" s="120"/>
      <c r="P91" s="120"/>
      <c r="Q91" s="120"/>
      <c r="R91" s="120"/>
      <c r="S91" s="120"/>
      <c r="T91" s="120"/>
      <c r="U91" s="120"/>
      <c r="V91" s="120"/>
      <c r="W91" s="120"/>
      <c r="X91" s="120"/>
      <c r="Y91" s="120"/>
      <c r="Z91" s="120"/>
    </row>
    <row r="92" spans="1:26" ht="12" customHeight="1">
      <c r="A92" s="82" t="s">
        <v>724</v>
      </c>
      <c r="B92" s="150">
        <f>'Sources and Uses Budget'!C92</f>
        <v>0</v>
      </c>
      <c r="C92" s="151"/>
      <c r="D92" s="151"/>
      <c r="E92" s="150">
        <f>'Sources and Uses Budget'!S92</f>
        <v>0</v>
      </c>
      <c r="F92" s="151"/>
      <c r="G92" s="151"/>
      <c r="H92" s="150">
        <f>'Sources and Uses Budget'!T92</f>
        <v>0</v>
      </c>
      <c r="I92" s="151"/>
      <c r="J92" s="151"/>
      <c r="K92" s="149"/>
      <c r="L92" s="120"/>
      <c r="M92" s="120"/>
      <c r="N92" s="120"/>
      <c r="O92" s="120"/>
      <c r="P92" s="120"/>
      <c r="Q92" s="120"/>
      <c r="R92" s="120"/>
      <c r="S92" s="120"/>
      <c r="T92" s="120"/>
      <c r="U92" s="120"/>
      <c r="V92" s="120"/>
      <c r="W92" s="120"/>
      <c r="X92" s="120"/>
      <c r="Y92" s="120"/>
      <c r="Z92" s="120"/>
    </row>
    <row r="93" spans="1:26" ht="12" customHeight="1">
      <c r="A93" s="82" t="str">
        <f>'Sources and Uses Budget'!$A93</f>
        <v>Other: (Specify)</v>
      </c>
      <c r="B93" s="150">
        <f>'Sources and Uses Budget'!C93</f>
        <v>0</v>
      </c>
      <c r="C93" s="151"/>
      <c r="D93" s="151"/>
      <c r="E93" s="150">
        <f>'Sources and Uses Budget'!S93</f>
        <v>0</v>
      </c>
      <c r="F93" s="151"/>
      <c r="G93" s="151"/>
      <c r="H93" s="150">
        <f>'Sources and Uses Budget'!T93</f>
        <v>0</v>
      </c>
      <c r="I93" s="151"/>
      <c r="J93" s="151"/>
      <c r="K93" s="149"/>
      <c r="L93" s="120"/>
      <c r="M93" s="120"/>
      <c r="N93" s="120"/>
      <c r="O93" s="120"/>
      <c r="P93" s="120"/>
      <c r="Q93" s="120"/>
      <c r="R93" s="120"/>
      <c r="S93" s="120"/>
      <c r="T93" s="120"/>
      <c r="U93" s="120"/>
      <c r="V93" s="120"/>
      <c r="W93" s="120"/>
      <c r="X93" s="120"/>
      <c r="Y93" s="120"/>
      <c r="Z93" s="120"/>
    </row>
    <row r="94" spans="1:26" ht="12" customHeight="1">
      <c r="A94" s="82" t="str">
        <f>'Sources and Uses Budget'!$A94</f>
        <v>Other: (Specify)</v>
      </c>
      <c r="B94" s="150">
        <f>'Sources and Uses Budget'!C94</f>
        <v>0</v>
      </c>
      <c r="C94" s="151"/>
      <c r="D94" s="151"/>
      <c r="E94" s="150">
        <f>'Sources and Uses Budget'!S94</f>
        <v>0</v>
      </c>
      <c r="F94" s="151"/>
      <c r="G94" s="151"/>
      <c r="H94" s="150">
        <f>'Sources and Uses Budget'!T94</f>
        <v>0</v>
      </c>
      <c r="I94" s="151"/>
      <c r="J94" s="151"/>
      <c r="K94" s="149"/>
      <c r="L94" s="120"/>
      <c r="M94" s="120"/>
      <c r="N94" s="120"/>
      <c r="O94" s="120"/>
      <c r="P94" s="120"/>
      <c r="Q94" s="120"/>
      <c r="R94" s="120"/>
      <c r="S94" s="120"/>
      <c r="T94" s="120"/>
      <c r="U94" s="120"/>
      <c r="V94" s="120"/>
      <c r="W94" s="120"/>
      <c r="X94" s="120"/>
      <c r="Y94" s="120"/>
      <c r="Z94" s="120"/>
    </row>
    <row r="95" spans="1:26" ht="12" customHeight="1">
      <c r="A95" s="82" t="str">
        <f>'Sources and Uses Budget'!$A95</f>
        <v>Other: (Specify)</v>
      </c>
      <c r="B95" s="150">
        <f>'Sources and Uses Budget'!C95</f>
        <v>0</v>
      </c>
      <c r="C95" s="151"/>
      <c r="D95" s="151"/>
      <c r="E95" s="150">
        <f>'Sources and Uses Budget'!S95</f>
        <v>0</v>
      </c>
      <c r="F95" s="151"/>
      <c r="G95" s="151"/>
      <c r="H95" s="150">
        <f>'Sources and Uses Budget'!T95</f>
        <v>0</v>
      </c>
      <c r="I95" s="151"/>
      <c r="J95" s="151"/>
      <c r="K95" s="149"/>
      <c r="L95" s="120"/>
      <c r="M95" s="120"/>
      <c r="N95" s="120"/>
      <c r="O95" s="120"/>
      <c r="P95" s="120"/>
      <c r="Q95" s="120"/>
      <c r="R95" s="120"/>
      <c r="S95" s="120"/>
      <c r="T95" s="120"/>
      <c r="U95" s="120"/>
      <c r="V95" s="120"/>
      <c r="W95" s="120"/>
      <c r="X95" s="120"/>
      <c r="Y95" s="120"/>
      <c r="Z95" s="120"/>
    </row>
    <row r="96" spans="1:26" ht="12" customHeight="1">
      <c r="A96" s="87" t="s">
        <v>732</v>
      </c>
      <c r="B96" s="150">
        <f>'Sources and Uses Budget'!C96</f>
        <v>451756</v>
      </c>
      <c r="C96" s="150">
        <f t="shared" ref="C96:D96" si="39">SUM(C83:C95)</f>
        <v>451756</v>
      </c>
      <c r="D96" s="150">
        <f t="shared" si="39"/>
        <v>0</v>
      </c>
      <c r="E96" s="150">
        <f>'Sources and Uses Budget'!S96</f>
        <v>285000</v>
      </c>
      <c r="F96" s="183">
        <f t="shared" ref="F96:G96" si="40">SUM(F84:F87,F89:F95)</f>
        <v>285000</v>
      </c>
      <c r="G96" s="183">
        <f t="shared" si="40"/>
        <v>0</v>
      </c>
      <c r="H96" s="150">
        <f>'Sources and Uses Budget'!T96</f>
        <v>0</v>
      </c>
      <c r="I96" s="150">
        <f t="shared" ref="I96:J96" si="41">SUM(I84:I87,I89:I95)</f>
        <v>0</v>
      </c>
      <c r="J96" s="150">
        <f t="shared" si="41"/>
        <v>0</v>
      </c>
      <c r="K96" s="149"/>
      <c r="L96" s="120"/>
      <c r="M96" s="120"/>
      <c r="N96" s="120"/>
      <c r="O96" s="120"/>
      <c r="P96" s="120"/>
      <c r="Q96" s="120"/>
      <c r="R96" s="120"/>
      <c r="S96" s="120"/>
      <c r="T96" s="120"/>
      <c r="U96" s="120"/>
      <c r="V96" s="120"/>
      <c r="W96" s="120"/>
      <c r="X96" s="120"/>
      <c r="Y96" s="120"/>
      <c r="Z96" s="120"/>
    </row>
    <row r="97" spans="1:26" ht="12" customHeight="1">
      <c r="A97" s="87" t="s">
        <v>1081</v>
      </c>
      <c r="B97" s="150">
        <f>'Sources and Uses Budget'!C97</f>
        <v>92373594</v>
      </c>
      <c r="C97" s="150">
        <f t="shared" ref="C97:D97" si="42">SUM(C63+C70+C77+C81+C96)</f>
        <v>31373594</v>
      </c>
      <c r="D97" s="150">
        <f t="shared" si="42"/>
        <v>61000000</v>
      </c>
      <c r="E97" s="150">
        <f>'Sources and Uses Budget'!S97</f>
        <v>27159763</v>
      </c>
      <c r="F97" s="183">
        <f t="shared" ref="F97:G97" si="43">SUM(+F63+F70+F81+F96)</f>
        <v>27159763</v>
      </c>
      <c r="G97" s="183">
        <f t="shared" si="43"/>
        <v>0</v>
      </c>
      <c r="H97" s="150">
        <f>'Sources and Uses Budget'!T97</f>
        <v>54579102</v>
      </c>
      <c r="I97" s="183">
        <f t="shared" ref="I97:J97" si="44">SUM(I63+I70+I81+I96)</f>
        <v>0</v>
      </c>
      <c r="J97" s="183">
        <f t="shared" si="44"/>
        <v>54579102</v>
      </c>
      <c r="K97" s="149"/>
      <c r="L97" s="120"/>
      <c r="M97" s="120"/>
      <c r="N97" s="120"/>
      <c r="O97" s="120"/>
      <c r="P97" s="120"/>
      <c r="Q97" s="120"/>
      <c r="R97" s="120"/>
      <c r="S97" s="120"/>
      <c r="T97" s="120"/>
      <c r="U97" s="120"/>
      <c r="V97" s="120"/>
      <c r="W97" s="120"/>
      <c r="X97" s="120"/>
      <c r="Y97" s="120"/>
      <c r="Z97" s="120"/>
    </row>
    <row r="98" spans="1:26" ht="12" customHeight="1">
      <c r="A98" s="78" t="s">
        <v>743</v>
      </c>
      <c r="B98" s="148"/>
      <c r="C98" s="148"/>
      <c r="D98" s="148"/>
      <c r="E98" s="148"/>
      <c r="F98" s="148"/>
      <c r="G98" s="148"/>
      <c r="H98" s="148"/>
      <c r="I98" s="148"/>
      <c r="J98" s="148"/>
      <c r="K98" s="149"/>
      <c r="L98" s="120"/>
      <c r="M98" s="120"/>
      <c r="N98" s="120"/>
      <c r="O98" s="120"/>
      <c r="P98" s="120"/>
      <c r="Q98" s="120"/>
      <c r="R98" s="120"/>
      <c r="S98" s="120"/>
      <c r="T98" s="120"/>
      <c r="U98" s="120"/>
      <c r="V98" s="120"/>
      <c r="W98" s="120"/>
      <c r="X98" s="120"/>
      <c r="Y98" s="120"/>
      <c r="Z98" s="120"/>
    </row>
    <row r="99" spans="1:26" ht="12" customHeight="1">
      <c r="A99" s="82" t="s">
        <v>744</v>
      </c>
      <c r="B99" s="150">
        <f>'Sources and Uses Budget'!C99</f>
        <v>6802919</v>
      </c>
      <c r="C99" s="151">
        <f>B99</f>
        <v>6802919</v>
      </c>
      <c r="D99" s="151"/>
      <c r="E99" s="150">
        <f>'Sources and Uses Budget'!S99</f>
        <v>4073964</v>
      </c>
      <c r="F99" s="151">
        <f>E99</f>
        <v>4073964</v>
      </c>
      <c r="G99" s="151"/>
      <c r="H99" s="150">
        <f>'Sources and Uses Budget'!T99</f>
        <v>2728955</v>
      </c>
      <c r="I99" s="151"/>
      <c r="J99" s="151">
        <f>H99</f>
        <v>2728955</v>
      </c>
      <c r="K99" s="149"/>
      <c r="L99" s="120"/>
      <c r="M99" s="120"/>
      <c r="N99" s="120"/>
      <c r="O99" s="120"/>
      <c r="P99" s="120"/>
      <c r="Q99" s="120"/>
      <c r="R99" s="120"/>
      <c r="S99" s="120"/>
      <c r="T99" s="120"/>
      <c r="U99" s="120"/>
      <c r="V99" s="120"/>
      <c r="W99" s="120"/>
      <c r="X99" s="120"/>
      <c r="Y99" s="120"/>
      <c r="Z99" s="120"/>
    </row>
    <row r="100" spans="1:26" ht="12" customHeight="1">
      <c r="A100" s="82" t="s">
        <v>748</v>
      </c>
      <c r="B100" s="150">
        <f>'Sources and Uses Budget'!C100</f>
        <v>0</v>
      </c>
      <c r="C100" s="151"/>
      <c r="D100" s="151"/>
      <c r="E100" s="150">
        <f>'Sources and Uses Budget'!S100</f>
        <v>0</v>
      </c>
      <c r="F100" s="151"/>
      <c r="G100" s="151"/>
      <c r="H100" s="150">
        <f>'Sources and Uses Budget'!T100</f>
        <v>0</v>
      </c>
      <c r="I100" s="151"/>
      <c r="J100" s="151"/>
      <c r="K100" s="149"/>
      <c r="L100" s="120"/>
      <c r="M100" s="120"/>
      <c r="N100" s="120"/>
      <c r="O100" s="120"/>
      <c r="P100" s="120"/>
      <c r="Q100" s="120"/>
      <c r="R100" s="120"/>
      <c r="S100" s="120"/>
      <c r="T100" s="120"/>
      <c r="U100" s="120"/>
      <c r="V100" s="120"/>
      <c r="W100" s="120"/>
      <c r="X100" s="120"/>
      <c r="Y100" s="120"/>
      <c r="Z100" s="120"/>
    </row>
    <row r="101" spans="1:26" ht="12" customHeight="1">
      <c r="A101" s="82" t="s">
        <v>750</v>
      </c>
      <c r="B101" s="150">
        <f>'Sources and Uses Budget'!C101</f>
        <v>0</v>
      </c>
      <c r="C101" s="151"/>
      <c r="D101" s="151"/>
      <c r="E101" s="150">
        <f>'Sources and Uses Budget'!S101</f>
        <v>0</v>
      </c>
      <c r="F101" s="151"/>
      <c r="G101" s="151"/>
      <c r="H101" s="150">
        <f>'Sources and Uses Budget'!T101</f>
        <v>0</v>
      </c>
      <c r="I101" s="151"/>
      <c r="J101" s="151"/>
      <c r="K101" s="149"/>
      <c r="L101" s="120"/>
      <c r="M101" s="120"/>
      <c r="N101" s="120"/>
      <c r="O101" s="120"/>
      <c r="P101" s="120"/>
      <c r="Q101" s="120"/>
      <c r="R101" s="120"/>
      <c r="S101" s="120"/>
      <c r="T101" s="120"/>
      <c r="U101" s="120"/>
      <c r="V101" s="120"/>
      <c r="W101" s="120"/>
      <c r="X101" s="120"/>
      <c r="Y101" s="120"/>
      <c r="Z101" s="120"/>
    </row>
    <row r="102" spans="1:26" ht="12" customHeight="1">
      <c r="A102" s="82" t="s">
        <v>753</v>
      </c>
      <c r="B102" s="150">
        <f>'Sources and Uses Budget'!C102</f>
        <v>0</v>
      </c>
      <c r="C102" s="151"/>
      <c r="D102" s="151"/>
      <c r="E102" s="150">
        <f>'Sources and Uses Budget'!S102</f>
        <v>0</v>
      </c>
      <c r="F102" s="151"/>
      <c r="G102" s="151"/>
      <c r="H102" s="150">
        <f>'Sources and Uses Budget'!T102</f>
        <v>0</v>
      </c>
      <c r="I102" s="151"/>
      <c r="J102" s="151"/>
      <c r="K102" s="149"/>
      <c r="L102" s="120"/>
      <c r="M102" s="120"/>
      <c r="N102" s="120"/>
      <c r="O102" s="120"/>
      <c r="P102" s="120"/>
      <c r="Q102" s="120"/>
      <c r="R102" s="120"/>
      <c r="S102" s="120"/>
      <c r="T102" s="120"/>
      <c r="U102" s="120"/>
      <c r="V102" s="120"/>
      <c r="W102" s="120"/>
      <c r="X102" s="120"/>
      <c r="Y102" s="120"/>
      <c r="Z102" s="120"/>
    </row>
    <row r="103" spans="1:26" ht="12" customHeight="1">
      <c r="A103" s="82" t="str">
        <f>'Sources and Uses Budget'!$A103</f>
        <v>Other: (Specify)</v>
      </c>
      <c r="B103" s="150">
        <f>'Sources and Uses Budget'!C103</f>
        <v>0</v>
      </c>
      <c r="C103" s="151"/>
      <c r="D103" s="151"/>
      <c r="E103" s="150">
        <f>'Sources and Uses Budget'!S103</f>
        <v>0</v>
      </c>
      <c r="F103" s="151"/>
      <c r="G103" s="151"/>
      <c r="H103" s="150">
        <f>'Sources and Uses Budget'!T103</f>
        <v>0</v>
      </c>
      <c r="I103" s="151"/>
      <c r="J103" s="151"/>
      <c r="K103" s="149"/>
      <c r="L103" s="120"/>
      <c r="M103" s="120"/>
      <c r="N103" s="120"/>
      <c r="O103" s="120"/>
      <c r="P103" s="120"/>
      <c r="Q103" s="120"/>
      <c r="R103" s="120"/>
      <c r="S103" s="120"/>
      <c r="T103" s="120"/>
      <c r="U103" s="120"/>
      <c r="V103" s="120"/>
      <c r="W103" s="120"/>
      <c r="X103" s="120"/>
      <c r="Y103" s="120"/>
      <c r="Z103" s="120"/>
    </row>
    <row r="104" spans="1:26" ht="12" customHeight="1">
      <c r="A104" s="87" t="s">
        <v>755</v>
      </c>
      <c r="B104" s="150">
        <f>'Sources and Uses Budget'!C104</f>
        <v>6802919</v>
      </c>
      <c r="C104" s="150">
        <f t="shared" ref="C104:D104" si="45">SUM(C99:C103)</f>
        <v>6802919</v>
      </c>
      <c r="D104" s="150">
        <f t="shared" si="45"/>
        <v>0</v>
      </c>
      <c r="E104" s="150">
        <f>'Sources and Uses Budget'!S104</f>
        <v>4073964</v>
      </c>
      <c r="F104" s="183">
        <f t="shared" ref="F104:G104" si="46">SUM(F99:F103)</f>
        <v>4073964</v>
      </c>
      <c r="G104" s="183">
        <f t="shared" si="46"/>
        <v>0</v>
      </c>
      <c r="H104" s="150">
        <f>'Sources and Uses Budget'!T104</f>
        <v>2728955</v>
      </c>
      <c r="I104" s="183">
        <f t="shared" ref="I104:J104" si="47">SUM(I99:I103)</f>
        <v>0</v>
      </c>
      <c r="J104" s="183">
        <f t="shared" si="47"/>
        <v>2728955</v>
      </c>
      <c r="K104" s="149"/>
      <c r="L104" s="120"/>
      <c r="M104" s="120"/>
      <c r="N104" s="120"/>
      <c r="O104" s="120"/>
      <c r="P104" s="120"/>
      <c r="Q104" s="120"/>
      <c r="R104" s="120"/>
      <c r="S104" s="120"/>
      <c r="T104" s="120"/>
      <c r="U104" s="120"/>
      <c r="V104" s="120"/>
      <c r="W104" s="120"/>
      <c r="X104" s="120"/>
      <c r="Y104" s="120"/>
      <c r="Z104" s="120"/>
    </row>
    <row r="105" spans="1:26" ht="12" customHeight="1">
      <c r="A105" s="87" t="s">
        <v>1100</v>
      </c>
      <c r="B105" s="150">
        <f>'Sources and Uses Budget'!C105</f>
        <v>99176513</v>
      </c>
      <c r="C105" s="183">
        <f t="shared" ref="C105:D105" si="48">SUM(C97+C104)</f>
        <v>38176513</v>
      </c>
      <c r="D105" s="183">
        <f t="shared" si="48"/>
        <v>61000000</v>
      </c>
      <c r="E105" s="150">
        <f>'Sources and Uses Budget'!S105</f>
        <v>31233727</v>
      </c>
      <c r="F105" s="183">
        <f t="shared" ref="F105:G105" si="49">F97+F104</f>
        <v>31233727</v>
      </c>
      <c r="G105" s="183">
        <f t="shared" si="49"/>
        <v>0</v>
      </c>
      <c r="H105" s="150">
        <f>'Sources and Uses Budget'!T105</f>
        <v>57308057</v>
      </c>
      <c r="I105" s="183">
        <f t="shared" ref="I105:J105" si="50">I97+I104</f>
        <v>0</v>
      </c>
      <c r="J105" s="183">
        <f t="shared" si="50"/>
        <v>57308057</v>
      </c>
      <c r="K105" s="149"/>
      <c r="L105" s="120"/>
      <c r="M105" s="120"/>
      <c r="N105" s="120"/>
      <c r="O105" s="120"/>
      <c r="P105" s="120"/>
      <c r="Q105" s="120"/>
      <c r="R105" s="120"/>
      <c r="S105" s="120"/>
      <c r="T105" s="120"/>
      <c r="U105" s="120"/>
      <c r="V105" s="120"/>
      <c r="W105" s="120"/>
      <c r="X105" s="120"/>
      <c r="Y105" s="120"/>
      <c r="Z105" s="120"/>
    </row>
    <row r="106" spans="1:26" ht="12" customHeight="1">
      <c r="A106" s="133"/>
      <c r="B106" s="205"/>
      <c r="C106" s="205"/>
      <c r="D106" s="205"/>
      <c r="E106" s="150">
        <f>'Sources and Uses Budget'!S106</f>
        <v>0</v>
      </c>
      <c r="F106" s="151"/>
      <c r="G106" s="151"/>
      <c r="H106" s="150">
        <f>'Sources and Uses Budget'!T106</f>
        <v>0</v>
      </c>
      <c r="I106" s="151"/>
      <c r="J106" s="151"/>
      <c r="K106" s="149"/>
      <c r="L106" s="120"/>
      <c r="M106" s="120"/>
      <c r="N106" s="120"/>
      <c r="O106" s="120"/>
      <c r="P106" s="120"/>
      <c r="Q106" s="120"/>
      <c r="R106" s="120"/>
      <c r="S106" s="120"/>
      <c r="T106" s="120"/>
      <c r="U106" s="120"/>
      <c r="V106" s="120"/>
      <c r="W106" s="120"/>
      <c r="X106" s="120"/>
      <c r="Y106" s="120"/>
      <c r="Z106" s="120"/>
    </row>
    <row r="107" spans="1:26" ht="12" customHeight="1">
      <c r="A107" s="135"/>
      <c r="B107" s="206"/>
      <c r="C107" s="205"/>
      <c r="D107" s="207" t="s">
        <v>1106</v>
      </c>
      <c r="E107" s="150">
        <f>'Sources and Uses Budget'!S107</f>
        <v>31233727</v>
      </c>
      <c r="F107" s="183">
        <f t="shared" ref="F107:G107" si="51">F105+F106</f>
        <v>31233727</v>
      </c>
      <c r="G107" s="183">
        <f t="shared" si="51"/>
        <v>0</v>
      </c>
      <c r="H107" s="150">
        <f>'Sources and Uses Budget'!T107</f>
        <v>57308057</v>
      </c>
      <c r="I107" s="183">
        <f t="shared" ref="I107:J107" si="52">I105+I106</f>
        <v>0</v>
      </c>
      <c r="J107" s="183">
        <f t="shared" si="52"/>
        <v>57308057</v>
      </c>
      <c r="K107" s="149"/>
      <c r="L107" s="120"/>
      <c r="M107" s="120"/>
      <c r="N107" s="120"/>
      <c r="O107" s="120"/>
      <c r="P107" s="120"/>
      <c r="Q107" s="120"/>
      <c r="R107" s="120"/>
      <c r="S107" s="120"/>
      <c r="T107" s="120"/>
      <c r="U107" s="120"/>
      <c r="V107" s="120"/>
      <c r="W107" s="120"/>
      <c r="X107" s="120"/>
      <c r="Y107" s="120"/>
      <c r="Z107" s="120"/>
    </row>
    <row r="108" spans="1:26" ht="12" customHeight="1">
      <c r="A108" s="135"/>
      <c r="B108" s="119"/>
      <c r="C108" s="119"/>
      <c r="D108" s="119"/>
      <c r="E108" s="120"/>
      <c r="F108" s="120"/>
      <c r="G108" s="120"/>
      <c r="H108" s="120"/>
      <c r="I108" s="120"/>
      <c r="J108" s="208"/>
      <c r="K108" s="149"/>
      <c r="L108" s="120"/>
      <c r="M108" s="120"/>
      <c r="N108" s="120"/>
      <c r="O108" s="120"/>
      <c r="P108" s="120"/>
      <c r="Q108" s="120"/>
      <c r="R108" s="120"/>
      <c r="S108" s="120"/>
      <c r="T108" s="120"/>
      <c r="U108" s="120"/>
      <c r="V108" s="120"/>
      <c r="W108" s="120"/>
      <c r="X108" s="120"/>
      <c r="Y108" s="120"/>
      <c r="Z108" s="120"/>
    </row>
    <row r="109" spans="1:26" ht="12" customHeight="1">
      <c r="A109" s="135"/>
      <c r="B109" s="119"/>
      <c r="C109" s="119"/>
      <c r="D109" s="119"/>
      <c r="E109" s="120"/>
      <c r="F109" s="120"/>
      <c r="G109" s="120"/>
      <c r="H109" s="120"/>
      <c r="I109" s="120"/>
      <c r="J109" s="208"/>
      <c r="K109" s="149"/>
      <c r="L109" s="120"/>
      <c r="M109" s="120"/>
      <c r="N109" s="120"/>
      <c r="O109" s="120"/>
      <c r="P109" s="120"/>
      <c r="Q109" s="120"/>
      <c r="R109" s="120"/>
      <c r="S109" s="120"/>
      <c r="T109" s="120"/>
      <c r="U109" s="120"/>
      <c r="V109" s="120"/>
      <c r="W109" s="120"/>
      <c r="X109" s="120"/>
      <c r="Y109" s="120"/>
      <c r="Z109" s="120"/>
    </row>
    <row r="110" spans="1:26" ht="12" customHeight="1">
      <c r="A110" s="135"/>
      <c r="B110" s="119"/>
      <c r="C110" s="119"/>
      <c r="D110" s="119"/>
      <c r="E110" s="120"/>
      <c r="F110" s="120"/>
      <c r="G110" s="120"/>
      <c r="H110" s="120"/>
      <c r="I110" s="120"/>
      <c r="J110" s="208"/>
      <c r="K110" s="149"/>
      <c r="L110" s="120"/>
      <c r="M110" s="120"/>
      <c r="N110" s="120"/>
      <c r="O110" s="120"/>
      <c r="P110" s="120"/>
      <c r="Q110" s="120"/>
      <c r="R110" s="120"/>
      <c r="S110" s="120"/>
      <c r="T110" s="120"/>
      <c r="U110" s="120"/>
      <c r="V110" s="120"/>
      <c r="W110" s="120"/>
      <c r="X110" s="120"/>
      <c r="Y110" s="120"/>
      <c r="Z110" s="120"/>
    </row>
    <row r="111" spans="1:26" ht="12" customHeight="1">
      <c r="A111" s="19"/>
      <c r="B111" s="119"/>
      <c r="C111" s="119"/>
      <c r="D111" s="119"/>
      <c r="E111" s="120"/>
      <c r="F111" s="120"/>
      <c r="G111" s="120"/>
      <c r="H111" s="120"/>
      <c r="I111" s="120"/>
      <c r="J111" s="208"/>
      <c r="K111" s="149"/>
      <c r="L111" s="120"/>
      <c r="M111" s="120"/>
      <c r="N111" s="120"/>
      <c r="O111" s="120"/>
      <c r="P111" s="120"/>
      <c r="Q111" s="120"/>
      <c r="R111" s="120"/>
      <c r="S111" s="120"/>
      <c r="T111" s="120"/>
      <c r="U111" s="120"/>
      <c r="V111" s="120"/>
      <c r="W111" s="120"/>
      <c r="X111" s="120"/>
      <c r="Y111" s="120"/>
      <c r="Z111" s="120"/>
    </row>
    <row r="112" spans="1:26" ht="12" customHeight="1">
      <c r="A112" s="19"/>
      <c r="B112" s="119"/>
      <c r="C112" s="119"/>
      <c r="D112" s="119"/>
      <c r="E112" s="120"/>
      <c r="F112" s="120"/>
      <c r="G112" s="120"/>
      <c r="H112" s="120"/>
      <c r="I112" s="120"/>
      <c r="J112" s="208"/>
      <c r="K112" s="149"/>
      <c r="L112" s="120"/>
      <c r="M112" s="120"/>
      <c r="N112" s="120"/>
      <c r="O112" s="120"/>
      <c r="P112" s="120"/>
      <c r="Q112" s="120"/>
      <c r="R112" s="120"/>
      <c r="S112" s="120"/>
      <c r="T112" s="120"/>
      <c r="U112" s="120"/>
      <c r="V112" s="120"/>
      <c r="W112" s="120"/>
      <c r="X112" s="120"/>
      <c r="Y112" s="120"/>
      <c r="Z112" s="120"/>
    </row>
    <row r="113" spans="1:26" ht="12" customHeight="1">
      <c r="A113" s="209"/>
      <c r="B113" s="119"/>
      <c r="C113" s="119"/>
      <c r="D113" s="119"/>
      <c r="E113" s="120"/>
      <c r="F113" s="120"/>
      <c r="G113" s="120"/>
      <c r="H113" s="120"/>
      <c r="I113" s="120"/>
      <c r="J113" s="208"/>
      <c r="K113" s="149"/>
      <c r="L113" s="120"/>
      <c r="M113" s="120"/>
      <c r="N113" s="120"/>
      <c r="O113" s="120"/>
      <c r="P113" s="120"/>
      <c r="Q113" s="120"/>
      <c r="R113" s="120"/>
      <c r="S113" s="120"/>
      <c r="T113" s="120"/>
      <c r="U113" s="120"/>
      <c r="V113" s="120"/>
      <c r="W113" s="120"/>
      <c r="X113" s="120"/>
      <c r="Y113" s="120"/>
      <c r="Z113" s="120"/>
    </row>
    <row r="114" spans="1:26" ht="12" customHeight="1">
      <c r="A114" s="19"/>
      <c r="B114" s="120"/>
      <c r="C114" s="120"/>
      <c r="D114" s="120"/>
      <c r="E114" s="120"/>
      <c r="F114" s="120"/>
      <c r="G114" s="120"/>
      <c r="H114" s="120"/>
      <c r="I114" s="120"/>
      <c r="J114" s="208"/>
      <c r="K114" s="149"/>
      <c r="L114" s="120"/>
      <c r="M114" s="120"/>
      <c r="N114" s="120"/>
      <c r="O114" s="120"/>
      <c r="P114" s="120"/>
      <c r="Q114" s="120"/>
      <c r="R114" s="120"/>
      <c r="S114" s="120"/>
      <c r="T114" s="120"/>
      <c r="U114" s="120"/>
      <c r="V114" s="120"/>
      <c r="W114" s="120"/>
      <c r="X114" s="120"/>
      <c r="Y114" s="120"/>
      <c r="Z114" s="120"/>
    </row>
    <row r="115" spans="1:26" ht="12" customHeight="1">
      <c r="A115" s="209"/>
      <c r="B115" s="120"/>
      <c r="C115" s="120"/>
      <c r="D115" s="120"/>
      <c r="E115" s="120"/>
      <c r="F115" s="120"/>
      <c r="G115" s="120"/>
      <c r="H115" s="120"/>
      <c r="I115" s="120"/>
      <c r="J115" s="208"/>
      <c r="K115" s="149"/>
      <c r="L115" s="120"/>
      <c r="M115" s="120"/>
      <c r="N115" s="120"/>
      <c r="O115" s="120"/>
      <c r="P115" s="120"/>
      <c r="Q115" s="120"/>
      <c r="R115" s="120"/>
      <c r="S115" s="120"/>
      <c r="T115" s="120"/>
      <c r="U115" s="120"/>
      <c r="V115" s="120"/>
      <c r="W115" s="120"/>
      <c r="X115" s="120"/>
      <c r="Y115" s="120"/>
      <c r="Z115" s="120"/>
    </row>
    <row r="116" spans="1:26" ht="12" customHeight="1">
      <c r="A116" s="209"/>
      <c r="B116" s="120"/>
      <c r="C116" s="120"/>
      <c r="D116" s="120"/>
      <c r="E116" s="120"/>
      <c r="F116" s="120"/>
      <c r="G116" s="120"/>
      <c r="H116" s="120"/>
      <c r="I116" s="120"/>
      <c r="J116" s="208"/>
      <c r="K116" s="149"/>
      <c r="L116" s="120"/>
      <c r="M116" s="120"/>
      <c r="N116" s="120"/>
      <c r="O116" s="120"/>
      <c r="P116" s="120"/>
      <c r="Q116" s="120"/>
      <c r="R116" s="120"/>
      <c r="S116" s="120"/>
      <c r="T116" s="120"/>
      <c r="U116" s="120"/>
      <c r="V116" s="120"/>
      <c r="W116" s="120"/>
      <c r="X116" s="120"/>
      <c r="Y116" s="120"/>
      <c r="Z116" s="120"/>
    </row>
    <row r="117" spans="1:26" ht="12" customHeight="1">
      <c r="A117" s="120"/>
      <c r="B117" s="119"/>
      <c r="C117" s="119"/>
      <c r="D117" s="119"/>
      <c r="E117" s="120"/>
      <c r="F117" s="120"/>
      <c r="G117" s="120"/>
      <c r="H117" s="120"/>
      <c r="I117" s="120"/>
      <c r="J117" s="208"/>
      <c r="K117" s="149"/>
      <c r="L117" s="120"/>
      <c r="M117" s="120"/>
      <c r="N117" s="120"/>
      <c r="O117" s="120"/>
      <c r="P117" s="120"/>
      <c r="Q117" s="120"/>
      <c r="R117" s="120"/>
      <c r="S117" s="120"/>
      <c r="T117" s="120"/>
      <c r="U117" s="120"/>
      <c r="V117" s="120"/>
      <c r="W117" s="120"/>
      <c r="X117" s="120"/>
      <c r="Y117" s="120"/>
      <c r="Z117" s="120"/>
    </row>
    <row r="118" spans="1:26" ht="12" customHeight="1">
      <c r="A118" s="120"/>
      <c r="B118" s="120"/>
      <c r="C118" s="120"/>
      <c r="D118" s="120"/>
      <c r="E118" s="120"/>
      <c r="F118" s="120"/>
      <c r="G118" s="120"/>
      <c r="H118" s="120"/>
      <c r="I118" s="120"/>
      <c r="J118" s="208"/>
      <c r="K118" s="149"/>
      <c r="L118" s="120"/>
      <c r="M118" s="120"/>
      <c r="N118" s="120"/>
      <c r="O118" s="120"/>
      <c r="P118" s="120"/>
      <c r="Q118" s="120"/>
      <c r="R118" s="120"/>
      <c r="S118" s="120"/>
      <c r="T118" s="120"/>
      <c r="U118" s="120"/>
      <c r="V118" s="120"/>
      <c r="W118" s="120"/>
      <c r="X118" s="120"/>
      <c r="Y118" s="120"/>
      <c r="Z118" s="120"/>
    </row>
    <row r="119" spans="1:26" ht="12" customHeight="1">
      <c r="A119" s="120"/>
      <c r="B119" s="120"/>
      <c r="C119" s="120"/>
      <c r="D119" s="120"/>
      <c r="E119" s="120"/>
      <c r="F119" s="120"/>
      <c r="G119" s="120"/>
      <c r="H119" s="120"/>
      <c r="I119" s="120"/>
      <c r="J119" s="208"/>
      <c r="K119" s="149"/>
      <c r="L119" s="120"/>
      <c r="M119" s="120"/>
      <c r="N119" s="120"/>
      <c r="O119" s="120"/>
      <c r="P119" s="120"/>
      <c r="Q119" s="120"/>
      <c r="R119" s="120"/>
      <c r="S119" s="120"/>
      <c r="T119" s="120"/>
      <c r="U119" s="120"/>
      <c r="V119" s="120"/>
      <c r="W119" s="120"/>
      <c r="X119" s="120"/>
      <c r="Y119" s="120"/>
      <c r="Z119" s="120"/>
    </row>
    <row r="120" spans="1:26" ht="12" customHeight="1">
      <c r="A120" s="120"/>
      <c r="B120" s="120"/>
      <c r="C120" s="120"/>
      <c r="D120" s="120"/>
      <c r="E120" s="120"/>
      <c r="F120" s="120"/>
      <c r="G120" s="120"/>
      <c r="H120" s="120"/>
      <c r="I120" s="120"/>
      <c r="J120" s="208"/>
      <c r="K120" s="149"/>
      <c r="L120" s="120"/>
      <c r="M120" s="120"/>
      <c r="N120" s="120"/>
      <c r="O120" s="120"/>
      <c r="P120" s="120"/>
      <c r="Q120" s="120"/>
      <c r="R120" s="120"/>
      <c r="S120" s="120"/>
      <c r="T120" s="120"/>
      <c r="U120" s="120"/>
      <c r="V120" s="120"/>
      <c r="W120" s="120"/>
      <c r="X120" s="120"/>
      <c r="Y120" s="120"/>
      <c r="Z120" s="120"/>
    </row>
    <row r="121" spans="1:26" ht="12" customHeight="1">
      <c r="A121" s="209"/>
      <c r="B121" s="120"/>
      <c r="C121" s="120"/>
      <c r="D121" s="120"/>
      <c r="E121" s="120"/>
      <c r="F121" s="120"/>
      <c r="G121" s="120"/>
      <c r="H121" s="120"/>
      <c r="I121" s="120"/>
      <c r="J121" s="208"/>
      <c r="K121" s="149"/>
      <c r="L121" s="120"/>
      <c r="M121" s="120"/>
      <c r="N121" s="120"/>
      <c r="O121" s="120"/>
      <c r="P121" s="120"/>
      <c r="Q121" s="120"/>
      <c r="R121" s="120"/>
      <c r="S121" s="120"/>
      <c r="T121" s="120"/>
      <c r="U121" s="120"/>
      <c r="V121" s="120"/>
      <c r="W121" s="120"/>
      <c r="X121" s="120"/>
      <c r="Y121" s="120"/>
      <c r="Z121" s="120"/>
    </row>
    <row r="122" spans="1:26" ht="12" customHeight="1">
      <c r="A122" s="136"/>
      <c r="B122" s="210"/>
      <c r="C122" s="210"/>
      <c r="D122" s="210"/>
      <c r="E122" s="210"/>
      <c r="F122" s="210"/>
      <c r="G122" s="210"/>
      <c r="H122" s="210"/>
      <c r="I122" s="210"/>
      <c r="J122" s="211"/>
      <c r="K122" s="212"/>
      <c r="L122" s="210"/>
      <c r="M122" s="210"/>
      <c r="N122" s="210"/>
      <c r="O122" s="210"/>
      <c r="P122" s="210"/>
      <c r="Q122" s="210"/>
      <c r="R122" s="210"/>
      <c r="S122" s="210"/>
      <c r="T122" s="210"/>
      <c r="U122" s="210"/>
      <c r="V122" s="210"/>
      <c r="W122" s="210"/>
      <c r="X122" s="210"/>
      <c r="Y122" s="210"/>
      <c r="Z122" s="210"/>
    </row>
    <row r="123" spans="1:26" ht="12" customHeight="1">
      <c r="A123" s="121"/>
      <c r="B123" s="120"/>
      <c r="C123" s="120"/>
      <c r="D123" s="120"/>
      <c r="E123" s="120"/>
      <c r="F123" s="120"/>
      <c r="G123" s="120"/>
      <c r="H123" s="120"/>
      <c r="I123" s="120"/>
      <c r="J123" s="208"/>
      <c r="K123" s="149"/>
      <c r="L123" s="120"/>
      <c r="M123" s="120"/>
      <c r="N123" s="120"/>
      <c r="O123" s="120"/>
      <c r="P123" s="120"/>
      <c r="Q123" s="120"/>
      <c r="R123" s="120"/>
      <c r="S123" s="120"/>
      <c r="T123" s="120"/>
      <c r="U123" s="120"/>
      <c r="V123" s="120"/>
      <c r="W123" s="120"/>
      <c r="X123" s="120"/>
      <c r="Y123" s="120"/>
      <c r="Z123" s="120"/>
    </row>
    <row r="124" spans="1:26" ht="12" customHeight="1">
      <c r="A124" s="120"/>
      <c r="B124" s="214"/>
      <c r="C124" s="120"/>
      <c r="D124" s="1140"/>
      <c r="E124" s="893"/>
      <c r="F124" s="893"/>
      <c r="G124" s="893"/>
      <c r="H124" s="893"/>
      <c r="I124" s="893"/>
      <c r="J124" s="208"/>
      <c r="K124" s="149"/>
      <c r="L124" s="120"/>
      <c r="M124" s="120"/>
      <c r="N124" s="120"/>
      <c r="O124" s="120"/>
      <c r="P124" s="120"/>
      <c r="Q124" s="120"/>
      <c r="R124" s="120"/>
      <c r="S124" s="120"/>
      <c r="T124" s="120"/>
      <c r="U124" s="120"/>
      <c r="V124" s="120"/>
      <c r="W124" s="120"/>
      <c r="X124" s="120"/>
      <c r="Y124" s="120"/>
      <c r="Z124" s="120"/>
    </row>
    <row r="125" spans="1:26" ht="12" customHeight="1">
      <c r="A125" s="4"/>
      <c r="B125" s="214"/>
      <c r="C125" s="4"/>
      <c r="D125" s="893"/>
      <c r="E125" s="893"/>
      <c r="F125" s="893"/>
      <c r="G125" s="893"/>
      <c r="H125" s="893"/>
      <c r="I125" s="893"/>
      <c r="J125" s="208"/>
      <c r="K125" s="149"/>
      <c r="L125" s="120"/>
      <c r="M125" s="120"/>
      <c r="N125" s="120"/>
      <c r="O125" s="120"/>
      <c r="P125" s="120"/>
      <c r="Q125" s="120"/>
      <c r="R125" s="120"/>
      <c r="S125" s="120"/>
      <c r="T125" s="120"/>
      <c r="U125" s="120"/>
      <c r="V125" s="120"/>
      <c r="W125" s="120"/>
      <c r="X125" s="120"/>
      <c r="Y125" s="120"/>
      <c r="Z125" s="120"/>
    </row>
    <row r="126" spans="1:26" ht="12" customHeight="1">
      <c r="A126" s="4"/>
      <c r="B126" s="214"/>
      <c r="C126" s="4"/>
      <c r="D126" s="893"/>
      <c r="E126" s="893"/>
      <c r="F126" s="893"/>
      <c r="G126" s="893"/>
      <c r="H126" s="893"/>
      <c r="I126" s="893"/>
      <c r="J126" s="208"/>
      <c r="K126" s="149"/>
      <c r="L126" s="120"/>
      <c r="M126" s="120"/>
      <c r="N126" s="120"/>
      <c r="O126" s="120"/>
      <c r="P126" s="120"/>
      <c r="Q126" s="120"/>
      <c r="R126" s="120"/>
      <c r="S126" s="120"/>
      <c r="T126" s="120"/>
      <c r="U126" s="120"/>
      <c r="V126" s="120"/>
      <c r="W126" s="120"/>
      <c r="X126" s="120"/>
      <c r="Y126" s="120"/>
      <c r="Z126" s="120"/>
    </row>
    <row r="127" spans="1:26" ht="12" customHeight="1">
      <c r="A127" s="4"/>
      <c r="B127" s="214"/>
      <c r="C127" s="4"/>
      <c r="D127" s="41"/>
      <c r="E127" s="4"/>
      <c r="F127" s="4"/>
      <c r="G127" s="4"/>
      <c r="H127" s="120"/>
      <c r="I127" s="120"/>
      <c r="J127" s="208"/>
      <c r="K127" s="149"/>
      <c r="L127" s="120"/>
      <c r="M127" s="120"/>
      <c r="N127" s="120"/>
      <c r="O127" s="120"/>
      <c r="P127" s="120"/>
      <c r="Q127" s="120"/>
      <c r="R127" s="120"/>
      <c r="S127" s="120"/>
      <c r="T127" s="120"/>
      <c r="U127" s="120"/>
      <c r="V127" s="120"/>
      <c r="W127" s="120"/>
      <c r="X127" s="120"/>
      <c r="Y127" s="120"/>
      <c r="Z127" s="120"/>
    </row>
    <row r="128" spans="1:26" ht="12" customHeight="1">
      <c r="A128" s="4"/>
      <c r="B128" s="214"/>
      <c r="C128" s="4"/>
      <c r="D128" s="41"/>
      <c r="E128" s="4"/>
      <c r="F128" s="4"/>
      <c r="G128" s="4"/>
      <c r="H128" s="120"/>
      <c r="I128" s="120"/>
      <c r="J128" s="208"/>
      <c r="K128" s="149"/>
      <c r="L128" s="120"/>
      <c r="M128" s="120"/>
      <c r="N128" s="120"/>
      <c r="O128" s="120"/>
      <c r="P128" s="120"/>
      <c r="Q128" s="120"/>
      <c r="R128" s="120"/>
      <c r="S128" s="120"/>
      <c r="T128" s="120"/>
      <c r="U128" s="120"/>
      <c r="V128" s="120"/>
      <c r="W128" s="120"/>
      <c r="X128" s="120"/>
      <c r="Y128" s="120"/>
      <c r="Z128" s="120"/>
    </row>
    <row r="129" spans="1:26" ht="12" customHeight="1">
      <c r="A129" s="4"/>
      <c r="B129" s="214"/>
      <c r="C129" s="4"/>
      <c r="D129" s="4"/>
      <c r="E129" s="4"/>
      <c r="F129" s="4"/>
      <c r="G129" s="4"/>
      <c r="H129" s="120"/>
      <c r="I129" s="120"/>
      <c r="J129" s="208"/>
      <c r="K129" s="149"/>
      <c r="L129" s="120"/>
      <c r="M129" s="120"/>
      <c r="N129" s="120"/>
      <c r="O129" s="120"/>
      <c r="P129" s="120"/>
      <c r="Q129" s="120"/>
      <c r="R129" s="120"/>
      <c r="S129" s="120"/>
      <c r="T129" s="120"/>
      <c r="U129" s="120"/>
      <c r="V129" s="120"/>
      <c r="W129" s="120"/>
      <c r="X129" s="120"/>
      <c r="Y129" s="120"/>
      <c r="Z129" s="120"/>
    </row>
    <row r="130" spans="1:26" ht="12" customHeight="1">
      <c r="A130" s="4"/>
      <c r="B130" s="214"/>
      <c r="C130" s="4"/>
      <c r="D130" s="4"/>
      <c r="E130" s="4"/>
      <c r="F130" s="4"/>
      <c r="G130" s="4"/>
      <c r="H130" s="120"/>
      <c r="I130" s="120"/>
      <c r="J130" s="208"/>
      <c r="K130" s="149"/>
      <c r="L130" s="120"/>
      <c r="M130" s="120"/>
      <c r="N130" s="120"/>
      <c r="O130" s="120"/>
      <c r="P130" s="120"/>
      <c r="Q130" s="120"/>
      <c r="R130" s="120"/>
      <c r="S130" s="120"/>
      <c r="T130" s="120"/>
      <c r="U130" s="120"/>
      <c r="V130" s="120"/>
      <c r="W130" s="120"/>
      <c r="X130" s="120"/>
      <c r="Y130" s="120"/>
      <c r="Z130" s="120"/>
    </row>
    <row r="131" spans="1:26" ht="12" customHeight="1">
      <c r="A131" s="4"/>
      <c r="B131" s="140"/>
      <c r="C131" s="4"/>
      <c r="D131" s="4"/>
      <c r="E131" s="4"/>
      <c r="F131" s="4"/>
      <c r="G131" s="4"/>
      <c r="H131" s="120"/>
      <c r="I131" s="120"/>
      <c r="J131" s="208"/>
      <c r="K131" s="149"/>
      <c r="L131" s="120"/>
      <c r="M131" s="120"/>
      <c r="N131" s="120"/>
      <c r="O131" s="120"/>
      <c r="P131" s="120"/>
      <c r="Q131" s="120"/>
      <c r="R131" s="120"/>
      <c r="S131" s="120"/>
      <c r="T131" s="120"/>
      <c r="U131" s="120"/>
      <c r="V131" s="120"/>
      <c r="W131" s="120"/>
      <c r="X131" s="120"/>
      <c r="Y131" s="120"/>
      <c r="Z131" s="120"/>
    </row>
    <row r="132" spans="1:26" ht="12" customHeight="1">
      <c r="A132" s="36"/>
      <c r="B132" s="214"/>
      <c r="C132" s="4"/>
      <c r="D132" s="11"/>
      <c r="E132" s="4"/>
      <c r="F132" s="4"/>
      <c r="G132" s="4"/>
      <c r="H132" s="120"/>
      <c r="I132" s="120"/>
      <c r="J132" s="208"/>
      <c r="K132" s="149"/>
      <c r="L132" s="120"/>
      <c r="M132" s="120"/>
      <c r="N132" s="120"/>
      <c r="O132" s="120"/>
      <c r="P132" s="120"/>
      <c r="Q132" s="120"/>
      <c r="R132" s="120"/>
      <c r="S132" s="120"/>
      <c r="T132" s="120"/>
      <c r="U132" s="120"/>
      <c r="V132" s="120"/>
      <c r="W132" s="120"/>
      <c r="X132" s="120"/>
      <c r="Y132" s="120"/>
      <c r="Z132" s="120"/>
    </row>
    <row r="133" spans="1:26" ht="12" customHeight="1">
      <c r="A133" s="145"/>
      <c r="B133" s="4"/>
      <c r="C133" s="4"/>
      <c r="D133" s="4"/>
      <c r="E133" s="4"/>
      <c r="F133" s="4"/>
      <c r="G133" s="4"/>
      <c r="H133" s="120"/>
      <c r="I133" s="120"/>
      <c r="J133" s="208"/>
      <c r="K133" s="149"/>
      <c r="L133" s="120"/>
      <c r="M133" s="120"/>
      <c r="N133" s="120"/>
      <c r="O133" s="120"/>
      <c r="P133" s="120"/>
      <c r="Q133" s="120"/>
      <c r="R133" s="120"/>
      <c r="S133" s="120"/>
      <c r="T133" s="120"/>
      <c r="U133" s="120"/>
      <c r="V133" s="120"/>
      <c r="W133" s="120"/>
      <c r="X133" s="120"/>
      <c r="Y133" s="120"/>
      <c r="Z133" s="120"/>
    </row>
    <row r="134" spans="1:26" ht="12" customHeight="1">
      <c r="A134" s="145"/>
      <c r="B134" s="4"/>
      <c r="C134" s="4"/>
      <c r="D134" s="4"/>
      <c r="E134" s="4"/>
      <c r="F134" s="4"/>
      <c r="G134" s="4"/>
      <c r="H134" s="120"/>
      <c r="I134" s="120"/>
      <c r="J134" s="208"/>
      <c r="K134" s="149"/>
      <c r="L134" s="120"/>
      <c r="M134" s="120"/>
      <c r="N134" s="120"/>
      <c r="O134" s="120"/>
      <c r="P134" s="120"/>
      <c r="Q134" s="120"/>
      <c r="R134" s="120"/>
      <c r="S134" s="120"/>
      <c r="T134" s="120"/>
      <c r="U134" s="120"/>
      <c r="V134" s="120"/>
      <c r="W134" s="120"/>
      <c r="X134" s="120"/>
      <c r="Y134" s="120"/>
      <c r="Z134" s="120"/>
    </row>
    <row r="135" spans="1:26" ht="12" customHeight="1">
      <c r="A135" s="14"/>
      <c r="B135" s="4"/>
      <c r="C135" s="4"/>
      <c r="D135" s="4"/>
      <c r="E135" s="4"/>
      <c r="F135" s="4"/>
      <c r="G135" s="4"/>
      <c r="H135" s="120"/>
      <c r="I135" s="120"/>
      <c r="J135" s="208"/>
      <c r="K135" s="149"/>
      <c r="L135" s="120"/>
      <c r="M135" s="120"/>
      <c r="N135" s="120"/>
      <c r="O135" s="120"/>
      <c r="P135" s="120"/>
      <c r="Q135" s="120"/>
      <c r="R135" s="120"/>
      <c r="S135" s="120"/>
      <c r="T135" s="120"/>
      <c r="U135" s="120"/>
      <c r="V135" s="120"/>
      <c r="W135" s="120"/>
      <c r="X135" s="120"/>
      <c r="Y135" s="120"/>
      <c r="Z135" s="120"/>
    </row>
    <row r="136" spans="1:26" ht="12" customHeight="1">
      <c r="A136" s="19"/>
      <c r="B136" s="4"/>
      <c r="C136" s="4"/>
      <c r="D136" s="4"/>
      <c r="E136" s="4"/>
      <c r="F136" s="4"/>
      <c r="G136" s="4"/>
      <c r="H136" s="120"/>
      <c r="I136" s="120"/>
      <c r="J136" s="208"/>
      <c r="K136" s="149"/>
      <c r="L136" s="120"/>
      <c r="M136" s="120"/>
      <c r="N136" s="120"/>
      <c r="O136" s="120"/>
      <c r="P136" s="120"/>
      <c r="Q136" s="120"/>
      <c r="R136" s="120"/>
      <c r="S136" s="120"/>
      <c r="T136" s="120"/>
      <c r="U136" s="120"/>
      <c r="V136" s="120"/>
      <c r="W136" s="120"/>
      <c r="X136" s="120"/>
      <c r="Y136" s="120"/>
      <c r="Z136" s="120"/>
    </row>
    <row r="137" spans="1:26" ht="12" customHeight="1">
      <c r="A137" s="145"/>
      <c r="B137" s="4"/>
      <c r="C137" s="4"/>
      <c r="D137" s="4"/>
      <c r="E137" s="4"/>
      <c r="F137" s="4"/>
      <c r="G137" s="4"/>
      <c r="H137" s="154"/>
      <c r="I137" s="154"/>
      <c r="J137" s="217"/>
      <c r="K137" s="218"/>
      <c r="L137" s="154"/>
      <c r="M137" s="154"/>
      <c r="N137" s="154"/>
      <c r="O137" s="154"/>
      <c r="P137" s="154"/>
      <c r="Q137" s="154"/>
      <c r="R137" s="154"/>
      <c r="S137" s="154"/>
      <c r="T137" s="154"/>
      <c r="U137" s="154"/>
      <c r="V137" s="154"/>
      <c r="W137" s="154"/>
      <c r="X137" s="154"/>
      <c r="Y137" s="154"/>
      <c r="Z137" s="154"/>
    </row>
    <row r="138" spans="1:26" ht="12" customHeight="1">
      <c r="A138" s="145"/>
      <c r="B138" s="4"/>
      <c r="C138" s="4"/>
      <c r="D138" s="4"/>
      <c r="E138" s="4"/>
      <c r="F138" s="4"/>
      <c r="G138" s="4"/>
      <c r="H138" s="154"/>
      <c r="I138" s="154"/>
      <c r="J138" s="217"/>
      <c r="K138" s="218"/>
      <c r="L138" s="154"/>
      <c r="M138" s="154"/>
      <c r="N138" s="154"/>
      <c r="O138" s="154"/>
      <c r="P138" s="154"/>
      <c r="Q138" s="154"/>
      <c r="R138" s="154"/>
      <c r="S138" s="154"/>
      <c r="T138" s="154"/>
      <c r="U138" s="154"/>
      <c r="V138" s="154"/>
      <c r="W138" s="154"/>
      <c r="X138" s="154"/>
      <c r="Y138" s="154"/>
      <c r="Z138" s="154"/>
    </row>
    <row r="139" spans="1:26" ht="12" customHeight="1">
      <c r="A139" s="1146"/>
      <c r="B139" s="893"/>
      <c r="C139" s="893"/>
      <c r="D139" s="143"/>
      <c r="E139" s="4"/>
      <c r="F139" s="4"/>
      <c r="G139" s="4"/>
      <c r="H139" s="154"/>
      <c r="I139" s="154"/>
      <c r="J139" s="217"/>
      <c r="K139" s="218"/>
      <c r="L139" s="154"/>
      <c r="M139" s="154"/>
      <c r="N139" s="154"/>
      <c r="O139" s="154"/>
      <c r="P139" s="154"/>
      <c r="Q139" s="154"/>
      <c r="R139" s="154"/>
      <c r="S139" s="154"/>
      <c r="T139" s="154"/>
      <c r="U139" s="154"/>
      <c r="V139" s="154"/>
      <c r="W139" s="154"/>
      <c r="X139" s="154"/>
      <c r="Y139" s="154"/>
      <c r="Z139" s="154"/>
    </row>
    <row r="140" spans="1:26" ht="12" customHeight="1">
      <c r="A140" s="895"/>
      <c r="B140" s="893"/>
      <c r="C140" s="893"/>
      <c r="D140" s="143"/>
      <c r="E140" s="4"/>
      <c r="F140" s="4"/>
      <c r="G140" s="4"/>
      <c r="H140" s="154"/>
      <c r="I140" s="154"/>
      <c r="J140" s="217"/>
      <c r="K140" s="218"/>
      <c r="L140" s="154"/>
      <c r="M140" s="154"/>
      <c r="N140" s="154"/>
      <c r="O140" s="154"/>
      <c r="P140" s="154"/>
      <c r="Q140" s="154"/>
      <c r="R140" s="154"/>
      <c r="S140" s="154"/>
      <c r="T140" s="154"/>
      <c r="U140" s="154"/>
      <c r="V140" s="154"/>
      <c r="W140" s="154"/>
      <c r="X140" s="154"/>
      <c r="Y140" s="154"/>
      <c r="Z140" s="154"/>
    </row>
    <row r="141" spans="1:26" ht="12" customHeight="1">
      <c r="A141" s="145"/>
      <c r="B141" s="4"/>
      <c r="C141" s="4"/>
      <c r="D141" s="143"/>
      <c r="E141" s="4"/>
      <c r="F141" s="4"/>
      <c r="G141" s="4"/>
      <c r="H141" s="217"/>
      <c r="I141" s="217"/>
      <c r="J141" s="217"/>
      <c r="K141" s="218"/>
      <c r="L141" s="154"/>
      <c r="M141" s="154"/>
      <c r="N141" s="154"/>
      <c r="O141" s="154"/>
      <c r="P141" s="154"/>
      <c r="Q141" s="154"/>
      <c r="R141" s="154"/>
      <c r="S141" s="154"/>
      <c r="T141" s="154"/>
      <c r="U141" s="154"/>
      <c r="V141" s="154"/>
      <c r="W141" s="154"/>
      <c r="X141" s="154"/>
      <c r="Y141" s="154"/>
      <c r="Z141" s="154"/>
    </row>
    <row r="142" spans="1:26" ht="12" customHeight="1">
      <c r="A142" s="219"/>
      <c r="B142" s="143"/>
      <c r="C142" s="143"/>
      <c r="D142" s="143"/>
      <c r="E142" s="4"/>
      <c r="F142" s="4"/>
      <c r="G142" s="4"/>
      <c r="H142" s="217"/>
      <c r="I142" s="217"/>
      <c r="J142" s="217"/>
      <c r="K142" s="218"/>
      <c r="L142" s="154"/>
      <c r="M142" s="154"/>
      <c r="N142" s="154"/>
      <c r="O142" s="154"/>
      <c r="P142" s="154"/>
      <c r="Q142" s="154"/>
      <c r="R142" s="154"/>
      <c r="S142" s="154"/>
      <c r="T142" s="154"/>
      <c r="U142" s="154"/>
      <c r="V142" s="154"/>
      <c r="W142" s="154"/>
      <c r="X142" s="154"/>
      <c r="Y142" s="154"/>
      <c r="Z142" s="154"/>
    </row>
    <row r="143" spans="1:26" ht="12" customHeight="1">
      <c r="A143" s="220"/>
      <c r="B143" s="154"/>
      <c r="C143" s="154"/>
      <c r="D143" s="154"/>
      <c r="E143" s="154"/>
      <c r="F143" s="154"/>
      <c r="G143" s="154"/>
      <c r="H143" s="154"/>
      <c r="I143" s="154"/>
      <c r="J143" s="217"/>
      <c r="K143" s="218"/>
      <c r="L143" s="154"/>
      <c r="M143" s="154"/>
      <c r="N143" s="154"/>
      <c r="O143" s="154"/>
      <c r="P143" s="154"/>
      <c r="Q143" s="154"/>
      <c r="R143" s="154"/>
      <c r="S143" s="154"/>
      <c r="T143" s="154"/>
      <c r="U143" s="154"/>
      <c r="V143" s="154"/>
      <c r="W143" s="154"/>
      <c r="X143" s="154"/>
      <c r="Y143" s="154"/>
      <c r="Z143" s="154"/>
    </row>
    <row r="144" spans="1:26" ht="12" customHeight="1">
      <c r="A144" s="220"/>
      <c r="B144" s="154"/>
      <c r="C144" s="154"/>
      <c r="D144" s="154"/>
      <c r="E144" s="154"/>
      <c r="F144" s="154"/>
      <c r="G144" s="154"/>
      <c r="H144" s="154"/>
      <c r="I144" s="154"/>
      <c r="J144" s="217"/>
      <c r="K144" s="218"/>
      <c r="L144" s="154"/>
      <c r="M144" s="154"/>
      <c r="N144" s="154"/>
      <c r="O144" s="154"/>
      <c r="P144" s="154"/>
      <c r="Q144" s="154"/>
      <c r="R144" s="154"/>
      <c r="S144" s="154"/>
      <c r="T144" s="154"/>
      <c r="U144" s="154"/>
      <c r="V144" s="154"/>
      <c r="W144" s="154"/>
      <c r="X144" s="154"/>
      <c r="Y144" s="154"/>
      <c r="Z144" s="154"/>
    </row>
    <row r="145" spans="1:26" ht="12" customHeight="1">
      <c r="A145" s="220"/>
      <c r="B145" s="154"/>
      <c r="C145" s="154"/>
      <c r="D145" s="154"/>
      <c r="E145" s="154"/>
      <c r="F145" s="154"/>
      <c r="G145" s="154"/>
      <c r="H145" s="154"/>
      <c r="I145" s="154"/>
      <c r="J145" s="217"/>
      <c r="K145" s="218"/>
      <c r="L145" s="154"/>
      <c r="M145" s="154"/>
      <c r="N145" s="154"/>
      <c r="O145" s="154"/>
      <c r="P145" s="154"/>
      <c r="Q145" s="154"/>
      <c r="R145" s="154"/>
      <c r="S145" s="154"/>
      <c r="T145" s="154"/>
      <c r="U145" s="154"/>
      <c r="V145" s="154"/>
      <c r="W145" s="154"/>
      <c r="X145" s="154"/>
      <c r="Y145" s="154"/>
      <c r="Z145" s="154"/>
    </row>
    <row r="146" spans="1:26" ht="12" customHeight="1">
      <c r="A146" s="220"/>
      <c r="B146" s="154"/>
      <c r="C146" s="154"/>
      <c r="D146" s="154"/>
      <c r="E146" s="154"/>
      <c r="F146" s="154"/>
      <c r="G146" s="154"/>
      <c r="H146" s="154"/>
      <c r="I146" s="154"/>
      <c r="J146" s="217"/>
      <c r="K146" s="218"/>
      <c r="L146" s="154"/>
      <c r="M146" s="154"/>
      <c r="N146" s="154"/>
      <c r="O146" s="154"/>
      <c r="P146" s="154"/>
      <c r="Q146" s="154"/>
      <c r="R146" s="154"/>
      <c r="S146" s="154"/>
      <c r="T146" s="154"/>
      <c r="U146" s="154"/>
      <c r="V146" s="154"/>
      <c r="W146" s="154"/>
      <c r="X146" s="154"/>
      <c r="Y146" s="154"/>
      <c r="Z146" s="154"/>
    </row>
    <row r="147" spans="1:26" ht="12" customHeight="1">
      <c r="A147" s="220"/>
      <c r="B147" s="154"/>
      <c r="C147" s="154"/>
      <c r="D147" s="154"/>
      <c r="E147" s="154"/>
      <c r="F147" s="154"/>
      <c r="G147" s="154"/>
      <c r="H147" s="154"/>
      <c r="I147" s="154"/>
      <c r="J147" s="217"/>
      <c r="K147" s="218"/>
      <c r="L147" s="154"/>
      <c r="M147" s="154"/>
      <c r="N147" s="154"/>
      <c r="O147" s="154"/>
      <c r="P147" s="154"/>
      <c r="Q147" s="154"/>
      <c r="R147" s="154"/>
      <c r="S147" s="154"/>
      <c r="T147" s="154"/>
      <c r="U147" s="154"/>
      <c r="V147" s="154"/>
      <c r="W147" s="154"/>
      <c r="X147" s="154"/>
      <c r="Y147" s="154"/>
      <c r="Z147" s="154"/>
    </row>
    <row r="148" spans="1:26" ht="12" customHeight="1">
      <c r="A148" s="220"/>
      <c r="B148" s="154"/>
      <c r="C148" s="154"/>
      <c r="D148" s="154"/>
      <c r="E148" s="154"/>
      <c r="F148" s="154"/>
      <c r="G148" s="154"/>
      <c r="H148" s="154"/>
      <c r="I148" s="154"/>
      <c r="J148" s="217"/>
      <c r="K148" s="218"/>
      <c r="L148" s="154"/>
      <c r="M148" s="154"/>
      <c r="N148" s="154"/>
      <c r="O148" s="154"/>
      <c r="P148" s="154"/>
      <c r="Q148" s="154"/>
      <c r="R148" s="154"/>
      <c r="S148" s="154"/>
      <c r="T148" s="154"/>
      <c r="U148" s="154"/>
      <c r="V148" s="154"/>
      <c r="W148" s="154"/>
      <c r="X148" s="154"/>
      <c r="Y148" s="154"/>
      <c r="Z148" s="154"/>
    </row>
    <row r="149" spans="1:26" ht="12" customHeight="1">
      <c r="A149" s="220"/>
      <c r="B149" s="154"/>
      <c r="C149" s="154"/>
      <c r="D149" s="154"/>
      <c r="E149" s="154"/>
      <c r="F149" s="154"/>
      <c r="G149" s="154"/>
      <c r="H149" s="154"/>
      <c r="I149" s="154"/>
      <c r="J149" s="217"/>
      <c r="K149" s="218"/>
      <c r="L149" s="154"/>
      <c r="M149" s="154"/>
      <c r="N149" s="154"/>
      <c r="O149" s="154"/>
      <c r="P149" s="154"/>
      <c r="Q149" s="154"/>
      <c r="R149" s="154"/>
      <c r="S149" s="154"/>
      <c r="T149" s="154"/>
      <c r="U149" s="154"/>
      <c r="V149" s="154"/>
      <c r="W149" s="154"/>
      <c r="X149" s="154"/>
      <c r="Y149" s="154"/>
      <c r="Z149" s="154"/>
    </row>
    <row r="150" spans="1:26" ht="12" customHeight="1">
      <c r="A150" s="220"/>
      <c r="B150" s="154"/>
      <c r="C150" s="154"/>
      <c r="D150" s="154"/>
      <c r="E150" s="154"/>
      <c r="F150" s="154"/>
      <c r="G150" s="154"/>
      <c r="H150" s="154"/>
      <c r="I150" s="154"/>
      <c r="J150" s="217"/>
      <c r="K150" s="218"/>
      <c r="L150" s="154"/>
      <c r="M150" s="154"/>
      <c r="N150" s="154"/>
      <c r="O150" s="154"/>
      <c r="P150" s="154"/>
      <c r="Q150" s="154"/>
      <c r="R150" s="154"/>
      <c r="S150" s="154"/>
      <c r="T150" s="154"/>
      <c r="U150" s="154"/>
      <c r="V150" s="154"/>
      <c r="W150" s="154"/>
      <c r="X150" s="154"/>
      <c r="Y150" s="154"/>
      <c r="Z150" s="154"/>
    </row>
    <row r="151" spans="1:26" ht="12" customHeight="1">
      <c r="A151" s="220"/>
      <c r="B151" s="154"/>
      <c r="C151" s="154"/>
      <c r="D151" s="154"/>
      <c r="E151" s="154"/>
      <c r="F151" s="154"/>
      <c r="G151" s="154"/>
      <c r="H151" s="154"/>
      <c r="I151" s="154"/>
      <c r="J151" s="217"/>
      <c r="K151" s="218"/>
      <c r="L151" s="154"/>
      <c r="M151" s="154"/>
      <c r="N151" s="154"/>
      <c r="O151" s="154"/>
      <c r="P151" s="154"/>
      <c r="Q151" s="154"/>
      <c r="R151" s="154"/>
      <c r="S151" s="154"/>
      <c r="T151" s="154"/>
      <c r="U151" s="154"/>
      <c r="V151" s="154"/>
      <c r="W151" s="154"/>
      <c r="X151" s="154"/>
      <c r="Y151" s="154"/>
      <c r="Z151" s="154"/>
    </row>
    <row r="152" spans="1:26" ht="12" customHeight="1">
      <c r="A152" s="220"/>
      <c r="B152" s="154"/>
      <c r="C152" s="154"/>
      <c r="D152" s="154"/>
      <c r="E152" s="154"/>
      <c r="F152" s="154"/>
      <c r="G152" s="154"/>
      <c r="H152" s="154"/>
      <c r="I152" s="154"/>
      <c r="J152" s="217"/>
      <c r="K152" s="218"/>
      <c r="L152" s="154"/>
      <c r="M152" s="154"/>
      <c r="N152" s="154"/>
      <c r="O152" s="154"/>
      <c r="P152" s="154"/>
      <c r="Q152" s="154"/>
      <c r="R152" s="154"/>
      <c r="S152" s="154"/>
      <c r="T152" s="154"/>
      <c r="U152" s="154"/>
      <c r="V152" s="154"/>
      <c r="W152" s="154"/>
      <c r="X152" s="154"/>
      <c r="Y152" s="154"/>
      <c r="Z152" s="154"/>
    </row>
    <row r="153" spans="1:26" ht="12" customHeight="1">
      <c r="A153" s="220"/>
      <c r="B153" s="154"/>
      <c r="C153" s="154"/>
      <c r="D153" s="154"/>
      <c r="E153" s="154"/>
      <c r="F153" s="154"/>
      <c r="G153" s="154"/>
      <c r="H153" s="154"/>
      <c r="I153" s="154"/>
      <c r="J153" s="217"/>
      <c r="K153" s="218"/>
      <c r="L153" s="154"/>
      <c r="M153" s="154"/>
      <c r="N153" s="154"/>
      <c r="O153" s="154"/>
      <c r="P153" s="154"/>
      <c r="Q153" s="154"/>
      <c r="R153" s="154"/>
      <c r="S153" s="154"/>
      <c r="T153" s="154"/>
      <c r="U153" s="154"/>
      <c r="V153" s="154"/>
      <c r="W153" s="154"/>
      <c r="X153" s="154"/>
      <c r="Y153" s="154"/>
      <c r="Z153" s="154"/>
    </row>
    <row r="154" spans="1:26" ht="12" customHeight="1">
      <c r="A154" s="220"/>
      <c r="B154" s="154"/>
      <c r="C154" s="154"/>
      <c r="D154" s="154"/>
      <c r="E154" s="154"/>
      <c r="F154" s="154"/>
      <c r="G154" s="154"/>
      <c r="H154" s="154"/>
      <c r="I154" s="154"/>
      <c r="J154" s="217"/>
      <c r="K154" s="218"/>
      <c r="L154" s="154"/>
      <c r="M154" s="154"/>
      <c r="N154" s="154"/>
      <c r="O154" s="154"/>
      <c r="P154" s="154"/>
      <c r="Q154" s="154"/>
      <c r="R154" s="154"/>
      <c r="S154" s="154"/>
      <c r="T154" s="154"/>
      <c r="U154" s="154"/>
      <c r="V154" s="154"/>
      <c r="W154" s="154"/>
      <c r="X154" s="154"/>
      <c r="Y154" s="154"/>
      <c r="Z154" s="154"/>
    </row>
    <row r="155" spans="1:26" ht="12" customHeight="1">
      <c r="A155" s="220"/>
      <c r="B155" s="154"/>
      <c r="C155" s="154"/>
      <c r="D155" s="154"/>
      <c r="E155" s="154"/>
      <c r="F155" s="154"/>
      <c r="G155" s="154"/>
      <c r="H155" s="154"/>
      <c r="I155" s="154"/>
      <c r="J155" s="217"/>
      <c r="K155" s="218"/>
      <c r="L155" s="154"/>
      <c r="M155" s="154"/>
      <c r="N155" s="154"/>
      <c r="O155" s="154"/>
      <c r="P155" s="154"/>
      <c r="Q155" s="154"/>
      <c r="R155" s="154"/>
      <c r="S155" s="154"/>
      <c r="T155" s="154"/>
      <c r="U155" s="154"/>
      <c r="V155" s="154"/>
      <c r="W155" s="154"/>
      <c r="X155" s="154"/>
      <c r="Y155" s="154"/>
      <c r="Z155" s="154"/>
    </row>
    <row r="156" spans="1:26" ht="12" customHeight="1">
      <c r="A156" s="220"/>
      <c r="B156" s="154"/>
      <c r="C156" s="154"/>
      <c r="D156" s="154"/>
      <c r="E156" s="154"/>
      <c r="F156" s="154"/>
      <c r="G156" s="154"/>
      <c r="H156" s="154"/>
      <c r="I156" s="154"/>
      <c r="J156" s="217"/>
      <c r="K156" s="218"/>
      <c r="L156" s="154"/>
      <c r="M156" s="154"/>
      <c r="N156" s="154"/>
      <c r="O156" s="154"/>
      <c r="P156" s="154"/>
      <c r="Q156" s="154"/>
      <c r="R156" s="154"/>
      <c r="S156" s="154"/>
      <c r="T156" s="154"/>
      <c r="U156" s="154"/>
      <c r="V156" s="154"/>
      <c r="W156" s="154"/>
      <c r="X156" s="154"/>
      <c r="Y156" s="154"/>
      <c r="Z156" s="154"/>
    </row>
    <row r="157" spans="1:26" ht="12" customHeight="1">
      <c r="A157" s="220"/>
      <c r="B157" s="154"/>
      <c r="C157" s="154"/>
      <c r="D157" s="154"/>
      <c r="E157" s="154"/>
      <c r="F157" s="154"/>
      <c r="G157" s="154"/>
      <c r="H157" s="154"/>
      <c r="I157" s="154"/>
      <c r="J157" s="217"/>
      <c r="K157" s="218"/>
      <c r="L157" s="154"/>
      <c r="M157" s="154"/>
      <c r="N157" s="154"/>
      <c r="O157" s="154"/>
      <c r="P157" s="154"/>
      <c r="Q157" s="154"/>
      <c r="R157" s="154"/>
      <c r="S157" s="154"/>
      <c r="T157" s="154"/>
      <c r="U157" s="154"/>
      <c r="V157" s="154"/>
      <c r="W157" s="154"/>
      <c r="X157" s="154"/>
      <c r="Y157" s="154"/>
      <c r="Z157" s="154"/>
    </row>
    <row r="158" spans="1:26" ht="12" customHeight="1">
      <c r="A158" s="220"/>
      <c r="B158" s="154"/>
      <c r="C158" s="154"/>
      <c r="D158" s="154"/>
      <c r="E158" s="154"/>
      <c r="F158" s="154"/>
      <c r="G158" s="154"/>
      <c r="H158" s="154"/>
      <c r="I158" s="154"/>
      <c r="J158" s="217"/>
      <c r="K158" s="218"/>
      <c r="L158" s="154"/>
      <c r="M158" s="154"/>
      <c r="N158" s="154"/>
      <c r="O158" s="154"/>
      <c r="P158" s="154"/>
      <c r="Q158" s="154"/>
      <c r="R158" s="154"/>
      <c r="S158" s="154"/>
      <c r="T158" s="154"/>
      <c r="U158" s="154"/>
      <c r="V158" s="154"/>
      <c r="W158" s="154"/>
      <c r="X158" s="154"/>
      <c r="Y158" s="154"/>
      <c r="Z158" s="154"/>
    </row>
    <row r="159" spans="1:26" ht="12" customHeight="1">
      <c r="A159" s="220"/>
      <c r="B159" s="154"/>
      <c r="C159" s="154"/>
      <c r="D159" s="154"/>
      <c r="E159" s="154"/>
      <c r="F159" s="154"/>
      <c r="G159" s="154"/>
      <c r="H159" s="154"/>
      <c r="I159" s="154"/>
      <c r="J159" s="217"/>
      <c r="K159" s="218"/>
      <c r="L159" s="154"/>
      <c r="M159" s="154"/>
      <c r="N159" s="154"/>
      <c r="O159" s="154"/>
      <c r="P159" s="154"/>
      <c r="Q159" s="154"/>
      <c r="R159" s="154"/>
      <c r="S159" s="154"/>
      <c r="T159" s="154"/>
      <c r="U159" s="154"/>
      <c r="V159" s="154"/>
      <c r="W159" s="154"/>
      <c r="X159" s="154"/>
      <c r="Y159" s="154"/>
      <c r="Z159" s="154"/>
    </row>
    <row r="160" spans="1:26" ht="12" customHeight="1">
      <c r="A160" s="220"/>
      <c r="B160" s="154"/>
      <c r="C160" s="154"/>
      <c r="D160" s="154"/>
      <c r="E160" s="154"/>
      <c r="F160" s="154"/>
      <c r="G160" s="154"/>
      <c r="H160" s="154"/>
      <c r="I160" s="154"/>
      <c r="J160" s="217"/>
      <c r="K160" s="218"/>
      <c r="L160" s="154"/>
      <c r="M160" s="154"/>
      <c r="N160" s="154"/>
      <c r="O160" s="154"/>
      <c r="P160" s="154"/>
      <c r="Q160" s="154"/>
      <c r="R160" s="154"/>
      <c r="S160" s="154"/>
      <c r="T160" s="154"/>
      <c r="U160" s="154"/>
      <c r="V160" s="154"/>
      <c r="W160" s="154"/>
      <c r="X160" s="154"/>
      <c r="Y160" s="154"/>
      <c r="Z160" s="154"/>
    </row>
    <row r="161" spans="1:26" ht="12" customHeight="1">
      <c r="A161" s="220"/>
      <c r="B161" s="154"/>
      <c r="C161" s="154"/>
      <c r="D161" s="154"/>
      <c r="E161" s="154"/>
      <c r="F161" s="154"/>
      <c r="G161" s="154"/>
      <c r="H161" s="154"/>
      <c r="I161" s="154"/>
      <c r="J161" s="217"/>
      <c r="K161" s="218"/>
      <c r="L161" s="154"/>
      <c r="M161" s="154"/>
      <c r="N161" s="154"/>
      <c r="O161" s="154"/>
      <c r="P161" s="154"/>
      <c r="Q161" s="154"/>
      <c r="R161" s="154"/>
      <c r="S161" s="154"/>
      <c r="T161" s="154"/>
      <c r="U161" s="154"/>
      <c r="V161" s="154"/>
      <c r="W161" s="154"/>
      <c r="X161" s="154"/>
      <c r="Y161" s="154"/>
      <c r="Z161" s="154"/>
    </row>
    <row r="162" spans="1:26" ht="12" customHeight="1">
      <c r="A162" s="220"/>
      <c r="B162" s="154"/>
      <c r="C162" s="154"/>
      <c r="D162" s="154"/>
      <c r="E162" s="154"/>
      <c r="F162" s="154"/>
      <c r="G162" s="154"/>
      <c r="H162" s="154"/>
      <c r="I162" s="154"/>
      <c r="J162" s="217"/>
      <c r="K162" s="218"/>
      <c r="L162" s="154"/>
      <c r="M162" s="154"/>
      <c r="N162" s="154"/>
      <c r="O162" s="154"/>
      <c r="P162" s="154"/>
      <c r="Q162" s="154"/>
      <c r="R162" s="154"/>
      <c r="S162" s="154"/>
      <c r="T162" s="154"/>
      <c r="U162" s="154"/>
      <c r="V162" s="154"/>
      <c r="W162" s="154"/>
      <c r="X162" s="154"/>
      <c r="Y162" s="154"/>
      <c r="Z162" s="154"/>
    </row>
    <row r="163" spans="1:26" ht="12" customHeight="1">
      <c r="A163" s="220"/>
      <c r="B163" s="154"/>
      <c r="C163" s="154"/>
      <c r="D163" s="154"/>
      <c r="E163" s="154"/>
      <c r="F163" s="154"/>
      <c r="G163" s="154"/>
      <c r="H163" s="154"/>
      <c r="I163" s="154"/>
      <c r="J163" s="217"/>
      <c r="K163" s="218"/>
      <c r="L163" s="154"/>
      <c r="M163" s="154"/>
      <c r="N163" s="154"/>
      <c r="O163" s="154"/>
      <c r="P163" s="154"/>
      <c r="Q163" s="154"/>
      <c r="R163" s="154"/>
      <c r="S163" s="154"/>
      <c r="T163" s="154"/>
      <c r="U163" s="154"/>
      <c r="V163" s="154"/>
      <c r="W163" s="154"/>
      <c r="X163" s="154"/>
      <c r="Y163" s="154"/>
      <c r="Z163" s="154"/>
    </row>
    <row r="164" spans="1:26" ht="12" customHeight="1">
      <c r="A164" s="220"/>
      <c r="B164" s="154"/>
      <c r="C164" s="154"/>
      <c r="D164" s="154"/>
      <c r="E164" s="154"/>
      <c r="F164" s="154"/>
      <c r="G164" s="154"/>
      <c r="H164" s="154"/>
      <c r="I164" s="154"/>
      <c r="J164" s="217"/>
      <c r="K164" s="218"/>
      <c r="L164" s="154"/>
      <c r="M164" s="154"/>
      <c r="N164" s="154"/>
      <c r="O164" s="154"/>
      <c r="P164" s="154"/>
      <c r="Q164" s="154"/>
      <c r="R164" s="154"/>
      <c r="S164" s="154"/>
      <c r="T164" s="154"/>
      <c r="U164" s="154"/>
      <c r="V164" s="154"/>
      <c r="W164" s="154"/>
      <c r="X164" s="154"/>
      <c r="Y164" s="154"/>
      <c r="Z164" s="154"/>
    </row>
    <row r="165" spans="1:26" ht="12" customHeight="1">
      <c r="A165" s="220"/>
      <c r="B165" s="154"/>
      <c r="C165" s="154"/>
      <c r="D165" s="154"/>
      <c r="E165" s="154"/>
      <c r="F165" s="154"/>
      <c r="G165" s="154"/>
      <c r="H165" s="154"/>
      <c r="I165" s="154"/>
      <c r="J165" s="217"/>
      <c r="K165" s="218"/>
      <c r="L165" s="154"/>
      <c r="M165" s="154"/>
      <c r="N165" s="154"/>
      <c r="O165" s="154"/>
      <c r="P165" s="154"/>
      <c r="Q165" s="154"/>
      <c r="R165" s="154"/>
      <c r="S165" s="154"/>
      <c r="T165" s="154"/>
      <c r="U165" s="154"/>
      <c r="V165" s="154"/>
      <c r="W165" s="154"/>
      <c r="X165" s="154"/>
      <c r="Y165" s="154"/>
      <c r="Z165" s="154"/>
    </row>
    <row r="166" spans="1:26" ht="12" customHeight="1">
      <c r="A166" s="220"/>
      <c r="B166" s="154"/>
      <c r="C166" s="154"/>
      <c r="D166" s="154"/>
      <c r="E166" s="154"/>
      <c r="F166" s="154"/>
      <c r="G166" s="154"/>
      <c r="H166" s="154"/>
      <c r="I166" s="154"/>
      <c r="J166" s="217"/>
      <c r="K166" s="218"/>
      <c r="L166" s="154"/>
      <c r="M166" s="154"/>
      <c r="N166" s="154"/>
      <c r="O166" s="154"/>
      <c r="P166" s="154"/>
      <c r="Q166" s="154"/>
      <c r="R166" s="154"/>
      <c r="S166" s="154"/>
      <c r="T166" s="154"/>
      <c r="U166" s="154"/>
      <c r="V166" s="154"/>
      <c r="W166" s="154"/>
      <c r="X166" s="154"/>
      <c r="Y166" s="154"/>
      <c r="Z166" s="154"/>
    </row>
    <row r="167" spans="1:26" ht="12" customHeight="1">
      <c r="A167" s="220"/>
      <c r="B167" s="154"/>
      <c r="C167" s="154"/>
      <c r="D167" s="154"/>
      <c r="E167" s="154"/>
      <c r="F167" s="154"/>
      <c r="G167" s="154"/>
      <c r="H167" s="154"/>
      <c r="I167" s="154"/>
      <c r="J167" s="217"/>
      <c r="K167" s="218"/>
      <c r="L167" s="154"/>
      <c r="M167" s="154"/>
      <c r="N167" s="154"/>
      <c r="O167" s="154"/>
      <c r="P167" s="154"/>
      <c r="Q167" s="154"/>
      <c r="R167" s="154"/>
      <c r="S167" s="154"/>
      <c r="T167" s="154"/>
      <c r="U167" s="154"/>
      <c r="V167" s="154"/>
      <c r="W167" s="154"/>
      <c r="X167" s="154"/>
      <c r="Y167" s="154"/>
      <c r="Z167" s="154"/>
    </row>
    <row r="168" spans="1:26" ht="12" customHeight="1">
      <c r="A168" s="220"/>
      <c r="B168" s="154"/>
      <c r="C168" s="154"/>
      <c r="D168" s="154"/>
      <c r="E168" s="154"/>
      <c r="F168" s="154"/>
      <c r="G168" s="154"/>
      <c r="H168" s="154"/>
      <c r="I168" s="154"/>
      <c r="J168" s="217"/>
      <c r="K168" s="218"/>
      <c r="L168" s="154"/>
      <c r="M168" s="154"/>
      <c r="N168" s="154"/>
      <c r="O168" s="154"/>
      <c r="P168" s="154"/>
      <c r="Q168" s="154"/>
      <c r="R168" s="154"/>
      <c r="S168" s="154"/>
      <c r="T168" s="154"/>
      <c r="U168" s="154"/>
      <c r="V168" s="154"/>
      <c r="W168" s="154"/>
      <c r="X168" s="154"/>
      <c r="Y168" s="154"/>
      <c r="Z168" s="154"/>
    </row>
    <row r="169" spans="1:26" ht="12" customHeight="1">
      <c r="A169" s="220"/>
      <c r="B169" s="154"/>
      <c r="C169" s="154"/>
      <c r="D169" s="154"/>
      <c r="E169" s="154"/>
      <c r="F169" s="154"/>
      <c r="G169" s="154"/>
      <c r="H169" s="154"/>
      <c r="I169" s="154"/>
      <c r="J169" s="217"/>
      <c r="K169" s="218"/>
      <c r="L169" s="154"/>
      <c r="M169" s="154"/>
      <c r="N169" s="154"/>
      <c r="O169" s="154"/>
      <c r="P169" s="154"/>
      <c r="Q169" s="154"/>
      <c r="R169" s="154"/>
      <c r="S169" s="154"/>
      <c r="T169" s="154"/>
      <c r="U169" s="154"/>
      <c r="V169" s="154"/>
      <c r="W169" s="154"/>
      <c r="X169" s="154"/>
      <c r="Y169" s="154"/>
      <c r="Z169" s="154"/>
    </row>
    <row r="170" spans="1:26" ht="12" customHeight="1">
      <c r="A170" s="220"/>
      <c r="B170" s="154"/>
      <c r="C170" s="154"/>
      <c r="D170" s="154"/>
      <c r="E170" s="154"/>
      <c r="F170" s="154"/>
      <c r="G170" s="154"/>
      <c r="H170" s="154"/>
      <c r="I170" s="154"/>
      <c r="J170" s="217"/>
      <c r="K170" s="218"/>
      <c r="L170" s="154"/>
      <c r="M170" s="154"/>
      <c r="N170" s="154"/>
      <c r="O170" s="154"/>
      <c r="P170" s="154"/>
      <c r="Q170" s="154"/>
      <c r="R170" s="154"/>
      <c r="S170" s="154"/>
      <c r="T170" s="154"/>
      <c r="U170" s="154"/>
      <c r="V170" s="154"/>
      <c r="W170" s="154"/>
      <c r="X170" s="154"/>
      <c r="Y170" s="154"/>
      <c r="Z170" s="154"/>
    </row>
    <row r="171" spans="1:26" ht="12" customHeight="1">
      <c r="A171" s="220"/>
      <c r="B171" s="154"/>
      <c r="C171" s="154"/>
      <c r="D171" s="154"/>
      <c r="E171" s="154"/>
      <c r="F171" s="154"/>
      <c r="G171" s="154"/>
      <c r="H171" s="154"/>
      <c r="I171" s="154"/>
      <c r="J171" s="217"/>
      <c r="K171" s="218"/>
      <c r="L171" s="154"/>
      <c r="M171" s="154"/>
      <c r="N171" s="154"/>
      <c r="O171" s="154"/>
      <c r="P171" s="154"/>
      <c r="Q171" s="154"/>
      <c r="R171" s="154"/>
      <c r="S171" s="154"/>
      <c r="T171" s="154"/>
      <c r="U171" s="154"/>
      <c r="V171" s="154"/>
      <c r="W171" s="154"/>
      <c r="X171" s="154"/>
      <c r="Y171" s="154"/>
      <c r="Z171" s="154"/>
    </row>
    <row r="172" spans="1:26" ht="12" customHeight="1">
      <c r="A172" s="220"/>
      <c r="B172" s="154"/>
      <c r="C172" s="154"/>
      <c r="D172" s="154"/>
      <c r="E172" s="154"/>
      <c r="F172" s="154"/>
      <c r="G172" s="154"/>
      <c r="H172" s="154"/>
      <c r="I172" s="154"/>
      <c r="J172" s="217"/>
      <c r="K172" s="218"/>
      <c r="L172" s="154"/>
      <c r="M172" s="154"/>
      <c r="N172" s="154"/>
      <c r="O172" s="154"/>
      <c r="P172" s="154"/>
      <c r="Q172" s="154"/>
      <c r="R172" s="154"/>
      <c r="S172" s="154"/>
      <c r="T172" s="154"/>
      <c r="U172" s="154"/>
      <c r="V172" s="154"/>
      <c r="W172" s="154"/>
      <c r="X172" s="154"/>
      <c r="Y172" s="154"/>
      <c r="Z172" s="154"/>
    </row>
    <row r="173" spans="1:26" ht="12" customHeight="1">
      <c r="A173" s="220"/>
      <c r="B173" s="154"/>
      <c r="C173" s="154"/>
      <c r="D173" s="154"/>
      <c r="E173" s="154"/>
      <c r="F173" s="154"/>
      <c r="G173" s="154"/>
      <c r="H173" s="154"/>
      <c r="I173" s="154"/>
      <c r="J173" s="217"/>
      <c r="K173" s="218"/>
      <c r="L173" s="154"/>
      <c r="M173" s="154"/>
      <c r="N173" s="154"/>
      <c r="O173" s="154"/>
      <c r="P173" s="154"/>
      <c r="Q173" s="154"/>
      <c r="R173" s="154"/>
      <c r="S173" s="154"/>
      <c r="T173" s="154"/>
      <c r="U173" s="154"/>
      <c r="V173" s="154"/>
      <c r="W173" s="154"/>
      <c r="X173" s="154"/>
      <c r="Y173" s="154"/>
      <c r="Z173" s="154"/>
    </row>
    <row r="174" spans="1:26" ht="12" customHeight="1">
      <c r="A174" s="220"/>
      <c r="B174" s="154"/>
      <c r="C174" s="154"/>
      <c r="D174" s="154"/>
      <c r="E174" s="154"/>
      <c r="F174" s="154"/>
      <c r="G174" s="154"/>
      <c r="H174" s="154"/>
      <c r="I174" s="154"/>
      <c r="J174" s="217"/>
      <c r="K174" s="218"/>
      <c r="L174" s="154"/>
      <c r="M174" s="154"/>
      <c r="N174" s="154"/>
      <c r="O174" s="154"/>
      <c r="P174" s="154"/>
      <c r="Q174" s="154"/>
      <c r="R174" s="154"/>
      <c r="S174" s="154"/>
      <c r="T174" s="154"/>
      <c r="U174" s="154"/>
      <c r="V174" s="154"/>
      <c r="W174" s="154"/>
      <c r="X174" s="154"/>
      <c r="Y174" s="154"/>
      <c r="Z174" s="154"/>
    </row>
    <row r="175" spans="1:26" ht="12" customHeight="1">
      <c r="A175" s="220"/>
      <c r="B175" s="154"/>
      <c r="C175" s="154"/>
      <c r="D175" s="154"/>
      <c r="E175" s="154"/>
      <c r="F175" s="154"/>
      <c r="G175" s="154"/>
      <c r="H175" s="154"/>
      <c r="I175" s="154"/>
      <c r="J175" s="217"/>
      <c r="K175" s="218"/>
      <c r="L175" s="154"/>
      <c r="M175" s="154"/>
      <c r="N175" s="154"/>
      <c r="O175" s="154"/>
      <c r="P175" s="154"/>
      <c r="Q175" s="154"/>
      <c r="R175" s="154"/>
      <c r="S175" s="154"/>
      <c r="T175" s="154"/>
      <c r="U175" s="154"/>
      <c r="V175" s="154"/>
      <c r="W175" s="154"/>
      <c r="X175" s="154"/>
      <c r="Y175" s="154"/>
      <c r="Z175" s="154"/>
    </row>
    <row r="176" spans="1:26" ht="12" customHeight="1">
      <c r="A176" s="220"/>
      <c r="B176" s="154"/>
      <c r="C176" s="154"/>
      <c r="D176" s="154"/>
      <c r="E176" s="154"/>
      <c r="F176" s="154"/>
      <c r="G176" s="154"/>
      <c r="H176" s="154"/>
      <c r="I176" s="154"/>
      <c r="J176" s="217"/>
      <c r="K176" s="218"/>
      <c r="L176" s="154"/>
      <c r="M176" s="154"/>
      <c r="N176" s="154"/>
      <c r="O176" s="154"/>
      <c r="P176" s="154"/>
      <c r="Q176" s="154"/>
      <c r="R176" s="154"/>
      <c r="S176" s="154"/>
      <c r="T176" s="154"/>
      <c r="U176" s="154"/>
      <c r="V176" s="154"/>
      <c r="W176" s="154"/>
      <c r="X176" s="154"/>
      <c r="Y176" s="154"/>
      <c r="Z176" s="154"/>
    </row>
    <row r="177" spans="1:26" ht="12" customHeight="1">
      <c r="A177" s="220"/>
      <c r="B177" s="154"/>
      <c r="C177" s="154"/>
      <c r="D177" s="154"/>
      <c r="E177" s="154"/>
      <c r="F177" s="154"/>
      <c r="G177" s="154"/>
      <c r="H177" s="154"/>
      <c r="I177" s="154"/>
      <c r="J177" s="217"/>
      <c r="K177" s="218"/>
      <c r="L177" s="154"/>
      <c r="M177" s="154"/>
      <c r="N177" s="154"/>
      <c r="O177" s="154"/>
      <c r="P177" s="154"/>
      <c r="Q177" s="154"/>
      <c r="R177" s="154"/>
      <c r="S177" s="154"/>
      <c r="T177" s="154"/>
      <c r="U177" s="154"/>
      <c r="V177" s="154"/>
      <c r="W177" s="154"/>
      <c r="X177" s="154"/>
      <c r="Y177" s="154"/>
      <c r="Z177" s="154"/>
    </row>
    <row r="178" spans="1:26" ht="12" customHeight="1">
      <c r="A178" s="220"/>
      <c r="B178" s="154"/>
      <c r="C178" s="154"/>
      <c r="D178" s="154"/>
      <c r="E178" s="154"/>
      <c r="F178" s="154"/>
      <c r="G178" s="154"/>
      <c r="H178" s="154"/>
      <c r="I178" s="154"/>
      <c r="J178" s="217"/>
      <c r="K178" s="218"/>
      <c r="L178" s="154"/>
      <c r="M178" s="154"/>
      <c r="N178" s="154"/>
      <c r="O178" s="154"/>
      <c r="P178" s="154"/>
      <c r="Q178" s="154"/>
      <c r="R178" s="154"/>
      <c r="S178" s="154"/>
      <c r="T178" s="154"/>
      <c r="U178" s="154"/>
      <c r="V178" s="154"/>
      <c r="W178" s="154"/>
      <c r="X178" s="154"/>
      <c r="Y178" s="154"/>
      <c r="Z178" s="154"/>
    </row>
    <row r="179" spans="1:26" ht="12" customHeight="1">
      <c r="A179" s="220"/>
      <c r="B179" s="154"/>
      <c r="C179" s="154"/>
      <c r="D179" s="154"/>
      <c r="E179" s="154"/>
      <c r="F179" s="154"/>
      <c r="G179" s="154"/>
      <c r="H179" s="154"/>
      <c r="I179" s="154"/>
      <c r="J179" s="217"/>
      <c r="K179" s="218"/>
      <c r="L179" s="154"/>
      <c r="M179" s="154"/>
      <c r="N179" s="154"/>
      <c r="O179" s="154"/>
      <c r="P179" s="154"/>
      <c r="Q179" s="154"/>
      <c r="R179" s="154"/>
      <c r="S179" s="154"/>
      <c r="T179" s="154"/>
      <c r="U179" s="154"/>
      <c r="V179" s="154"/>
      <c r="W179" s="154"/>
      <c r="X179" s="154"/>
      <c r="Y179" s="154"/>
      <c r="Z179" s="154"/>
    </row>
    <row r="180" spans="1:26" ht="12" customHeight="1">
      <c r="A180" s="220"/>
      <c r="B180" s="154"/>
      <c r="C180" s="154"/>
      <c r="D180" s="154"/>
      <c r="E180" s="154"/>
      <c r="F180" s="154"/>
      <c r="G180" s="154"/>
      <c r="H180" s="154"/>
      <c r="I180" s="154"/>
      <c r="J180" s="217"/>
      <c r="K180" s="218"/>
      <c r="L180" s="154"/>
      <c r="M180" s="154"/>
      <c r="N180" s="154"/>
      <c r="O180" s="154"/>
      <c r="P180" s="154"/>
      <c r="Q180" s="154"/>
      <c r="R180" s="154"/>
      <c r="S180" s="154"/>
      <c r="T180" s="154"/>
      <c r="U180" s="154"/>
      <c r="V180" s="154"/>
      <c r="W180" s="154"/>
      <c r="X180" s="154"/>
      <c r="Y180" s="154"/>
      <c r="Z180" s="154"/>
    </row>
    <row r="181" spans="1:26" ht="12" customHeight="1">
      <c r="A181" s="220"/>
      <c r="B181" s="154"/>
      <c r="C181" s="154"/>
      <c r="D181" s="154"/>
      <c r="E181" s="154"/>
      <c r="F181" s="154"/>
      <c r="G181" s="154"/>
      <c r="H181" s="154"/>
      <c r="I181" s="154"/>
      <c r="J181" s="217"/>
      <c r="K181" s="218"/>
      <c r="L181" s="154"/>
      <c r="M181" s="154"/>
      <c r="N181" s="154"/>
      <c r="O181" s="154"/>
      <c r="P181" s="154"/>
      <c r="Q181" s="154"/>
      <c r="R181" s="154"/>
      <c r="S181" s="154"/>
      <c r="T181" s="154"/>
      <c r="U181" s="154"/>
      <c r="V181" s="154"/>
      <c r="W181" s="154"/>
      <c r="X181" s="154"/>
      <c r="Y181" s="154"/>
      <c r="Z181" s="154"/>
    </row>
    <row r="182" spans="1:26" ht="12" customHeight="1">
      <c r="A182" s="220"/>
      <c r="B182" s="154"/>
      <c r="C182" s="154"/>
      <c r="D182" s="154"/>
      <c r="E182" s="154"/>
      <c r="F182" s="154"/>
      <c r="G182" s="154"/>
      <c r="H182" s="154"/>
      <c r="I182" s="154"/>
      <c r="J182" s="217"/>
      <c r="K182" s="218"/>
      <c r="L182" s="154"/>
      <c r="M182" s="154"/>
      <c r="N182" s="154"/>
      <c r="O182" s="154"/>
      <c r="P182" s="154"/>
      <c r="Q182" s="154"/>
      <c r="R182" s="154"/>
      <c r="S182" s="154"/>
      <c r="T182" s="154"/>
      <c r="U182" s="154"/>
      <c r="V182" s="154"/>
      <c r="W182" s="154"/>
      <c r="X182" s="154"/>
      <c r="Y182" s="154"/>
      <c r="Z182" s="154"/>
    </row>
    <row r="183" spans="1:26" ht="12" customHeight="1">
      <c r="A183" s="220"/>
      <c r="B183" s="154"/>
      <c r="C183" s="154"/>
      <c r="D183" s="154"/>
      <c r="E183" s="154"/>
      <c r="F183" s="154"/>
      <c r="G183" s="154"/>
      <c r="H183" s="154"/>
      <c r="I183" s="154"/>
      <c r="J183" s="217"/>
      <c r="K183" s="218"/>
      <c r="L183" s="154"/>
      <c r="M183" s="154"/>
      <c r="N183" s="154"/>
      <c r="O183" s="154"/>
      <c r="P183" s="154"/>
      <c r="Q183" s="154"/>
      <c r="R183" s="154"/>
      <c r="S183" s="154"/>
      <c r="T183" s="154"/>
      <c r="U183" s="154"/>
      <c r="V183" s="154"/>
      <c r="W183" s="154"/>
      <c r="X183" s="154"/>
      <c r="Y183" s="154"/>
      <c r="Z183" s="154"/>
    </row>
    <row r="184" spans="1:26" ht="12" customHeight="1">
      <c r="A184" s="220"/>
      <c r="B184" s="154"/>
      <c r="C184" s="154"/>
      <c r="D184" s="154"/>
      <c r="E184" s="154"/>
      <c r="F184" s="154"/>
      <c r="G184" s="154"/>
      <c r="H184" s="154"/>
      <c r="I184" s="154"/>
      <c r="J184" s="217"/>
      <c r="K184" s="218"/>
      <c r="L184" s="154"/>
      <c r="M184" s="154"/>
      <c r="N184" s="154"/>
      <c r="O184" s="154"/>
      <c r="P184" s="154"/>
      <c r="Q184" s="154"/>
      <c r="R184" s="154"/>
      <c r="S184" s="154"/>
      <c r="T184" s="154"/>
      <c r="U184" s="154"/>
      <c r="V184" s="154"/>
      <c r="W184" s="154"/>
      <c r="X184" s="154"/>
      <c r="Y184" s="154"/>
      <c r="Z184" s="154"/>
    </row>
    <row r="185" spans="1:26" ht="12" customHeight="1">
      <c r="A185" s="220"/>
      <c r="B185" s="154"/>
      <c r="C185" s="154"/>
      <c r="D185" s="154"/>
      <c r="E185" s="154"/>
      <c r="F185" s="154"/>
      <c r="G185" s="154"/>
      <c r="H185" s="154"/>
      <c r="I185" s="154"/>
      <c r="J185" s="217"/>
      <c r="K185" s="218"/>
      <c r="L185" s="154"/>
      <c r="M185" s="154"/>
      <c r="N185" s="154"/>
      <c r="O185" s="154"/>
      <c r="P185" s="154"/>
      <c r="Q185" s="154"/>
      <c r="R185" s="154"/>
      <c r="S185" s="154"/>
      <c r="T185" s="154"/>
      <c r="U185" s="154"/>
      <c r="V185" s="154"/>
      <c r="W185" s="154"/>
      <c r="X185" s="154"/>
      <c r="Y185" s="154"/>
      <c r="Z185" s="154"/>
    </row>
    <row r="186" spans="1:26" ht="12" customHeight="1">
      <c r="A186" s="220"/>
      <c r="B186" s="154"/>
      <c r="C186" s="154"/>
      <c r="D186" s="154"/>
      <c r="E186" s="154"/>
      <c r="F186" s="154"/>
      <c r="G186" s="154"/>
      <c r="H186" s="154"/>
      <c r="I186" s="154"/>
      <c r="J186" s="217"/>
      <c r="K186" s="218"/>
      <c r="L186" s="154"/>
      <c r="M186" s="154"/>
      <c r="N186" s="154"/>
      <c r="O186" s="154"/>
      <c r="P186" s="154"/>
      <c r="Q186" s="154"/>
      <c r="R186" s="154"/>
      <c r="S186" s="154"/>
      <c r="T186" s="154"/>
      <c r="U186" s="154"/>
      <c r="V186" s="154"/>
      <c r="W186" s="154"/>
      <c r="X186" s="154"/>
      <c r="Y186" s="154"/>
      <c r="Z186" s="154"/>
    </row>
    <row r="187" spans="1:26" ht="12" customHeight="1">
      <c r="A187" s="220"/>
      <c r="B187" s="154"/>
      <c r="C187" s="154"/>
      <c r="D187" s="154"/>
      <c r="E187" s="154"/>
      <c r="F187" s="154"/>
      <c r="G187" s="154"/>
      <c r="H187" s="154"/>
      <c r="I187" s="154"/>
      <c r="J187" s="217"/>
      <c r="K187" s="218"/>
      <c r="L187" s="154"/>
      <c r="M187" s="154"/>
      <c r="N187" s="154"/>
      <c r="O187" s="154"/>
      <c r="P187" s="154"/>
      <c r="Q187" s="154"/>
      <c r="R187" s="154"/>
      <c r="S187" s="154"/>
      <c r="T187" s="154"/>
      <c r="U187" s="154"/>
      <c r="V187" s="154"/>
      <c r="W187" s="154"/>
      <c r="X187" s="154"/>
      <c r="Y187" s="154"/>
      <c r="Z187" s="154"/>
    </row>
    <row r="188" spans="1:26" ht="12" customHeight="1">
      <c r="A188" s="220"/>
      <c r="B188" s="154"/>
      <c r="C188" s="154"/>
      <c r="D188" s="154"/>
      <c r="E188" s="154"/>
      <c r="F188" s="154"/>
      <c r="G188" s="154"/>
      <c r="H188" s="154"/>
      <c r="I188" s="154"/>
      <c r="J188" s="217"/>
      <c r="K188" s="218"/>
      <c r="L188" s="154"/>
      <c r="M188" s="154"/>
      <c r="N188" s="154"/>
      <c r="O188" s="154"/>
      <c r="P188" s="154"/>
      <c r="Q188" s="154"/>
      <c r="R188" s="154"/>
      <c r="S188" s="154"/>
      <c r="T188" s="154"/>
      <c r="U188" s="154"/>
      <c r="V188" s="154"/>
      <c r="W188" s="154"/>
      <c r="X188" s="154"/>
      <c r="Y188" s="154"/>
      <c r="Z188" s="154"/>
    </row>
    <row r="189" spans="1:26" ht="12" customHeight="1">
      <c r="A189" s="220"/>
      <c r="B189" s="154"/>
      <c r="C189" s="154"/>
      <c r="D189" s="154"/>
      <c r="E189" s="154"/>
      <c r="F189" s="154"/>
      <c r="G189" s="154"/>
      <c r="H189" s="154"/>
      <c r="I189" s="154"/>
      <c r="J189" s="217"/>
      <c r="K189" s="218"/>
      <c r="L189" s="154"/>
      <c r="M189" s="154"/>
      <c r="N189" s="154"/>
      <c r="O189" s="154"/>
      <c r="P189" s="154"/>
      <c r="Q189" s="154"/>
      <c r="R189" s="154"/>
      <c r="S189" s="154"/>
      <c r="T189" s="154"/>
      <c r="U189" s="154"/>
      <c r="V189" s="154"/>
      <c r="W189" s="154"/>
      <c r="X189" s="154"/>
      <c r="Y189" s="154"/>
      <c r="Z189" s="154"/>
    </row>
    <row r="190" spans="1:26" ht="12" customHeight="1">
      <c r="A190" s="220"/>
      <c r="B190" s="154"/>
      <c r="C190" s="154"/>
      <c r="D190" s="154"/>
      <c r="E190" s="154"/>
      <c r="F190" s="154"/>
      <c r="G190" s="154"/>
      <c r="H190" s="154"/>
      <c r="I190" s="154"/>
      <c r="J190" s="217"/>
      <c r="K190" s="218"/>
      <c r="L190" s="154"/>
      <c r="M190" s="154"/>
      <c r="N190" s="154"/>
      <c r="O190" s="154"/>
      <c r="P190" s="154"/>
      <c r="Q190" s="154"/>
      <c r="R190" s="154"/>
      <c r="S190" s="154"/>
      <c r="T190" s="154"/>
      <c r="U190" s="154"/>
      <c r="V190" s="154"/>
      <c r="W190" s="154"/>
      <c r="X190" s="154"/>
      <c r="Y190" s="154"/>
      <c r="Z190" s="154"/>
    </row>
    <row r="191" spans="1:26" ht="12" customHeight="1">
      <c r="A191" s="220"/>
      <c r="B191" s="154"/>
      <c r="C191" s="154"/>
      <c r="D191" s="154"/>
      <c r="E191" s="154"/>
      <c r="F191" s="154"/>
      <c r="G191" s="154"/>
      <c r="H191" s="154"/>
      <c r="I191" s="154"/>
      <c r="J191" s="217"/>
      <c r="K191" s="218"/>
      <c r="L191" s="154"/>
      <c r="M191" s="154"/>
      <c r="N191" s="154"/>
      <c r="O191" s="154"/>
      <c r="P191" s="154"/>
      <c r="Q191" s="154"/>
      <c r="R191" s="154"/>
      <c r="S191" s="154"/>
      <c r="T191" s="154"/>
      <c r="U191" s="154"/>
      <c r="V191" s="154"/>
      <c r="W191" s="154"/>
      <c r="X191" s="154"/>
      <c r="Y191" s="154"/>
      <c r="Z191" s="154"/>
    </row>
    <row r="192" spans="1:26" ht="12" customHeight="1">
      <c r="A192" s="220"/>
      <c r="B192" s="154"/>
      <c r="C192" s="154"/>
      <c r="D192" s="154"/>
      <c r="E192" s="154"/>
      <c r="F192" s="154"/>
      <c r="G192" s="154"/>
      <c r="H192" s="154"/>
      <c r="I192" s="154"/>
      <c r="J192" s="217"/>
      <c r="K192" s="218"/>
      <c r="L192" s="154"/>
      <c r="M192" s="154"/>
      <c r="N192" s="154"/>
      <c r="O192" s="154"/>
      <c r="P192" s="154"/>
      <c r="Q192" s="154"/>
      <c r="R192" s="154"/>
      <c r="S192" s="154"/>
      <c r="T192" s="154"/>
      <c r="U192" s="154"/>
      <c r="V192" s="154"/>
      <c r="W192" s="154"/>
      <c r="X192" s="154"/>
      <c r="Y192" s="154"/>
      <c r="Z192" s="154"/>
    </row>
    <row r="193" spans="1:26" ht="12" customHeight="1">
      <c r="A193" s="220"/>
      <c r="B193" s="154"/>
      <c r="C193" s="154"/>
      <c r="D193" s="154"/>
      <c r="E193" s="154"/>
      <c r="F193" s="154"/>
      <c r="G193" s="154"/>
      <c r="H193" s="154"/>
      <c r="I193" s="154"/>
      <c r="J193" s="217"/>
      <c r="K193" s="218"/>
      <c r="L193" s="154"/>
      <c r="M193" s="154"/>
      <c r="N193" s="154"/>
      <c r="O193" s="154"/>
      <c r="P193" s="154"/>
      <c r="Q193" s="154"/>
      <c r="R193" s="154"/>
      <c r="S193" s="154"/>
      <c r="T193" s="154"/>
      <c r="U193" s="154"/>
      <c r="V193" s="154"/>
      <c r="W193" s="154"/>
      <c r="X193" s="154"/>
      <c r="Y193" s="154"/>
      <c r="Z193" s="154"/>
    </row>
    <row r="194" spans="1:26" ht="12" customHeight="1">
      <c r="A194" s="220"/>
      <c r="B194" s="154"/>
      <c r="C194" s="154"/>
      <c r="D194" s="154"/>
      <c r="E194" s="154"/>
      <c r="F194" s="154"/>
      <c r="G194" s="154"/>
      <c r="H194" s="154"/>
      <c r="I194" s="154"/>
      <c r="J194" s="217"/>
      <c r="K194" s="218"/>
      <c r="L194" s="154"/>
      <c r="M194" s="154"/>
      <c r="N194" s="154"/>
      <c r="O194" s="154"/>
      <c r="P194" s="154"/>
      <c r="Q194" s="154"/>
      <c r="R194" s="154"/>
      <c r="S194" s="154"/>
      <c r="T194" s="154"/>
      <c r="U194" s="154"/>
      <c r="V194" s="154"/>
      <c r="W194" s="154"/>
      <c r="X194" s="154"/>
      <c r="Y194" s="154"/>
      <c r="Z194" s="154"/>
    </row>
    <row r="195" spans="1:26" ht="12" customHeight="1">
      <c r="A195" s="220"/>
      <c r="B195" s="154"/>
      <c r="C195" s="154"/>
      <c r="D195" s="154"/>
      <c r="E195" s="154"/>
      <c r="F195" s="154"/>
      <c r="G195" s="154"/>
      <c r="H195" s="154"/>
      <c r="I195" s="154"/>
      <c r="J195" s="217"/>
      <c r="K195" s="218"/>
      <c r="L195" s="154"/>
      <c r="M195" s="154"/>
      <c r="N195" s="154"/>
      <c r="O195" s="154"/>
      <c r="P195" s="154"/>
      <c r="Q195" s="154"/>
      <c r="R195" s="154"/>
      <c r="S195" s="154"/>
      <c r="T195" s="154"/>
      <c r="U195" s="154"/>
      <c r="V195" s="154"/>
      <c r="W195" s="154"/>
      <c r="X195" s="154"/>
      <c r="Y195" s="154"/>
      <c r="Z195" s="154"/>
    </row>
    <row r="196" spans="1:26" ht="12" customHeight="1">
      <c r="A196" s="220"/>
      <c r="B196" s="154"/>
      <c r="C196" s="154"/>
      <c r="D196" s="154"/>
      <c r="E196" s="154"/>
      <c r="F196" s="154"/>
      <c r="G196" s="154"/>
      <c r="H196" s="154"/>
      <c r="I196" s="154"/>
      <c r="J196" s="217"/>
      <c r="K196" s="218"/>
      <c r="L196" s="154"/>
      <c r="M196" s="154"/>
      <c r="N196" s="154"/>
      <c r="O196" s="154"/>
      <c r="P196" s="154"/>
      <c r="Q196" s="154"/>
      <c r="R196" s="154"/>
      <c r="S196" s="154"/>
      <c r="T196" s="154"/>
      <c r="U196" s="154"/>
      <c r="V196" s="154"/>
      <c r="W196" s="154"/>
      <c r="X196" s="154"/>
      <c r="Y196" s="154"/>
      <c r="Z196" s="154"/>
    </row>
    <row r="197" spans="1:26" ht="12" customHeight="1">
      <c r="A197" s="220"/>
      <c r="B197" s="154"/>
      <c r="C197" s="154"/>
      <c r="D197" s="154"/>
      <c r="E197" s="154"/>
      <c r="F197" s="154"/>
      <c r="G197" s="154"/>
      <c r="H197" s="154"/>
      <c r="I197" s="154"/>
      <c r="J197" s="217"/>
      <c r="K197" s="218"/>
      <c r="L197" s="154"/>
      <c r="M197" s="154"/>
      <c r="N197" s="154"/>
      <c r="O197" s="154"/>
      <c r="P197" s="154"/>
      <c r="Q197" s="154"/>
      <c r="R197" s="154"/>
      <c r="S197" s="154"/>
      <c r="T197" s="154"/>
      <c r="U197" s="154"/>
      <c r="V197" s="154"/>
      <c r="W197" s="154"/>
      <c r="X197" s="154"/>
      <c r="Y197" s="154"/>
      <c r="Z197" s="154"/>
    </row>
    <row r="198" spans="1:26" ht="12" customHeight="1">
      <c r="A198" s="220"/>
      <c r="B198" s="154"/>
      <c r="C198" s="154"/>
      <c r="D198" s="154"/>
      <c r="E198" s="154"/>
      <c r="F198" s="154"/>
      <c r="G198" s="154"/>
      <c r="H198" s="154"/>
      <c r="I198" s="154"/>
      <c r="J198" s="217"/>
      <c r="K198" s="218"/>
      <c r="L198" s="154"/>
      <c r="M198" s="154"/>
      <c r="N198" s="154"/>
      <c r="O198" s="154"/>
      <c r="P198" s="154"/>
      <c r="Q198" s="154"/>
      <c r="R198" s="154"/>
      <c r="S198" s="154"/>
      <c r="T198" s="154"/>
      <c r="U198" s="154"/>
      <c r="V198" s="154"/>
      <c r="W198" s="154"/>
      <c r="X198" s="154"/>
      <c r="Y198" s="154"/>
      <c r="Z198" s="154"/>
    </row>
    <row r="199" spans="1:26" ht="12" customHeight="1">
      <c r="A199" s="220"/>
      <c r="B199" s="154"/>
      <c r="C199" s="154"/>
      <c r="D199" s="154"/>
      <c r="E199" s="154"/>
      <c r="F199" s="154"/>
      <c r="G199" s="154"/>
      <c r="H199" s="154"/>
      <c r="I199" s="154"/>
      <c r="J199" s="217"/>
      <c r="K199" s="218"/>
      <c r="L199" s="154"/>
      <c r="M199" s="154"/>
      <c r="N199" s="154"/>
      <c r="O199" s="154"/>
      <c r="P199" s="154"/>
      <c r="Q199" s="154"/>
      <c r="R199" s="154"/>
      <c r="S199" s="154"/>
      <c r="T199" s="154"/>
      <c r="U199" s="154"/>
      <c r="V199" s="154"/>
      <c r="W199" s="154"/>
      <c r="X199" s="154"/>
      <c r="Y199" s="154"/>
      <c r="Z199" s="154"/>
    </row>
    <row r="200" spans="1:26" ht="12" customHeight="1">
      <c r="A200" s="220"/>
      <c r="B200" s="154"/>
      <c r="C200" s="154"/>
      <c r="D200" s="154"/>
      <c r="E200" s="154"/>
      <c r="F200" s="154"/>
      <c r="G200" s="154"/>
      <c r="H200" s="154"/>
      <c r="I200" s="154"/>
      <c r="J200" s="217"/>
      <c r="K200" s="218"/>
      <c r="L200" s="154"/>
      <c r="M200" s="154"/>
      <c r="N200" s="154"/>
      <c r="O200" s="154"/>
      <c r="P200" s="154"/>
      <c r="Q200" s="154"/>
      <c r="R200" s="154"/>
      <c r="S200" s="154"/>
      <c r="T200" s="154"/>
      <c r="U200" s="154"/>
      <c r="V200" s="154"/>
      <c r="W200" s="154"/>
      <c r="X200" s="154"/>
      <c r="Y200" s="154"/>
      <c r="Z200" s="154"/>
    </row>
    <row r="201" spans="1:26" ht="12" customHeight="1">
      <c r="A201" s="220"/>
      <c r="B201" s="154"/>
      <c r="C201" s="154"/>
      <c r="D201" s="154"/>
      <c r="E201" s="154"/>
      <c r="F201" s="154"/>
      <c r="G201" s="154"/>
      <c r="H201" s="154"/>
      <c r="I201" s="154"/>
      <c r="J201" s="217"/>
      <c r="K201" s="218"/>
      <c r="L201" s="154"/>
      <c r="M201" s="154"/>
      <c r="N201" s="154"/>
      <c r="O201" s="154"/>
      <c r="P201" s="154"/>
      <c r="Q201" s="154"/>
      <c r="R201" s="154"/>
      <c r="S201" s="154"/>
      <c r="T201" s="154"/>
      <c r="U201" s="154"/>
      <c r="V201" s="154"/>
      <c r="W201" s="154"/>
      <c r="X201" s="154"/>
      <c r="Y201" s="154"/>
      <c r="Z201" s="154"/>
    </row>
    <row r="202" spans="1:26" ht="12" customHeight="1">
      <c r="A202" s="220"/>
      <c r="B202" s="154"/>
      <c r="C202" s="154"/>
      <c r="D202" s="154"/>
      <c r="E202" s="154"/>
      <c r="F202" s="154"/>
      <c r="G202" s="154"/>
      <c r="H202" s="154"/>
      <c r="I202" s="154"/>
      <c r="J202" s="217"/>
      <c r="K202" s="218"/>
      <c r="L202" s="154"/>
      <c r="M202" s="154"/>
      <c r="N202" s="154"/>
      <c r="O202" s="154"/>
      <c r="P202" s="154"/>
      <c r="Q202" s="154"/>
      <c r="R202" s="154"/>
      <c r="S202" s="154"/>
      <c r="T202" s="154"/>
      <c r="U202" s="154"/>
      <c r="V202" s="154"/>
      <c r="W202" s="154"/>
      <c r="X202" s="154"/>
      <c r="Y202" s="154"/>
      <c r="Z202" s="154"/>
    </row>
    <row r="203" spans="1:26" ht="12" customHeight="1">
      <c r="A203" s="220"/>
      <c r="B203" s="154"/>
      <c r="C203" s="154"/>
      <c r="D203" s="154"/>
      <c r="E203" s="154"/>
      <c r="F203" s="154"/>
      <c r="G203" s="154"/>
      <c r="H203" s="154"/>
      <c r="I203" s="154"/>
      <c r="J203" s="217"/>
      <c r="K203" s="218"/>
      <c r="L203" s="154"/>
      <c r="M203" s="154"/>
      <c r="N203" s="154"/>
      <c r="O203" s="154"/>
      <c r="P203" s="154"/>
      <c r="Q203" s="154"/>
      <c r="R203" s="154"/>
      <c r="S203" s="154"/>
      <c r="T203" s="154"/>
      <c r="U203" s="154"/>
      <c r="V203" s="154"/>
      <c r="W203" s="154"/>
      <c r="X203" s="154"/>
      <c r="Y203" s="154"/>
      <c r="Z203" s="154"/>
    </row>
    <row r="204" spans="1:26" ht="12" customHeight="1">
      <c r="A204" s="220"/>
      <c r="B204" s="154"/>
      <c r="C204" s="154"/>
      <c r="D204" s="154"/>
      <c r="E204" s="154"/>
      <c r="F204" s="154"/>
      <c r="G204" s="154"/>
      <c r="H204" s="154"/>
      <c r="I204" s="154"/>
      <c r="J204" s="217"/>
      <c r="K204" s="218"/>
      <c r="L204" s="154"/>
      <c r="M204" s="154"/>
      <c r="N204" s="154"/>
      <c r="O204" s="154"/>
      <c r="P204" s="154"/>
      <c r="Q204" s="154"/>
      <c r="R204" s="154"/>
      <c r="S204" s="154"/>
      <c r="T204" s="154"/>
      <c r="U204" s="154"/>
      <c r="V204" s="154"/>
      <c r="W204" s="154"/>
      <c r="X204" s="154"/>
      <c r="Y204" s="154"/>
      <c r="Z204" s="154"/>
    </row>
    <row r="205" spans="1:26" ht="12" customHeight="1">
      <c r="A205" s="220"/>
      <c r="B205" s="154"/>
      <c r="C205" s="154"/>
      <c r="D205" s="154"/>
      <c r="E205" s="154"/>
      <c r="F205" s="154"/>
      <c r="G205" s="154"/>
      <c r="H205" s="154"/>
      <c r="I205" s="154"/>
      <c r="J205" s="217"/>
      <c r="K205" s="218"/>
      <c r="L205" s="154"/>
      <c r="M205" s="154"/>
      <c r="N205" s="154"/>
      <c r="O205" s="154"/>
      <c r="P205" s="154"/>
      <c r="Q205" s="154"/>
      <c r="R205" s="154"/>
      <c r="S205" s="154"/>
      <c r="T205" s="154"/>
      <c r="U205" s="154"/>
      <c r="V205" s="154"/>
      <c r="W205" s="154"/>
      <c r="X205" s="154"/>
      <c r="Y205" s="154"/>
      <c r="Z205" s="154"/>
    </row>
    <row r="206" spans="1:26" ht="12" customHeight="1">
      <c r="A206" s="220"/>
      <c r="B206" s="154"/>
      <c r="C206" s="154"/>
      <c r="D206" s="154"/>
      <c r="E206" s="154"/>
      <c r="F206" s="154"/>
      <c r="G206" s="154"/>
      <c r="H206" s="154"/>
      <c r="I206" s="154"/>
      <c r="J206" s="217"/>
      <c r="K206" s="218"/>
      <c r="L206" s="154"/>
      <c r="M206" s="154"/>
      <c r="N206" s="154"/>
      <c r="O206" s="154"/>
      <c r="P206" s="154"/>
      <c r="Q206" s="154"/>
      <c r="R206" s="154"/>
      <c r="S206" s="154"/>
      <c r="T206" s="154"/>
      <c r="U206" s="154"/>
      <c r="V206" s="154"/>
      <c r="W206" s="154"/>
      <c r="X206" s="154"/>
      <c r="Y206" s="154"/>
      <c r="Z206" s="154"/>
    </row>
    <row r="207" spans="1:26" ht="12" customHeight="1">
      <c r="A207" s="220"/>
      <c r="B207" s="154"/>
      <c r="C207" s="154"/>
      <c r="D207" s="154"/>
      <c r="E207" s="154"/>
      <c r="F207" s="154"/>
      <c r="G207" s="154"/>
      <c r="H207" s="154"/>
      <c r="I207" s="154"/>
      <c r="J207" s="217"/>
      <c r="K207" s="218"/>
      <c r="L207" s="154"/>
      <c r="M207" s="154"/>
      <c r="N207" s="154"/>
      <c r="O207" s="154"/>
      <c r="P207" s="154"/>
      <c r="Q207" s="154"/>
      <c r="R207" s="154"/>
      <c r="S207" s="154"/>
      <c r="T207" s="154"/>
      <c r="U207" s="154"/>
      <c r="V207" s="154"/>
      <c r="W207" s="154"/>
      <c r="X207" s="154"/>
      <c r="Y207" s="154"/>
      <c r="Z207" s="154"/>
    </row>
    <row r="208" spans="1:26" ht="12" customHeight="1">
      <c r="A208" s="220"/>
      <c r="B208" s="154"/>
      <c r="C208" s="154"/>
      <c r="D208" s="154"/>
      <c r="E208" s="154"/>
      <c r="F208" s="154"/>
      <c r="G208" s="154"/>
      <c r="H208" s="154"/>
      <c r="I208" s="154"/>
      <c r="J208" s="217"/>
      <c r="K208" s="218"/>
      <c r="L208" s="154"/>
      <c r="M208" s="154"/>
      <c r="N208" s="154"/>
      <c r="O208" s="154"/>
      <c r="P208" s="154"/>
      <c r="Q208" s="154"/>
      <c r="R208" s="154"/>
      <c r="S208" s="154"/>
      <c r="T208" s="154"/>
      <c r="U208" s="154"/>
      <c r="V208" s="154"/>
      <c r="W208" s="154"/>
      <c r="X208" s="154"/>
      <c r="Y208" s="154"/>
      <c r="Z208" s="154"/>
    </row>
    <row r="209" spans="1:26" ht="12" customHeight="1">
      <c r="A209" s="220"/>
      <c r="B209" s="154"/>
      <c r="C209" s="154"/>
      <c r="D209" s="154"/>
      <c r="E209" s="154"/>
      <c r="F209" s="154"/>
      <c r="G209" s="154"/>
      <c r="H209" s="154"/>
      <c r="I209" s="154"/>
      <c r="J209" s="217"/>
      <c r="K209" s="218"/>
      <c r="L209" s="154"/>
      <c r="M209" s="154"/>
      <c r="N209" s="154"/>
      <c r="O209" s="154"/>
      <c r="P209" s="154"/>
      <c r="Q209" s="154"/>
      <c r="R209" s="154"/>
      <c r="S209" s="154"/>
      <c r="T209" s="154"/>
      <c r="U209" s="154"/>
      <c r="V209" s="154"/>
      <c r="W209" s="154"/>
      <c r="X209" s="154"/>
      <c r="Y209" s="154"/>
      <c r="Z209" s="154"/>
    </row>
    <row r="210" spans="1:26" ht="12" customHeight="1">
      <c r="A210" s="220"/>
      <c r="B210" s="154"/>
      <c r="C210" s="154"/>
      <c r="D210" s="154"/>
      <c r="E210" s="154"/>
      <c r="F210" s="154"/>
      <c r="G210" s="154"/>
      <c r="H210" s="154"/>
      <c r="I210" s="154"/>
      <c r="J210" s="217"/>
      <c r="K210" s="218"/>
      <c r="L210" s="154"/>
      <c r="M210" s="154"/>
      <c r="N210" s="154"/>
      <c r="O210" s="154"/>
      <c r="P210" s="154"/>
      <c r="Q210" s="154"/>
      <c r="R210" s="154"/>
      <c r="S210" s="154"/>
      <c r="T210" s="154"/>
      <c r="U210" s="154"/>
      <c r="V210" s="154"/>
      <c r="W210" s="154"/>
      <c r="X210" s="154"/>
      <c r="Y210" s="154"/>
      <c r="Z210" s="154"/>
    </row>
    <row r="211" spans="1:26" ht="12" customHeight="1">
      <c r="A211" s="220"/>
      <c r="B211" s="154"/>
      <c r="C211" s="154"/>
      <c r="D211" s="154"/>
      <c r="E211" s="154"/>
      <c r="F211" s="154"/>
      <c r="G211" s="154"/>
      <c r="H211" s="154"/>
      <c r="I211" s="154"/>
      <c r="J211" s="217"/>
      <c r="K211" s="218"/>
      <c r="L211" s="154"/>
      <c r="M211" s="154"/>
      <c r="N211" s="154"/>
      <c r="O211" s="154"/>
      <c r="P211" s="154"/>
      <c r="Q211" s="154"/>
      <c r="R211" s="154"/>
      <c r="S211" s="154"/>
      <c r="T211" s="154"/>
      <c r="U211" s="154"/>
      <c r="V211" s="154"/>
      <c r="W211" s="154"/>
      <c r="X211" s="154"/>
      <c r="Y211" s="154"/>
      <c r="Z211" s="154"/>
    </row>
    <row r="212" spans="1:26" ht="12" customHeight="1">
      <c r="A212" s="220"/>
      <c r="B212" s="154"/>
      <c r="C212" s="154"/>
      <c r="D212" s="154"/>
      <c r="E212" s="154"/>
      <c r="F212" s="154"/>
      <c r="G212" s="154"/>
      <c r="H212" s="154"/>
      <c r="I212" s="154"/>
      <c r="J212" s="217"/>
      <c r="K212" s="218"/>
      <c r="L212" s="154"/>
      <c r="M212" s="154"/>
      <c r="N212" s="154"/>
      <c r="O212" s="154"/>
      <c r="P212" s="154"/>
      <c r="Q212" s="154"/>
      <c r="R212" s="154"/>
      <c r="S212" s="154"/>
      <c r="T212" s="154"/>
      <c r="U212" s="154"/>
      <c r="V212" s="154"/>
      <c r="W212" s="154"/>
      <c r="X212" s="154"/>
      <c r="Y212" s="154"/>
      <c r="Z212" s="154"/>
    </row>
    <row r="213" spans="1:26" ht="12" customHeight="1">
      <c r="A213" s="220"/>
      <c r="B213" s="154"/>
      <c r="C213" s="154"/>
      <c r="D213" s="154"/>
      <c r="E213" s="154"/>
      <c r="F213" s="154"/>
      <c r="G213" s="154"/>
      <c r="H213" s="154"/>
      <c r="I213" s="154"/>
      <c r="J213" s="217"/>
      <c r="K213" s="218"/>
      <c r="L213" s="154"/>
      <c r="M213" s="154"/>
      <c r="N213" s="154"/>
      <c r="O213" s="154"/>
      <c r="P213" s="154"/>
      <c r="Q213" s="154"/>
      <c r="R213" s="154"/>
      <c r="S213" s="154"/>
      <c r="T213" s="154"/>
      <c r="U213" s="154"/>
      <c r="V213" s="154"/>
      <c r="W213" s="154"/>
      <c r="X213" s="154"/>
      <c r="Y213" s="154"/>
      <c r="Z213" s="154"/>
    </row>
    <row r="214" spans="1:26" ht="12" customHeight="1">
      <c r="A214" s="220"/>
      <c r="B214" s="154"/>
      <c r="C214" s="154"/>
      <c r="D214" s="154"/>
      <c r="E214" s="154"/>
      <c r="F214" s="154"/>
      <c r="G214" s="154"/>
      <c r="H214" s="154"/>
      <c r="I214" s="154"/>
      <c r="J214" s="217"/>
      <c r="K214" s="218"/>
      <c r="L214" s="154"/>
      <c r="M214" s="154"/>
      <c r="N214" s="154"/>
      <c r="O214" s="154"/>
      <c r="P214" s="154"/>
      <c r="Q214" s="154"/>
      <c r="R214" s="154"/>
      <c r="S214" s="154"/>
      <c r="T214" s="154"/>
      <c r="U214" s="154"/>
      <c r="V214" s="154"/>
      <c r="W214" s="154"/>
      <c r="X214" s="154"/>
      <c r="Y214" s="154"/>
      <c r="Z214" s="154"/>
    </row>
    <row r="215" spans="1:26" ht="12" customHeight="1">
      <c r="A215" s="220"/>
      <c r="B215" s="154"/>
      <c r="C215" s="154"/>
      <c r="D215" s="154"/>
      <c r="E215" s="154"/>
      <c r="F215" s="154"/>
      <c r="G215" s="154"/>
      <c r="H215" s="154"/>
      <c r="I215" s="154"/>
      <c r="J215" s="217"/>
      <c r="K215" s="218"/>
      <c r="L215" s="154"/>
      <c r="M215" s="154"/>
      <c r="N215" s="154"/>
      <c r="O215" s="154"/>
      <c r="P215" s="154"/>
      <c r="Q215" s="154"/>
      <c r="R215" s="154"/>
      <c r="S215" s="154"/>
      <c r="T215" s="154"/>
      <c r="U215" s="154"/>
      <c r="V215" s="154"/>
      <c r="W215" s="154"/>
      <c r="X215" s="154"/>
      <c r="Y215" s="154"/>
      <c r="Z215" s="154"/>
    </row>
    <row r="216" spans="1:26" ht="12" customHeight="1">
      <c r="A216" s="220"/>
      <c r="B216" s="154"/>
      <c r="C216" s="154"/>
      <c r="D216" s="154"/>
      <c r="E216" s="154"/>
      <c r="F216" s="154"/>
      <c r="G216" s="154"/>
      <c r="H216" s="154"/>
      <c r="I216" s="154"/>
      <c r="J216" s="217"/>
      <c r="K216" s="218"/>
      <c r="L216" s="154"/>
      <c r="M216" s="154"/>
      <c r="N216" s="154"/>
      <c r="O216" s="154"/>
      <c r="P216" s="154"/>
      <c r="Q216" s="154"/>
      <c r="R216" s="154"/>
      <c r="S216" s="154"/>
      <c r="T216" s="154"/>
      <c r="U216" s="154"/>
      <c r="V216" s="154"/>
      <c r="W216" s="154"/>
      <c r="X216" s="154"/>
      <c r="Y216" s="154"/>
      <c r="Z216" s="154"/>
    </row>
    <row r="217" spans="1:26" ht="12" customHeight="1">
      <c r="A217" s="220"/>
      <c r="B217" s="154"/>
      <c r="C217" s="154"/>
      <c r="D217" s="154"/>
      <c r="E217" s="154"/>
      <c r="F217" s="154"/>
      <c r="G217" s="154"/>
      <c r="H217" s="154"/>
      <c r="I217" s="154"/>
      <c r="J217" s="217"/>
      <c r="K217" s="218"/>
      <c r="L217" s="154"/>
      <c r="M217" s="154"/>
      <c r="N217" s="154"/>
      <c r="O217" s="154"/>
      <c r="P217" s="154"/>
      <c r="Q217" s="154"/>
      <c r="R217" s="154"/>
      <c r="S217" s="154"/>
      <c r="T217" s="154"/>
      <c r="U217" s="154"/>
      <c r="V217" s="154"/>
      <c r="W217" s="154"/>
      <c r="X217" s="154"/>
      <c r="Y217" s="154"/>
      <c r="Z217" s="154"/>
    </row>
    <row r="218" spans="1:26" ht="12" customHeight="1">
      <c r="A218" s="220"/>
      <c r="B218" s="154"/>
      <c r="C218" s="154"/>
      <c r="D218" s="154"/>
      <c r="E218" s="154"/>
      <c r="F218" s="154"/>
      <c r="G218" s="154"/>
      <c r="H218" s="154"/>
      <c r="I218" s="154"/>
      <c r="J218" s="217"/>
      <c r="K218" s="218"/>
      <c r="L218" s="154"/>
      <c r="M218" s="154"/>
      <c r="N218" s="154"/>
      <c r="O218" s="154"/>
      <c r="P218" s="154"/>
      <c r="Q218" s="154"/>
      <c r="R218" s="154"/>
      <c r="S218" s="154"/>
      <c r="T218" s="154"/>
      <c r="U218" s="154"/>
      <c r="V218" s="154"/>
      <c r="W218" s="154"/>
      <c r="X218" s="154"/>
      <c r="Y218" s="154"/>
      <c r="Z218" s="154"/>
    </row>
    <row r="219" spans="1:26" ht="12" customHeight="1">
      <c r="A219" s="220"/>
      <c r="B219" s="154"/>
      <c r="C219" s="154"/>
      <c r="D219" s="154"/>
      <c r="E219" s="154"/>
      <c r="F219" s="154"/>
      <c r="G219" s="154"/>
      <c r="H219" s="154"/>
      <c r="I219" s="154"/>
      <c r="J219" s="217"/>
      <c r="K219" s="218"/>
      <c r="L219" s="154"/>
      <c r="M219" s="154"/>
      <c r="N219" s="154"/>
      <c r="O219" s="154"/>
      <c r="P219" s="154"/>
      <c r="Q219" s="154"/>
      <c r="R219" s="154"/>
      <c r="S219" s="154"/>
      <c r="T219" s="154"/>
      <c r="U219" s="154"/>
      <c r="V219" s="154"/>
      <c r="W219" s="154"/>
      <c r="X219" s="154"/>
      <c r="Y219" s="154"/>
      <c r="Z219" s="154"/>
    </row>
    <row r="220" spans="1:26" ht="12" customHeight="1">
      <c r="A220" s="220"/>
      <c r="B220" s="154"/>
      <c r="C220" s="154"/>
      <c r="D220" s="154"/>
      <c r="E220" s="154"/>
      <c r="F220" s="154"/>
      <c r="G220" s="154"/>
      <c r="H220" s="154"/>
      <c r="I220" s="154"/>
      <c r="J220" s="217"/>
      <c r="K220" s="218"/>
      <c r="L220" s="154"/>
      <c r="M220" s="154"/>
      <c r="N220" s="154"/>
      <c r="O220" s="154"/>
      <c r="P220" s="154"/>
      <c r="Q220" s="154"/>
      <c r="R220" s="154"/>
      <c r="S220" s="154"/>
      <c r="T220" s="154"/>
      <c r="U220" s="154"/>
      <c r="V220" s="154"/>
      <c r="W220" s="154"/>
      <c r="X220" s="154"/>
      <c r="Y220" s="154"/>
      <c r="Z220" s="154"/>
    </row>
    <row r="221" spans="1:26" ht="12" customHeight="1">
      <c r="A221" s="220"/>
      <c r="B221" s="154"/>
      <c r="C221" s="154"/>
      <c r="D221" s="154"/>
      <c r="E221" s="154"/>
      <c r="F221" s="154"/>
      <c r="G221" s="154"/>
      <c r="H221" s="154"/>
      <c r="I221" s="154"/>
      <c r="J221" s="217"/>
      <c r="K221" s="218"/>
      <c r="L221" s="154"/>
      <c r="M221" s="154"/>
      <c r="N221" s="154"/>
      <c r="O221" s="154"/>
      <c r="P221" s="154"/>
      <c r="Q221" s="154"/>
      <c r="R221" s="154"/>
      <c r="S221" s="154"/>
      <c r="T221" s="154"/>
      <c r="U221" s="154"/>
      <c r="V221" s="154"/>
      <c r="W221" s="154"/>
      <c r="X221" s="154"/>
      <c r="Y221" s="154"/>
      <c r="Z221" s="154"/>
    </row>
    <row r="222" spans="1:26" ht="12" customHeight="1">
      <c r="A222" s="220"/>
      <c r="B222" s="154"/>
      <c r="C222" s="154"/>
      <c r="D222" s="154"/>
      <c r="E222" s="154"/>
      <c r="F222" s="154"/>
      <c r="G222" s="154"/>
      <c r="H222" s="154"/>
      <c r="I222" s="154"/>
      <c r="J222" s="217"/>
      <c r="K222" s="218"/>
      <c r="L222" s="154"/>
      <c r="M222" s="154"/>
      <c r="N222" s="154"/>
      <c r="O222" s="154"/>
      <c r="P222" s="154"/>
      <c r="Q222" s="154"/>
      <c r="R222" s="154"/>
      <c r="S222" s="154"/>
      <c r="T222" s="154"/>
      <c r="U222" s="154"/>
      <c r="V222" s="154"/>
      <c r="W222" s="154"/>
      <c r="X222" s="154"/>
      <c r="Y222" s="154"/>
      <c r="Z222" s="154"/>
    </row>
    <row r="223" spans="1:26" ht="12" customHeight="1">
      <c r="A223" s="220"/>
      <c r="B223" s="154"/>
      <c r="C223" s="154"/>
      <c r="D223" s="154"/>
      <c r="E223" s="154"/>
      <c r="F223" s="154"/>
      <c r="G223" s="154"/>
      <c r="H223" s="154"/>
      <c r="I223" s="154"/>
      <c r="J223" s="217"/>
      <c r="K223" s="218"/>
      <c r="L223" s="154"/>
      <c r="M223" s="154"/>
      <c r="N223" s="154"/>
      <c r="O223" s="154"/>
      <c r="P223" s="154"/>
      <c r="Q223" s="154"/>
      <c r="R223" s="154"/>
      <c r="S223" s="154"/>
      <c r="T223" s="154"/>
      <c r="U223" s="154"/>
      <c r="V223" s="154"/>
      <c r="W223" s="154"/>
      <c r="X223" s="154"/>
      <c r="Y223" s="154"/>
      <c r="Z223" s="154"/>
    </row>
    <row r="224" spans="1:26" ht="12" customHeight="1">
      <c r="A224" s="220"/>
      <c r="B224" s="154"/>
      <c r="C224" s="154"/>
      <c r="D224" s="154"/>
      <c r="E224" s="154"/>
      <c r="F224" s="154"/>
      <c r="G224" s="154"/>
      <c r="H224" s="154"/>
      <c r="I224" s="154"/>
      <c r="J224" s="217"/>
      <c r="K224" s="218"/>
      <c r="L224" s="154"/>
      <c r="M224" s="154"/>
      <c r="N224" s="154"/>
      <c r="O224" s="154"/>
      <c r="P224" s="154"/>
      <c r="Q224" s="154"/>
      <c r="R224" s="154"/>
      <c r="S224" s="154"/>
      <c r="T224" s="154"/>
      <c r="U224" s="154"/>
      <c r="V224" s="154"/>
      <c r="W224" s="154"/>
      <c r="X224" s="154"/>
      <c r="Y224" s="154"/>
      <c r="Z224" s="154"/>
    </row>
    <row r="225" spans="1:26" ht="12" customHeight="1">
      <c r="A225" s="220"/>
      <c r="B225" s="154"/>
      <c r="C225" s="154"/>
      <c r="D225" s="154"/>
      <c r="E225" s="154"/>
      <c r="F225" s="154"/>
      <c r="G225" s="154"/>
      <c r="H225" s="154"/>
      <c r="I225" s="154"/>
      <c r="J225" s="217"/>
      <c r="K225" s="218"/>
      <c r="L225" s="154"/>
      <c r="M225" s="154"/>
      <c r="N225" s="154"/>
      <c r="O225" s="154"/>
      <c r="P225" s="154"/>
      <c r="Q225" s="154"/>
      <c r="R225" s="154"/>
      <c r="S225" s="154"/>
      <c r="T225" s="154"/>
      <c r="U225" s="154"/>
      <c r="V225" s="154"/>
      <c r="W225" s="154"/>
      <c r="X225" s="154"/>
      <c r="Y225" s="154"/>
      <c r="Z225" s="154"/>
    </row>
    <row r="226" spans="1:26" ht="12" customHeight="1">
      <c r="A226" s="220"/>
      <c r="B226" s="154"/>
      <c r="C226" s="154"/>
      <c r="D226" s="154"/>
      <c r="E226" s="154"/>
      <c r="F226" s="154"/>
      <c r="G226" s="154"/>
      <c r="H226" s="154"/>
      <c r="I226" s="154"/>
      <c r="J226" s="217"/>
      <c r="K226" s="218"/>
      <c r="L226" s="154"/>
      <c r="M226" s="154"/>
      <c r="N226" s="154"/>
      <c r="O226" s="154"/>
      <c r="P226" s="154"/>
      <c r="Q226" s="154"/>
      <c r="R226" s="154"/>
      <c r="S226" s="154"/>
      <c r="T226" s="154"/>
      <c r="U226" s="154"/>
      <c r="V226" s="154"/>
      <c r="W226" s="154"/>
      <c r="X226" s="154"/>
      <c r="Y226" s="154"/>
      <c r="Z226" s="154"/>
    </row>
    <row r="227" spans="1:26" ht="12" customHeight="1">
      <c r="A227" s="220"/>
      <c r="B227" s="154"/>
      <c r="C227" s="154"/>
      <c r="D227" s="154"/>
      <c r="E227" s="154"/>
      <c r="F227" s="154"/>
      <c r="G227" s="154"/>
      <c r="H227" s="154"/>
      <c r="I227" s="154"/>
      <c r="J227" s="217"/>
      <c r="K227" s="218"/>
      <c r="L227" s="154"/>
      <c r="M227" s="154"/>
      <c r="N227" s="154"/>
      <c r="O227" s="154"/>
      <c r="P227" s="154"/>
      <c r="Q227" s="154"/>
      <c r="R227" s="154"/>
      <c r="S227" s="154"/>
      <c r="T227" s="154"/>
      <c r="U227" s="154"/>
      <c r="V227" s="154"/>
      <c r="W227" s="154"/>
      <c r="X227" s="154"/>
      <c r="Y227" s="154"/>
      <c r="Z227" s="154"/>
    </row>
    <row r="228" spans="1:26" ht="12" customHeight="1">
      <c r="A228" s="220"/>
      <c r="B228" s="154"/>
      <c r="C228" s="154"/>
      <c r="D228" s="154"/>
      <c r="E228" s="154"/>
      <c r="F228" s="154"/>
      <c r="G228" s="154"/>
      <c r="H228" s="154"/>
      <c r="I228" s="154"/>
      <c r="J228" s="217"/>
      <c r="K228" s="218"/>
      <c r="L228" s="154"/>
      <c r="M228" s="154"/>
      <c r="N228" s="154"/>
      <c r="O228" s="154"/>
      <c r="P228" s="154"/>
      <c r="Q228" s="154"/>
      <c r="R228" s="154"/>
      <c r="S228" s="154"/>
      <c r="T228" s="154"/>
      <c r="U228" s="154"/>
      <c r="V228" s="154"/>
      <c r="W228" s="154"/>
      <c r="X228" s="154"/>
      <c r="Y228" s="154"/>
      <c r="Z228" s="154"/>
    </row>
    <row r="229" spans="1:26" ht="12" customHeight="1">
      <c r="A229" s="220"/>
      <c r="B229" s="154"/>
      <c r="C229" s="154"/>
      <c r="D229" s="154"/>
      <c r="E229" s="154"/>
      <c r="F229" s="154"/>
      <c r="G229" s="154"/>
      <c r="H229" s="154"/>
      <c r="I229" s="154"/>
      <c r="J229" s="217"/>
      <c r="K229" s="218"/>
      <c r="L229" s="154"/>
      <c r="M229" s="154"/>
      <c r="N229" s="154"/>
      <c r="O229" s="154"/>
      <c r="P229" s="154"/>
      <c r="Q229" s="154"/>
      <c r="R229" s="154"/>
      <c r="S229" s="154"/>
      <c r="T229" s="154"/>
      <c r="U229" s="154"/>
      <c r="V229" s="154"/>
      <c r="W229" s="154"/>
      <c r="X229" s="154"/>
      <c r="Y229" s="154"/>
      <c r="Z229" s="154"/>
    </row>
    <row r="230" spans="1:26" ht="12" customHeight="1">
      <c r="A230" s="220"/>
      <c r="B230" s="154"/>
      <c r="C230" s="154"/>
      <c r="D230" s="154"/>
      <c r="E230" s="154"/>
      <c r="F230" s="154"/>
      <c r="G230" s="154"/>
      <c r="H230" s="154"/>
      <c r="I230" s="154"/>
      <c r="J230" s="217"/>
      <c r="K230" s="218"/>
      <c r="L230" s="154"/>
      <c r="M230" s="154"/>
      <c r="N230" s="154"/>
      <c r="O230" s="154"/>
      <c r="P230" s="154"/>
      <c r="Q230" s="154"/>
      <c r="R230" s="154"/>
      <c r="S230" s="154"/>
      <c r="T230" s="154"/>
      <c r="U230" s="154"/>
      <c r="V230" s="154"/>
      <c r="W230" s="154"/>
      <c r="X230" s="154"/>
      <c r="Y230" s="154"/>
      <c r="Z230" s="154"/>
    </row>
    <row r="231" spans="1:26" ht="12" customHeight="1">
      <c r="A231" s="220"/>
      <c r="B231" s="154"/>
      <c r="C231" s="154"/>
      <c r="D231" s="154"/>
      <c r="E231" s="154"/>
      <c r="F231" s="154"/>
      <c r="G231" s="154"/>
      <c r="H231" s="154"/>
      <c r="I231" s="154"/>
      <c r="J231" s="217"/>
      <c r="K231" s="218"/>
      <c r="L231" s="154"/>
      <c r="M231" s="154"/>
      <c r="N231" s="154"/>
      <c r="O231" s="154"/>
      <c r="P231" s="154"/>
      <c r="Q231" s="154"/>
      <c r="R231" s="154"/>
      <c r="S231" s="154"/>
      <c r="T231" s="154"/>
      <c r="U231" s="154"/>
      <c r="V231" s="154"/>
      <c r="W231" s="154"/>
      <c r="X231" s="154"/>
      <c r="Y231" s="154"/>
      <c r="Z231" s="154"/>
    </row>
    <row r="232" spans="1:26" ht="12" customHeight="1">
      <c r="A232" s="220"/>
      <c r="B232" s="154"/>
      <c r="C232" s="154"/>
      <c r="D232" s="154"/>
      <c r="E232" s="154"/>
      <c r="F232" s="154"/>
      <c r="G232" s="154"/>
      <c r="H232" s="154"/>
      <c r="I232" s="154"/>
      <c r="J232" s="217"/>
      <c r="K232" s="218"/>
      <c r="L232" s="154"/>
      <c r="M232" s="154"/>
      <c r="N232" s="154"/>
      <c r="O232" s="154"/>
      <c r="P232" s="154"/>
      <c r="Q232" s="154"/>
      <c r="R232" s="154"/>
      <c r="S232" s="154"/>
      <c r="T232" s="154"/>
      <c r="U232" s="154"/>
      <c r="V232" s="154"/>
      <c r="W232" s="154"/>
      <c r="X232" s="154"/>
      <c r="Y232" s="154"/>
      <c r="Z232" s="154"/>
    </row>
    <row r="233" spans="1:26" ht="12" customHeight="1">
      <c r="A233" s="220"/>
      <c r="B233" s="154"/>
      <c r="C233" s="154"/>
      <c r="D233" s="154"/>
      <c r="E233" s="154"/>
      <c r="F233" s="154"/>
      <c r="G233" s="154"/>
      <c r="H233" s="154"/>
      <c r="I233" s="154"/>
      <c r="J233" s="217"/>
      <c r="K233" s="218"/>
      <c r="L233" s="154"/>
      <c r="M233" s="154"/>
      <c r="N233" s="154"/>
      <c r="O233" s="154"/>
      <c r="P233" s="154"/>
      <c r="Q233" s="154"/>
      <c r="R233" s="154"/>
      <c r="S233" s="154"/>
      <c r="T233" s="154"/>
      <c r="U233" s="154"/>
      <c r="V233" s="154"/>
      <c r="W233" s="154"/>
      <c r="X233" s="154"/>
      <c r="Y233" s="154"/>
      <c r="Z233" s="154"/>
    </row>
    <row r="234" spans="1:26" ht="12" customHeight="1">
      <c r="A234" s="220"/>
      <c r="B234" s="154"/>
      <c r="C234" s="154"/>
      <c r="D234" s="154"/>
      <c r="E234" s="154"/>
      <c r="F234" s="154"/>
      <c r="G234" s="154"/>
      <c r="H234" s="154"/>
      <c r="I234" s="154"/>
      <c r="J234" s="217"/>
      <c r="K234" s="218"/>
      <c r="L234" s="154"/>
      <c r="M234" s="154"/>
      <c r="N234" s="154"/>
      <c r="O234" s="154"/>
      <c r="P234" s="154"/>
      <c r="Q234" s="154"/>
      <c r="R234" s="154"/>
      <c r="S234" s="154"/>
      <c r="T234" s="154"/>
      <c r="U234" s="154"/>
      <c r="V234" s="154"/>
      <c r="W234" s="154"/>
      <c r="X234" s="154"/>
      <c r="Y234" s="154"/>
      <c r="Z234" s="154"/>
    </row>
    <row r="235" spans="1:26" ht="12" customHeight="1">
      <c r="A235" s="220"/>
      <c r="B235" s="154"/>
      <c r="C235" s="154"/>
      <c r="D235" s="154"/>
      <c r="E235" s="154"/>
      <c r="F235" s="154"/>
      <c r="G235" s="154"/>
      <c r="H235" s="154"/>
      <c r="I235" s="154"/>
      <c r="J235" s="217"/>
      <c r="K235" s="218"/>
      <c r="L235" s="154"/>
      <c r="M235" s="154"/>
      <c r="N235" s="154"/>
      <c r="O235" s="154"/>
      <c r="P235" s="154"/>
      <c r="Q235" s="154"/>
      <c r="R235" s="154"/>
      <c r="S235" s="154"/>
      <c r="T235" s="154"/>
      <c r="U235" s="154"/>
      <c r="V235" s="154"/>
      <c r="W235" s="154"/>
      <c r="X235" s="154"/>
      <c r="Y235" s="154"/>
      <c r="Z235" s="154"/>
    </row>
    <row r="236" spans="1:26" ht="12" customHeight="1">
      <c r="A236" s="220"/>
      <c r="B236" s="154"/>
      <c r="C236" s="154"/>
      <c r="D236" s="154"/>
      <c r="E236" s="154"/>
      <c r="F236" s="154"/>
      <c r="G236" s="154"/>
      <c r="H236" s="154"/>
      <c r="I236" s="154"/>
      <c r="J236" s="217"/>
      <c r="K236" s="218"/>
      <c r="L236" s="154"/>
      <c r="M236" s="154"/>
      <c r="N236" s="154"/>
      <c r="O236" s="154"/>
      <c r="P236" s="154"/>
      <c r="Q236" s="154"/>
      <c r="R236" s="154"/>
      <c r="S236" s="154"/>
      <c r="T236" s="154"/>
      <c r="U236" s="154"/>
      <c r="V236" s="154"/>
      <c r="W236" s="154"/>
      <c r="X236" s="154"/>
      <c r="Y236" s="154"/>
      <c r="Z236" s="154"/>
    </row>
    <row r="237" spans="1:26" ht="12" customHeight="1">
      <c r="A237" s="220"/>
      <c r="B237" s="154"/>
      <c r="C237" s="154"/>
      <c r="D237" s="154"/>
      <c r="E237" s="154"/>
      <c r="F237" s="154"/>
      <c r="G237" s="154"/>
      <c r="H237" s="154"/>
      <c r="I237" s="154"/>
      <c r="J237" s="217"/>
      <c r="K237" s="218"/>
      <c r="L237" s="154"/>
      <c r="M237" s="154"/>
      <c r="N237" s="154"/>
      <c r="O237" s="154"/>
      <c r="P237" s="154"/>
      <c r="Q237" s="154"/>
      <c r="R237" s="154"/>
      <c r="S237" s="154"/>
      <c r="T237" s="154"/>
      <c r="U237" s="154"/>
      <c r="V237" s="154"/>
      <c r="W237" s="154"/>
      <c r="X237" s="154"/>
      <c r="Y237" s="154"/>
      <c r="Z237" s="154"/>
    </row>
    <row r="238" spans="1:26" ht="12" customHeight="1">
      <c r="A238" s="220"/>
      <c r="B238" s="154"/>
      <c r="C238" s="154"/>
      <c r="D238" s="154"/>
      <c r="E238" s="154"/>
      <c r="F238" s="154"/>
      <c r="G238" s="154"/>
      <c r="H238" s="154"/>
      <c r="I238" s="154"/>
      <c r="J238" s="217"/>
      <c r="K238" s="218"/>
      <c r="L238" s="154"/>
      <c r="M238" s="154"/>
      <c r="N238" s="154"/>
      <c r="O238" s="154"/>
      <c r="P238" s="154"/>
      <c r="Q238" s="154"/>
      <c r="R238" s="154"/>
      <c r="S238" s="154"/>
      <c r="T238" s="154"/>
      <c r="U238" s="154"/>
      <c r="V238" s="154"/>
      <c r="W238" s="154"/>
      <c r="X238" s="154"/>
      <c r="Y238" s="154"/>
      <c r="Z238" s="154"/>
    </row>
    <row r="239" spans="1:26" ht="12" customHeight="1">
      <c r="A239" s="220"/>
      <c r="B239" s="154"/>
      <c r="C239" s="154"/>
      <c r="D239" s="154"/>
      <c r="E239" s="154"/>
      <c r="F239" s="154"/>
      <c r="G239" s="154"/>
      <c r="H239" s="154"/>
      <c r="I239" s="154"/>
      <c r="J239" s="217"/>
      <c r="K239" s="218"/>
      <c r="L239" s="154"/>
      <c r="M239" s="154"/>
      <c r="N239" s="154"/>
      <c r="O239" s="154"/>
      <c r="P239" s="154"/>
      <c r="Q239" s="154"/>
      <c r="R239" s="154"/>
      <c r="S239" s="154"/>
      <c r="T239" s="154"/>
      <c r="U239" s="154"/>
      <c r="V239" s="154"/>
      <c r="W239" s="154"/>
      <c r="X239" s="154"/>
      <c r="Y239" s="154"/>
      <c r="Z239" s="154"/>
    </row>
    <row r="240" spans="1:26" ht="12" customHeight="1">
      <c r="A240" s="220"/>
      <c r="B240" s="154"/>
      <c r="C240" s="154"/>
      <c r="D240" s="154"/>
      <c r="E240" s="154"/>
      <c r="F240" s="154"/>
      <c r="G240" s="154"/>
      <c r="H240" s="154"/>
      <c r="I240" s="154"/>
      <c r="J240" s="217"/>
      <c r="K240" s="218"/>
      <c r="L240" s="154"/>
      <c r="M240" s="154"/>
      <c r="N240" s="154"/>
      <c r="O240" s="154"/>
      <c r="P240" s="154"/>
      <c r="Q240" s="154"/>
      <c r="R240" s="154"/>
      <c r="S240" s="154"/>
      <c r="T240" s="154"/>
      <c r="U240" s="154"/>
      <c r="V240" s="154"/>
      <c r="W240" s="154"/>
      <c r="X240" s="154"/>
      <c r="Y240" s="154"/>
      <c r="Z240" s="154"/>
    </row>
    <row r="241" spans="1:26" ht="12" customHeight="1">
      <c r="A241" s="220"/>
      <c r="B241" s="154"/>
      <c r="C241" s="154"/>
      <c r="D241" s="154"/>
      <c r="E241" s="154"/>
      <c r="F241" s="154"/>
      <c r="G241" s="154"/>
      <c r="H241" s="154"/>
      <c r="I241" s="154"/>
      <c r="J241" s="217"/>
      <c r="K241" s="218"/>
      <c r="L241" s="154"/>
      <c r="M241" s="154"/>
      <c r="N241" s="154"/>
      <c r="O241" s="154"/>
      <c r="P241" s="154"/>
      <c r="Q241" s="154"/>
      <c r="R241" s="154"/>
      <c r="S241" s="154"/>
      <c r="T241" s="154"/>
      <c r="U241" s="154"/>
      <c r="V241" s="154"/>
      <c r="W241" s="154"/>
      <c r="X241" s="154"/>
      <c r="Y241" s="154"/>
      <c r="Z241" s="154"/>
    </row>
    <row r="242" spans="1:26" ht="12" customHeight="1">
      <c r="A242" s="220"/>
      <c r="B242" s="154"/>
      <c r="C242" s="154"/>
      <c r="D242" s="154"/>
      <c r="E242" s="154"/>
      <c r="F242" s="154"/>
      <c r="G242" s="154"/>
      <c r="H242" s="154"/>
      <c r="I242" s="154"/>
      <c r="J242" s="217"/>
      <c r="K242" s="218"/>
      <c r="L242" s="154"/>
      <c r="M242" s="154"/>
      <c r="N242" s="154"/>
      <c r="O242" s="154"/>
      <c r="P242" s="154"/>
      <c r="Q242" s="154"/>
      <c r="R242" s="154"/>
      <c r="S242" s="154"/>
      <c r="T242" s="154"/>
      <c r="U242" s="154"/>
      <c r="V242" s="154"/>
      <c r="W242" s="154"/>
      <c r="X242" s="154"/>
      <c r="Y242" s="154"/>
      <c r="Z242" s="154"/>
    </row>
    <row r="243" spans="1:26" ht="12" customHeight="1">
      <c r="A243" s="220"/>
      <c r="B243" s="154"/>
      <c r="C243" s="154"/>
      <c r="D243" s="154"/>
      <c r="E243" s="154"/>
      <c r="F243" s="154"/>
      <c r="G243" s="154"/>
      <c r="H243" s="154"/>
      <c r="I243" s="154"/>
      <c r="J243" s="217"/>
      <c r="K243" s="218"/>
      <c r="L243" s="154"/>
      <c r="M243" s="154"/>
      <c r="N243" s="154"/>
      <c r="O243" s="154"/>
      <c r="P243" s="154"/>
      <c r="Q243" s="154"/>
      <c r="R243" s="154"/>
      <c r="S243" s="154"/>
      <c r="T243" s="154"/>
      <c r="U243" s="154"/>
      <c r="V243" s="154"/>
      <c r="W243" s="154"/>
      <c r="X243" s="154"/>
      <c r="Y243" s="154"/>
      <c r="Z243" s="154"/>
    </row>
    <row r="244" spans="1:26" ht="12" customHeight="1">
      <c r="A244" s="220"/>
      <c r="B244" s="154"/>
      <c r="C244" s="154"/>
      <c r="D244" s="154"/>
      <c r="E244" s="154"/>
      <c r="F244" s="154"/>
      <c r="G244" s="154"/>
      <c r="H244" s="154"/>
      <c r="I244" s="154"/>
      <c r="J244" s="217"/>
      <c r="K244" s="218"/>
      <c r="L244" s="154"/>
      <c r="M244" s="154"/>
      <c r="N244" s="154"/>
      <c r="O244" s="154"/>
      <c r="P244" s="154"/>
      <c r="Q244" s="154"/>
      <c r="R244" s="154"/>
      <c r="S244" s="154"/>
      <c r="T244" s="154"/>
      <c r="U244" s="154"/>
      <c r="V244" s="154"/>
      <c r="W244" s="154"/>
      <c r="X244" s="154"/>
      <c r="Y244" s="154"/>
      <c r="Z244" s="154"/>
    </row>
    <row r="245" spans="1:26" ht="12" customHeight="1">
      <c r="A245" s="220"/>
      <c r="B245" s="154"/>
      <c r="C245" s="154"/>
      <c r="D245" s="154"/>
      <c r="E245" s="154"/>
      <c r="F245" s="154"/>
      <c r="G245" s="154"/>
      <c r="H245" s="154"/>
      <c r="I245" s="154"/>
      <c r="J245" s="217"/>
      <c r="K245" s="218"/>
      <c r="L245" s="154"/>
      <c r="M245" s="154"/>
      <c r="N245" s="154"/>
      <c r="O245" s="154"/>
      <c r="P245" s="154"/>
      <c r="Q245" s="154"/>
      <c r="R245" s="154"/>
      <c r="S245" s="154"/>
      <c r="T245" s="154"/>
      <c r="U245" s="154"/>
      <c r="V245" s="154"/>
      <c r="W245" s="154"/>
      <c r="X245" s="154"/>
      <c r="Y245" s="154"/>
      <c r="Z245" s="154"/>
    </row>
    <row r="246" spans="1:26" ht="12" customHeight="1">
      <c r="A246" s="220"/>
      <c r="B246" s="154"/>
      <c r="C246" s="154"/>
      <c r="D246" s="154"/>
      <c r="E246" s="154"/>
      <c r="F246" s="154"/>
      <c r="G246" s="154"/>
      <c r="H246" s="154"/>
      <c r="I246" s="154"/>
      <c r="J246" s="217"/>
      <c r="K246" s="218"/>
      <c r="L246" s="154"/>
      <c r="M246" s="154"/>
      <c r="N246" s="154"/>
      <c r="O246" s="154"/>
      <c r="P246" s="154"/>
      <c r="Q246" s="154"/>
      <c r="R246" s="154"/>
      <c r="S246" s="154"/>
      <c r="T246" s="154"/>
      <c r="U246" s="154"/>
      <c r="V246" s="154"/>
      <c r="W246" s="154"/>
      <c r="X246" s="154"/>
      <c r="Y246" s="154"/>
      <c r="Z246" s="154"/>
    </row>
    <row r="247" spans="1:26" ht="12" customHeight="1">
      <c r="A247" s="220"/>
      <c r="B247" s="154"/>
      <c r="C247" s="154"/>
      <c r="D247" s="154"/>
      <c r="E247" s="154"/>
      <c r="F247" s="154"/>
      <c r="G247" s="154"/>
      <c r="H247" s="154"/>
      <c r="I247" s="154"/>
      <c r="J247" s="217"/>
      <c r="K247" s="218"/>
      <c r="L247" s="154"/>
      <c r="M247" s="154"/>
      <c r="N247" s="154"/>
      <c r="O247" s="154"/>
      <c r="P247" s="154"/>
      <c r="Q247" s="154"/>
      <c r="R247" s="154"/>
      <c r="S247" s="154"/>
      <c r="T247" s="154"/>
      <c r="U247" s="154"/>
      <c r="V247" s="154"/>
      <c r="W247" s="154"/>
      <c r="X247" s="154"/>
      <c r="Y247" s="154"/>
      <c r="Z247" s="154"/>
    </row>
    <row r="248" spans="1:26" ht="12" customHeight="1">
      <c r="A248" s="220"/>
      <c r="B248" s="154"/>
      <c r="C248" s="154"/>
      <c r="D248" s="154"/>
      <c r="E248" s="154"/>
      <c r="F248" s="154"/>
      <c r="G248" s="154"/>
      <c r="H248" s="154"/>
      <c r="I248" s="154"/>
      <c r="J248" s="217"/>
      <c r="K248" s="218"/>
      <c r="L248" s="154"/>
      <c r="M248" s="154"/>
      <c r="N248" s="154"/>
      <c r="O248" s="154"/>
      <c r="P248" s="154"/>
      <c r="Q248" s="154"/>
      <c r="R248" s="154"/>
      <c r="S248" s="154"/>
      <c r="T248" s="154"/>
      <c r="U248" s="154"/>
      <c r="V248" s="154"/>
      <c r="W248" s="154"/>
      <c r="X248" s="154"/>
      <c r="Y248" s="154"/>
      <c r="Z248" s="154"/>
    </row>
    <row r="249" spans="1:26" ht="12" customHeight="1">
      <c r="A249" s="220"/>
      <c r="B249" s="154"/>
      <c r="C249" s="154"/>
      <c r="D249" s="154"/>
      <c r="E249" s="154"/>
      <c r="F249" s="154"/>
      <c r="G249" s="154"/>
      <c r="H249" s="154"/>
      <c r="I249" s="154"/>
      <c r="J249" s="217"/>
      <c r="K249" s="218"/>
      <c r="L249" s="154"/>
      <c r="M249" s="154"/>
      <c r="N249" s="154"/>
      <c r="O249" s="154"/>
      <c r="P249" s="154"/>
      <c r="Q249" s="154"/>
      <c r="R249" s="154"/>
      <c r="S249" s="154"/>
      <c r="T249" s="154"/>
      <c r="U249" s="154"/>
      <c r="V249" s="154"/>
      <c r="W249" s="154"/>
      <c r="X249" s="154"/>
      <c r="Y249" s="154"/>
      <c r="Z249" s="154"/>
    </row>
    <row r="250" spans="1:26" ht="12" customHeight="1">
      <c r="A250" s="220"/>
      <c r="B250" s="154"/>
      <c r="C250" s="154"/>
      <c r="D250" s="154"/>
      <c r="E250" s="154"/>
      <c r="F250" s="154"/>
      <c r="G250" s="154"/>
      <c r="H250" s="154"/>
      <c r="I250" s="154"/>
      <c r="J250" s="217"/>
      <c r="K250" s="218"/>
      <c r="L250" s="154"/>
      <c r="M250" s="154"/>
      <c r="N250" s="154"/>
      <c r="O250" s="154"/>
      <c r="P250" s="154"/>
      <c r="Q250" s="154"/>
      <c r="R250" s="154"/>
      <c r="S250" s="154"/>
      <c r="T250" s="154"/>
      <c r="U250" s="154"/>
      <c r="V250" s="154"/>
      <c r="W250" s="154"/>
      <c r="X250" s="154"/>
      <c r="Y250" s="154"/>
      <c r="Z250" s="154"/>
    </row>
    <row r="251" spans="1:26" ht="12" customHeight="1">
      <c r="A251" s="220"/>
      <c r="B251" s="154"/>
      <c r="C251" s="154"/>
      <c r="D251" s="154"/>
      <c r="E251" s="154"/>
      <c r="F251" s="154"/>
      <c r="G251" s="154"/>
      <c r="H251" s="154"/>
      <c r="I251" s="154"/>
      <c r="J251" s="217"/>
      <c r="K251" s="218"/>
      <c r="L251" s="154"/>
      <c r="M251" s="154"/>
      <c r="N251" s="154"/>
      <c r="O251" s="154"/>
      <c r="P251" s="154"/>
      <c r="Q251" s="154"/>
      <c r="R251" s="154"/>
      <c r="S251" s="154"/>
      <c r="T251" s="154"/>
      <c r="U251" s="154"/>
      <c r="V251" s="154"/>
      <c r="W251" s="154"/>
      <c r="X251" s="154"/>
      <c r="Y251" s="154"/>
      <c r="Z251" s="154"/>
    </row>
    <row r="252" spans="1:26" ht="12" customHeight="1">
      <c r="A252" s="220"/>
      <c r="B252" s="154"/>
      <c r="C252" s="154"/>
      <c r="D252" s="154"/>
      <c r="E252" s="154"/>
      <c r="F252" s="154"/>
      <c r="G252" s="154"/>
      <c r="H252" s="154"/>
      <c r="I252" s="154"/>
      <c r="J252" s="217"/>
      <c r="K252" s="218"/>
      <c r="L252" s="154"/>
      <c r="M252" s="154"/>
      <c r="N252" s="154"/>
      <c r="O252" s="154"/>
      <c r="P252" s="154"/>
      <c r="Q252" s="154"/>
      <c r="R252" s="154"/>
      <c r="S252" s="154"/>
      <c r="T252" s="154"/>
      <c r="U252" s="154"/>
      <c r="V252" s="154"/>
      <c r="W252" s="154"/>
      <c r="X252" s="154"/>
      <c r="Y252" s="154"/>
      <c r="Z252" s="154"/>
    </row>
    <row r="253" spans="1:26" ht="12" customHeight="1">
      <c r="A253" s="220"/>
      <c r="B253" s="154"/>
      <c r="C253" s="154"/>
      <c r="D253" s="154"/>
      <c r="E253" s="154"/>
      <c r="F253" s="154"/>
      <c r="G253" s="154"/>
      <c r="H253" s="154"/>
      <c r="I253" s="154"/>
      <c r="J253" s="217"/>
      <c r="K253" s="218"/>
      <c r="L253" s="154"/>
      <c r="M253" s="154"/>
      <c r="N253" s="154"/>
      <c r="O253" s="154"/>
      <c r="P253" s="154"/>
      <c r="Q253" s="154"/>
      <c r="R253" s="154"/>
      <c r="S253" s="154"/>
      <c r="T253" s="154"/>
      <c r="U253" s="154"/>
      <c r="V253" s="154"/>
      <c r="W253" s="154"/>
      <c r="X253" s="154"/>
      <c r="Y253" s="154"/>
      <c r="Z253" s="154"/>
    </row>
    <row r="254" spans="1:26" ht="12" customHeight="1">
      <c r="A254" s="220"/>
      <c r="B254" s="154"/>
      <c r="C254" s="154"/>
      <c r="D254" s="154"/>
      <c r="E254" s="154"/>
      <c r="F254" s="154"/>
      <c r="G254" s="154"/>
      <c r="H254" s="154"/>
      <c r="I254" s="154"/>
      <c r="J254" s="217"/>
      <c r="K254" s="218"/>
      <c r="L254" s="154"/>
      <c r="M254" s="154"/>
      <c r="N254" s="154"/>
      <c r="O254" s="154"/>
      <c r="P254" s="154"/>
      <c r="Q254" s="154"/>
      <c r="R254" s="154"/>
      <c r="S254" s="154"/>
      <c r="T254" s="154"/>
      <c r="U254" s="154"/>
      <c r="V254" s="154"/>
      <c r="W254" s="154"/>
      <c r="X254" s="154"/>
      <c r="Y254" s="154"/>
      <c r="Z254" s="154"/>
    </row>
    <row r="255" spans="1:26" ht="12" customHeight="1">
      <c r="A255" s="220"/>
      <c r="B255" s="154"/>
      <c r="C255" s="154"/>
      <c r="D255" s="154"/>
      <c r="E255" s="154"/>
      <c r="F255" s="154"/>
      <c r="G255" s="154"/>
      <c r="H255" s="154"/>
      <c r="I255" s="154"/>
      <c r="J255" s="217"/>
      <c r="K255" s="218"/>
      <c r="L255" s="154"/>
      <c r="M255" s="154"/>
      <c r="N255" s="154"/>
      <c r="O255" s="154"/>
      <c r="P255" s="154"/>
      <c r="Q255" s="154"/>
      <c r="R255" s="154"/>
      <c r="S255" s="154"/>
      <c r="T255" s="154"/>
      <c r="U255" s="154"/>
      <c r="V255" s="154"/>
      <c r="W255" s="154"/>
      <c r="X255" s="154"/>
      <c r="Y255" s="154"/>
      <c r="Z255" s="154"/>
    </row>
    <row r="256" spans="1:26" ht="12" customHeight="1">
      <c r="A256" s="220"/>
      <c r="B256" s="154"/>
      <c r="C256" s="154"/>
      <c r="D256" s="154"/>
      <c r="E256" s="154"/>
      <c r="F256" s="154"/>
      <c r="G256" s="154"/>
      <c r="H256" s="154"/>
      <c r="I256" s="154"/>
      <c r="J256" s="217"/>
      <c r="K256" s="218"/>
      <c r="L256" s="154"/>
      <c r="M256" s="154"/>
      <c r="N256" s="154"/>
      <c r="O256" s="154"/>
      <c r="P256" s="154"/>
      <c r="Q256" s="154"/>
      <c r="R256" s="154"/>
      <c r="S256" s="154"/>
      <c r="T256" s="154"/>
      <c r="U256" s="154"/>
      <c r="V256" s="154"/>
      <c r="W256" s="154"/>
      <c r="X256" s="154"/>
      <c r="Y256" s="154"/>
      <c r="Z256" s="154"/>
    </row>
    <row r="257" spans="1:26" ht="12" customHeight="1">
      <c r="A257" s="220"/>
      <c r="B257" s="154"/>
      <c r="C257" s="154"/>
      <c r="D257" s="154"/>
      <c r="E257" s="154"/>
      <c r="F257" s="154"/>
      <c r="G257" s="154"/>
      <c r="H257" s="154"/>
      <c r="I257" s="154"/>
      <c r="J257" s="217"/>
      <c r="K257" s="218"/>
      <c r="L257" s="154"/>
      <c r="M257" s="154"/>
      <c r="N257" s="154"/>
      <c r="O257" s="154"/>
      <c r="P257" s="154"/>
      <c r="Q257" s="154"/>
      <c r="R257" s="154"/>
      <c r="S257" s="154"/>
      <c r="T257" s="154"/>
      <c r="U257" s="154"/>
      <c r="V257" s="154"/>
      <c r="W257" s="154"/>
      <c r="X257" s="154"/>
      <c r="Y257" s="154"/>
      <c r="Z257" s="154"/>
    </row>
    <row r="258" spans="1:26" ht="12" customHeight="1">
      <c r="A258" s="220"/>
      <c r="B258" s="154"/>
      <c r="C258" s="154"/>
      <c r="D258" s="154"/>
      <c r="E258" s="154"/>
      <c r="F258" s="154"/>
      <c r="G258" s="154"/>
      <c r="H258" s="154"/>
      <c r="I258" s="154"/>
      <c r="J258" s="217"/>
      <c r="K258" s="218"/>
      <c r="L258" s="154"/>
      <c r="M258" s="154"/>
      <c r="N258" s="154"/>
      <c r="O258" s="154"/>
      <c r="P258" s="154"/>
      <c r="Q258" s="154"/>
      <c r="R258" s="154"/>
      <c r="S258" s="154"/>
      <c r="T258" s="154"/>
      <c r="U258" s="154"/>
      <c r="V258" s="154"/>
      <c r="W258" s="154"/>
      <c r="X258" s="154"/>
      <c r="Y258" s="154"/>
      <c r="Z258" s="154"/>
    </row>
    <row r="259" spans="1:26" ht="12" customHeight="1">
      <c r="A259" s="220"/>
      <c r="B259" s="154"/>
      <c r="C259" s="154"/>
      <c r="D259" s="154"/>
      <c r="E259" s="154"/>
      <c r="F259" s="154"/>
      <c r="G259" s="154"/>
      <c r="H259" s="154"/>
      <c r="I259" s="154"/>
      <c r="J259" s="217"/>
      <c r="K259" s="218"/>
      <c r="L259" s="154"/>
      <c r="M259" s="154"/>
      <c r="N259" s="154"/>
      <c r="O259" s="154"/>
      <c r="P259" s="154"/>
      <c r="Q259" s="154"/>
      <c r="R259" s="154"/>
      <c r="S259" s="154"/>
      <c r="T259" s="154"/>
      <c r="U259" s="154"/>
      <c r="V259" s="154"/>
      <c r="W259" s="154"/>
      <c r="X259" s="154"/>
      <c r="Y259" s="154"/>
      <c r="Z259" s="154"/>
    </row>
    <row r="260" spans="1:26" ht="12" customHeight="1">
      <c r="A260" s="220"/>
      <c r="B260" s="154"/>
      <c r="C260" s="154"/>
      <c r="D260" s="154"/>
      <c r="E260" s="154"/>
      <c r="F260" s="154"/>
      <c r="G260" s="154"/>
      <c r="H260" s="154"/>
      <c r="I260" s="154"/>
      <c r="J260" s="217"/>
      <c r="K260" s="218"/>
      <c r="L260" s="154"/>
      <c r="M260" s="154"/>
      <c r="N260" s="154"/>
      <c r="O260" s="154"/>
      <c r="P260" s="154"/>
      <c r="Q260" s="154"/>
      <c r="R260" s="154"/>
      <c r="S260" s="154"/>
      <c r="T260" s="154"/>
      <c r="U260" s="154"/>
      <c r="V260" s="154"/>
      <c r="W260" s="154"/>
      <c r="X260" s="154"/>
      <c r="Y260" s="154"/>
      <c r="Z260" s="154"/>
    </row>
    <row r="261" spans="1:26" ht="12" customHeight="1">
      <c r="A261" s="220"/>
      <c r="B261" s="154"/>
      <c r="C261" s="154"/>
      <c r="D261" s="154"/>
      <c r="E261" s="154"/>
      <c r="F261" s="154"/>
      <c r="G261" s="154"/>
      <c r="H261" s="154"/>
      <c r="I261" s="154"/>
      <c r="J261" s="217"/>
      <c r="K261" s="218"/>
      <c r="L261" s="154"/>
      <c r="M261" s="154"/>
      <c r="N261" s="154"/>
      <c r="O261" s="154"/>
      <c r="P261" s="154"/>
      <c r="Q261" s="154"/>
      <c r="R261" s="154"/>
      <c r="S261" s="154"/>
      <c r="T261" s="154"/>
      <c r="U261" s="154"/>
      <c r="V261" s="154"/>
      <c r="W261" s="154"/>
      <c r="X261" s="154"/>
      <c r="Y261" s="154"/>
      <c r="Z261" s="154"/>
    </row>
    <row r="262" spans="1:26" ht="12" customHeight="1">
      <c r="A262" s="220"/>
      <c r="B262" s="154"/>
      <c r="C262" s="154"/>
      <c r="D262" s="154"/>
      <c r="E262" s="154"/>
      <c r="F262" s="154"/>
      <c r="G262" s="154"/>
      <c r="H262" s="154"/>
      <c r="I262" s="154"/>
      <c r="J262" s="217"/>
      <c r="K262" s="218"/>
      <c r="L262" s="154"/>
      <c r="M262" s="154"/>
      <c r="N262" s="154"/>
      <c r="O262" s="154"/>
      <c r="P262" s="154"/>
      <c r="Q262" s="154"/>
      <c r="R262" s="154"/>
      <c r="S262" s="154"/>
      <c r="T262" s="154"/>
      <c r="U262" s="154"/>
      <c r="V262" s="154"/>
      <c r="W262" s="154"/>
      <c r="X262" s="154"/>
      <c r="Y262" s="154"/>
      <c r="Z262" s="154"/>
    </row>
    <row r="263" spans="1:26" ht="12" customHeight="1">
      <c r="A263" s="220"/>
      <c r="B263" s="154"/>
      <c r="C263" s="154"/>
      <c r="D263" s="154"/>
      <c r="E263" s="154"/>
      <c r="F263" s="154"/>
      <c r="G263" s="154"/>
      <c r="H263" s="154"/>
      <c r="I263" s="154"/>
      <c r="J263" s="217"/>
      <c r="K263" s="218"/>
      <c r="L263" s="154"/>
      <c r="M263" s="154"/>
      <c r="N263" s="154"/>
      <c r="O263" s="154"/>
      <c r="P263" s="154"/>
      <c r="Q263" s="154"/>
      <c r="R263" s="154"/>
      <c r="S263" s="154"/>
      <c r="T263" s="154"/>
      <c r="U263" s="154"/>
      <c r="V263" s="154"/>
      <c r="W263" s="154"/>
      <c r="X263" s="154"/>
      <c r="Y263" s="154"/>
      <c r="Z263" s="154"/>
    </row>
    <row r="264" spans="1:26" ht="12" customHeight="1">
      <c r="A264" s="220"/>
      <c r="B264" s="154"/>
      <c r="C264" s="154"/>
      <c r="D264" s="154"/>
      <c r="E264" s="154"/>
      <c r="F264" s="154"/>
      <c r="G264" s="154"/>
      <c r="H264" s="154"/>
      <c r="I264" s="154"/>
      <c r="J264" s="217"/>
      <c r="K264" s="218"/>
      <c r="L264" s="154"/>
      <c r="M264" s="154"/>
      <c r="N264" s="154"/>
      <c r="O264" s="154"/>
      <c r="P264" s="154"/>
      <c r="Q264" s="154"/>
      <c r="R264" s="154"/>
      <c r="S264" s="154"/>
      <c r="T264" s="154"/>
      <c r="U264" s="154"/>
      <c r="V264" s="154"/>
      <c r="W264" s="154"/>
      <c r="X264" s="154"/>
      <c r="Y264" s="154"/>
      <c r="Z264" s="154"/>
    </row>
    <row r="265" spans="1:26" ht="12" customHeight="1">
      <c r="A265" s="220"/>
      <c r="B265" s="154"/>
      <c r="C265" s="154"/>
      <c r="D265" s="154"/>
      <c r="E265" s="154"/>
      <c r="F265" s="154"/>
      <c r="G265" s="154"/>
      <c r="H265" s="154"/>
      <c r="I265" s="154"/>
      <c r="J265" s="217"/>
      <c r="K265" s="218"/>
      <c r="L265" s="154"/>
      <c r="M265" s="154"/>
      <c r="N265" s="154"/>
      <c r="O265" s="154"/>
      <c r="P265" s="154"/>
      <c r="Q265" s="154"/>
      <c r="R265" s="154"/>
      <c r="S265" s="154"/>
      <c r="T265" s="154"/>
      <c r="U265" s="154"/>
      <c r="V265" s="154"/>
      <c r="W265" s="154"/>
      <c r="X265" s="154"/>
      <c r="Y265" s="154"/>
      <c r="Z265" s="154"/>
    </row>
    <row r="266" spans="1:26" ht="12" customHeight="1">
      <c r="A266" s="220"/>
      <c r="B266" s="154"/>
      <c r="C266" s="154"/>
      <c r="D266" s="154"/>
      <c r="E266" s="154"/>
      <c r="F266" s="154"/>
      <c r="G266" s="154"/>
      <c r="H266" s="154"/>
      <c r="I266" s="154"/>
      <c r="J266" s="217"/>
      <c r="K266" s="218"/>
      <c r="L266" s="154"/>
      <c r="M266" s="154"/>
      <c r="N266" s="154"/>
      <c r="O266" s="154"/>
      <c r="P266" s="154"/>
      <c r="Q266" s="154"/>
      <c r="R266" s="154"/>
      <c r="S266" s="154"/>
      <c r="T266" s="154"/>
      <c r="U266" s="154"/>
      <c r="V266" s="154"/>
      <c r="W266" s="154"/>
      <c r="X266" s="154"/>
      <c r="Y266" s="154"/>
      <c r="Z266" s="154"/>
    </row>
    <row r="267" spans="1:26" ht="12" customHeight="1">
      <c r="A267" s="220"/>
      <c r="B267" s="154"/>
      <c r="C267" s="154"/>
      <c r="D267" s="154"/>
      <c r="E267" s="154"/>
      <c r="F267" s="154"/>
      <c r="G267" s="154"/>
      <c r="H267" s="154"/>
      <c r="I267" s="154"/>
      <c r="J267" s="217"/>
      <c r="K267" s="218"/>
      <c r="L267" s="154"/>
      <c r="M267" s="154"/>
      <c r="N267" s="154"/>
      <c r="O267" s="154"/>
      <c r="P267" s="154"/>
      <c r="Q267" s="154"/>
      <c r="R267" s="154"/>
      <c r="S267" s="154"/>
      <c r="T267" s="154"/>
      <c r="U267" s="154"/>
      <c r="V267" s="154"/>
      <c r="W267" s="154"/>
      <c r="X267" s="154"/>
      <c r="Y267" s="154"/>
      <c r="Z267" s="154"/>
    </row>
    <row r="268" spans="1:26" ht="12" customHeight="1">
      <c r="A268" s="220"/>
      <c r="B268" s="154"/>
      <c r="C268" s="154"/>
      <c r="D268" s="154"/>
      <c r="E268" s="154"/>
      <c r="F268" s="154"/>
      <c r="G268" s="154"/>
      <c r="H268" s="154"/>
      <c r="I268" s="154"/>
      <c r="J268" s="217"/>
      <c r="K268" s="218"/>
      <c r="L268" s="154"/>
      <c r="M268" s="154"/>
      <c r="N268" s="154"/>
      <c r="O268" s="154"/>
      <c r="P268" s="154"/>
      <c r="Q268" s="154"/>
      <c r="R268" s="154"/>
      <c r="S268" s="154"/>
      <c r="T268" s="154"/>
      <c r="U268" s="154"/>
      <c r="V268" s="154"/>
      <c r="W268" s="154"/>
      <c r="X268" s="154"/>
      <c r="Y268" s="154"/>
      <c r="Z268" s="154"/>
    </row>
    <row r="269" spans="1:26" ht="12" customHeight="1">
      <c r="A269" s="220"/>
      <c r="B269" s="154"/>
      <c r="C269" s="154"/>
      <c r="D269" s="154"/>
      <c r="E269" s="154"/>
      <c r="F269" s="154"/>
      <c r="G269" s="154"/>
      <c r="H269" s="154"/>
      <c r="I269" s="154"/>
      <c r="J269" s="217"/>
      <c r="K269" s="218"/>
      <c r="L269" s="154"/>
      <c r="M269" s="154"/>
      <c r="N269" s="154"/>
      <c r="O269" s="154"/>
      <c r="P269" s="154"/>
      <c r="Q269" s="154"/>
      <c r="R269" s="154"/>
      <c r="S269" s="154"/>
      <c r="T269" s="154"/>
      <c r="U269" s="154"/>
      <c r="V269" s="154"/>
      <c r="W269" s="154"/>
      <c r="X269" s="154"/>
      <c r="Y269" s="154"/>
      <c r="Z269" s="154"/>
    </row>
    <row r="270" spans="1:26" ht="12" customHeight="1">
      <c r="A270" s="220"/>
      <c r="B270" s="154"/>
      <c r="C270" s="154"/>
      <c r="D270" s="154"/>
      <c r="E270" s="154"/>
      <c r="F270" s="154"/>
      <c r="G270" s="154"/>
      <c r="H270" s="154"/>
      <c r="I270" s="154"/>
      <c r="J270" s="217"/>
      <c r="K270" s="218"/>
      <c r="L270" s="154"/>
      <c r="M270" s="154"/>
      <c r="N270" s="154"/>
      <c r="O270" s="154"/>
      <c r="P270" s="154"/>
      <c r="Q270" s="154"/>
      <c r="R270" s="154"/>
      <c r="S270" s="154"/>
      <c r="T270" s="154"/>
      <c r="U270" s="154"/>
      <c r="V270" s="154"/>
      <c r="W270" s="154"/>
      <c r="X270" s="154"/>
      <c r="Y270" s="154"/>
      <c r="Z270" s="154"/>
    </row>
    <row r="271" spans="1:26" ht="12" customHeight="1">
      <c r="A271" s="220"/>
      <c r="B271" s="154"/>
      <c r="C271" s="154"/>
      <c r="D271" s="154"/>
      <c r="E271" s="154"/>
      <c r="F271" s="154"/>
      <c r="G271" s="154"/>
      <c r="H271" s="154"/>
      <c r="I271" s="154"/>
      <c r="J271" s="217"/>
      <c r="K271" s="218"/>
      <c r="L271" s="154"/>
      <c r="M271" s="154"/>
      <c r="N271" s="154"/>
      <c r="O271" s="154"/>
      <c r="P271" s="154"/>
      <c r="Q271" s="154"/>
      <c r="R271" s="154"/>
      <c r="S271" s="154"/>
      <c r="T271" s="154"/>
      <c r="U271" s="154"/>
      <c r="V271" s="154"/>
      <c r="W271" s="154"/>
      <c r="X271" s="154"/>
      <c r="Y271" s="154"/>
      <c r="Z271" s="154"/>
    </row>
    <row r="272" spans="1:26" ht="12" customHeight="1">
      <c r="A272" s="220"/>
      <c r="B272" s="154"/>
      <c r="C272" s="154"/>
      <c r="D272" s="154"/>
      <c r="E272" s="154"/>
      <c r="F272" s="154"/>
      <c r="G272" s="154"/>
      <c r="H272" s="154"/>
      <c r="I272" s="154"/>
      <c r="J272" s="217"/>
      <c r="K272" s="218"/>
      <c r="L272" s="154"/>
      <c r="M272" s="154"/>
      <c r="N272" s="154"/>
      <c r="O272" s="154"/>
      <c r="P272" s="154"/>
      <c r="Q272" s="154"/>
      <c r="R272" s="154"/>
      <c r="S272" s="154"/>
      <c r="T272" s="154"/>
      <c r="U272" s="154"/>
      <c r="V272" s="154"/>
      <c r="W272" s="154"/>
      <c r="X272" s="154"/>
      <c r="Y272" s="154"/>
      <c r="Z272" s="154"/>
    </row>
    <row r="273" spans="1:26" ht="12" customHeight="1">
      <c r="A273" s="220"/>
      <c r="B273" s="154"/>
      <c r="C273" s="154"/>
      <c r="D273" s="154"/>
      <c r="E273" s="154"/>
      <c r="F273" s="154"/>
      <c r="G273" s="154"/>
      <c r="H273" s="154"/>
      <c r="I273" s="154"/>
      <c r="J273" s="217"/>
      <c r="K273" s="218"/>
      <c r="L273" s="154"/>
      <c r="M273" s="154"/>
      <c r="N273" s="154"/>
      <c r="O273" s="154"/>
      <c r="P273" s="154"/>
      <c r="Q273" s="154"/>
      <c r="R273" s="154"/>
      <c r="S273" s="154"/>
      <c r="T273" s="154"/>
      <c r="U273" s="154"/>
      <c r="V273" s="154"/>
      <c r="W273" s="154"/>
      <c r="X273" s="154"/>
      <c r="Y273" s="154"/>
      <c r="Z273" s="154"/>
    </row>
    <row r="274" spans="1:26" ht="12" customHeight="1">
      <c r="A274" s="220"/>
      <c r="B274" s="154"/>
      <c r="C274" s="154"/>
      <c r="D274" s="154"/>
      <c r="E274" s="154"/>
      <c r="F274" s="154"/>
      <c r="G274" s="154"/>
      <c r="H274" s="154"/>
      <c r="I274" s="154"/>
      <c r="J274" s="217"/>
      <c r="K274" s="218"/>
      <c r="L274" s="154"/>
      <c r="M274" s="154"/>
      <c r="N274" s="154"/>
      <c r="O274" s="154"/>
      <c r="P274" s="154"/>
      <c r="Q274" s="154"/>
      <c r="R274" s="154"/>
      <c r="S274" s="154"/>
      <c r="T274" s="154"/>
      <c r="U274" s="154"/>
      <c r="V274" s="154"/>
      <c r="W274" s="154"/>
      <c r="X274" s="154"/>
      <c r="Y274" s="154"/>
      <c r="Z274" s="154"/>
    </row>
    <row r="275" spans="1:26" ht="12" customHeight="1">
      <c r="A275" s="220"/>
      <c r="B275" s="154"/>
      <c r="C275" s="154"/>
      <c r="D275" s="154"/>
      <c r="E275" s="154"/>
      <c r="F275" s="154"/>
      <c r="G275" s="154"/>
      <c r="H275" s="154"/>
      <c r="I275" s="154"/>
      <c r="J275" s="217"/>
      <c r="K275" s="218"/>
      <c r="L275" s="154"/>
      <c r="M275" s="154"/>
      <c r="N275" s="154"/>
      <c r="O275" s="154"/>
      <c r="P275" s="154"/>
      <c r="Q275" s="154"/>
      <c r="R275" s="154"/>
      <c r="S275" s="154"/>
      <c r="T275" s="154"/>
      <c r="U275" s="154"/>
      <c r="V275" s="154"/>
      <c r="W275" s="154"/>
      <c r="X275" s="154"/>
      <c r="Y275" s="154"/>
      <c r="Z275" s="154"/>
    </row>
    <row r="276" spans="1:26" ht="12" customHeight="1">
      <c r="A276" s="220"/>
      <c r="B276" s="154"/>
      <c r="C276" s="154"/>
      <c r="D276" s="154"/>
      <c r="E276" s="154"/>
      <c r="F276" s="154"/>
      <c r="G276" s="154"/>
      <c r="H276" s="154"/>
      <c r="I276" s="154"/>
      <c r="J276" s="217"/>
      <c r="K276" s="218"/>
      <c r="L276" s="154"/>
      <c r="M276" s="154"/>
      <c r="N276" s="154"/>
      <c r="O276" s="154"/>
      <c r="P276" s="154"/>
      <c r="Q276" s="154"/>
      <c r="R276" s="154"/>
      <c r="S276" s="154"/>
      <c r="T276" s="154"/>
      <c r="U276" s="154"/>
      <c r="V276" s="154"/>
      <c r="W276" s="154"/>
      <c r="X276" s="154"/>
      <c r="Y276" s="154"/>
      <c r="Z276" s="154"/>
    </row>
    <row r="277" spans="1:26" ht="12" customHeight="1">
      <c r="A277" s="220"/>
      <c r="B277" s="154"/>
      <c r="C277" s="154"/>
      <c r="D277" s="154"/>
      <c r="E277" s="154"/>
      <c r="F277" s="154"/>
      <c r="G277" s="154"/>
      <c r="H277" s="154"/>
      <c r="I277" s="154"/>
      <c r="J277" s="217"/>
      <c r="K277" s="218"/>
      <c r="L277" s="154"/>
      <c r="M277" s="154"/>
      <c r="N277" s="154"/>
      <c r="O277" s="154"/>
      <c r="P277" s="154"/>
      <c r="Q277" s="154"/>
      <c r="R277" s="154"/>
      <c r="S277" s="154"/>
      <c r="T277" s="154"/>
      <c r="U277" s="154"/>
      <c r="V277" s="154"/>
      <c r="W277" s="154"/>
      <c r="X277" s="154"/>
      <c r="Y277" s="154"/>
      <c r="Z277" s="154"/>
    </row>
    <row r="278" spans="1:26" ht="12" customHeight="1">
      <c r="A278" s="220"/>
      <c r="B278" s="154"/>
      <c r="C278" s="154"/>
      <c r="D278" s="154"/>
      <c r="E278" s="154"/>
      <c r="F278" s="154"/>
      <c r="G278" s="154"/>
      <c r="H278" s="154"/>
      <c r="I278" s="154"/>
      <c r="J278" s="217"/>
      <c r="K278" s="218"/>
      <c r="L278" s="154"/>
      <c r="M278" s="154"/>
      <c r="N278" s="154"/>
      <c r="O278" s="154"/>
      <c r="P278" s="154"/>
      <c r="Q278" s="154"/>
      <c r="R278" s="154"/>
      <c r="S278" s="154"/>
      <c r="T278" s="154"/>
      <c r="U278" s="154"/>
      <c r="V278" s="154"/>
      <c r="W278" s="154"/>
      <c r="X278" s="154"/>
      <c r="Y278" s="154"/>
      <c r="Z278" s="154"/>
    </row>
    <row r="279" spans="1:26" ht="12" customHeight="1">
      <c r="A279" s="220"/>
      <c r="B279" s="154"/>
      <c r="C279" s="154"/>
      <c r="D279" s="154"/>
      <c r="E279" s="154"/>
      <c r="F279" s="154"/>
      <c r="G279" s="154"/>
      <c r="H279" s="154"/>
      <c r="I279" s="154"/>
      <c r="J279" s="217"/>
      <c r="K279" s="218"/>
      <c r="L279" s="154"/>
      <c r="M279" s="154"/>
      <c r="N279" s="154"/>
      <c r="O279" s="154"/>
      <c r="P279" s="154"/>
      <c r="Q279" s="154"/>
      <c r="R279" s="154"/>
      <c r="S279" s="154"/>
      <c r="T279" s="154"/>
      <c r="U279" s="154"/>
      <c r="V279" s="154"/>
      <c r="W279" s="154"/>
      <c r="X279" s="154"/>
      <c r="Y279" s="154"/>
      <c r="Z279" s="154"/>
    </row>
    <row r="280" spans="1:26" ht="12" customHeight="1">
      <c r="A280" s="220"/>
      <c r="B280" s="154"/>
      <c r="C280" s="154"/>
      <c r="D280" s="154"/>
      <c r="E280" s="154"/>
      <c r="F280" s="154"/>
      <c r="G280" s="154"/>
      <c r="H280" s="154"/>
      <c r="I280" s="154"/>
      <c r="J280" s="217"/>
      <c r="K280" s="218"/>
      <c r="L280" s="154"/>
      <c r="M280" s="154"/>
      <c r="N280" s="154"/>
      <c r="O280" s="154"/>
      <c r="P280" s="154"/>
      <c r="Q280" s="154"/>
      <c r="R280" s="154"/>
      <c r="S280" s="154"/>
      <c r="T280" s="154"/>
      <c r="U280" s="154"/>
      <c r="V280" s="154"/>
      <c r="W280" s="154"/>
      <c r="X280" s="154"/>
      <c r="Y280" s="154"/>
      <c r="Z280" s="154"/>
    </row>
    <row r="281" spans="1:26" ht="12" customHeight="1">
      <c r="A281" s="220"/>
      <c r="B281" s="154"/>
      <c r="C281" s="154"/>
      <c r="D281" s="154"/>
      <c r="E281" s="154"/>
      <c r="F281" s="154"/>
      <c r="G281" s="154"/>
      <c r="H281" s="154"/>
      <c r="I281" s="154"/>
      <c r="J281" s="217"/>
      <c r="K281" s="218"/>
      <c r="L281" s="154"/>
      <c r="M281" s="154"/>
      <c r="N281" s="154"/>
      <c r="O281" s="154"/>
      <c r="P281" s="154"/>
      <c r="Q281" s="154"/>
      <c r="R281" s="154"/>
      <c r="S281" s="154"/>
      <c r="T281" s="154"/>
      <c r="U281" s="154"/>
      <c r="V281" s="154"/>
      <c r="W281" s="154"/>
      <c r="X281" s="154"/>
      <c r="Y281" s="154"/>
      <c r="Z281" s="154"/>
    </row>
    <row r="282" spans="1:26" ht="12" customHeight="1">
      <c r="A282" s="220"/>
      <c r="B282" s="154"/>
      <c r="C282" s="154"/>
      <c r="D282" s="154"/>
      <c r="E282" s="154"/>
      <c r="F282" s="154"/>
      <c r="G282" s="154"/>
      <c r="H282" s="154"/>
      <c r="I282" s="154"/>
      <c r="J282" s="217"/>
      <c r="K282" s="218"/>
      <c r="L282" s="154"/>
      <c r="M282" s="154"/>
      <c r="N282" s="154"/>
      <c r="O282" s="154"/>
      <c r="P282" s="154"/>
      <c r="Q282" s="154"/>
      <c r="R282" s="154"/>
      <c r="S282" s="154"/>
      <c r="T282" s="154"/>
      <c r="U282" s="154"/>
      <c r="V282" s="154"/>
      <c r="W282" s="154"/>
      <c r="X282" s="154"/>
      <c r="Y282" s="154"/>
      <c r="Z282" s="154"/>
    </row>
    <row r="283" spans="1:26" ht="12" customHeight="1">
      <c r="A283" s="220"/>
      <c r="B283" s="154"/>
      <c r="C283" s="154"/>
      <c r="D283" s="154"/>
      <c r="E283" s="154"/>
      <c r="F283" s="154"/>
      <c r="G283" s="154"/>
      <c r="H283" s="154"/>
      <c r="I283" s="154"/>
      <c r="J283" s="217"/>
      <c r="K283" s="218"/>
      <c r="L283" s="154"/>
      <c r="M283" s="154"/>
      <c r="N283" s="154"/>
      <c r="O283" s="154"/>
      <c r="P283" s="154"/>
      <c r="Q283" s="154"/>
      <c r="R283" s="154"/>
      <c r="S283" s="154"/>
      <c r="T283" s="154"/>
      <c r="U283" s="154"/>
      <c r="V283" s="154"/>
      <c r="W283" s="154"/>
      <c r="X283" s="154"/>
      <c r="Y283" s="154"/>
      <c r="Z283" s="154"/>
    </row>
    <row r="284" spans="1:26" ht="12" customHeight="1">
      <c r="A284" s="220"/>
      <c r="B284" s="154"/>
      <c r="C284" s="154"/>
      <c r="D284" s="154"/>
      <c r="E284" s="154"/>
      <c r="F284" s="154"/>
      <c r="G284" s="154"/>
      <c r="H284" s="154"/>
      <c r="I284" s="154"/>
      <c r="J284" s="217"/>
      <c r="K284" s="218"/>
      <c r="L284" s="154"/>
      <c r="M284" s="154"/>
      <c r="N284" s="154"/>
      <c r="O284" s="154"/>
      <c r="P284" s="154"/>
      <c r="Q284" s="154"/>
      <c r="R284" s="154"/>
      <c r="S284" s="154"/>
      <c r="T284" s="154"/>
      <c r="U284" s="154"/>
      <c r="V284" s="154"/>
      <c r="W284" s="154"/>
      <c r="X284" s="154"/>
      <c r="Y284" s="154"/>
      <c r="Z284" s="154"/>
    </row>
    <row r="285" spans="1:26" ht="12" customHeight="1">
      <c r="A285" s="220"/>
      <c r="B285" s="154"/>
      <c r="C285" s="154"/>
      <c r="D285" s="154"/>
      <c r="E285" s="154"/>
      <c r="F285" s="154"/>
      <c r="G285" s="154"/>
      <c r="H285" s="154"/>
      <c r="I285" s="154"/>
      <c r="J285" s="217"/>
      <c r="K285" s="218"/>
      <c r="L285" s="154"/>
      <c r="M285" s="154"/>
      <c r="N285" s="154"/>
      <c r="O285" s="154"/>
      <c r="P285" s="154"/>
      <c r="Q285" s="154"/>
      <c r="R285" s="154"/>
      <c r="S285" s="154"/>
      <c r="T285" s="154"/>
      <c r="U285" s="154"/>
      <c r="V285" s="154"/>
      <c r="W285" s="154"/>
      <c r="X285" s="154"/>
      <c r="Y285" s="154"/>
      <c r="Z285" s="154"/>
    </row>
    <row r="286" spans="1:26" ht="12" customHeight="1">
      <c r="A286" s="220"/>
      <c r="B286" s="154"/>
      <c r="C286" s="154"/>
      <c r="D286" s="154"/>
      <c r="E286" s="154"/>
      <c r="F286" s="154"/>
      <c r="G286" s="154"/>
      <c r="H286" s="154"/>
      <c r="I286" s="154"/>
      <c r="J286" s="217"/>
      <c r="K286" s="218"/>
      <c r="L286" s="154"/>
      <c r="M286" s="154"/>
      <c r="N286" s="154"/>
      <c r="O286" s="154"/>
      <c r="P286" s="154"/>
      <c r="Q286" s="154"/>
      <c r="R286" s="154"/>
      <c r="S286" s="154"/>
      <c r="T286" s="154"/>
      <c r="U286" s="154"/>
      <c r="V286" s="154"/>
      <c r="W286" s="154"/>
      <c r="X286" s="154"/>
      <c r="Y286" s="154"/>
      <c r="Z286" s="154"/>
    </row>
    <row r="287" spans="1:26" ht="12" customHeight="1">
      <c r="A287" s="220"/>
      <c r="B287" s="154"/>
      <c r="C287" s="154"/>
      <c r="D287" s="154"/>
      <c r="E287" s="154"/>
      <c r="F287" s="154"/>
      <c r="G287" s="154"/>
      <c r="H287" s="154"/>
      <c r="I287" s="154"/>
      <c r="J287" s="217"/>
      <c r="K287" s="218"/>
      <c r="L287" s="154"/>
      <c r="M287" s="154"/>
      <c r="N287" s="154"/>
      <c r="O287" s="154"/>
      <c r="P287" s="154"/>
      <c r="Q287" s="154"/>
      <c r="R287" s="154"/>
      <c r="S287" s="154"/>
      <c r="T287" s="154"/>
      <c r="U287" s="154"/>
      <c r="V287" s="154"/>
      <c r="W287" s="154"/>
      <c r="X287" s="154"/>
      <c r="Y287" s="154"/>
      <c r="Z287" s="154"/>
    </row>
    <row r="288" spans="1:26" ht="12" customHeight="1">
      <c r="A288" s="220"/>
      <c r="B288" s="154"/>
      <c r="C288" s="154"/>
      <c r="D288" s="154"/>
      <c r="E288" s="154"/>
      <c r="F288" s="154"/>
      <c r="G288" s="154"/>
      <c r="H288" s="154"/>
      <c r="I288" s="154"/>
      <c r="J288" s="217"/>
      <c r="K288" s="218"/>
      <c r="L288" s="154"/>
      <c r="M288" s="154"/>
      <c r="N288" s="154"/>
      <c r="O288" s="154"/>
      <c r="P288" s="154"/>
      <c r="Q288" s="154"/>
      <c r="R288" s="154"/>
      <c r="S288" s="154"/>
      <c r="T288" s="154"/>
      <c r="U288" s="154"/>
      <c r="V288" s="154"/>
      <c r="W288" s="154"/>
      <c r="X288" s="154"/>
      <c r="Y288" s="154"/>
      <c r="Z288" s="154"/>
    </row>
    <row r="289" spans="1:26" ht="12" customHeight="1">
      <c r="A289" s="220"/>
      <c r="B289" s="154"/>
      <c r="C289" s="154"/>
      <c r="D289" s="154"/>
      <c r="E289" s="154"/>
      <c r="F289" s="154"/>
      <c r="G289" s="154"/>
      <c r="H289" s="154"/>
      <c r="I289" s="154"/>
      <c r="J289" s="217"/>
      <c r="K289" s="218"/>
      <c r="L289" s="154"/>
      <c r="M289" s="154"/>
      <c r="N289" s="154"/>
      <c r="O289" s="154"/>
      <c r="P289" s="154"/>
      <c r="Q289" s="154"/>
      <c r="R289" s="154"/>
      <c r="S289" s="154"/>
      <c r="T289" s="154"/>
      <c r="U289" s="154"/>
      <c r="V289" s="154"/>
      <c r="W289" s="154"/>
      <c r="X289" s="154"/>
      <c r="Y289" s="154"/>
      <c r="Z289" s="154"/>
    </row>
    <row r="290" spans="1:26" ht="12" customHeight="1">
      <c r="A290" s="220"/>
      <c r="B290" s="154"/>
      <c r="C290" s="154"/>
      <c r="D290" s="154"/>
      <c r="E290" s="154"/>
      <c r="F290" s="154"/>
      <c r="G290" s="154"/>
      <c r="H290" s="154"/>
      <c r="I290" s="154"/>
      <c r="J290" s="217"/>
      <c r="K290" s="218"/>
      <c r="L290" s="154"/>
      <c r="M290" s="154"/>
      <c r="N290" s="154"/>
      <c r="O290" s="154"/>
      <c r="P290" s="154"/>
      <c r="Q290" s="154"/>
      <c r="R290" s="154"/>
      <c r="S290" s="154"/>
      <c r="T290" s="154"/>
      <c r="U290" s="154"/>
      <c r="V290" s="154"/>
      <c r="W290" s="154"/>
      <c r="X290" s="154"/>
      <c r="Y290" s="154"/>
      <c r="Z290" s="154"/>
    </row>
    <row r="291" spans="1:26" ht="12" customHeight="1">
      <c r="A291" s="220"/>
      <c r="B291" s="154"/>
      <c r="C291" s="154"/>
      <c r="D291" s="154"/>
      <c r="E291" s="154"/>
      <c r="F291" s="154"/>
      <c r="G291" s="154"/>
      <c r="H291" s="154"/>
      <c r="I291" s="154"/>
      <c r="J291" s="217"/>
      <c r="K291" s="218"/>
      <c r="L291" s="154"/>
      <c r="M291" s="154"/>
      <c r="N291" s="154"/>
      <c r="O291" s="154"/>
      <c r="P291" s="154"/>
      <c r="Q291" s="154"/>
      <c r="R291" s="154"/>
      <c r="S291" s="154"/>
      <c r="T291" s="154"/>
      <c r="U291" s="154"/>
      <c r="V291" s="154"/>
      <c r="W291" s="154"/>
      <c r="X291" s="154"/>
      <c r="Y291" s="154"/>
      <c r="Z291" s="154"/>
    </row>
    <row r="292" spans="1:26" ht="12" customHeight="1">
      <c r="A292" s="220"/>
      <c r="B292" s="154"/>
      <c r="C292" s="154"/>
      <c r="D292" s="154"/>
      <c r="E292" s="154"/>
      <c r="F292" s="154"/>
      <c r="G292" s="154"/>
      <c r="H292" s="154"/>
      <c r="I292" s="154"/>
      <c r="J292" s="217"/>
      <c r="K292" s="218"/>
      <c r="L292" s="154"/>
      <c r="M292" s="154"/>
      <c r="N292" s="154"/>
      <c r="O292" s="154"/>
      <c r="P292" s="154"/>
      <c r="Q292" s="154"/>
      <c r="R292" s="154"/>
      <c r="S292" s="154"/>
      <c r="T292" s="154"/>
      <c r="U292" s="154"/>
      <c r="V292" s="154"/>
      <c r="W292" s="154"/>
      <c r="X292" s="154"/>
      <c r="Y292" s="154"/>
      <c r="Z292" s="154"/>
    </row>
    <row r="293" spans="1:26" ht="12" customHeight="1">
      <c r="A293" s="220"/>
      <c r="B293" s="154"/>
      <c r="C293" s="154"/>
      <c r="D293" s="154"/>
      <c r="E293" s="154"/>
      <c r="F293" s="154"/>
      <c r="G293" s="154"/>
      <c r="H293" s="154"/>
      <c r="I293" s="154"/>
      <c r="J293" s="217"/>
      <c r="K293" s="218"/>
      <c r="L293" s="154"/>
      <c r="M293" s="154"/>
      <c r="N293" s="154"/>
      <c r="O293" s="154"/>
      <c r="P293" s="154"/>
      <c r="Q293" s="154"/>
      <c r="R293" s="154"/>
      <c r="S293" s="154"/>
      <c r="T293" s="154"/>
      <c r="U293" s="154"/>
      <c r="V293" s="154"/>
      <c r="W293" s="154"/>
      <c r="X293" s="154"/>
      <c r="Y293" s="154"/>
      <c r="Z293" s="154"/>
    </row>
    <row r="294" spans="1:26" ht="12" customHeight="1">
      <c r="A294" s="220"/>
      <c r="B294" s="154"/>
      <c r="C294" s="154"/>
      <c r="D294" s="154"/>
      <c r="E294" s="154"/>
      <c r="F294" s="154"/>
      <c r="G294" s="154"/>
      <c r="H294" s="154"/>
      <c r="I294" s="154"/>
      <c r="J294" s="217"/>
      <c r="K294" s="218"/>
      <c r="L294" s="154"/>
      <c r="M294" s="154"/>
      <c r="N294" s="154"/>
      <c r="O294" s="154"/>
      <c r="P294" s="154"/>
      <c r="Q294" s="154"/>
      <c r="R294" s="154"/>
      <c r="S294" s="154"/>
      <c r="T294" s="154"/>
      <c r="U294" s="154"/>
      <c r="V294" s="154"/>
      <c r="W294" s="154"/>
      <c r="X294" s="154"/>
      <c r="Y294" s="154"/>
      <c r="Z294" s="154"/>
    </row>
    <row r="295" spans="1:26" ht="12" customHeight="1">
      <c r="A295" s="220"/>
      <c r="B295" s="154"/>
      <c r="C295" s="154"/>
      <c r="D295" s="154"/>
      <c r="E295" s="154"/>
      <c r="F295" s="154"/>
      <c r="G295" s="154"/>
      <c r="H295" s="154"/>
      <c r="I295" s="154"/>
      <c r="J295" s="217"/>
      <c r="K295" s="218"/>
      <c r="L295" s="154"/>
      <c r="M295" s="154"/>
      <c r="N295" s="154"/>
      <c r="O295" s="154"/>
      <c r="P295" s="154"/>
      <c r="Q295" s="154"/>
      <c r="R295" s="154"/>
      <c r="S295" s="154"/>
      <c r="T295" s="154"/>
      <c r="U295" s="154"/>
      <c r="V295" s="154"/>
      <c r="W295" s="154"/>
      <c r="X295" s="154"/>
      <c r="Y295" s="154"/>
      <c r="Z295" s="154"/>
    </row>
    <row r="296" spans="1:26" ht="12" customHeight="1">
      <c r="A296" s="220"/>
      <c r="B296" s="154"/>
      <c r="C296" s="154"/>
      <c r="D296" s="154"/>
      <c r="E296" s="154"/>
      <c r="F296" s="154"/>
      <c r="G296" s="154"/>
      <c r="H296" s="154"/>
      <c r="I296" s="154"/>
      <c r="J296" s="217"/>
      <c r="K296" s="218"/>
      <c r="L296" s="154"/>
      <c r="M296" s="154"/>
      <c r="N296" s="154"/>
      <c r="O296" s="154"/>
      <c r="P296" s="154"/>
      <c r="Q296" s="154"/>
      <c r="R296" s="154"/>
      <c r="S296" s="154"/>
      <c r="T296" s="154"/>
      <c r="U296" s="154"/>
      <c r="V296" s="154"/>
      <c r="W296" s="154"/>
      <c r="X296" s="154"/>
      <c r="Y296" s="154"/>
      <c r="Z296" s="154"/>
    </row>
    <row r="297" spans="1:26" ht="12" customHeight="1">
      <c r="A297" s="220"/>
      <c r="B297" s="154"/>
      <c r="C297" s="154"/>
      <c r="D297" s="154"/>
      <c r="E297" s="154"/>
      <c r="F297" s="154"/>
      <c r="G297" s="154"/>
      <c r="H297" s="154"/>
      <c r="I297" s="154"/>
      <c r="J297" s="217"/>
      <c r="K297" s="218"/>
      <c r="L297" s="154"/>
      <c r="M297" s="154"/>
      <c r="N297" s="154"/>
      <c r="O297" s="154"/>
      <c r="P297" s="154"/>
      <c r="Q297" s="154"/>
      <c r="R297" s="154"/>
      <c r="S297" s="154"/>
      <c r="T297" s="154"/>
      <c r="U297" s="154"/>
      <c r="V297" s="154"/>
      <c r="W297" s="154"/>
      <c r="X297" s="154"/>
      <c r="Y297" s="154"/>
      <c r="Z297" s="154"/>
    </row>
    <row r="298" spans="1:26" ht="12" customHeight="1">
      <c r="A298" s="220"/>
      <c r="B298" s="154"/>
      <c r="C298" s="154"/>
      <c r="D298" s="154"/>
      <c r="E298" s="154"/>
      <c r="F298" s="154"/>
      <c r="G298" s="154"/>
      <c r="H298" s="154"/>
      <c r="I298" s="154"/>
      <c r="J298" s="217"/>
      <c r="K298" s="218"/>
      <c r="L298" s="154"/>
      <c r="M298" s="154"/>
      <c r="N298" s="154"/>
      <c r="O298" s="154"/>
      <c r="P298" s="154"/>
      <c r="Q298" s="154"/>
      <c r="R298" s="154"/>
      <c r="S298" s="154"/>
      <c r="T298" s="154"/>
      <c r="U298" s="154"/>
      <c r="V298" s="154"/>
      <c r="W298" s="154"/>
      <c r="X298" s="154"/>
      <c r="Y298" s="154"/>
      <c r="Z298" s="154"/>
    </row>
    <row r="299" spans="1:26" ht="12" customHeight="1">
      <c r="A299" s="220"/>
      <c r="B299" s="154"/>
      <c r="C299" s="154"/>
      <c r="D299" s="154"/>
      <c r="E299" s="154"/>
      <c r="F299" s="154"/>
      <c r="G299" s="154"/>
      <c r="H299" s="154"/>
      <c r="I299" s="154"/>
      <c r="J299" s="217"/>
      <c r="K299" s="218"/>
      <c r="L299" s="154"/>
      <c r="M299" s="154"/>
      <c r="N299" s="154"/>
      <c r="O299" s="154"/>
      <c r="P299" s="154"/>
      <c r="Q299" s="154"/>
      <c r="R299" s="154"/>
      <c r="S299" s="154"/>
      <c r="T299" s="154"/>
      <c r="U299" s="154"/>
      <c r="V299" s="154"/>
      <c r="W299" s="154"/>
      <c r="X299" s="154"/>
      <c r="Y299" s="154"/>
      <c r="Z299" s="154"/>
    </row>
    <row r="300" spans="1:26" ht="12" customHeight="1">
      <c r="A300" s="220"/>
      <c r="B300" s="154"/>
      <c r="C300" s="154"/>
      <c r="D300" s="154"/>
      <c r="E300" s="154"/>
      <c r="F300" s="154"/>
      <c r="G300" s="154"/>
      <c r="H300" s="154"/>
      <c r="I300" s="154"/>
      <c r="J300" s="217"/>
      <c r="K300" s="218"/>
      <c r="L300" s="154"/>
      <c r="M300" s="154"/>
      <c r="N300" s="154"/>
      <c r="O300" s="154"/>
      <c r="P300" s="154"/>
      <c r="Q300" s="154"/>
      <c r="R300" s="154"/>
      <c r="S300" s="154"/>
      <c r="T300" s="154"/>
      <c r="U300" s="154"/>
      <c r="V300" s="154"/>
      <c r="W300" s="154"/>
      <c r="X300" s="154"/>
      <c r="Y300" s="154"/>
      <c r="Z300" s="154"/>
    </row>
    <row r="301" spans="1:26" ht="12" customHeight="1">
      <c r="A301" s="220"/>
      <c r="B301" s="154"/>
      <c r="C301" s="154"/>
      <c r="D301" s="154"/>
      <c r="E301" s="154"/>
      <c r="F301" s="154"/>
      <c r="G301" s="154"/>
      <c r="H301" s="154"/>
      <c r="I301" s="154"/>
      <c r="J301" s="217"/>
      <c r="K301" s="218"/>
      <c r="L301" s="154"/>
      <c r="M301" s="154"/>
      <c r="N301" s="154"/>
      <c r="O301" s="154"/>
      <c r="P301" s="154"/>
      <c r="Q301" s="154"/>
      <c r="R301" s="154"/>
      <c r="S301" s="154"/>
      <c r="T301" s="154"/>
      <c r="U301" s="154"/>
      <c r="V301" s="154"/>
      <c r="W301" s="154"/>
      <c r="X301" s="154"/>
      <c r="Y301" s="154"/>
      <c r="Z301" s="154"/>
    </row>
    <row r="302" spans="1:26" ht="12" customHeight="1">
      <c r="A302" s="220"/>
      <c r="B302" s="154"/>
      <c r="C302" s="154"/>
      <c r="D302" s="154"/>
      <c r="E302" s="154"/>
      <c r="F302" s="154"/>
      <c r="G302" s="154"/>
      <c r="H302" s="154"/>
      <c r="I302" s="154"/>
      <c r="J302" s="217"/>
      <c r="K302" s="218"/>
      <c r="L302" s="154"/>
      <c r="M302" s="154"/>
      <c r="N302" s="154"/>
      <c r="O302" s="154"/>
      <c r="P302" s="154"/>
      <c r="Q302" s="154"/>
      <c r="R302" s="154"/>
      <c r="S302" s="154"/>
      <c r="T302" s="154"/>
      <c r="U302" s="154"/>
      <c r="V302" s="154"/>
      <c r="W302" s="154"/>
      <c r="X302" s="154"/>
      <c r="Y302" s="154"/>
      <c r="Z302" s="154"/>
    </row>
    <row r="303" spans="1:26" ht="12" customHeight="1">
      <c r="A303" s="220"/>
      <c r="B303" s="154"/>
      <c r="C303" s="154"/>
      <c r="D303" s="154"/>
      <c r="E303" s="154"/>
      <c r="F303" s="154"/>
      <c r="G303" s="154"/>
      <c r="H303" s="154"/>
      <c r="I303" s="154"/>
      <c r="J303" s="217"/>
      <c r="K303" s="218"/>
      <c r="L303" s="154"/>
      <c r="M303" s="154"/>
      <c r="N303" s="154"/>
      <c r="O303" s="154"/>
      <c r="P303" s="154"/>
      <c r="Q303" s="154"/>
      <c r="R303" s="154"/>
      <c r="S303" s="154"/>
      <c r="T303" s="154"/>
      <c r="U303" s="154"/>
      <c r="V303" s="154"/>
      <c r="W303" s="154"/>
      <c r="X303" s="154"/>
      <c r="Y303" s="154"/>
      <c r="Z303" s="154"/>
    </row>
    <row r="304" spans="1:26" ht="12" customHeight="1">
      <c r="A304" s="220"/>
      <c r="B304" s="154"/>
      <c r="C304" s="154"/>
      <c r="D304" s="154"/>
      <c r="E304" s="154"/>
      <c r="F304" s="154"/>
      <c r="G304" s="154"/>
      <c r="H304" s="154"/>
      <c r="I304" s="154"/>
      <c r="J304" s="217"/>
      <c r="K304" s="218"/>
      <c r="L304" s="154"/>
      <c r="M304" s="154"/>
      <c r="N304" s="154"/>
      <c r="O304" s="154"/>
      <c r="P304" s="154"/>
      <c r="Q304" s="154"/>
      <c r="R304" s="154"/>
      <c r="S304" s="154"/>
      <c r="T304" s="154"/>
      <c r="U304" s="154"/>
      <c r="V304" s="154"/>
      <c r="W304" s="154"/>
      <c r="X304" s="154"/>
      <c r="Y304" s="154"/>
      <c r="Z304" s="154"/>
    </row>
    <row r="305" spans="1:26" ht="12" customHeight="1">
      <c r="A305" s="220"/>
      <c r="B305" s="154"/>
      <c r="C305" s="154"/>
      <c r="D305" s="154"/>
      <c r="E305" s="154"/>
      <c r="F305" s="154"/>
      <c r="G305" s="154"/>
      <c r="H305" s="154"/>
      <c r="I305" s="154"/>
      <c r="J305" s="217"/>
      <c r="K305" s="218"/>
      <c r="L305" s="154"/>
      <c r="M305" s="154"/>
      <c r="N305" s="154"/>
      <c r="O305" s="154"/>
      <c r="P305" s="154"/>
      <c r="Q305" s="154"/>
      <c r="R305" s="154"/>
      <c r="S305" s="154"/>
      <c r="T305" s="154"/>
      <c r="U305" s="154"/>
      <c r="V305" s="154"/>
      <c r="W305" s="154"/>
      <c r="X305" s="154"/>
      <c r="Y305" s="154"/>
      <c r="Z305" s="154"/>
    </row>
    <row r="306" spans="1:26" ht="12" customHeight="1">
      <c r="A306" s="220"/>
      <c r="B306" s="154"/>
      <c r="C306" s="154"/>
      <c r="D306" s="154"/>
      <c r="E306" s="154"/>
      <c r="F306" s="154"/>
      <c r="G306" s="154"/>
      <c r="H306" s="154"/>
      <c r="I306" s="154"/>
      <c r="J306" s="217"/>
      <c r="K306" s="218"/>
      <c r="L306" s="154"/>
      <c r="M306" s="154"/>
      <c r="N306" s="154"/>
      <c r="O306" s="154"/>
      <c r="P306" s="154"/>
      <c r="Q306" s="154"/>
      <c r="R306" s="154"/>
      <c r="S306" s="154"/>
      <c r="T306" s="154"/>
      <c r="U306" s="154"/>
      <c r="V306" s="154"/>
      <c r="W306" s="154"/>
      <c r="X306" s="154"/>
      <c r="Y306" s="154"/>
      <c r="Z306" s="154"/>
    </row>
    <row r="307" spans="1:26" ht="12" customHeight="1">
      <c r="A307" s="220"/>
      <c r="B307" s="154"/>
      <c r="C307" s="154"/>
      <c r="D307" s="154"/>
      <c r="E307" s="154"/>
      <c r="F307" s="154"/>
      <c r="G307" s="154"/>
      <c r="H307" s="154"/>
      <c r="I307" s="154"/>
      <c r="J307" s="217"/>
      <c r="K307" s="218"/>
      <c r="L307" s="154"/>
      <c r="M307" s="154"/>
      <c r="N307" s="154"/>
      <c r="O307" s="154"/>
      <c r="P307" s="154"/>
      <c r="Q307" s="154"/>
      <c r="R307" s="154"/>
      <c r="S307" s="154"/>
      <c r="T307" s="154"/>
      <c r="U307" s="154"/>
      <c r="V307" s="154"/>
      <c r="W307" s="154"/>
      <c r="X307" s="154"/>
      <c r="Y307" s="154"/>
      <c r="Z307" s="154"/>
    </row>
    <row r="308" spans="1:26" ht="12" customHeight="1">
      <c r="A308" s="220"/>
      <c r="B308" s="154"/>
      <c r="C308" s="154"/>
      <c r="D308" s="154"/>
      <c r="E308" s="154"/>
      <c r="F308" s="154"/>
      <c r="G308" s="154"/>
      <c r="H308" s="154"/>
      <c r="I308" s="154"/>
      <c r="J308" s="217"/>
      <c r="K308" s="218"/>
      <c r="L308" s="154"/>
      <c r="M308" s="154"/>
      <c r="N308" s="154"/>
      <c r="O308" s="154"/>
      <c r="P308" s="154"/>
      <c r="Q308" s="154"/>
      <c r="R308" s="154"/>
      <c r="S308" s="154"/>
      <c r="T308" s="154"/>
      <c r="U308" s="154"/>
      <c r="V308" s="154"/>
      <c r="W308" s="154"/>
      <c r="X308" s="154"/>
      <c r="Y308" s="154"/>
      <c r="Z308" s="154"/>
    </row>
    <row r="309" spans="1:26" ht="12" customHeight="1">
      <c r="A309" s="220"/>
      <c r="B309" s="154"/>
      <c r="C309" s="154"/>
      <c r="D309" s="154"/>
      <c r="E309" s="154"/>
      <c r="F309" s="154"/>
      <c r="G309" s="154"/>
      <c r="H309" s="154"/>
      <c r="I309" s="154"/>
      <c r="J309" s="217"/>
      <c r="K309" s="218"/>
      <c r="L309" s="154"/>
      <c r="M309" s="154"/>
      <c r="N309" s="154"/>
      <c r="O309" s="154"/>
      <c r="P309" s="154"/>
      <c r="Q309" s="154"/>
      <c r="R309" s="154"/>
      <c r="S309" s="154"/>
      <c r="T309" s="154"/>
      <c r="U309" s="154"/>
      <c r="V309" s="154"/>
      <c r="W309" s="154"/>
      <c r="X309" s="154"/>
      <c r="Y309" s="154"/>
      <c r="Z309" s="154"/>
    </row>
    <row r="310" spans="1:26" ht="12" customHeight="1">
      <c r="A310" s="220"/>
      <c r="B310" s="154"/>
      <c r="C310" s="154"/>
      <c r="D310" s="154"/>
      <c r="E310" s="154"/>
      <c r="F310" s="154"/>
      <c r="G310" s="154"/>
      <c r="H310" s="154"/>
      <c r="I310" s="154"/>
      <c r="J310" s="217"/>
      <c r="K310" s="218"/>
      <c r="L310" s="154"/>
      <c r="M310" s="154"/>
      <c r="N310" s="154"/>
      <c r="O310" s="154"/>
      <c r="P310" s="154"/>
      <c r="Q310" s="154"/>
      <c r="R310" s="154"/>
      <c r="S310" s="154"/>
      <c r="T310" s="154"/>
      <c r="U310" s="154"/>
      <c r="V310" s="154"/>
      <c r="W310" s="154"/>
      <c r="X310" s="154"/>
      <c r="Y310" s="154"/>
      <c r="Z310" s="154"/>
    </row>
    <row r="311" spans="1:26" ht="12" customHeight="1">
      <c r="A311" s="220"/>
      <c r="B311" s="154"/>
      <c r="C311" s="154"/>
      <c r="D311" s="154"/>
      <c r="E311" s="154"/>
      <c r="F311" s="154"/>
      <c r="G311" s="154"/>
      <c r="H311" s="154"/>
      <c r="I311" s="154"/>
      <c r="J311" s="217"/>
      <c r="K311" s="218"/>
      <c r="L311" s="154"/>
      <c r="M311" s="154"/>
      <c r="N311" s="154"/>
      <c r="O311" s="154"/>
      <c r="P311" s="154"/>
      <c r="Q311" s="154"/>
      <c r="R311" s="154"/>
      <c r="S311" s="154"/>
      <c r="T311" s="154"/>
      <c r="U311" s="154"/>
      <c r="V311" s="154"/>
      <c r="W311" s="154"/>
      <c r="X311" s="154"/>
      <c r="Y311" s="154"/>
      <c r="Z311" s="154"/>
    </row>
    <row r="312" spans="1:26" ht="12" customHeight="1">
      <c r="A312" s="220"/>
      <c r="B312" s="154"/>
      <c r="C312" s="154"/>
      <c r="D312" s="154"/>
      <c r="E312" s="154"/>
      <c r="F312" s="154"/>
      <c r="G312" s="154"/>
      <c r="H312" s="154"/>
      <c r="I312" s="154"/>
      <c r="J312" s="217"/>
      <c r="K312" s="218"/>
      <c r="L312" s="154"/>
      <c r="M312" s="154"/>
      <c r="N312" s="154"/>
      <c r="O312" s="154"/>
      <c r="P312" s="154"/>
      <c r="Q312" s="154"/>
      <c r="R312" s="154"/>
      <c r="S312" s="154"/>
      <c r="T312" s="154"/>
      <c r="U312" s="154"/>
      <c r="V312" s="154"/>
      <c r="W312" s="154"/>
      <c r="X312" s="154"/>
      <c r="Y312" s="154"/>
      <c r="Z312" s="154"/>
    </row>
    <row r="313" spans="1:26" ht="12" customHeight="1">
      <c r="A313" s="220"/>
      <c r="B313" s="154"/>
      <c r="C313" s="154"/>
      <c r="D313" s="154"/>
      <c r="E313" s="154"/>
      <c r="F313" s="154"/>
      <c r="G313" s="154"/>
      <c r="H313" s="154"/>
      <c r="I313" s="154"/>
      <c r="J313" s="217"/>
      <c r="K313" s="218"/>
      <c r="L313" s="154"/>
      <c r="M313" s="154"/>
      <c r="N313" s="154"/>
      <c r="O313" s="154"/>
      <c r="P313" s="154"/>
      <c r="Q313" s="154"/>
      <c r="R313" s="154"/>
      <c r="S313" s="154"/>
      <c r="T313" s="154"/>
      <c r="U313" s="154"/>
      <c r="V313" s="154"/>
      <c r="W313" s="154"/>
      <c r="X313" s="154"/>
      <c r="Y313" s="154"/>
      <c r="Z313" s="154"/>
    </row>
    <row r="314" spans="1:26" ht="12" customHeight="1">
      <c r="A314" s="220"/>
      <c r="B314" s="154"/>
      <c r="C314" s="154"/>
      <c r="D314" s="154"/>
      <c r="E314" s="154"/>
      <c r="F314" s="154"/>
      <c r="G314" s="154"/>
      <c r="H314" s="154"/>
      <c r="I314" s="154"/>
      <c r="J314" s="217"/>
      <c r="K314" s="218"/>
      <c r="L314" s="154"/>
      <c r="M314" s="154"/>
      <c r="N314" s="154"/>
      <c r="O314" s="154"/>
      <c r="P314" s="154"/>
      <c r="Q314" s="154"/>
      <c r="R314" s="154"/>
      <c r="S314" s="154"/>
      <c r="T314" s="154"/>
      <c r="U314" s="154"/>
      <c r="V314" s="154"/>
      <c r="W314" s="154"/>
      <c r="X314" s="154"/>
      <c r="Y314" s="154"/>
      <c r="Z314" s="154"/>
    </row>
    <row r="315" spans="1:26" ht="12" customHeight="1">
      <c r="A315" s="220"/>
      <c r="B315" s="154"/>
      <c r="C315" s="154"/>
      <c r="D315" s="154"/>
      <c r="E315" s="154"/>
      <c r="F315" s="154"/>
      <c r="G315" s="154"/>
      <c r="H315" s="154"/>
      <c r="I315" s="154"/>
      <c r="J315" s="217"/>
      <c r="K315" s="218"/>
      <c r="L315" s="154"/>
      <c r="M315" s="154"/>
      <c r="N315" s="154"/>
      <c r="O315" s="154"/>
      <c r="P315" s="154"/>
      <c r="Q315" s="154"/>
      <c r="R315" s="154"/>
      <c r="S315" s="154"/>
      <c r="T315" s="154"/>
      <c r="U315" s="154"/>
      <c r="V315" s="154"/>
      <c r="W315" s="154"/>
      <c r="X315" s="154"/>
      <c r="Y315" s="154"/>
      <c r="Z315" s="154"/>
    </row>
    <row r="316" spans="1:26" ht="12" customHeight="1">
      <c r="A316" s="220"/>
      <c r="B316" s="154"/>
      <c r="C316" s="154"/>
      <c r="D316" s="154"/>
      <c r="E316" s="154"/>
      <c r="F316" s="154"/>
      <c r="G316" s="154"/>
      <c r="H316" s="154"/>
      <c r="I316" s="154"/>
      <c r="J316" s="217"/>
      <c r="K316" s="218"/>
      <c r="L316" s="154"/>
      <c r="M316" s="154"/>
      <c r="N316" s="154"/>
      <c r="O316" s="154"/>
      <c r="P316" s="154"/>
      <c r="Q316" s="154"/>
      <c r="R316" s="154"/>
      <c r="S316" s="154"/>
      <c r="T316" s="154"/>
      <c r="U316" s="154"/>
      <c r="V316" s="154"/>
      <c r="W316" s="154"/>
      <c r="X316" s="154"/>
      <c r="Y316" s="154"/>
      <c r="Z316" s="154"/>
    </row>
    <row r="317" spans="1:26" ht="12" customHeight="1">
      <c r="A317" s="220"/>
      <c r="B317" s="154"/>
      <c r="C317" s="154"/>
      <c r="D317" s="154"/>
      <c r="E317" s="154"/>
      <c r="F317" s="154"/>
      <c r="G317" s="154"/>
      <c r="H317" s="154"/>
      <c r="I317" s="154"/>
      <c r="J317" s="217"/>
      <c r="K317" s="218"/>
      <c r="L317" s="154"/>
      <c r="M317" s="154"/>
      <c r="N317" s="154"/>
      <c r="O317" s="154"/>
      <c r="P317" s="154"/>
      <c r="Q317" s="154"/>
      <c r="R317" s="154"/>
      <c r="S317" s="154"/>
      <c r="T317" s="154"/>
      <c r="U317" s="154"/>
      <c r="V317" s="154"/>
      <c r="W317" s="154"/>
      <c r="X317" s="154"/>
      <c r="Y317" s="154"/>
      <c r="Z317" s="154"/>
    </row>
    <row r="318" spans="1:26" ht="12" customHeight="1">
      <c r="A318" s="220"/>
      <c r="B318" s="154"/>
      <c r="C318" s="154"/>
      <c r="D318" s="154"/>
      <c r="E318" s="154"/>
      <c r="F318" s="154"/>
      <c r="G318" s="154"/>
      <c r="H318" s="154"/>
      <c r="I318" s="154"/>
      <c r="J318" s="217"/>
      <c r="K318" s="218"/>
      <c r="L318" s="154"/>
      <c r="M318" s="154"/>
      <c r="N318" s="154"/>
      <c r="O318" s="154"/>
      <c r="P318" s="154"/>
      <c r="Q318" s="154"/>
      <c r="R318" s="154"/>
      <c r="S318" s="154"/>
      <c r="T318" s="154"/>
      <c r="U318" s="154"/>
      <c r="V318" s="154"/>
      <c r="W318" s="154"/>
      <c r="X318" s="154"/>
      <c r="Y318" s="154"/>
      <c r="Z318" s="154"/>
    </row>
    <row r="319" spans="1:26" ht="12" customHeight="1">
      <c r="A319" s="220"/>
      <c r="B319" s="154"/>
      <c r="C319" s="154"/>
      <c r="D319" s="154"/>
      <c r="E319" s="154"/>
      <c r="F319" s="154"/>
      <c r="G319" s="154"/>
      <c r="H319" s="154"/>
      <c r="I319" s="154"/>
      <c r="J319" s="217"/>
      <c r="K319" s="218"/>
      <c r="L319" s="154"/>
      <c r="M319" s="154"/>
      <c r="N319" s="154"/>
      <c r="O319" s="154"/>
      <c r="P319" s="154"/>
      <c r="Q319" s="154"/>
      <c r="R319" s="154"/>
      <c r="S319" s="154"/>
      <c r="T319" s="154"/>
      <c r="U319" s="154"/>
      <c r="V319" s="154"/>
      <c r="W319" s="154"/>
      <c r="X319" s="154"/>
      <c r="Y319" s="154"/>
      <c r="Z319" s="154"/>
    </row>
    <row r="320" spans="1:26" ht="12" customHeight="1">
      <c r="A320" s="220"/>
      <c r="B320" s="154"/>
      <c r="C320" s="154"/>
      <c r="D320" s="154"/>
      <c r="E320" s="154"/>
      <c r="F320" s="154"/>
      <c r="G320" s="154"/>
      <c r="H320" s="154"/>
      <c r="I320" s="154"/>
      <c r="J320" s="217"/>
      <c r="K320" s="218"/>
      <c r="L320" s="154"/>
      <c r="M320" s="154"/>
      <c r="N320" s="154"/>
      <c r="O320" s="154"/>
      <c r="P320" s="154"/>
      <c r="Q320" s="154"/>
      <c r="R320" s="154"/>
      <c r="S320" s="154"/>
      <c r="T320" s="154"/>
      <c r="U320" s="154"/>
      <c r="V320" s="154"/>
      <c r="W320" s="154"/>
      <c r="X320" s="154"/>
      <c r="Y320" s="154"/>
      <c r="Z320" s="154"/>
    </row>
    <row r="321" spans="1:26" ht="12" customHeight="1">
      <c r="A321" s="220"/>
      <c r="B321" s="154"/>
      <c r="C321" s="154"/>
      <c r="D321" s="154"/>
      <c r="E321" s="154"/>
      <c r="F321" s="154"/>
      <c r="G321" s="154"/>
      <c r="H321" s="154"/>
      <c r="I321" s="154"/>
      <c r="J321" s="217"/>
      <c r="K321" s="218"/>
      <c r="L321" s="154"/>
      <c r="M321" s="154"/>
      <c r="N321" s="154"/>
      <c r="O321" s="154"/>
      <c r="P321" s="154"/>
      <c r="Q321" s="154"/>
      <c r="R321" s="154"/>
      <c r="S321" s="154"/>
      <c r="T321" s="154"/>
      <c r="U321" s="154"/>
      <c r="V321" s="154"/>
      <c r="W321" s="154"/>
      <c r="X321" s="154"/>
      <c r="Y321" s="154"/>
      <c r="Z321" s="154"/>
    </row>
    <row r="322" spans="1:26" ht="12" customHeight="1">
      <c r="A322" s="220"/>
      <c r="B322" s="154"/>
      <c r="C322" s="154"/>
      <c r="D322" s="154"/>
      <c r="E322" s="154"/>
      <c r="F322" s="154"/>
      <c r="G322" s="154"/>
      <c r="H322" s="154"/>
      <c r="I322" s="154"/>
      <c r="J322" s="217"/>
      <c r="K322" s="218"/>
      <c r="L322" s="154"/>
      <c r="M322" s="154"/>
      <c r="N322" s="154"/>
      <c r="O322" s="154"/>
      <c r="P322" s="154"/>
      <c r="Q322" s="154"/>
      <c r="R322" s="154"/>
      <c r="S322" s="154"/>
      <c r="T322" s="154"/>
      <c r="U322" s="154"/>
      <c r="V322" s="154"/>
      <c r="W322" s="154"/>
      <c r="X322" s="154"/>
      <c r="Y322" s="154"/>
      <c r="Z322" s="154"/>
    </row>
    <row r="323" spans="1:26" ht="12" customHeight="1">
      <c r="A323" s="220"/>
      <c r="B323" s="154"/>
      <c r="C323" s="154"/>
      <c r="D323" s="154"/>
      <c r="E323" s="154"/>
      <c r="F323" s="154"/>
      <c r="G323" s="154"/>
      <c r="H323" s="154"/>
      <c r="I323" s="154"/>
      <c r="J323" s="217"/>
      <c r="K323" s="218"/>
      <c r="L323" s="154"/>
      <c r="M323" s="154"/>
      <c r="N323" s="154"/>
      <c r="O323" s="154"/>
      <c r="P323" s="154"/>
      <c r="Q323" s="154"/>
      <c r="R323" s="154"/>
      <c r="S323" s="154"/>
      <c r="T323" s="154"/>
      <c r="U323" s="154"/>
      <c r="V323" s="154"/>
      <c r="W323" s="154"/>
      <c r="X323" s="154"/>
      <c r="Y323" s="154"/>
      <c r="Z323" s="154"/>
    </row>
    <row r="324" spans="1:26" ht="12" customHeight="1">
      <c r="A324" s="220"/>
      <c r="B324" s="154"/>
      <c r="C324" s="154"/>
      <c r="D324" s="154"/>
      <c r="E324" s="154"/>
      <c r="F324" s="154"/>
      <c r="G324" s="154"/>
      <c r="H324" s="154"/>
      <c r="I324" s="154"/>
      <c r="J324" s="217"/>
      <c r="K324" s="218"/>
      <c r="L324" s="154"/>
      <c r="M324" s="154"/>
      <c r="N324" s="154"/>
      <c r="O324" s="154"/>
      <c r="P324" s="154"/>
      <c r="Q324" s="154"/>
      <c r="R324" s="154"/>
      <c r="S324" s="154"/>
      <c r="T324" s="154"/>
      <c r="U324" s="154"/>
      <c r="V324" s="154"/>
      <c r="W324" s="154"/>
      <c r="X324" s="154"/>
      <c r="Y324" s="154"/>
      <c r="Z324" s="154"/>
    </row>
    <row r="325" spans="1:26" ht="12" customHeight="1">
      <c r="A325" s="220"/>
      <c r="B325" s="154"/>
      <c r="C325" s="154"/>
      <c r="D325" s="154"/>
      <c r="E325" s="154"/>
      <c r="F325" s="154"/>
      <c r="G325" s="154"/>
      <c r="H325" s="154"/>
      <c r="I325" s="154"/>
      <c r="J325" s="217"/>
      <c r="K325" s="218"/>
      <c r="L325" s="154"/>
      <c r="M325" s="154"/>
      <c r="N325" s="154"/>
      <c r="O325" s="154"/>
      <c r="P325" s="154"/>
      <c r="Q325" s="154"/>
      <c r="R325" s="154"/>
      <c r="S325" s="154"/>
      <c r="T325" s="154"/>
      <c r="U325" s="154"/>
      <c r="V325" s="154"/>
      <c r="W325" s="154"/>
      <c r="X325" s="154"/>
      <c r="Y325" s="154"/>
      <c r="Z325" s="154"/>
    </row>
    <row r="326" spans="1:26" ht="12" customHeight="1">
      <c r="A326" s="220"/>
      <c r="B326" s="154"/>
      <c r="C326" s="154"/>
      <c r="D326" s="154"/>
      <c r="E326" s="154"/>
      <c r="F326" s="154"/>
      <c r="G326" s="154"/>
      <c r="H326" s="154"/>
      <c r="I326" s="154"/>
      <c r="J326" s="217"/>
      <c r="K326" s="218"/>
      <c r="L326" s="154"/>
      <c r="M326" s="154"/>
      <c r="N326" s="154"/>
      <c r="O326" s="154"/>
      <c r="P326" s="154"/>
      <c r="Q326" s="154"/>
      <c r="R326" s="154"/>
      <c r="S326" s="154"/>
      <c r="T326" s="154"/>
      <c r="U326" s="154"/>
      <c r="V326" s="154"/>
      <c r="W326" s="154"/>
      <c r="X326" s="154"/>
      <c r="Y326" s="154"/>
      <c r="Z326" s="154"/>
    </row>
    <row r="327" spans="1:26" ht="12" customHeight="1">
      <c r="A327" s="220"/>
      <c r="B327" s="154"/>
      <c r="C327" s="154"/>
      <c r="D327" s="154"/>
      <c r="E327" s="154"/>
      <c r="F327" s="154"/>
      <c r="G327" s="154"/>
      <c r="H327" s="154"/>
      <c r="I327" s="154"/>
      <c r="J327" s="217"/>
      <c r="K327" s="218"/>
      <c r="L327" s="154"/>
      <c r="M327" s="154"/>
      <c r="N327" s="154"/>
      <c r="O327" s="154"/>
      <c r="P327" s="154"/>
      <c r="Q327" s="154"/>
      <c r="R327" s="154"/>
      <c r="S327" s="154"/>
      <c r="T327" s="154"/>
      <c r="U327" s="154"/>
      <c r="V327" s="154"/>
      <c r="W327" s="154"/>
      <c r="X327" s="154"/>
      <c r="Y327" s="154"/>
      <c r="Z327" s="154"/>
    </row>
    <row r="328" spans="1:26" ht="12" customHeight="1">
      <c r="A328" s="220"/>
      <c r="B328" s="154"/>
      <c r="C328" s="154"/>
      <c r="D328" s="154"/>
      <c r="E328" s="154"/>
      <c r="F328" s="154"/>
      <c r="G328" s="154"/>
      <c r="H328" s="154"/>
      <c r="I328" s="154"/>
      <c r="J328" s="217"/>
      <c r="K328" s="218"/>
      <c r="L328" s="154"/>
      <c r="M328" s="154"/>
      <c r="N328" s="154"/>
      <c r="O328" s="154"/>
      <c r="P328" s="154"/>
      <c r="Q328" s="154"/>
      <c r="R328" s="154"/>
      <c r="S328" s="154"/>
      <c r="T328" s="154"/>
      <c r="U328" s="154"/>
      <c r="V328" s="154"/>
      <c r="W328" s="154"/>
      <c r="X328" s="154"/>
      <c r="Y328" s="154"/>
      <c r="Z328" s="154"/>
    </row>
    <row r="329" spans="1:26" ht="12" customHeight="1">
      <c r="A329" s="220"/>
      <c r="B329" s="154"/>
      <c r="C329" s="154"/>
      <c r="D329" s="154"/>
      <c r="E329" s="154"/>
      <c r="F329" s="154"/>
      <c r="G329" s="154"/>
      <c r="H329" s="154"/>
      <c r="I329" s="154"/>
      <c r="J329" s="217"/>
      <c r="K329" s="218"/>
      <c r="L329" s="154"/>
      <c r="M329" s="154"/>
      <c r="N329" s="154"/>
      <c r="O329" s="154"/>
      <c r="P329" s="154"/>
      <c r="Q329" s="154"/>
      <c r="R329" s="154"/>
      <c r="S329" s="154"/>
      <c r="T329" s="154"/>
      <c r="U329" s="154"/>
      <c r="V329" s="154"/>
      <c r="W329" s="154"/>
      <c r="X329" s="154"/>
      <c r="Y329" s="154"/>
      <c r="Z329" s="154"/>
    </row>
    <row r="330" spans="1:26" ht="12" customHeight="1">
      <c r="A330" s="220"/>
      <c r="B330" s="154"/>
      <c r="C330" s="154"/>
      <c r="D330" s="154"/>
      <c r="E330" s="154"/>
      <c r="F330" s="154"/>
      <c r="G330" s="154"/>
      <c r="H330" s="154"/>
      <c r="I330" s="154"/>
      <c r="J330" s="217"/>
      <c r="K330" s="218"/>
      <c r="L330" s="154"/>
      <c r="M330" s="154"/>
      <c r="N330" s="154"/>
      <c r="O330" s="154"/>
      <c r="P330" s="154"/>
      <c r="Q330" s="154"/>
      <c r="R330" s="154"/>
      <c r="S330" s="154"/>
      <c r="T330" s="154"/>
      <c r="U330" s="154"/>
      <c r="V330" s="154"/>
      <c r="W330" s="154"/>
      <c r="X330" s="154"/>
      <c r="Y330" s="154"/>
      <c r="Z330" s="154"/>
    </row>
    <row r="331" spans="1:26" ht="12" customHeight="1">
      <c r="A331" s="220"/>
      <c r="B331" s="154"/>
      <c r="C331" s="154"/>
      <c r="D331" s="154"/>
      <c r="E331" s="154"/>
      <c r="F331" s="154"/>
      <c r="G331" s="154"/>
      <c r="H331" s="154"/>
      <c r="I331" s="154"/>
      <c r="J331" s="217"/>
      <c r="K331" s="218"/>
      <c r="L331" s="154"/>
      <c r="M331" s="154"/>
      <c r="N331" s="154"/>
      <c r="O331" s="154"/>
      <c r="P331" s="154"/>
      <c r="Q331" s="154"/>
      <c r="R331" s="154"/>
      <c r="S331" s="154"/>
      <c r="T331" s="154"/>
      <c r="U331" s="154"/>
      <c r="V331" s="154"/>
      <c r="W331" s="154"/>
      <c r="X331" s="154"/>
      <c r="Y331" s="154"/>
      <c r="Z331" s="154"/>
    </row>
    <row r="332" spans="1:26" ht="12" customHeight="1">
      <c r="A332" s="220"/>
      <c r="B332" s="154"/>
      <c r="C332" s="154"/>
      <c r="D332" s="154"/>
      <c r="E332" s="154"/>
      <c r="F332" s="154"/>
      <c r="G332" s="154"/>
      <c r="H332" s="154"/>
      <c r="I332" s="154"/>
      <c r="J332" s="217"/>
      <c r="K332" s="218"/>
      <c r="L332" s="154"/>
      <c r="M332" s="154"/>
      <c r="N332" s="154"/>
      <c r="O332" s="154"/>
      <c r="P332" s="154"/>
      <c r="Q332" s="154"/>
      <c r="R332" s="154"/>
      <c r="S332" s="154"/>
      <c r="T332" s="154"/>
      <c r="U332" s="154"/>
      <c r="V332" s="154"/>
      <c r="W332" s="154"/>
      <c r="X332" s="154"/>
      <c r="Y332" s="154"/>
      <c r="Z332" s="154"/>
    </row>
    <row r="333" spans="1:26" ht="12" customHeight="1">
      <c r="A333" s="220"/>
      <c r="B333" s="154"/>
      <c r="C333" s="154"/>
      <c r="D333" s="154"/>
      <c r="E333" s="154"/>
      <c r="F333" s="154"/>
      <c r="G333" s="154"/>
      <c r="H333" s="154"/>
      <c r="I333" s="154"/>
      <c r="J333" s="217"/>
      <c r="K333" s="218"/>
      <c r="L333" s="154"/>
      <c r="M333" s="154"/>
      <c r="N333" s="154"/>
      <c r="O333" s="154"/>
      <c r="P333" s="154"/>
      <c r="Q333" s="154"/>
      <c r="R333" s="154"/>
      <c r="S333" s="154"/>
      <c r="T333" s="154"/>
      <c r="U333" s="154"/>
      <c r="V333" s="154"/>
      <c r="W333" s="154"/>
      <c r="X333" s="154"/>
      <c r="Y333" s="154"/>
      <c r="Z333" s="154"/>
    </row>
    <row r="334" spans="1:26" ht="12" customHeight="1">
      <c r="A334" s="220"/>
      <c r="B334" s="154"/>
      <c r="C334" s="154"/>
      <c r="D334" s="154"/>
      <c r="E334" s="154"/>
      <c r="F334" s="154"/>
      <c r="G334" s="154"/>
      <c r="H334" s="154"/>
      <c r="I334" s="154"/>
      <c r="J334" s="217"/>
      <c r="K334" s="218"/>
      <c r="L334" s="154"/>
      <c r="M334" s="154"/>
      <c r="N334" s="154"/>
      <c r="O334" s="154"/>
      <c r="P334" s="154"/>
      <c r="Q334" s="154"/>
      <c r="R334" s="154"/>
      <c r="S334" s="154"/>
      <c r="T334" s="154"/>
      <c r="U334" s="154"/>
      <c r="V334" s="154"/>
      <c r="W334" s="154"/>
      <c r="X334" s="154"/>
      <c r="Y334" s="154"/>
      <c r="Z334" s="154"/>
    </row>
    <row r="335" spans="1:26" ht="12" customHeight="1">
      <c r="A335" s="220"/>
      <c r="B335" s="154"/>
      <c r="C335" s="154"/>
      <c r="D335" s="154"/>
      <c r="E335" s="154"/>
      <c r="F335" s="154"/>
      <c r="G335" s="154"/>
      <c r="H335" s="154"/>
      <c r="I335" s="154"/>
      <c r="J335" s="217"/>
      <c r="K335" s="218"/>
      <c r="L335" s="154"/>
      <c r="M335" s="154"/>
      <c r="N335" s="154"/>
      <c r="O335" s="154"/>
      <c r="P335" s="154"/>
      <c r="Q335" s="154"/>
      <c r="R335" s="154"/>
      <c r="S335" s="154"/>
      <c r="T335" s="154"/>
      <c r="U335" s="154"/>
      <c r="V335" s="154"/>
      <c r="W335" s="154"/>
      <c r="X335" s="154"/>
      <c r="Y335" s="154"/>
      <c r="Z335" s="154"/>
    </row>
    <row r="336" spans="1:26" ht="12" customHeight="1">
      <c r="A336" s="220"/>
      <c r="B336" s="154"/>
      <c r="C336" s="154"/>
      <c r="D336" s="154"/>
      <c r="E336" s="154"/>
      <c r="F336" s="154"/>
      <c r="G336" s="154"/>
      <c r="H336" s="154"/>
      <c r="I336" s="154"/>
      <c r="J336" s="217"/>
      <c r="K336" s="218"/>
      <c r="L336" s="154"/>
      <c r="M336" s="154"/>
      <c r="N336" s="154"/>
      <c r="O336" s="154"/>
      <c r="P336" s="154"/>
      <c r="Q336" s="154"/>
      <c r="R336" s="154"/>
      <c r="S336" s="154"/>
      <c r="T336" s="154"/>
      <c r="U336" s="154"/>
      <c r="V336" s="154"/>
      <c r="W336" s="154"/>
      <c r="X336" s="154"/>
      <c r="Y336" s="154"/>
      <c r="Z336" s="154"/>
    </row>
    <row r="337" spans="1:26" ht="12" customHeight="1">
      <c r="A337" s="220"/>
      <c r="B337" s="154"/>
      <c r="C337" s="154"/>
      <c r="D337" s="154"/>
      <c r="E337" s="154"/>
      <c r="F337" s="154"/>
      <c r="G337" s="154"/>
      <c r="H337" s="154"/>
      <c r="I337" s="154"/>
      <c r="J337" s="217"/>
      <c r="K337" s="218"/>
      <c r="L337" s="154"/>
      <c r="M337" s="154"/>
      <c r="N337" s="154"/>
      <c r="O337" s="154"/>
      <c r="P337" s="154"/>
      <c r="Q337" s="154"/>
      <c r="R337" s="154"/>
      <c r="S337" s="154"/>
      <c r="T337" s="154"/>
      <c r="U337" s="154"/>
      <c r="V337" s="154"/>
      <c r="W337" s="154"/>
      <c r="X337" s="154"/>
      <c r="Y337" s="154"/>
      <c r="Z337" s="154"/>
    </row>
    <row r="338" spans="1:26" ht="12" customHeight="1">
      <c r="A338" s="220"/>
      <c r="B338" s="154"/>
      <c r="C338" s="154"/>
      <c r="D338" s="154"/>
      <c r="E338" s="154"/>
      <c r="F338" s="154"/>
      <c r="G338" s="154"/>
      <c r="H338" s="154"/>
      <c r="I338" s="154"/>
      <c r="J338" s="217"/>
      <c r="K338" s="218"/>
      <c r="L338" s="154"/>
      <c r="M338" s="154"/>
      <c r="N338" s="154"/>
      <c r="O338" s="154"/>
      <c r="P338" s="154"/>
      <c r="Q338" s="154"/>
      <c r="R338" s="154"/>
      <c r="S338" s="154"/>
      <c r="T338" s="154"/>
      <c r="U338" s="154"/>
      <c r="V338" s="154"/>
      <c r="W338" s="154"/>
      <c r="X338" s="154"/>
      <c r="Y338" s="154"/>
      <c r="Z338" s="154"/>
    </row>
    <row r="339" spans="1:26" ht="12" customHeight="1">
      <c r="A339" s="220"/>
      <c r="B339" s="154"/>
      <c r="C339" s="154"/>
      <c r="D339" s="154"/>
      <c r="E339" s="154"/>
      <c r="F339" s="154"/>
      <c r="G339" s="154"/>
      <c r="H339" s="154"/>
      <c r="I339" s="154"/>
      <c r="J339" s="217"/>
      <c r="K339" s="218"/>
      <c r="L339" s="154"/>
      <c r="M339" s="154"/>
      <c r="N339" s="154"/>
      <c r="O339" s="154"/>
      <c r="P339" s="154"/>
      <c r="Q339" s="154"/>
      <c r="R339" s="154"/>
      <c r="S339" s="154"/>
      <c r="T339" s="154"/>
      <c r="U339" s="154"/>
      <c r="V339" s="154"/>
      <c r="W339" s="154"/>
      <c r="X339" s="154"/>
      <c r="Y339" s="154"/>
      <c r="Z339" s="154"/>
    </row>
    <row r="340" spans="1:26" ht="12" customHeight="1">
      <c r="A340" s="220"/>
      <c r="B340" s="154"/>
      <c r="C340" s="154"/>
      <c r="D340" s="154"/>
      <c r="E340" s="154"/>
      <c r="F340" s="154"/>
      <c r="G340" s="154"/>
      <c r="H340" s="154"/>
      <c r="I340" s="154"/>
      <c r="J340" s="217"/>
      <c r="K340" s="218"/>
      <c r="L340" s="154"/>
      <c r="M340" s="154"/>
      <c r="N340" s="154"/>
      <c r="O340" s="154"/>
      <c r="P340" s="154"/>
      <c r="Q340" s="154"/>
      <c r="R340" s="154"/>
      <c r="S340" s="154"/>
      <c r="T340" s="154"/>
      <c r="U340" s="154"/>
      <c r="V340" s="154"/>
      <c r="W340" s="154"/>
      <c r="X340" s="154"/>
      <c r="Y340" s="154"/>
      <c r="Z340" s="154"/>
    </row>
    <row r="341" spans="1:26" ht="12" customHeight="1">
      <c r="A341" s="220"/>
      <c r="B341" s="154"/>
      <c r="C341" s="154"/>
      <c r="D341" s="154"/>
      <c r="E341" s="154"/>
      <c r="F341" s="154"/>
      <c r="G341" s="154"/>
      <c r="H341" s="154"/>
      <c r="I341" s="154"/>
      <c r="J341" s="217"/>
      <c r="K341" s="218"/>
      <c r="L341" s="154"/>
      <c r="M341" s="154"/>
      <c r="N341" s="154"/>
      <c r="O341" s="154"/>
      <c r="P341" s="154"/>
      <c r="Q341" s="154"/>
      <c r="R341" s="154"/>
      <c r="S341" s="154"/>
      <c r="T341" s="154"/>
      <c r="U341" s="154"/>
      <c r="V341" s="154"/>
      <c r="W341" s="154"/>
      <c r="X341" s="154"/>
      <c r="Y341" s="154"/>
      <c r="Z341" s="154"/>
    </row>
    <row r="342" spans="1:26" ht="12" customHeight="1">
      <c r="A342" s="220"/>
      <c r="B342" s="154"/>
      <c r="C342" s="154"/>
      <c r="D342" s="154"/>
      <c r="E342" s="154"/>
      <c r="F342" s="154"/>
      <c r="G342" s="154"/>
      <c r="H342" s="154"/>
      <c r="I342" s="154"/>
      <c r="J342" s="217"/>
      <c r="K342" s="218"/>
      <c r="L342" s="154"/>
      <c r="M342" s="154"/>
      <c r="N342" s="154"/>
      <c r="O342" s="154"/>
      <c r="P342" s="154"/>
      <c r="Q342" s="154"/>
      <c r="R342" s="154"/>
      <c r="S342" s="154"/>
      <c r="T342" s="154"/>
      <c r="U342" s="154"/>
      <c r="V342" s="154"/>
      <c r="W342" s="154"/>
      <c r="X342" s="154"/>
      <c r="Y342" s="154"/>
      <c r="Z342" s="154"/>
    </row>
    <row r="343" spans="1:26" ht="12" customHeight="1">
      <c r="A343" s="220"/>
      <c r="B343" s="154"/>
      <c r="C343" s="154"/>
      <c r="D343" s="154"/>
      <c r="E343" s="154"/>
      <c r="F343" s="154"/>
      <c r="G343" s="154"/>
      <c r="H343" s="154"/>
      <c r="I343" s="154"/>
      <c r="J343" s="217"/>
      <c r="K343" s="218"/>
      <c r="L343" s="154"/>
      <c r="M343" s="154"/>
      <c r="N343" s="154"/>
      <c r="O343" s="154"/>
      <c r="P343" s="154"/>
      <c r="Q343" s="154"/>
      <c r="R343" s="154"/>
      <c r="S343" s="154"/>
      <c r="T343" s="154"/>
      <c r="U343" s="154"/>
      <c r="V343" s="154"/>
      <c r="W343" s="154"/>
      <c r="X343" s="154"/>
      <c r="Y343" s="154"/>
      <c r="Z343" s="154"/>
    </row>
    <row r="344" spans="1:26" ht="12" customHeight="1">
      <c r="A344" s="220"/>
      <c r="B344" s="154"/>
      <c r="C344" s="154"/>
      <c r="D344" s="154"/>
      <c r="E344" s="154"/>
      <c r="F344" s="154"/>
      <c r="G344" s="154"/>
      <c r="H344" s="154"/>
      <c r="I344" s="154"/>
      <c r="J344" s="217"/>
      <c r="K344" s="218"/>
      <c r="L344" s="154"/>
      <c r="M344" s="154"/>
      <c r="N344" s="154"/>
      <c r="O344" s="154"/>
      <c r="P344" s="154"/>
      <c r="Q344" s="154"/>
      <c r="R344" s="154"/>
      <c r="S344" s="154"/>
      <c r="T344" s="154"/>
      <c r="U344" s="154"/>
      <c r="V344" s="154"/>
      <c r="W344" s="154"/>
      <c r="X344" s="154"/>
      <c r="Y344" s="154"/>
      <c r="Z344" s="154"/>
    </row>
    <row r="345" spans="1:26" ht="12" customHeight="1">
      <c r="A345" s="220"/>
      <c r="B345" s="154"/>
      <c r="C345" s="154"/>
      <c r="D345" s="154"/>
      <c r="E345" s="154"/>
      <c r="F345" s="154"/>
      <c r="G345" s="154"/>
      <c r="H345" s="154"/>
      <c r="I345" s="154"/>
      <c r="J345" s="217"/>
      <c r="K345" s="218"/>
      <c r="L345" s="154"/>
      <c r="M345" s="154"/>
      <c r="N345" s="154"/>
      <c r="O345" s="154"/>
      <c r="P345" s="154"/>
      <c r="Q345" s="154"/>
      <c r="R345" s="154"/>
      <c r="S345" s="154"/>
      <c r="T345" s="154"/>
      <c r="U345" s="154"/>
      <c r="V345" s="154"/>
      <c r="W345" s="154"/>
      <c r="X345" s="154"/>
      <c r="Y345" s="154"/>
      <c r="Z345" s="154"/>
    </row>
    <row r="346" spans="1:26" ht="12" customHeight="1">
      <c r="A346" s="220"/>
      <c r="B346" s="154"/>
      <c r="C346" s="154"/>
      <c r="D346" s="154"/>
      <c r="E346" s="154"/>
      <c r="F346" s="154"/>
      <c r="G346" s="154"/>
      <c r="H346" s="154"/>
      <c r="I346" s="154"/>
      <c r="J346" s="217"/>
      <c r="K346" s="218"/>
      <c r="L346" s="154"/>
      <c r="M346" s="154"/>
      <c r="N346" s="154"/>
      <c r="O346" s="154"/>
      <c r="P346" s="154"/>
      <c r="Q346" s="154"/>
      <c r="R346" s="154"/>
      <c r="S346" s="154"/>
      <c r="T346" s="154"/>
      <c r="U346" s="154"/>
      <c r="V346" s="154"/>
      <c r="W346" s="154"/>
      <c r="X346" s="154"/>
      <c r="Y346" s="154"/>
      <c r="Z346" s="154"/>
    </row>
    <row r="347" spans="1:26" ht="12" customHeight="1">
      <c r="A347" s="220"/>
      <c r="B347" s="154"/>
      <c r="C347" s="154"/>
      <c r="D347" s="154"/>
      <c r="E347" s="154"/>
      <c r="F347" s="154"/>
      <c r="G347" s="154"/>
      <c r="H347" s="154"/>
      <c r="I347" s="154"/>
      <c r="J347" s="217"/>
      <c r="K347" s="218"/>
      <c r="L347" s="154"/>
      <c r="M347" s="154"/>
      <c r="N347" s="154"/>
      <c r="O347" s="154"/>
      <c r="P347" s="154"/>
      <c r="Q347" s="154"/>
      <c r="R347" s="154"/>
      <c r="S347" s="154"/>
      <c r="T347" s="154"/>
      <c r="U347" s="154"/>
      <c r="V347" s="154"/>
      <c r="W347" s="154"/>
      <c r="X347" s="154"/>
      <c r="Y347" s="154"/>
      <c r="Z347" s="154"/>
    </row>
    <row r="348" spans="1:26" ht="12" customHeight="1">
      <c r="A348" s="220"/>
      <c r="B348" s="154"/>
      <c r="C348" s="154"/>
      <c r="D348" s="154"/>
      <c r="E348" s="154"/>
      <c r="F348" s="154"/>
      <c r="G348" s="154"/>
      <c r="H348" s="154"/>
      <c r="I348" s="154"/>
      <c r="J348" s="217"/>
      <c r="K348" s="218"/>
      <c r="L348" s="154"/>
      <c r="M348" s="154"/>
      <c r="N348" s="154"/>
      <c r="O348" s="154"/>
      <c r="P348" s="154"/>
      <c r="Q348" s="154"/>
      <c r="R348" s="154"/>
      <c r="S348" s="154"/>
      <c r="T348" s="154"/>
      <c r="U348" s="154"/>
      <c r="V348" s="154"/>
      <c r="W348" s="154"/>
      <c r="X348" s="154"/>
      <c r="Y348" s="154"/>
      <c r="Z348" s="154"/>
    </row>
    <row r="349" spans="1:26" ht="12" customHeight="1">
      <c r="A349" s="220"/>
      <c r="B349" s="154"/>
      <c r="C349" s="154"/>
      <c r="D349" s="154"/>
      <c r="E349" s="154"/>
      <c r="F349" s="154"/>
      <c r="G349" s="154"/>
      <c r="H349" s="154"/>
      <c r="I349" s="154"/>
      <c r="J349" s="217"/>
      <c r="K349" s="218"/>
      <c r="L349" s="154"/>
      <c r="M349" s="154"/>
      <c r="N349" s="154"/>
      <c r="O349" s="154"/>
      <c r="P349" s="154"/>
      <c r="Q349" s="154"/>
      <c r="R349" s="154"/>
      <c r="S349" s="154"/>
      <c r="T349" s="154"/>
      <c r="U349" s="154"/>
      <c r="V349" s="154"/>
      <c r="W349" s="154"/>
      <c r="X349" s="154"/>
      <c r="Y349" s="154"/>
      <c r="Z349" s="154"/>
    </row>
    <row r="350" spans="1:26" ht="12" customHeight="1">
      <c r="A350" s="220"/>
      <c r="B350" s="154"/>
      <c r="C350" s="154"/>
      <c r="D350" s="154"/>
      <c r="E350" s="154"/>
      <c r="F350" s="154"/>
      <c r="G350" s="154"/>
      <c r="H350" s="154"/>
      <c r="I350" s="154"/>
      <c r="J350" s="217"/>
      <c r="K350" s="218"/>
      <c r="L350" s="154"/>
      <c r="M350" s="154"/>
      <c r="N350" s="154"/>
      <c r="O350" s="154"/>
      <c r="P350" s="154"/>
      <c r="Q350" s="154"/>
      <c r="R350" s="154"/>
      <c r="S350" s="154"/>
      <c r="T350" s="154"/>
      <c r="U350" s="154"/>
      <c r="V350" s="154"/>
      <c r="W350" s="154"/>
      <c r="X350" s="154"/>
      <c r="Y350" s="154"/>
      <c r="Z350" s="154"/>
    </row>
    <row r="351" spans="1:26" ht="12" customHeight="1">
      <c r="A351" s="220"/>
      <c r="B351" s="154"/>
      <c r="C351" s="154"/>
      <c r="D351" s="154"/>
      <c r="E351" s="154"/>
      <c r="F351" s="154"/>
      <c r="G351" s="154"/>
      <c r="H351" s="154"/>
      <c r="I351" s="154"/>
      <c r="J351" s="217"/>
      <c r="K351" s="218"/>
      <c r="L351" s="154"/>
      <c r="M351" s="154"/>
      <c r="N351" s="154"/>
      <c r="O351" s="154"/>
      <c r="P351" s="154"/>
      <c r="Q351" s="154"/>
      <c r="R351" s="154"/>
      <c r="S351" s="154"/>
      <c r="T351" s="154"/>
      <c r="U351" s="154"/>
      <c r="V351" s="154"/>
      <c r="W351" s="154"/>
      <c r="X351" s="154"/>
      <c r="Y351" s="154"/>
      <c r="Z351" s="154"/>
    </row>
    <row r="352" spans="1:26" ht="12" customHeight="1">
      <c r="A352" s="220"/>
      <c r="B352" s="154"/>
      <c r="C352" s="154"/>
      <c r="D352" s="154"/>
      <c r="E352" s="154"/>
      <c r="F352" s="154"/>
      <c r="G352" s="154"/>
      <c r="H352" s="154"/>
      <c r="I352" s="154"/>
      <c r="J352" s="217"/>
      <c r="K352" s="218"/>
      <c r="L352" s="154"/>
      <c r="M352" s="154"/>
      <c r="N352" s="154"/>
      <c r="O352" s="154"/>
      <c r="P352" s="154"/>
      <c r="Q352" s="154"/>
      <c r="R352" s="154"/>
      <c r="S352" s="154"/>
      <c r="T352" s="154"/>
      <c r="U352" s="154"/>
      <c r="V352" s="154"/>
      <c r="W352" s="154"/>
      <c r="X352" s="154"/>
      <c r="Y352" s="154"/>
      <c r="Z352" s="154"/>
    </row>
    <row r="353" spans="1:26" ht="12" customHeight="1">
      <c r="A353" s="220"/>
      <c r="B353" s="154"/>
      <c r="C353" s="154"/>
      <c r="D353" s="154"/>
      <c r="E353" s="154"/>
      <c r="F353" s="154"/>
      <c r="G353" s="154"/>
      <c r="H353" s="154"/>
      <c r="I353" s="154"/>
      <c r="J353" s="217"/>
      <c r="K353" s="218"/>
      <c r="L353" s="154"/>
      <c r="M353" s="154"/>
      <c r="N353" s="154"/>
      <c r="O353" s="154"/>
      <c r="P353" s="154"/>
      <c r="Q353" s="154"/>
      <c r="R353" s="154"/>
      <c r="S353" s="154"/>
      <c r="T353" s="154"/>
      <c r="U353" s="154"/>
      <c r="V353" s="154"/>
      <c r="W353" s="154"/>
      <c r="X353" s="154"/>
      <c r="Y353" s="154"/>
      <c r="Z353" s="154"/>
    </row>
    <row r="354" spans="1:26" ht="12" customHeight="1">
      <c r="A354" s="220"/>
      <c r="B354" s="154"/>
      <c r="C354" s="154"/>
      <c r="D354" s="154"/>
      <c r="E354" s="154"/>
      <c r="F354" s="154"/>
      <c r="G354" s="154"/>
      <c r="H354" s="154"/>
      <c r="I354" s="154"/>
      <c r="J354" s="217"/>
      <c r="K354" s="218"/>
      <c r="L354" s="154"/>
      <c r="M354" s="154"/>
      <c r="N354" s="154"/>
      <c r="O354" s="154"/>
      <c r="P354" s="154"/>
      <c r="Q354" s="154"/>
      <c r="R354" s="154"/>
      <c r="S354" s="154"/>
      <c r="T354" s="154"/>
      <c r="U354" s="154"/>
      <c r="V354" s="154"/>
      <c r="W354" s="154"/>
      <c r="X354" s="154"/>
      <c r="Y354" s="154"/>
      <c r="Z354" s="154"/>
    </row>
    <row r="355" spans="1:26" ht="12" customHeight="1">
      <c r="A355" s="220"/>
      <c r="B355" s="154"/>
      <c r="C355" s="154"/>
      <c r="D355" s="154"/>
      <c r="E355" s="154"/>
      <c r="F355" s="154"/>
      <c r="G355" s="154"/>
      <c r="H355" s="154"/>
      <c r="I355" s="154"/>
      <c r="J355" s="217"/>
      <c r="K355" s="218"/>
      <c r="L355" s="154"/>
      <c r="M355" s="154"/>
      <c r="N355" s="154"/>
      <c r="O355" s="154"/>
      <c r="P355" s="154"/>
      <c r="Q355" s="154"/>
      <c r="R355" s="154"/>
      <c r="S355" s="154"/>
      <c r="T355" s="154"/>
      <c r="U355" s="154"/>
      <c r="V355" s="154"/>
      <c r="W355" s="154"/>
      <c r="X355" s="154"/>
      <c r="Y355" s="154"/>
      <c r="Z355" s="154"/>
    </row>
    <row r="356" spans="1:26" ht="12" customHeight="1">
      <c r="A356" s="220"/>
      <c r="B356" s="154"/>
      <c r="C356" s="154"/>
      <c r="D356" s="154"/>
      <c r="E356" s="154"/>
      <c r="F356" s="154"/>
      <c r="G356" s="154"/>
      <c r="H356" s="154"/>
      <c r="I356" s="154"/>
      <c r="J356" s="217"/>
      <c r="K356" s="218"/>
      <c r="L356" s="154"/>
      <c r="M356" s="154"/>
      <c r="N356" s="154"/>
      <c r="O356" s="154"/>
      <c r="P356" s="154"/>
      <c r="Q356" s="154"/>
      <c r="R356" s="154"/>
      <c r="S356" s="154"/>
      <c r="T356" s="154"/>
      <c r="U356" s="154"/>
      <c r="V356" s="154"/>
      <c r="W356" s="154"/>
      <c r="X356" s="154"/>
      <c r="Y356" s="154"/>
      <c r="Z356" s="154"/>
    </row>
    <row r="357" spans="1:26" ht="12" customHeight="1">
      <c r="A357" s="220"/>
      <c r="B357" s="154"/>
      <c r="C357" s="154"/>
      <c r="D357" s="154"/>
      <c r="E357" s="154"/>
      <c r="F357" s="154"/>
      <c r="G357" s="154"/>
      <c r="H357" s="154"/>
      <c r="I357" s="154"/>
      <c r="J357" s="217"/>
      <c r="K357" s="218"/>
      <c r="L357" s="154"/>
      <c r="M357" s="154"/>
      <c r="N357" s="154"/>
      <c r="O357" s="154"/>
      <c r="P357" s="154"/>
      <c r="Q357" s="154"/>
      <c r="R357" s="154"/>
      <c r="S357" s="154"/>
      <c r="T357" s="154"/>
      <c r="U357" s="154"/>
      <c r="V357" s="154"/>
      <c r="W357" s="154"/>
      <c r="X357" s="154"/>
      <c r="Y357" s="154"/>
      <c r="Z357" s="154"/>
    </row>
    <row r="358" spans="1:26" ht="12" customHeight="1">
      <c r="A358" s="220"/>
      <c r="B358" s="154"/>
      <c r="C358" s="154"/>
      <c r="D358" s="154"/>
      <c r="E358" s="154"/>
      <c r="F358" s="154"/>
      <c r="G358" s="154"/>
      <c r="H358" s="154"/>
      <c r="I358" s="154"/>
      <c r="J358" s="217"/>
      <c r="K358" s="218"/>
      <c r="L358" s="154"/>
      <c r="M358" s="154"/>
      <c r="N358" s="154"/>
      <c r="O358" s="154"/>
      <c r="P358" s="154"/>
      <c r="Q358" s="154"/>
      <c r="R358" s="154"/>
      <c r="S358" s="154"/>
      <c r="T358" s="154"/>
      <c r="U358" s="154"/>
      <c r="V358" s="154"/>
      <c r="W358" s="154"/>
      <c r="X358" s="154"/>
      <c r="Y358" s="154"/>
      <c r="Z358" s="154"/>
    </row>
    <row r="359" spans="1:26" ht="12" customHeight="1">
      <c r="A359" s="220"/>
      <c r="B359" s="154"/>
      <c r="C359" s="154"/>
      <c r="D359" s="154"/>
      <c r="E359" s="154"/>
      <c r="F359" s="154"/>
      <c r="G359" s="154"/>
      <c r="H359" s="154"/>
      <c r="I359" s="154"/>
      <c r="J359" s="217"/>
      <c r="K359" s="218"/>
      <c r="L359" s="154"/>
      <c r="M359" s="154"/>
      <c r="N359" s="154"/>
      <c r="O359" s="154"/>
      <c r="P359" s="154"/>
      <c r="Q359" s="154"/>
      <c r="R359" s="154"/>
      <c r="S359" s="154"/>
      <c r="T359" s="154"/>
      <c r="U359" s="154"/>
      <c r="V359" s="154"/>
      <c r="W359" s="154"/>
      <c r="X359" s="154"/>
      <c r="Y359" s="154"/>
      <c r="Z359" s="154"/>
    </row>
    <row r="360" spans="1:26" ht="12" customHeight="1">
      <c r="A360" s="220"/>
      <c r="B360" s="154"/>
      <c r="C360" s="154"/>
      <c r="D360" s="154"/>
      <c r="E360" s="154"/>
      <c r="F360" s="154"/>
      <c r="G360" s="154"/>
      <c r="H360" s="154"/>
      <c r="I360" s="154"/>
      <c r="J360" s="217"/>
      <c r="K360" s="218"/>
      <c r="L360" s="154"/>
      <c r="M360" s="154"/>
      <c r="N360" s="154"/>
      <c r="O360" s="154"/>
      <c r="P360" s="154"/>
      <c r="Q360" s="154"/>
      <c r="R360" s="154"/>
      <c r="S360" s="154"/>
      <c r="T360" s="154"/>
      <c r="U360" s="154"/>
      <c r="V360" s="154"/>
      <c r="W360" s="154"/>
      <c r="X360" s="154"/>
      <c r="Y360" s="154"/>
      <c r="Z360" s="154"/>
    </row>
    <row r="361" spans="1:26" ht="12" customHeight="1">
      <c r="A361" s="220"/>
      <c r="B361" s="154"/>
      <c r="C361" s="154"/>
      <c r="D361" s="154"/>
      <c r="E361" s="154"/>
      <c r="F361" s="154"/>
      <c r="G361" s="154"/>
      <c r="H361" s="154"/>
      <c r="I361" s="154"/>
      <c r="J361" s="217"/>
      <c r="K361" s="218"/>
      <c r="L361" s="154"/>
      <c r="M361" s="154"/>
      <c r="N361" s="154"/>
      <c r="O361" s="154"/>
      <c r="P361" s="154"/>
      <c r="Q361" s="154"/>
      <c r="R361" s="154"/>
      <c r="S361" s="154"/>
      <c r="T361" s="154"/>
      <c r="U361" s="154"/>
      <c r="V361" s="154"/>
      <c r="W361" s="154"/>
      <c r="X361" s="154"/>
      <c r="Y361" s="154"/>
      <c r="Z361" s="154"/>
    </row>
    <row r="362" spans="1:26" ht="12" customHeight="1">
      <c r="A362" s="220"/>
      <c r="B362" s="154"/>
      <c r="C362" s="154"/>
      <c r="D362" s="154"/>
      <c r="E362" s="154"/>
      <c r="F362" s="154"/>
      <c r="G362" s="154"/>
      <c r="H362" s="154"/>
      <c r="I362" s="154"/>
      <c r="J362" s="217"/>
      <c r="K362" s="218"/>
      <c r="L362" s="154"/>
      <c r="M362" s="154"/>
      <c r="N362" s="154"/>
      <c r="O362" s="154"/>
      <c r="P362" s="154"/>
      <c r="Q362" s="154"/>
      <c r="R362" s="154"/>
      <c r="S362" s="154"/>
      <c r="T362" s="154"/>
      <c r="U362" s="154"/>
      <c r="V362" s="154"/>
      <c r="W362" s="154"/>
      <c r="X362" s="154"/>
      <c r="Y362" s="154"/>
      <c r="Z362" s="154"/>
    </row>
    <row r="363" spans="1:26" ht="12" customHeight="1">
      <c r="A363" s="220"/>
      <c r="B363" s="154"/>
      <c r="C363" s="154"/>
      <c r="D363" s="154"/>
      <c r="E363" s="154"/>
      <c r="F363" s="154"/>
      <c r="G363" s="154"/>
      <c r="H363" s="154"/>
      <c r="I363" s="154"/>
      <c r="J363" s="217"/>
      <c r="K363" s="218"/>
      <c r="L363" s="154"/>
      <c r="M363" s="154"/>
      <c r="N363" s="154"/>
      <c r="O363" s="154"/>
      <c r="P363" s="154"/>
      <c r="Q363" s="154"/>
      <c r="R363" s="154"/>
      <c r="S363" s="154"/>
      <c r="T363" s="154"/>
      <c r="U363" s="154"/>
      <c r="V363" s="154"/>
      <c r="W363" s="154"/>
      <c r="X363" s="154"/>
      <c r="Y363" s="154"/>
      <c r="Z363" s="154"/>
    </row>
    <row r="364" spans="1:26" ht="12" customHeight="1">
      <c r="A364" s="220"/>
      <c r="B364" s="154"/>
      <c r="C364" s="154"/>
      <c r="D364" s="154"/>
      <c r="E364" s="154"/>
      <c r="F364" s="154"/>
      <c r="G364" s="154"/>
      <c r="H364" s="154"/>
      <c r="I364" s="154"/>
      <c r="J364" s="217"/>
      <c r="K364" s="218"/>
      <c r="L364" s="154"/>
      <c r="M364" s="154"/>
      <c r="N364" s="154"/>
      <c r="O364" s="154"/>
      <c r="P364" s="154"/>
      <c r="Q364" s="154"/>
      <c r="R364" s="154"/>
      <c r="S364" s="154"/>
      <c r="T364" s="154"/>
      <c r="U364" s="154"/>
      <c r="V364" s="154"/>
      <c r="W364" s="154"/>
      <c r="X364" s="154"/>
      <c r="Y364" s="154"/>
      <c r="Z364" s="154"/>
    </row>
    <row r="365" spans="1:26" ht="12" customHeight="1">
      <c r="A365" s="220"/>
      <c r="B365" s="154"/>
      <c r="C365" s="154"/>
      <c r="D365" s="154"/>
      <c r="E365" s="154"/>
      <c r="F365" s="154"/>
      <c r="G365" s="154"/>
      <c r="H365" s="154"/>
      <c r="I365" s="154"/>
      <c r="J365" s="217"/>
      <c r="K365" s="218"/>
      <c r="L365" s="154"/>
      <c r="M365" s="154"/>
      <c r="N365" s="154"/>
      <c r="O365" s="154"/>
      <c r="P365" s="154"/>
      <c r="Q365" s="154"/>
      <c r="R365" s="154"/>
      <c r="S365" s="154"/>
      <c r="T365" s="154"/>
      <c r="U365" s="154"/>
      <c r="V365" s="154"/>
      <c r="W365" s="154"/>
      <c r="X365" s="154"/>
      <c r="Y365" s="154"/>
      <c r="Z365" s="154"/>
    </row>
    <row r="366" spans="1:26" ht="12" customHeight="1">
      <c r="A366" s="220"/>
      <c r="B366" s="154"/>
      <c r="C366" s="154"/>
      <c r="D366" s="154"/>
      <c r="E366" s="154"/>
      <c r="F366" s="154"/>
      <c r="G366" s="154"/>
      <c r="H366" s="154"/>
      <c r="I366" s="154"/>
      <c r="J366" s="217"/>
      <c r="K366" s="218"/>
      <c r="L366" s="154"/>
      <c r="M366" s="154"/>
      <c r="N366" s="154"/>
      <c r="O366" s="154"/>
      <c r="P366" s="154"/>
      <c r="Q366" s="154"/>
      <c r="R366" s="154"/>
      <c r="S366" s="154"/>
      <c r="T366" s="154"/>
      <c r="U366" s="154"/>
      <c r="V366" s="154"/>
      <c r="W366" s="154"/>
      <c r="X366" s="154"/>
      <c r="Y366" s="154"/>
      <c r="Z366" s="154"/>
    </row>
    <row r="367" spans="1:26" ht="12" customHeight="1">
      <c r="A367" s="220"/>
      <c r="B367" s="154"/>
      <c r="C367" s="154"/>
      <c r="D367" s="154"/>
      <c r="E367" s="154"/>
      <c r="F367" s="154"/>
      <c r="G367" s="154"/>
      <c r="H367" s="154"/>
      <c r="I367" s="154"/>
      <c r="J367" s="217"/>
      <c r="K367" s="218"/>
      <c r="L367" s="154"/>
      <c r="M367" s="154"/>
      <c r="N367" s="154"/>
      <c r="O367" s="154"/>
      <c r="P367" s="154"/>
      <c r="Q367" s="154"/>
      <c r="R367" s="154"/>
      <c r="S367" s="154"/>
      <c r="T367" s="154"/>
      <c r="U367" s="154"/>
      <c r="V367" s="154"/>
      <c r="W367" s="154"/>
      <c r="X367" s="154"/>
      <c r="Y367" s="154"/>
      <c r="Z367" s="154"/>
    </row>
    <row r="368" spans="1:26" ht="12" customHeight="1">
      <c r="A368" s="220"/>
      <c r="B368" s="154"/>
      <c r="C368" s="154"/>
      <c r="D368" s="154"/>
      <c r="E368" s="154"/>
      <c r="F368" s="154"/>
      <c r="G368" s="154"/>
      <c r="H368" s="154"/>
      <c r="I368" s="154"/>
      <c r="J368" s="217"/>
      <c r="K368" s="218"/>
      <c r="L368" s="154"/>
      <c r="M368" s="154"/>
      <c r="N368" s="154"/>
      <c r="O368" s="154"/>
      <c r="P368" s="154"/>
      <c r="Q368" s="154"/>
      <c r="R368" s="154"/>
      <c r="S368" s="154"/>
      <c r="T368" s="154"/>
      <c r="U368" s="154"/>
      <c r="V368" s="154"/>
      <c r="W368" s="154"/>
      <c r="X368" s="154"/>
      <c r="Y368" s="154"/>
      <c r="Z368" s="154"/>
    </row>
    <row r="369" spans="1:26" ht="12" customHeight="1">
      <c r="A369" s="220"/>
      <c r="B369" s="154"/>
      <c r="C369" s="154"/>
      <c r="D369" s="154"/>
      <c r="E369" s="154"/>
      <c r="F369" s="154"/>
      <c r="G369" s="154"/>
      <c r="H369" s="154"/>
      <c r="I369" s="154"/>
      <c r="J369" s="217"/>
      <c r="K369" s="218"/>
      <c r="L369" s="154"/>
      <c r="M369" s="154"/>
      <c r="N369" s="154"/>
      <c r="O369" s="154"/>
      <c r="P369" s="154"/>
      <c r="Q369" s="154"/>
      <c r="R369" s="154"/>
      <c r="S369" s="154"/>
      <c r="T369" s="154"/>
      <c r="U369" s="154"/>
      <c r="V369" s="154"/>
      <c r="W369" s="154"/>
      <c r="X369" s="154"/>
      <c r="Y369" s="154"/>
      <c r="Z369" s="154"/>
    </row>
    <row r="370" spans="1:26" ht="12" customHeight="1">
      <c r="A370" s="220"/>
      <c r="B370" s="154"/>
      <c r="C370" s="154"/>
      <c r="D370" s="154"/>
      <c r="E370" s="154"/>
      <c r="F370" s="154"/>
      <c r="G370" s="154"/>
      <c r="H370" s="154"/>
      <c r="I370" s="154"/>
      <c r="J370" s="217"/>
      <c r="K370" s="218"/>
      <c r="L370" s="154"/>
      <c r="M370" s="154"/>
      <c r="N370" s="154"/>
      <c r="O370" s="154"/>
      <c r="P370" s="154"/>
      <c r="Q370" s="154"/>
      <c r="R370" s="154"/>
      <c r="S370" s="154"/>
      <c r="T370" s="154"/>
      <c r="U370" s="154"/>
      <c r="V370" s="154"/>
      <c r="W370" s="154"/>
      <c r="X370" s="154"/>
      <c r="Y370" s="154"/>
      <c r="Z370" s="154"/>
    </row>
    <row r="371" spans="1:26" ht="12" customHeight="1">
      <c r="A371" s="220"/>
      <c r="B371" s="154"/>
      <c r="C371" s="154"/>
      <c r="D371" s="154"/>
      <c r="E371" s="154"/>
      <c r="F371" s="154"/>
      <c r="G371" s="154"/>
      <c r="H371" s="154"/>
      <c r="I371" s="154"/>
      <c r="J371" s="217"/>
      <c r="K371" s="218"/>
      <c r="L371" s="154"/>
      <c r="M371" s="154"/>
      <c r="N371" s="154"/>
      <c r="O371" s="154"/>
      <c r="P371" s="154"/>
      <c r="Q371" s="154"/>
      <c r="R371" s="154"/>
      <c r="S371" s="154"/>
      <c r="T371" s="154"/>
      <c r="U371" s="154"/>
      <c r="V371" s="154"/>
      <c r="W371" s="154"/>
      <c r="X371" s="154"/>
      <c r="Y371" s="154"/>
      <c r="Z371" s="154"/>
    </row>
    <row r="372" spans="1:26" ht="12" customHeight="1">
      <c r="A372" s="220"/>
      <c r="B372" s="154"/>
      <c r="C372" s="154"/>
      <c r="D372" s="154"/>
      <c r="E372" s="154"/>
      <c r="F372" s="154"/>
      <c r="G372" s="154"/>
      <c r="H372" s="154"/>
      <c r="I372" s="154"/>
      <c r="J372" s="217"/>
      <c r="K372" s="218"/>
      <c r="L372" s="154"/>
      <c r="M372" s="154"/>
      <c r="N372" s="154"/>
      <c r="O372" s="154"/>
      <c r="P372" s="154"/>
      <c r="Q372" s="154"/>
      <c r="R372" s="154"/>
      <c r="S372" s="154"/>
      <c r="T372" s="154"/>
      <c r="U372" s="154"/>
      <c r="V372" s="154"/>
      <c r="W372" s="154"/>
      <c r="X372" s="154"/>
      <c r="Y372" s="154"/>
      <c r="Z372" s="154"/>
    </row>
    <row r="373" spans="1:26" ht="12" customHeight="1">
      <c r="A373" s="220"/>
      <c r="B373" s="154"/>
      <c r="C373" s="154"/>
      <c r="D373" s="154"/>
      <c r="E373" s="154"/>
      <c r="F373" s="154"/>
      <c r="G373" s="154"/>
      <c r="H373" s="154"/>
      <c r="I373" s="154"/>
      <c r="J373" s="217"/>
      <c r="K373" s="218"/>
      <c r="L373" s="154"/>
      <c r="M373" s="154"/>
      <c r="N373" s="154"/>
      <c r="O373" s="154"/>
      <c r="P373" s="154"/>
      <c r="Q373" s="154"/>
      <c r="R373" s="154"/>
      <c r="S373" s="154"/>
      <c r="T373" s="154"/>
      <c r="U373" s="154"/>
      <c r="V373" s="154"/>
      <c r="W373" s="154"/>
      <c r="X373" s="154"/>
      <c r="Y373" s="154"/>
      <c r="Z373" s="154"/>
    </row>
    <row r="374" spans="1:26" ht="12" customHeight="1">
      <c r="A374" s="220"/>
      <c r="B374" s="154"/>
      <c r="C374" s="154"/>
      <c r="D374" s="154"/>
      <c r="E374" s="154"/>
      <c r="F374" s="154"/>
      <c r="G374" s="154"/>
      <c r="H374" s="154"/>
      <c r="I374" s="154"/>
      <c r="J374" s="217"/>
      <c r="K374" s="218"/>
      <c r="L374" s="154"/>
      <c r="M374" s="154"/>
      <c r="N374" s="154"/>
      <c r="O374" s="154"/>
      <c r="P374" s="154"/>
      <c r="Q374" s="154"/>
      <c r="R374" s="154"/>
      <c r="S374" s="154"/>
      <c r="T374" s="154"/>
      <c r="U374" s="154"/>
      <c r="V374" s="154"/>
      <c r="W374" s="154"/>
      <c r="X374" s="154"/>
      <c r="Y374" s="154"/>
      <c r="Z374" s="154"/>
    </row>
    <row r="375" spans="1:26" ht="12" customHeight="1">
      <c r="A375" s="220"/>
      <c r="B375" s="154"/>
      <c r="C375" s="154"/>
      <c r="D375" s="154"/>
      <c r="E375" s="154"/>
      <c r="F375" s="154"/>
      <c r="G375" s="154"/>
      <c r="H375" s="154"/>
      <c r="I375" s="154"/>
      <c r="J375" s="217"/>
      <c r="K375" s="218"/>
      <c r="L375" s="154"/>
      <c r="M375" s="154"/>
      <c r="N375" s="154"/>
      <c r="O375" s="154"/>
      <c r="P375" s="154"/>
      <c r="Q375" s="154"/>
      <c r="R375" s="154"/>
      <c r="S375" s="154"/>
      <c r="T375" s="154"/>
      <c r="U375" s="154"/>
      <c r="V375" s="154"/>
      <c r="W375" s="154"/>
      <c r="X375" s="154"/>
      <c r="Y375" s="154"/>
      <c r="Z375" s="154"/>
    </row>
    <row r="376" spans="1:26" ht="12" customHeight="1">
      <c r="A376" s="220"/>
      <c r="B376" s="154"/>
      <c r="C376" s="154"/>
      <c r="D376" s="154"/>
      <c r="E376" s="154"/>
      <c r="F376" s="154"/>
      <c r="G376" s="154"/>
      <c r="H376" s="154"/>
      <c r="I376" s="154"/>
      <c r="J376" s="217"/>
      <c r="K376" s="218"/>
      <c r="L376" s="154"/>
      <c r="M376" s="154"/>
      <c r="N376" s="154"/>
      <c r="O376" s="154"/>
      <c r="P376" s="154"/>
      <c r="Q376" s="154"/>
      <c r="R376" s="154"/>
      <c r="S376" s="154"/>
      <c r="T376" s="154"/>
      <c r="U376" s="154"/>
      <c r="V376" s="154"/>
      <c r="W376" s="154"/>
      <c r="X376" s="154"/>
      <c r="Y376" s="154"/>
      <c r="Z376" s="154"/>
    </row>
    <row r="377" spans="1:26" ht="12" customHeight="1">
      <c r="A377" s="220"/>
      <c r="B377" s="154"/>
      <c r="C377" s="154"/>
      <c r="D377" s="154"/>
      <c r="E377" s="154"/>
      <c r="F377" s="154"/>
      <c r="G377" s="154"/>
      <c r="H377" s="154"/>
      <c r="I377" s="154"/>
      <c r="J377" s="217"/>
      <c r="K377" s="218"/>
      <c r="L377" s="154"/>
      <c r="M377" s="154"/>
      <c r="N377" s="154"/>
      <c r="O377" s="154"/>
      <c r="P377" s="154"/>
      <c r="Q377" s="154"/>
      <c r="R377" s="154"/>
      <c r="S377" s="154"/>
      <c r="T377" s="154"/>
      <c r="U377" s="154"/>
      <c r="V377" s="154"/>
      <c r="W377" s="154"/>
      <c r="X377" s="154"/>
      <c r="Y377" s="154"/>
      <c r="Z377" s="154"/>
    </row>
    <row r="378" spans="1:26" ht="12" customHeight="1">
      <c r="A378" s="220"/>
      <c r="B378" s="154"/>
      <c r="C378" s="154"/>
      <c r="D378" s="154"/>
      <c r="E378" s="154"/>
      <c r="F378" s="154"/>
      <c r="G378" s="154"/>
      <c r="H378" s="154"/>
      <c r="I378" s="154"/>
      <c r="J378" s="217"/>
      <c r="K378" s="218"/>
      <c r="L378" s="154"/>
      <c r="M378" s="154"/>
      <c r="N378" s="154"/>
      <c r="O378" s="154"/>
      <c r="P378" s="154"/>
      <c r="Q378" s="154"/>
      <c r="R378" s="154"/>
      <c r="S378" s="154"/>
      <c r="T378" s="154"/>
      <c r="U378" s="154"/>
      <c r="V378" s="154"/>
      <c r="W378" s="154"/>
      <c r="X378" s="154"/>
      <c r="Y378" s="154"/>
      <c r="Z378" s="154"/>
    </row>
    <row r="379" spans="1:26" ht="12" customHeight="1">
      <c r="A379" s="220"/>
      <c r="B379" s="154"/>
      <c r="C379" s="154"/>
      <c r="D379" s="154"/>
      <c r="E379" s="154"/>
      <c r="F379" s="154"/>
      <c r="G379" s="154"/>
      <c r="H379" s="154"/>
      <c r="I379" s="154"/>
      <c r="J379" s="217"/>
      <c r="K379" s="218"/>
      <c r="L379" s="154"/>
      <c r="M379" s="154"/>
      <c r="N379" s="154"/>
      <c r="O379" s="154"/>
      <c r="P379" s="154"/>
      <c r="Q379" s="154"/>
      <c r="R379" s="154"/>
      <c r="S379" s="154"/>
      <c r="T379" s="154"/>
      <c r="U379" s="154"/>
      <c r="V379" s="154"/>
      <c r="W379" s="154"/>
      <c r="X379" s="154"/>
      <c r="Y379" s="154"/>
      <c r="Z379" s="154"/>
    </row>
    <row r="380" spans="1:26" ht="12" customHeight="1">
      <c r="A380" s="220"/>
      <c r="B380" s="154"/>
      <c r="C380" s="154"/>
      <c r="D380" s="154"/>
      <c r="E380" s="154"/>
      <c r="F380" s="154"/>
      <c r="G380" s="154"/>
      <c r="H380" s="154"/>
      <c r="I380" s="154"/>
      <c r="J380" s="217"/>
      <c r="K380" s="218"/>
      <c r="L380" s="154"/>
      <c r="M380" s="154"/>
      <c r="N380" s="154"/>
      <c r="O380" s="154"/>
      <c r="P380" s="154"/>
      <c r="Q380" s="154"/>
      <c r="R380" s="154"/>
      <c r="S380" s="154"/>
      <c r="T380" s="154"/>
      <c r="U380" s="154"/>
      <c r="V380" s="154"/>
      <c r="W380" s="154"/>
      <c r="X380" s="154"/>
      <c r="Y380" s="154"/>
      <c r="Z380" s="154"/>
    </row>
    <row r="381" spans="1:26" ht="12" customHeight="1">
      <c r="A381" s="220"/>
      <c r="B381" s="154"/>
      <c r="C381" s="154"/>
      <c r="D381" s="154"/>
      <c r="E381" s="154"/>
      <c r="F381" s="154"/>
      <c r="G381" s="154"/>
      <c r="H381" s="154"/>
      <c r="I381" s="154"/>
      <c r="J381" s="217"/>
      <c r="K381" s="218"/>
      <c r="L381" s="154"/>
      <c r="M381" s="154"/>
      <c r="N381" s="154"/>
      <c r="O381" s="154"/>
      <c r="P381" s="154"/>
      <c r="Q381" s="154"/>
      <c r="R381" s="154"/>
      <c r="S381" s="154"/>
      <c r="T381" s="154"/>
      <c r="U381" s="154"/>
      <c r="V381" s="154"/>
      <c r="W381" s="154"/>
      <c r="X381" s="154"/>
      <c r="Y381" s="154"/>
      <c r="Z381" s="154"/>
    </row>
    <row r="382" spans="1:26" ht="12" customHeight="1">
      <c r="A382" s="220"/>
      <c r="B382" s="154"/>
      <c r="C382" s="154"/>
      <c r="D382" s="154"/>
      <c r="E382" s="154"/>
      <c r="F382" s="154"/>
      <c r="G382" s="154"/>
      <c r="H382" s="154"/>
      <c r="I382" s="154"/>
      <c r="J382" s="217"/>
      <c r="K382" s="218"/>
      <c r="L382" s="154"/>
      <c r="M382" s="154"/>
      <c r="N382" s="154"/>
      <c r="O382" s="154"/>
      <c r="P382" s="154"/>
      <c r="Q382" s="154"/>
      <c r="R382" s="154"/>
      <c r="S382" s="154"/>
      <c r="T382" s="154"/>
      <c r="U382" s="154"/>
      <c r="V382" s="154"/>
      <c r="W382" s="154"/>
      <c r="X382" s="154"/>
      <c r="Y382" s="154"/>
      <c r="Z382" s="154"/>
    </row>
    <row r="383" spans="1:26" ht="12" customHeight="1">
      <c r="A383" s="220"/>
      <c r="B383" s="154"/>
      <c r="C383" s="154"/>
      <c r="D383" s="154"/>
      <c r="E383" s="154"/>
      <c r="F383" s="154"/>
      <c r="G383" s="154"/>
      <c r="H383" s="154"/>
      <c r="I383" s="154"/>
      <c r="J383" s="217"/>
      <c r="K383" s="218"/>
      <c r="L383" s="154"/>
      <c r="M383" s="154"/>
      <c r="N383" s="154"/>
      <c r="O383" s="154"/>
      <c r="P383" s="154"/>
      <c r="Q383" s="154"/>
      <c r="R383" s="154"/>
      <c r="S383" s="154"/>
      <c r="T383" s="154"/>
      <c r="U383" s="154"/>
      <c r="V383" s="154"/>
      <c r="W383" s="154"/>
      <c r="X383" s="154"/>
      <c r="Y383" s="154"/>
      <c r="Z383" s="154"/>
    </row>
    <row r="384" spans="1:26" ht="12" customHeight="1">
      <c r="A384" s="220"/>
      <c r="B384" s="154"/>
      <c r="C384" s="154"/>
      <c r="D384" s="154"/>
      <c r="E384" s="154"/>
      <c r="F384" s="154"/>
      <c r="G384" s="154"/>
      <c r="H384" s="154"/>
      <c r="I384" s="154"/>
      <c r="J384" s="217"/>
      <c r="K384" s="218"/>
      <c r="L384" s="154"/>
      <c r="M384" s="154"/>
      <c r="N384" s="154"/>
      <c r="O384" s="154"/>
      <c r="P384" s="154"/>
      <c r="Q384" s="154"/>
      <c r="R384" s="154"/>
      <c r="S384" s="154"/>
      <c r="T384" s="154"/>
      <c r="U384" s="154"/>
      <c r="V384" s="154"/>
      <c r="W384" s="154"/>
      <c r="X384" s="154"/>
      <c r="Y384" s="154"/>
      <c r="Z384" s="154"/>
    </row>
    <row r="385" spans="1:26" ht="12" customHeight="1">
      <c r="A385" s="220"/>
      <c r="B385" s="154"/>
      <c r="C385" s="154"/>
      <c r="D385" s="154"/>
      <c r="E385" s="154"/>
      <c r="F385" s="154"/>
      <c r="G385" s="154"/>
      <c r="H385" s="154"/>
      <c r="I385" s="154"/>
      <c r="J385" s="217"/>
      <c r="K385" s="218"/>
      <c r="L385" s="154"/>
      <c r="M385" s="154"/>
      <c r="N385" s="154"/>
      <c r="O385" s="154"/>
      <c r="P385" s="154"/>
      <c r="Q385" s="154"/>
      <c r="R385" s="154"/>
      <c r="S385" s="154"/>
      <c r="T385" s="154"/>
      <c r="U385" s="154"/>
      <c r="V385" s="154"/>
      <c r="W385" s="154"/>
      <c r="X385" s="154"/>
      <c r="Y385" s="154"/>
      <c r="Z385" s="154"/>
    </row>
    <row r="386" spans="1:26" ht="12" customHeight="1">
      <c r="A386" s="220"/>
      <c r="B386" s="154"/>
      <c r="C386" s="154"/>
      <c r="D386" s="154"/>
      <c r="E386" s="154"/>
      <c r="F386" s="154"/>
      <c r="G386" s="154"/>
      <c r="H386" s="154"/>
      <c r="I386" s="154"/>
      <c r="J386" s="217"/>
      <c r="K386" s="218"/>
      <c r="L386" s="154"/>
      <c r="M386" s="154"/>
      <c r="N386" s="154"/>
      <c r="O386" s="154"/>
      <c r="P386" s="154"/>
      <c r="Q386" s="154"/>
      <c r="R386" s="154"/>
      <c r="S386" s="154"/>
      <c r="T386" s="154"/>
      <c r="U386" s="154"/>
      <c r="V386" s="154"/>
      <c r="W386" s="154"/>
      <c r="X386" s="154"/>
      <c r="Y386" s="154"/>
      <c r="Z386" s="154"/>
    </row>
    <row r="387" spans="1:26" ht="12" customHeight="1">
      <c r="A387" s="220"/>
      <c r="B387" s="154"/>
      <c r="C387" s="154"/>
      <c r="D387" s="154"/>
      <c r="E387" s="154"/>
      <c r="F387" s="154"/>
      <c r="G387" s="154"/>
      <c r="H387" s="154"/>
      <c r="I387" s="154"/>
      <c r="J387" s="217"/>
      <c r="K387" s="218"/>
      <c r="L387" s="154"/>
      <c r="M387" s="154"/>
      <c r="N387" s="154"/>
      <c r="O387" s="154"/>
      <c r="P387" s="154"/>
      <c r="Q387" s="154"/>
      <c r="R387" s="154"/>
      <c r="S387" s="154"/>
      <c r="T387" s="154"/>
      <c r="U387" s="154"/>
      <c r="V387" s="154"/>
      <c r="W387" s="154"/>
      <c r="X387" s="154"/>
      <c r="Y387" s="154"/>
      <c r="Z387" s="154"/>
    </row>
    <row r="388" spans="1:26" ht="12" customHeight="1">
      <c r="A388" s="220"/>
      <c r="B388" s="154"/>
      <c r="C388" s="154"/>
      <c r="D388" s="154"/>
      <c r="E388" s="154"/>
      <c r="F388" s="154"/>
      <c r="G388" s="154"/>
      <c r="H388" s="154"/>
      <c r="I388" s="154"/>
      <c r="J388" s="217"/>
      <c r="K388" s="218"/>
      <c r="L388" s="154"/>
      <c r="M388" s="154"/>
      <c r="N388" s="154"/>
      <c r="O388" s="154"/>
      <c r="P388" s="154"/>
      <c r="Q388" s="154"/>
      <c r="R388" s="154"/>
      <c r="S388" s="154"/>
      <c r="T388" s="154"/>
      <c r="U388" s="154"/>
      <c r="V388" s="154"/>
      <c r="W388" s="154"/>
      <c r="X388" s="154"/>
      <c r="Y388" s="154"/>
      <c r="Z388" s="154"/>
    </row>
    <row r="389" spans="1:26" ht="12" customHeight="1">
      <c r="A389" s="220"/>
      <c r="B389" s="154"/>
      <c r="C389" s="154"/>
      <c r="D389" s="154"/>
      <c r="E389" s="154"/>
      <c r="F389" s="154"/>
      <c r="G389" s="154"/>
      <c r="H389" s="154"/>
      <c r="I389" s="154"/>
      <c r="J389" s="217"/>
      <c r="K389" s="218"/>
      <c r="L389" s="154"/>
      <c r="M389" s="154"/>
      <c r="N389" s="154"/>
      <c r="O389" s="154"/>
      <c r="P389" s="154"/>
      <c r="Q389" s="154"/>
      <c r="R389" s="154"/>
      <c r="S389" s="154"/>
      <c r="T389" s="154"/>
      <c r="U389" s="154"/>
      <c r="V389" s="154"/>
      <c r="W389" s="154"/>
      <c r="X389" s="154"/>
      <c r="Y389" s="154"/>
      <c r="Z389" s="154"/>
    </row>
    <row r="390" spans="1:26" ht="12" customHeight="1">
      <c r="A390" s="220"/>
      <c r="B390" s="154"/>
      <c r="C390" s="154"/>
      <c r="D390" s="154"/>
      <c r="E390" s="154"/>
      <c r="F390" s="154"/>
      <c r="G390" s="154"/>
      <c r="H390" s="154"/>
      <c r="I390" s="154"/>
      <c r="J390" s="217"/>
      <c r="K390" s="218"/>
      <c r="L390" s="154"/>
      <c r="M390" s="154"/>
      <c r="N390" s="154"/>
      <c r="O390" s="154"/>
      <c r="P390" s="154"/>
      <c r="Q390" s="154"/>
      <c r="R390" s="154"/>
      <c r="S390" s="154"/>
      <c r="T390" s="154"/>
      <c r="U390" s="154"/>
      <c r="V390" s="154"/>
      <c r="W390" s="154"/>
      <c r="X390" s="154"/>
      <c r="Y390" s="154"/>
      <c r="Z390" s="154"/>
    </row>
    <row r="391" spans="1:26" ht="12" customHeight="1">
      <c r="A391" s="220"/>
      <c r="B391" s="154"/>
      <c r="C391" s="154"/>
      <c r="D391" s="154"/>
      <c r="E391" s="154"/>
      <c r="F391" s="154"/>
      <c r="G391" s="154"/>
      <c r="H391" s="154"/>
      <c r="I391" s="154"/>
      <c r="J391" s="217"/>
      <c r="K391" s="218"/>
      <c r="L391" s="154"/>
      <c r="M391" s="154"/>
      <c r="N391" s="154"/>
      <c r="O391" s="154"/>
      <c r="P391" s="154"/>
      <c r="Q391" s="154"/>
      <c r="R391" s="154"/>
      <c r="S391" s="154"/>
      <c r="T391" s="154"/>
      <c r="U391" s="154"/>
      <c r="V391" s="154"/>
      <c r="W391" s="154"/>
      <c r="X391" s="154"/>
      <c r="Y391" s="154"/>
      <c r="Z391" s="154"/>
    </row>
    <row r="392" spans="1:26" ht="12" customHeight="1">
      <c r="A392" s="220"/>
      <c r="B392" s="154"/>
      <c r="C392" s="154"/>
      <c r="D392" s="154"/>
      <c r="E392" s="154"/>
      <c r="F392" s="154"/>
      <c r="G392" s="154"/>
      <c r="H392" s="154"/>
      <c r="I392" s="154"/>
      <c r="J392" s="217"/>
      <c r="K392" s="218"/>
      <c r="L392" s="154"/>
      <c r="M392" s="154"/>
      <c r="N392" s="154"/>
      <c r="O392" s="154"/>
      <c r="P392" s="154"/>
      <c r="Q392" s="154"/>
      <c r="R392" s="154"/>
      <c r="S392" s="154"/>
      <c r="T392" s="154"/>
      <c r="U392" s="154"/>
      <c r="V392" s="154"/>
      <c r="W392" s="154"/>
      <c r="X392" s="154"/>
      <c r="Y392" s="154"/>
      <c r="Z392" s="154"/>
    </row>
    <row r="393" spans="1:26" ht="12" customHeight="1">
      <c r="A393" s="220"/>
      <c r="B393" s="154"/>
      <c r="C393" s="154"/>
      <c r="D393" s="154"/>
      <c r="E393" s="154"/>
      <c r="F393" s="154"/>
      <c r="G393" s="154"/>
      <c r="H393" s="154"/>
      <c r="I393" s="154"/>
      <c r="J393" s="217"/>
      <c r="K393" s="218"/>
      <c r="L393" s="154"/>
      <c r="M393" s="154"/>
      <c r="N393" s="154"/>
      <c r="O393" s="154"/>
      <c r="P393" s="154"/>
      <c r="Q393" s="154"/>
      <c r="R393" s="154"/>
      <c r="S393" s="154"/>
      <c r="T393" s="154"/>
      <c r="U393" s="154"/>
      <c r="V393" s="154"/>
      <c r="W393" s="154"/>
      <c r="X393" s="154"/>
      <c r="Y393" s="154"/>
      <c r="Z393" s="154"/>
    </row>
    <row r="394" spans="1:26" ht="12" customHeight="1">
      <c r="A394" s="220"/>
      <c r="B394" s="154"/>
      <c r="C394" s="154"/>
      <c r="D394" s="154"/>
      <c r="E394" s="154"/>
      <c r="F394" s="154"/>
      <c r="G394" s="154"/>
      <c r="H394" s="154"/>
      <c r="I394" s="154"/>
      <c r="J394" s="217"/>
      <c r="K394" s="218"/>
      <c r="L394" s="154"/>
      <c r="M394" s="154"/>
      <c r="N394" s="154"/>
      <c r="O394" s="154"/>
      <c r="P394" s="154"/>
      <c r="Q394" s="154"/>
      <c r="R394" s="154"/>
      <c r="S394" s="154"/>
      <c r="T394" s="154"/>
      <c r="U394" s="154"/>
      <c r="V394" s="154"/>
      <c r="W394" s="154"/>
      <c r="X394" s="154"/>
      <c r="Y394" s="154"/>
      <c r="Z394" s="154"/>
    </row>
    <row r="395" spans="1:26" ht="12" customHeight="1">
      <c r="A395" s="220"/>
      <c r="B395" s="154"/>
      <c r="C395" s="154"/>
      <c r="D395" s="154"/>
      <c r="E395" s="154"/>
      <c r="F395" s="154"/>
      <c r="G395" s="154"/>
      <c r="H395" s="154"/>
      <c r="I395" s="154"/>
      <c r="J395" s="217"/>
      <c r="K395" s="218"/>
      <c r="L395" s="154"/>
      <c r="M395" s="154"/>
      <c r="N395" s="154"/>
      <c r="O395" s="154"/>
      <c r="P395" s="154"/>
      <c r="Q395" s="154"/>
      <c r="R395" s="154"/>
      <c r="S395" s="154"/>
      <c r="T395" s="154"/>
      <c r="U395" s="154"/>
      <c r="V395" s="154"/>
      <c r="W395" s="154"/>
      <c r="X395" s="154"/>
      <c r="Y395" s="154"/>
      <c r="Z395" s="154"/>
    </row>
    <row r="396" spans="1:26" ht="12" customHeight="1">
      <c r="A396" s="220"/>
      <c r="B396" s="154"/>
      <c r="C396" s="154"/>
      <c r="D396" s="154"/>
      <c r="E396" s="154"/>
      <c r="F396" s="154"/>
      <c r="G396" s="154"/>
      <c r="H396" s="154"/>
      <c r="I396" s="154"/>
      <c r="J396" s="217"/>
      <c r="K396" s="218"/>
      <c r="L396" s="154"/>
      <c r="M396" s="154"/>
      <c r="N396" s="154"/>
      <c r="O396" s="154"/>
      <c r="P396" s="154"/>
      <c r="Q396" s="154"/>
      <c r="R396" s="154"/>
      <c r="S396" s="154"/>
      <c r="T396" s="154"/>
      <c r="U396" s="154"/>
      <c r="V396" s="154"/>
      <c r="W396" s="154"/>
      <c r="X396" s="154"/>
      <c r="Y396" s="154"/>
      <c r="Z396" s="154"/>
    </row>
    <row r="397" spans="1:26" ht="12" customHeight="1">
      <c r="A397" s="220"/>
      <c r="B397" s="154"/>
      <c r="C397" s="154"/>
      <c r="D397" s="154"/>
      <c r="E397" s="154"/>
      <c r="F397" s="154"/>
      <c r="G397" s="154"/>
      <c r="H397" s="154"/>
      <c r="I397" s="154"/>
      <c r="J397" s="217"/>
      <c r="K397" s="218"/>
      <c r="L397" s="154"/>
      <c r="M397" s="154"/>
      <c r="N397" s="154"/>
      <c r="O397" s="154"/>
      <c r="P397" s="154"/>
      <c r="Q397" s="154"/>
      <c r="R397" s="154"/>
      <c r="S397" s="154"/>
      <c r="T397" s="154"/>
      <c r="U397" s="154"/>
      <c r="V397" s="154"/>
      <c r="W397" s="154"/>
      <c r="X397" s="154"/>
      <c r="Y397" s="154"/>
      <c r="Z397" s="154"/>
    </row>
    <row r="398" spans="1:26" ht="12" customHeight="1">
      <c r="A398" s="220"/>
      <c r="B398" s="154"/>
      <c r="C398" s="154"/>
      <c r="D398" s="154"/>
      <c r="E398" s="154"/>
      <c r="F398" s="154"/>
      <c r="G398" s="154"/>
      <c r="H398" s="154"/>
      <c r="I398" s="154"/>
      <c r="J398" s="217"/>
      <c r="K398" s="218"/>
      <c r="L398" s="154"/>
      <c r="M398" s="154"/>
      <c r="N398" s="154"/>
      <c r="O398" s="154"/>
      <c r="P398" s="154"/>
      <c r="Q398" s="154"/>
      <c r="R398" s="154"/>
      <c r="S398" s="154"/>
      <c r="T398" s="154"/>
      <c r="U398" s="154"/>
      <c r="V398" s="154"/>
      <c r="W398" s="154"/>
      <c r="X398" s="154"/>
      <c r="Y398" s="154"/>
      <c r="Z398" s="154"/>
    </row>
    <row r="399" spans="1:26" ht="12" customHeight="1">
      <c r="A399" s="220"/>
      <c r="B399" s="154"/>
      <c r="C399" s="154"/>
      <c r="D399" s="154"/>
      <c r="E399" s="154"/>
      <c r="F399" s="154"/>
      <c r="G399" s="154"/>
      <c r="H399" s="154"/>
      <c r="I399" s="154"/>
      <c r="J399" s="217"/>
      <c r="K399" s="218"/>
      <c r="L399" s="154"/>
      <c r="M399" s="154"/>
      <c r="N399" s="154"/>
      <c r="O399" s="154"/>
      <c r="P399" s="154"/>
      <c r="Q399" s="154"/>
      <c r="R399" s="154"/>
      <c r="S399" s="154"/>
      <c r="T399" s="154"/>
      <c r="U399" s="154"/>
      <c r="V399" s="154"/>
      <c r="W399" s="154"/>
      <c r="X399" s="154"/>
      <c r="Y399" s="154"/>
      <c r="Z399" s="154"/>
    </row>
    <row r="400" spans="1:26" ht="12" customHeight="1">
      <c r="A400" s="220"/>
      <c r="B400" s="154"/>
      <c r="C400" s="154"/>
      <c r="D400" s="154"/>
      <c r="E400" s="154"/>
      <c r="F400" s="154"/>
      <c r="G400" s="154"/>
      <c r="H400" s="154"/>
      <c r="I400" s="154"/>
      <c r="J400" s="217"/>
      <c r="K400" s="218"/>
      <c r="L400" s="154"/>
      <c r="M400" s="154"/>
      <c r="N400" s="154"/>
      <c r="O400" s="154"/>
      <c r="P400" s="154"/>
      <c r="Q400" s="154"/>
      <c r="R400" s="154"/>
      <c r="S400" s="154"/>
      <c r="T400" s="154"/>
      <c r="U400" s="154"/>
      <c r="V400" s="154"/>
      <c r="W400" s="154"/>
      <c r="X400" s="154"/>
      <c r="Y400" s="154"/>
      <c r="Z400" s="154"/>
    </row>
    <row r="401" spans="1:26" ht="12" customHeight="1">
      <c r="A401" s="220"/>
      <c r="B401" s="154"/>
      <c r="C401" s="154"/>
      <c r="D401" s="154"/>
      <c r="E401" s="154"/>
      <c r="F401" s="154"/>
      <c r="G401" s="154"/>
      <c r="H401" s="154"/>
      <c r="I401" s="154"/>
      <c r="J401" s="217"/>
      <c r="K401" s="218"/>
      <c r="L401" s="154"/>
      <c r="M401" s="154"/>
      <c r="N401" s="154"/>
      <c r="O401" s="154"/>
      <c r="P401" s="154"/>
      <c r="Q401" s="154"/>
      <c r="R401" s="154"/>
      <c r="S401" s="154"/>
      <c r="T401" s="154"/>
      <c r="U401" s="154"/>
      <c r="V401" s="154"/>
      <c r="W401" s="154"/>
      <c r="X401" s="154"/>
      <c r="Y401" s="154"/>
      <c r="Z401" s="154"/>
    </row>
    <row r="402" spans="1:26" ht="12" customHeight="1">
      <c r="A402" s="220"/>
      <c r="B402" s="154"/>
      <c r="C402" s="154"/>
      <c r="D402" s="154"/>
      <c r="E402" s="154"/>
      <c r="F402" s="154"/>
      <c r="G402" s="154"/>
      <c r="H402" s="154"/>
      <c r="I402" s="154"/>
      <c r="J402" s="217"/>
      <c r="K402" s="218"/>
      <c r="L402" s="154"/>
      <c r="M402" s="154"/>
      <c r="N402" s="154"/>
      <c r="O402" s="154"/>
      <c r="P402" s="154"/>
      <c r="Q402" s="154"/>
      <c r="R402" s="154"/>
      <c r="S402" s="154"/>
      <c r="T402" s="154"/>
      <c r="U402" s="154"/>
      <c r="V402" s="154"/>
      <c r="W402" s="154"/>
      <c r="X402" s="154"/>
      <c r="Y402" s="154"/>
      <c r="Z402" s="154"/>
    </row>
    <row r="403" spans="1:26" ht="12" customHeight="1">
      <c r="A403" s="220"/>
      <c r="B403" s="154"/>
      <c r="C403" s="154"/>
      <c r="D403" s="154"/>
      <c r="E403" s="154"/>
      <c r="F403" s="154"/>
      <c r="G403" s="154"/>
      <c r="H403" s="154"/>
      <c r="I403" s="154"/>
      <c r="J403" s="217"/>
      <c r="K403" s="218"/>
      <c r="L403" s="154"/>
      <c r="M403" s="154"/>
      <c r="N403" s="154"/>
      <c r="O403" s="154"/>
      <c r="P403" s="154"/>
      <c r="Q403" s="154"/>
      <c r="R403" s="154"/>
      <c r="S403" s="154"/>
      <c r="T403" s="154"/>
      <c r="U403" s="154"/>
      <c r="V403" s="154"/>
      <c r="W403" s="154"/>
      <c r="X403" s="154"/>
      <c r="Y403" s="154"/>
      <c r="Z403" s="154"/>
    </row>
    <row r="404" spans="1:26" ht="12" customHeight="1">
      <c r="A404" s="220"/>
      <c r="B404" s="154"/>
      <c r="C404" s="154"/>
      <c r="D404" s="154"/>
      <c r="E404" s="154"/>
      <c r="F404" s="154"/>
      <c r="G404" s="154"/>
      <c r="H404" s="154"/>
      <c r="I404" s="154"/>
      <c r="J404" s="217"/>
      <c r="K404" s="218"/>
      <c r="L404" s="154"/>
      <c r="M404" s="154"/>
      <c r="N404" s="154"/>
      <c r="O404" s="154"/>
      <c r="P404" s="154"/>
      <c r="Q404" s="154"/>
      <c r="R404" s="154"/>
      <c r="S404" s="154"/>
      <c r="T404" s="154"/>
      <c r="U404" s="154"/>
      <c r="V404" s="154"/>
      <c r="W404" s="154"/>
      <c r="X404" s="154"/>
      <c r="Y404" s="154"/>
      <c r="Z404" s="154"/>
    </row>
    <row r="405" spans="1:26" ht="12" customHeight="1">
      <c r="A405" s="220"/>
      <c r="B405" s="154"/>
      <c r="C405" s="154"/>
      <c r="D405" s="154"/>
      <c r="E405" s="154"/>
      <c r="F405" s="154"/>
      <c r="G405" s="154"/>
      <c r="H405" s="154"/>
      <c r="I405" s="154"/>
      <c r="J405" s="217"/>
      <c r="K405" s="218"/>
      <c r="L405" s="154"/>
      <c r="M405" s="154"/>
      <c r="N405" s="154"/>
      <c r="O405" s="154"/>
      <c r="P405" s="154"/>
      <c r="Q405" s="154"/>
      <c r="R405" s="154"/>
      <c r="S405" s="154"/>
      <c r="T405" s="154"/>
      <c r="U405" s="154"/>
      <c r="V405" s="154"/>
      <c r="W405" s="154"/>
      <c r="X405" s="154"/>
      <c r="Y405" s="154"/>
      <c r="Z405" s="154"/>
    </row>
    <row r="406" spans="1:26" ht="12" customHeight="1">
      <c r="A406" s="220"/>
      <c r="B406" s="154"/>
      <c r="C406" s="154"/>
      <c r="D406" s="154"/>
      <c r="E406" s="154"/>
      <c r="F406" s="154"/>
      <c r="G406" s="154"/>
      <c r="H406" s="154"/>
      <c r="I406" s="154"/>
      <c r="J406" s="217"/>
      <c r="K406" s="218"/>
      <c r="L406" s="154"/>
      <c r="M406" s="154"/>
      <c r="N406" s="154"/>
      <c r="O406" s="154"/>
      <c r="P406" s="154"/>
      <c r="Q406" s="154"/>
      <c r="R406" s="154"/>
      <c r="S406" s="154"/>
      <c r="T406" s="154"/>
      <c r="U406" s="154"/>
      <c r="V406" s="154"/>
      <c r="W406" s="154"/>
      <c r="X406" s="154"/>
      <c r="Y406" s="154"/>
      <c r="Z406" s="154"/>
    </row>
    <row r="407" spans="1:26" ht="12" customHeight="1">
      <c r="A407" s="220"/>
      <c r="B407" s="154"/>
      <c r="C407" s="154"/>
      <c r="D407" s="154"/>
      <c r="E407" s="154"/>
      <c r="F407" s="154"/>
      <c r="G407" s="154"/>
      <c r="H407" s="154"/>
      <c r="I407" s="154"/>
      <c r="J407" s="217"/>
      <c r="K407" s="218"/>
      <c r="L407" s="154"/>
      <c r="M407" s="154"/>
      <c r="N407" s="154"/>
      <c r="O407" s="154"/>
      <c r="P407" s="154"/>
      <c r="Q407" s="154"/>
      <c r="R407" s="154"/>
      <c r="S407" s="154"/>
      <c r="T407" s="154"/>
      <c r="U407" s="154"/>
      <c r="V407" s="154"/>
      <c r="W407" s="154"/>
      <c r="X407" s="154"/>
      <c r="Y407" s="154"/>
      <c r="Z407" s="154"/>
    </row>
    <row r="408" spans="1:26" ht="12" customHeight="1">
      <c r="A408" s="220"/>
      <c r="B408" s="154"/>
      <c r="C408" s="154"/>
      <c r="D408" s="154"/>
      <c r="E408" s="154"/>
      <c r="F408" s="154"/>
      <c r="G408" s="154"/>
      <c r="H408" s="154"/>
      <c r="I408" s="154"/>
      <c r="J408" s="217"/>
      <c r="K408" s="218"/>
      <c r="L408" s="154"/>
      <c r="M408" s="154"/>
      <c r="N408" s="154"/>
      <c r="O408" s="154"/>
      <c r="P408" s="154"/>
      <c r="Q408" s="154"/>
      <c r="R408" s="154"/>
      <c r="S408" s="154"/>
      <c r="T408" s="154"/>
      <c r="U408" s="154"/>
      <c r="V408" s="154"/>
      <c r="W408" s="154"/>
      <c r="X408" s="154"/>
      <c r="Y408" s="154"/>
      <c r="Z408" s="154"/>
    </row>
    <row r="409" spans="1:26" ht="12" customHeight="1">
      <c r="A409" s="220"/>
      <c r="B409" s="154"/>
      <c r="C409" s="154"/>
      <c r="D409" s="154"/>
      <c r="E409" s="154"/>
      <c r="F409" s="154"/>
      <c r="G409" s="154"/>
      <c r="H409" s="154"/>
      <c r="I409" s="154"/>
      <c r="J409" s="217"/>
      <c r="K409" s="218"/>
      <c r="L409" s="154"/>
      <c r="M409" s="154"/>
      <c r="N409" s="154"/>
      <c r="O409" s="154"/>
      <c r="P409" s="154"/>
      <c r="Q409" s="154"/>
      <c r="R409" s="154"/>
      <c r="S409" s="154"/>
      <c r="T409" s="154"/>
      <c r="U409" s="154"/>
      <c r="V409" s="154"/>
      <c r="W409" s="154"/>
      <c r="X409" s="154"/>
      <c r="Y409" s="154"/>
      <c r="Z409" s="154"/>
    </row>
    <row r="410" spans="1:26" ht="12" customHeight="1">
      <c r="A410" s="220"/>
      <c r="B410" s="154"/>
      <c r="C410" s="154"/>
      <c r="D410" s="154"/>
      <c r="E410" s="154"/>
      <c r="F410" s="154"/>
      <c r="G410" s="154"/>
      <c r="H410" s="154"/>
      <c r="I410" s="154"/>
      <c r="J410" s="217"/>
      <c r="K410" s="218"/>
      <c r="L410" s="154"/>
      <c r="M410" s="154"/>
      <c r="N410" s="154"/>
      <c r="O410" s="154"/>
      <c r="P410" s="154"/>
      <c r="Q410" s="154"/>
      <c r="R410" s="154"/>
      <c r="S410" s="154"/>
      <c r="T410" s="154"/>
      <c r="U410" s="154"/>
      <c r="V410" s="154"/>
      <c r="W410" s="154"/>
      <c r="X410" s="154"/>
      <c r="Y410" s="154"/>
      <c r="Z410" s="154"/>
    </row>
    <row r="411" spans="1:26" ht="12" customHeight="1">
      <c r="A411" s="220"/>
      <c r="B411" s="154"/>
      <c r="C411" s="154"/>
      <c r="D411" s="154"/>
      <c r="E411" s="154"/>
      <c r="F411" s="154"/>
      <c r="G411" s="154"/>
      <c r="H411" s="154"/>
      <c r="I411" s="154"/>
      <c r="J411" s="217"/>
      <c r="K411" s="218"/>
      <c r="L411" s="154"/>
      <c r="M411" s="154"/>
      <c r="N411" s="154"/>
      <c r="O411" s="154"/>
      <c r="P411" s="154"/>
      <c r="Q411" s="154"/>
      <c r="R411" s="154"/>
      <c r="S411" s="154"/>
      <c r="T411" s="154"/>
      <c r="U411" s="154"/>
      <c r="V411" s="154"/>
      <c r="W411" s="154"/>
      <c r="X411" s="154"/>
      <c r="Y411" s="154"/>
      <c r="Z411" s="154"/>
    </row>
    <row r="412" spans="1:26" ht="12" customHeight="1">
      <c r="A412" s="220"/>
      <c r="B412" s="154"/>
      <c r="C412" s="154"/>
      <c r="D412" s="154"/>
      <c r="E412" s="154"/>
      <c r="F412" s="154"/>
      <c r="G412" s="154"/>
      <c r="H412" s="154"/>
      <c r="I412" s="154"/>
      <c r="J412" s="217"/>
      <c r="K412" s="218"/>
      <c r="L412" s="154"/>
      <c r="M412" s="154"/>
      <c r="N412" s="154"/>
      <c r="O412" s="154"/>
      <c r="P412" s="154"/>
      <c r="Q412" s="154"/>
      <c r="R412" s="154"/>
      <c r="S412" s="154"/>
      <c r="T412" s="154"/>
      <c r="U412" s="154"/>
      <c r="V412" s="154"/>
      <c r="W412" s="154"/>
      <c r="X412" s="154"/>
      <c r="Y412" s="154"/>
      <c r="Z412" s="154"/>
    </row>
    <row r="413" spans="1:26" ht="12" customHeight="1">
      <c r="A413" s="220"/>
      <c r="B413" s="154"/>
      <c r="C413" s="154"/>
      <c r="D413" s="154"/>
      <c r="E413" s="154"/>
      <c r="F413" s="154"/>
      <c r="G413" s="154"/>
      <c r="H413" s="154"/>
      <c r="I413" s="154"/>
      <c r="J413" s="217"/>
      <c r="K413" s="218"/>
      <c r="L413" s="154"/>
      <c r="M413" s="154"/>
      <c r="N413" s="154"/>
      <c r="O413" s="154"/>
      <c r="P413" s="154"/>
      <c r="Q413" s="154"/>
      <c r="R413" s="154"/>
      <c r="S413" s="154"/>
      <c r="T413" s="154"/>
      <c r="U413" s="154"/>
      <c r="V413" s="154"/>
      <c r="W413" s="154"/>
      <c r="X413" s="154"/>
      <c r="Y413" s="154"/>
      <c r="Z413" s="154"/>
    </row>
    <row r="414" spans="1:26" ht="12" customHeight="1">
      <c r="A414" s="220"/>
      <c r="B414" s="154"/>
      <c r="C414" s="154"/>
      <c r="D414" s="154"/>
      <c r="E414" s="154"/>
      <c r="F414" s="154"/>
      <c r="G414" s="154"/>
      <c r="H414" s="154"/>
      <c r="I414" s="154"/>
      <c r="J414" s="217"/>
      <c r="K414" s="218"/>
      <c r="L414" s="154"/>
      <c r="M414" s="154"/>
      <c r="N414" s="154"/>
      <c r="O414" s="154"/>
      <c r="P414" s="154"/>
      <c r="Q414" s="154"/>
      <c r="R414" s="154"/>
      <c r="S414" s="154"/>
      <c r="T414" s="154"/>
      <c r="U414" s="154"/>
      <c r="V414" s="154"/>
      <c r="W414" s="154"/>
      <c r="X414" s="154"/>
      <c r="Y414" s="154"/>
      <c r="Z414" s="154"/>
    </row>
    <row r="415" spans="1:26" ht="12" customHeight="1">
      <c r="A415" s="220"/>
      <c r="B415" s="154"/>
      <c r="C415" s="154"/>
      <c r="D415" s="154"/>
      <c r="E415" s="154"/>
      <c r="F415" s="154"/>
      <c r="G415" s="154"/>
      <c r="H415" s="154"/>
      <c r="I415" s="154"/>
      <c r="J415" s="217"/>
      <c r="K415" s="218"/>
      <c r="L415" s="154"/>
      <c r="M415" s="154"/>
      <c r="N415" s="154"/>
      <c r="O415" s="154"/>
      <c r="P415" s="154"/>
      <c r="Q415" s="154"/>
      <c r="R415" s="154"/>
      <c r="S415" s="154"/>
      <c r="T415" s="154"/>
      <c r="U415" s="154"/>
      <c r="V415" s="154"/>
      <c r="W415" s="154"/>
      <c r="X415" s="154"/>
      <c r="Y415" s="154"/>
      <c r="Z415" s="154"/>
    </row>
    <row r="416" spans="1:26" ht="12" customHeight="1">
      <c r="A416" s="220"/>
      <c r="B416" s="154"/>
      <c r="C416" s="154"/>
      <c r="D416" s="154"/>
      <c r="E416" s="154"/>
      <c r="F416" s="154"/>
      <c r="G416" s="154"/>
      <c r="H416" s="154"/>
      <c r="I416" s="154"/>
      <c r="J416" s="217"/>
      <c r="K416" s="218"/>
      <c r="L416" s="154"/>
      <c r="M416" s="154"/>
      <c r="N416" s="154"/>
      <c r="O416" s="154"/>
      <c r="P416" s="154"/>
      <c r="Q416" s="154"/>
      <c r="R416" s="154"/>
      <c r="S416" s="154"/>
      <c r="T416" s="154"/>
      <c r="U416" s="154"/>
      <c r="V416" s="154"/>
      <c r="W416" s="154"/>
      <c r="X416" s="154"/>
      <c r="Y416" s="154"/>
      <c r="Z416" s="154"/>
    </row>
    <row r="417" spans="1:26" ht="12" customHeight="1">
      <c r="A417" s="220"/>
      <c r="B417" s="154"/>
      <c r="C417" s="154"/>
      <c r="D417" s="154"/>
      <c r="E417" s="154"/>
      <c r="F417" s="154"/>
      <c r="G417" s="154"/>
      <c r="H417" s="154"/>
      <c r="I417" s="154"/>
      <c r="J417" s="217"/>
      <c r="K417" s="218"/>
      <c r="L417" s="154"/>
      <c r="M417" s="154"/>
      <c r="N417" s="154"/>
      <c r="O417" s="154"/>
      <c r="P417" s="154"/>
      <c r="Q417" s="154"/>
      <c r="R417" s="154"/>
      <c r="S417" s="154"/>
      <c r="T417" s="154"/>
      <c r="U417" s="154"/>
      <c r="V417" s="154"/>
      <c r="W417" s="154"/>
      <c r="X417" s="154"/>
      <c r="Y417" s="154"/>
      <c r="Z417" s="154"/>
    </row>
    <row r="418" spans="1:26" ht="12" customHeight="1">
      <c r="A418" s="220"/>
      <c r="B418" s="154"/>
      <c r="C418" s="154"/>
      <c r="D418" s="154"/>
      <c r="E418" s="154"/>
      <c r="F418" s="154"/>
      <c r="G418" s="154"/>
      <c r="H418" s="154"/>
      <c r="I418" s="154"/>
      <c r="J418" s="217"/>
      <c r="K418" s="218"/>
      <c r="L418" s="154"/>
      <c r="M418" s="154"/>
      <c r="N418" s="154"/>
      <c r="O418" s="154"/>
      <c r="P418" s="154"/>
      <c r="Q418" s="154"/>
      <c r="R418" s="154"/>
      <c r="S418" s="154"/>
      <c r="T418" s="154"/>
      <c r="U418" s="154"/>
      <c r="V418" s="154"/>
      <c r="W418" s="154"/>
      <c r="X418" s="154"/>
      <c r="Y418" s="154"/>
      <c r="Z418" s="154"/>
    </row>
    <row r="419" spans="1:26" ht="12" customHeight="1">
      <c r="A419" s="220"/>
      <c r="B419" s="154"/>
      <c r="C419" s="154"/>
      <c r="D419" s="154"/>
      <c r="E419" s="154"/>
      <c r="F419" s="154"/>
      <c r="G419" s="154"/>
      <c r="H419" s="154"/>
      <c r="I419" s="154"/>
      <c r="J419" s="217"/>
      <c r="K419" s="218"/>
      <c r="L419" s="154"/>
      <c r="M419" s="154"/>
      <c r="N419" s="154"/>
      <c r="O419" s="154"/>
      <c r="P419" s="154"/>
      <c r="Q419" s="154"/>
      <c r="R419" s="154"/>
      <c r="S419" s="154"/>
      <c r="T419" s="154"/>
      <c r="U419" s="154"/>
      <c r="V419" s="154"/>
      <c r="W419" s="154"/>
      <c r="X419" s="154"/>
      <c r="Y419" s="154"/>
      <c r="Z419" s="154"/>
    </row>
    <row r="420" spans="1:26" ht="12" customHeight="1">
      <c r="A420" s="220"/>
      <c r="B420" s="154"/>
      <c r="C420" s="154"/>
      <c r="D420" s="154"/>
      <c r="E420" s="154"/>
      <c r="F420" s="154"/>
      <c r="G420" s="154"/>
      <c r="H420" s="154"/>
      <c r="I420" s="154"/>
      <c r="J420" s="217"/>
      <c r="K420" s="218"/>
      <c r="L420" s="154"/>
      <c r="M420" s="154"/>
      <c r="N420" s="154"/>
      <c r="O420" s="154"/>
      <c r="P420" s="154"/>
      <c r="Q420" s="154"/>
      <c r="R420" s="154"/>
      <c r="S420" s="154"/>
      <c r="T420" s="154"/>
      <c r="U420" s="154"/>
      <c r="V420" s="154"/>
      <c r="W420" s="154"/>
      <c r="X420" s="154"/>
      <c r="Y420" s="154"/>
      <c r="Z420" s="154"/>
    </row>
    <row r="421" spans="1:26" ht="12" customHeight="1">
      <c r="A421" s="220"/>
      <c r="B421" s="154"/>
      <c r="C421" s="154"/>
      <c r="D421" s="154"/>
      <c r="E421" s="154"/>
      <c r="F421" s="154"/>
      <c r="G421" s="154"/>
      <c r="H421" s="154"/>
      <c r="I421" s="154"/>
      <c r="J421" s="217"/>
      <c r="K421" s="218"/>
      <c r="L421" s="154"/>
      <c r="M421" s="154"/>
      <c r="N421" s="154"/>
      <c r="O421" s="154"/>
      <c r="P421" s="154"/>
      <c r="Q421" s="154"/>
      <c r="R421" s="154"/>
      <c r="S421" s="154"/>
      <c r="T421" s="154"/>
      <c r="U421" s="154"/>
      <c r="V421" s="154"/>
      <c r="W421" s="154"/>
      <c r="X421" s="154"/>
      <c r="Y421" s="154"/>
      <c r="Z421" s="154"/>
    </row>
    <row r="422" spans="1:26" ht="12" customHeight="1">
      <c r="A422" s="220"/>
      <c r="B422" s="154"/>
      <c r="C422" s="154"/>
      <c r="D422" s="154"/>
      <c r="E422" s="154"/>
      <c r="F422" s="154"/>
      <c r="G422" s="154"/>
      <c r="H422" s="154"/>
      <c r="I422" s="154"/>
      <c r="J422" s="217"/>
      <c r="K422" s="218"/>
      <c r="L422" s="154"/>
      <c r="M422" s="154"/>
      <c r="N422" s="154"/>
      <c r="O422" s="154"/>
      <c r="P422" s="154"/>
      <c r="Q422" s="154"/>
      <c r="R422" s="154"/>
      <c r="S422" s="154"/>
      <c r="T422" s="154"/>
      <c r="U422" s="154"/>
      <c r="V422" s="154"/>
      <c r="W422" s="154"/>
      <c r="X422" s="154"/>
      <c r="Y422" s="154"/>
      <c r="Z422" s="154"/>
    </row>
    <row r="423" spans="1:26" ht="12" customHeight="1">
      <c r="A423" s="220"/>
      <c r="B423" s="154"/>
      <c r="C423" s="154"/>
      <c r="D423" s="154"/>
      <c r="E423" s="154"/>
      <c r="F423" s="154"/>
      <c r="G423" s="154"/>
      <c r="H423" s="154"/>
      <c r="I423" s="154"/>
      <c r="J423" s="217"/>
      <c r="K423" s="218"/>
      <c r="L423" s="154"/>
      <c r="M423" s="154"/>
      <c r="N423" s="154"/>
      <c r="O423" s="154"/>
      <c r="P423" s="154"/>
      <c r="Q423" s="154"/>
      <c r="R423" s="154"/>
      <c r="S423" s="154"/>
      <c r="T423" s="154"/>
      <c r="U423" s="154"/>
      <c r="V423" s="154"/>
      <c r="W423" s="154"/>
      <c r="X423" s="154"/>
      <c r="Y423" s="154"/>
      <c r="Z423" s="154"/>
    </row>
    <row r="424" spans="1:26" ht="12" customHeight="1">
      <c r="A424" s="220"/>
      <c r="B424" s="154"/>
      <c r="C424" s="154"/>
      <c r="D424" s="154"/>
      <c r="E424" s="154"/>
      <c r="F424" s="154"/>
      <c r="G424" s="154"/>
      <c r="H424" s="154"/>
      <c r="I424" s="154"/>
      <c r="J424" s="217"/>
      <c r="K424" s="218"/>
      <c r="L424" s="154"/>
      <c r="M424" s="154"/>
      <c r="N424" s="154"/>
      <c r="O424" s="154"/>
      <c r="P424" s="154"/>
      <c r="Q424" s="154"/>
      <c r="R424" s="154"/>
      <c r="S424" s="154"/>
      <c r="T424" s="154"/>
      <c r="U424" s="154"/>
      <c r="V424" s="154"/>
      <c r="W424" s="154"/>
      <c r="X424" s="154"/>
      <c r="Y424" s="154"/>
      <c r="Z424" s="154"/>
    </row>
    <row r="425" spans="1:26" ht="12" customHeight="1">
      <c r="A425" s="220"/>
      <c r="B425" s="154"/>
      <c r="C425" s="154"/>
      <c r="D425" s="154"/>
      <c r="E425" s="154"/>
      <c r="F425" s="154"/>
      <c r="G425" s="154"/>
      <c r="H425" s="154"/>
      <c r="I425" s="154"/>
      <c r="J425" s="217"/>
      <c r="K425" s="218"/>
      <c r="L425" s="154"/>
      <c r="M425" s="154"/>
      <c r="N425" s="154"/>
      <c r="O425" s="154"/>
      <c r="P425" s="154"/>
      <c r="Q425" s="154"/>
      <c r="R425" s="154"/>
      <c r="S425" s="154"/>
      <c r="T425" s="154"/>
      <c r="U425" s="154"/>
      <c r="V425" s="154"/>
      <c r="W425" s="154"/>
      <c r="X425" s="154"/>
      <c r="Y425" s="154"/>
      <c r="Z425" s="154"/>
    </row>
    <row r="426" spans="1:26" ht="12" customHeight="1">
      <c r="A426" s="220"/>
      <c r="B426" s="154"/>
      <c r="C426" s="154"/>
      <c r="D426" s="154"/>
      <c r="E426" s="154"/>
      <c r="F426" s="154"/>
      <c r="G426" s="154"/>
      <c r="H426" s="154"/>
      <c r="I426" s="154"/>
      <c r="J426" s="217"/>
      <c r="K426" s="218"/>
      <c r="L426" s="154"/>
      <c r="M426" s="154"/>
      <c r="N426" s="154"/>
      <c r="O426" s="154"/>
      <c r="P426" s="154"/>
      <c r="Q426" s="154"/>
      <c r="R426" s="154"/>
      <c r="S426" s="154"/>
      <c r="T426" s="154"/>
      <c r="U426" s="154"/>
      <c r="V426" s="154"/>
      <c r="W426" s="154"/>
      <c r="X426" s="154"/>
      <c r="Y426" s="154"/>
      <c r="Z426" s="154"/>
    </row>
    <row r="427" spans="1:26" ht="12" customHeight="1">
      <c r="A427" s="220"/>
      <c r="B427" s="154"/>
      <c r="C427" s="154"/>
      <c r="D427" s="154"/>
      <c r="E427" s="154"/>
      <c r="F427" s="154"/>
      <c r="G427" s="154"/>
      <c r="H427" s="154"/>
      <c r="I427" s="154"/>
      <c r="J427" s="217"/>
      <c r="K427" s="218"/>
      <c r="L427" s="154"/>
      <c r="M427" s="154"/>
      <c r="N427" s="154"/>
      <c r="O427" s="154"/>
      <c r="P427" s="154"/>
      <c r="Q427" s="154"/>
      <c r="R427" s="154"/>
      <c r="S427" s="154"/>
      <c r="T427" s="154"/>
      <c r="U427" s="154"/>
      <c r="V427" s="154"/>
      <c r="W427" s="154"/>
      <c r="X427" s="154"/>
      <c r="Y427" s="154"/>
      <c r="Z427" s="154"/>
    </row>
    <row r="428" spans="1:26" ht="12" customHeight="1">
      <c r="A428" s="220"/>
      <c r="B428" s="154"/>
      <c r="C428" s="154"/>
      <c r="D428" s="154"/>
      <c r="E428" s="154"/>
      <c r="F428" s="154"/>
      <c r="G428" s="154"/>
      <c r="H428" s="154"/>
      <c r="I428" s="154"/>
      <c r="J428" s="217"/>
      <c r="K428" s="218"/>
      <c r="L428" s="154"/>
      <c r="M428" s="154"/>
      <c r="N428" s="154"/>
      <c r="O428" s="154"/>
      <c r="P428" s="154"/>
      <c r="Q428" s="154"/>
      <c r="R428" s="154"/>
      <c r="S428" s="154"/>
      <c r="T428" s="154"/>
      <c r="U428" s="154"/>
      <c r="V428" s="154"/>
      <c r="W428" s="154"/>
      <c r="X428" s="154"/>
      <c r="Y428" s="154"/>
      <c r="Z428" s="154"/>
    </row>
    <row r="429" spans="1:26" ht="12" customHeight="1">
      <c r="A429" s="220"/>
      <c r="B429" s="154"/>
      <c r="C429" s="154"/>
      <c r="D429" s="154"/>
      <c r="E429" s="154"/>
      <c r="F429" s="154"/>
      <c r="G429" s="154"/>
      <c r="H429" s="154"/>
      <c r="I429" s="154"/>
      <c r="J429" s="217"/>
      <c r="K429" s="218"/>
      <c r="L429" s="154"/>
      <c r="M429" s="154"/>
      <c r="N429" s="154"/>
      <c r="O429" s="154"/>
      <c r="P429" s="154"/>
      <c r="Q429" s="154"/>
      <c r="R429" s="154"/>
      <c r="S429" s="154"/>
      <c r="T429" s="154"/>
      <c r="U429" s="154"/>
      <c r="V429" s="154"/>
      <c r="W429" s="154"/>
      <c r="X429" s="154"/>
      <c r="Y429" s="154"/>
      <c r="Z429" s="154"/>
    </row>
    <row r="430" spans="1:26" ht="12" customHeight="1">
      <c r="A430" s="220"/>
      <c r="B430" s="154"/>
      <c r="C430" s="154"/>
      <c r="D430" s="154"/>
      <c r="E430" s="154"/>
      <c r="F430" s="154"/>
      <c r="G430" s="154"/>
      <c r="H430" s="154"/>
      <c r="I430" s="154"/>
      <c r="J430" s="217"/>
      <c r="K430" s="218"/>
      <c r="L430" s="154"/>
      <c r="M430" s="154"/>
      <c r="N430" s="154"/>
      <c r="O430" s="154"/>
      <c r="P430" s="154"/>
      <c r="Q430" s="154"/>
      <c r="R430" s="154"/>
      <c r="S430" s="154"/>
      <c r="T430" s="154"/>
      <c r="U430" s="154"/>
      <c r="V430" s="154"/>
      <c r="W430" s="154"/>
      <c r="X430" s="154"/>
      <c r="Y430" s="154"/>
      <c r="Z430" s="154"/>
    </row>
    <row r="431" spans="1:26" ht="12" customHeight="1">
      <c r="A431" s="220"/>
      <c r="B431" s="154"/>
      <c r="C431" s="154"/>
      <c r="D431" s="154"/>
      <c r="E431" s="154"/>
      <c r="F431" s="154"/>
      <c r="G431" s="154"/>
      <c r="H431" s="154"/>
      <c r="I431" s="154"/>
      <c r="J431" s="217"/>
      <c r="K431" s="218"/>
      <c r="L431" s="154"/>
      <c r="M431" s="154"/>
      <c r="N431" s="154"/>
      <c r="O431" s="154"/>
      <c r="P431" s="154"/>
      <c r="Q431" s="154"/>
      <c r="R431" s="154"/>
      <c r="S431" s="154"/>
      <c r="T431" s="154"/>
      <c r="U431" s="154"/>
      <c r="V431" s="154"/>
      <c r="W431" s="154"/>
      <c r="X431" s="154"/>
      <c r="Y431" s="154"/>
      <c r="Z431" s="154"/>
    </row>
    <row r="432" spans="1:26" ht="12" customHeight="1">
      <c r="A432" s="220"/>
      <c r="B432" s="154"/>
      <c r="C432" s="154"/>
      <c r="D432" s="154"/>
      <c r="E432" s="154"/>
      <c r="F432" s="154"/>
      <c r="G432" s="154"/>
      <c r="H432" s="154"/>
      <c r="I432" s="154"/>
      <c r="J432" s="217"/>
      <c r="K432" s="218"/>
      <c r="L432" s="154"/>
      <c r="M432" s="154"/>
      <c r="N432" s="154"/>
      <c r="O432" s="154"/>
      <c r="P432" s="154"/>
      <c r="Q432" s="154"/>
      <c r="R432" s="154"/>
      <c r="S432" s="154"/>
      <c r="T432" s="154"/>
      <c r="U432" s="154"/>
      <c r="V432" s="154"/>
      <c r="W432" s="154"/>
      <c r="X432" s="154"/>
      <c r="Y432" s="154"/>
      <c r="Z432" s="154"/>
    </row>
    <row r="433" spans="1:26" ht="12" customHeight="1">
      <c r="A433" s="220"/>
      <c r="B433" s="154"/>
      <c r="C433" s="154"/>
      <c r="D433" s="154"/>
      <c r="E433" s="154"/>
      <c r="F433" s="154"/>
      <c r="G433" s="154"/>
      <c r="H433" s="154"/>
      <c r="I433" s="154"/>
      <c r="J433" s="217"/>
      <c r="K433" s="218"/>
      <c r="L433" s="154"/>
      <c r="M433" s="154"/>
      <c r="N433" s="154"/>
      <c r="O433" s="154"/>
      <c r="P433" s="154"/>
      <c r="Q433" s="154"/>
      <c r="R433" s="154"/>
      <c r="S433" s="154"/>
      <c r="T433" s="154"/>
      <c r="U433" s="154"/>
      <c r="V433" s="154"/>
      <c r="W433" s="154"/>
      <c r="X433" s="154"/>
      <c r="Y433" s="154"/>
      <c r="Z433" s="154"/>
    </row>
    <row r="434" spans="1:26" ht="12" customHeight="1">
      <c r="A434" s="220"/>
      <c r="B434" s="154"/>
      <c r="C434" s="154"/>
      <c r="D434" s="154"/>
      <c r="E434" s="154"/>
      <c r="F434" s="154"/>
      <c r="G434" s="154"/>
      <c r="H434" s="154"/>
      <c r="I434" s="154"/>
      <c r="J434" s="217"/>
      <c r="K434" s="218"/>
      <c r="L434" s="154"/>
      <c r="M434" s="154"/>
      <c r="N434" s="154"/>
      <c r="O434" s="154"/>
      <c r="P434" s="154"/>
      <c r="Q434" s="154"/>
      <c r="R434" s="154"/>
      <c r="S434" s="154"/>
      <c r="T434" s="154"/>
      <c r="U434" s="154"/>
      <c r="V434" s="154"/>
      <c r="W434" s="154"/>
      <c r="X434" s="154"/>
      <c r="Y434" s="154"/>
      <c r="Z434" s="154"/>
    </row>
    <row r="435" spans="1:26" ht="12" customHeight="1">
      <c r="A435" s="220"/>
      <c r="B435" s="154"/>
      <c r="C435" s="154"/>
      <c r="D435" s="154"/>
      <c r="E435" s="154"/>
      <c r="F435" s="154"/>
      <c r="G435" s="154"/>
      <c r="H435" s="154"/>
      <c r="I435" s="154"/>
      <c r="J435" s="217"/>
      <c r="K435" s="218"/>
      <c r="L435" s="154"/>
      <c r="M435" s="154"/>
      <c r="N435" s="154"/>
      <c r="O435" s="154"/>
      <c r="P435" s="154"/>
      <c r="Q435" s="154"/>
      <c r="R435" s="154"/>
      <c r="S435" s="154"/>
      <c r="T435" s="154"/>
      <c r="U435" s="154"/>
      <c r="V435" s="154"/>
      <c r="W435" s="154"/>
      <c r="X435" s="154"/>
      <c r="Y435" s="154"/>
      <c r="Z435" s="154"/>
    </row>
    <row r="436" spans="1:26" ht="12" customHeight="1">
      <c r="A436" s="220"/>
      <c r="B436" s="154"/>
      <c r="C436" s="154"/>
      <c r="D436" s="154"/>
      <c r="E436" s="154"/>
      <c r="F436" s="154"/>
      <c r="G436" s="154"/>
      <c r="H436" s="154"/>
      <c r="I436" s="154"/>
      <c r="J436" s="217"/>
      <c r="K436" s="218"/>
      <c r="L436" s="154"/>
      <c r="M436" s="154"/>
      <c r="N436" s="154"/>
      <c r="O436" s="154"/>
      <c r="P436" s="154"/>
      <c r="Q436" s="154"/>
      <c r="R436" s="154"/>
      <c r="S436" s="154"/>
      <c r="T436" s="154"/>
      <c r="U436" s="154"/>
      <c r="V436" s="154"/>
      <c r="W436" s="154"/>
      <c r="X436" s="154"/>
      <c r="Y436" s="154"/>
      <c r="Z436" s="154"/>
    </row>
    <row r="437" spans="1:26" ht="12" customHeight="1">
      <c r="A437" s="220"/>
      <c r="B437" s="154"/>
      <c r="C437" s="154"/>
      <c r="D437" s="154"/>
      <c r="E437" s="154"/>
      <c r="F437" s="154"/>
      <c r="G437" s="154"/>
      <c r="H437" s="154"/>
      <c r="I437" s="154"/>
      <c r="J437" s="217"/>
      <c r="K437" s="218"/>
      <c r="L437" s="154"/>
      <c r="M437" s="154"/>
      <c r="N437" s="154"/>
      <c r="O437" s="154"/>
      <c r="P437" s="154"/>
      <c r="Q437" s="154"/>
      <c r="R437" s="154"/>
      <c r="S437" s="154"/>
      <c r="T437" s="154"/>
      <c r="U437" s="154"/>
      <c r="V437" s="154"/>
      <c r="W437" s="154"/>
      <c r="X437" s="154"/>
      <c r="Y437" s="154"/>
      <c r="Z437" s="154"/>
    </row>
    <row r="438" spans="1:26" ht="12" customHeight="1">
      <c r="A438" s="220"/>
      <c r="B438" s="154"/>
      <c r="C438" s="154"/>
      <c r="D438" s="154"/>
      <c r="E438" s="154"/>
      <c r="F438" s="154"/>
      <c r="G438" s="154"/>
      <c r="H438" s="154"/>
      <c r="I438" s="154"/>
      <c r="J438" s="217"/>
      <c r="K438" s="218"/>
      <c r="L438" s="154"/>
      <c r="M438" s="154"/>
      <c r="N438" s="154"/>
      <c r="O438" s="154"/>
      <c r="P438" s="154"/>
      <c r="Q438" s="154"/>
      <c r="R438" s="154"/>
      <c r="S438" s="154"/>
      <c r="T438" s="154"/>
      <c r="U438" s="154"/>
      <c r="V438" s="154"/>
      <c r="W438" s="154"/>
      <c r="X438" s="154"/>
      <c r="Y438" s="154"/>
      <c r="Z438" s="154"/>
    </row>
    <row r="439" spans="1:26" ht="12" customHeight="1">
      <c r="A439" s="220"/>
      <c r="B439" s="154"/>
      <c r="C439" s="154"/>
      <c r="D439" s="154"/>
      <c r="E439" s="154"/>
      <c r="F439" s="154"/>
      <c r="G439" s="154"/>
      <c r="H439" s="154"/>
      <c r="I439" s="154"/>
      <c r="J439" s="217"/>
      <c r="K439" s="218"/>
      <c r="L439" s="154"/>
      <c r="M439" s="154"/>
      <c r="N439" s="154"/>
      <c r="O439" s="154"/>
      <c r="P439" s="154"/>
      <c r="Q439" s="154"/>
      <c r="R439" s="154"/>
      <c r="S439" s="154"/>
      <c r="T439" s="154"/>
      <c r="U439" s="154"/>
      <c r="V439" s="154"/>
      <c r="W439" s="154"/>
      <c r="X439" s="154"/>
      <c r="Y439" s="154"/>
      <c r="Z439" s="154"/>
    </row>
    <row r="440" spans="1:26" ht="12" customHeight="1">
      <c r="A440" s="220"/>
      <c r="B440" s="154"/>
      <c r="C440" s="154"/>
      <c r="D440" s="154"/>
      <c r="E440" s="154"/>
      <c r="F440" s="154"/>
      <c r="G440" s="154"/>
      <c r="H440" s="154"/>
      <c r="I440" s="154"/>
      <c r="J440" s="217"/>
      <c r="K440" s="218"/>
      <c r="L440" s="154"/>
      <c r="M440" s="154"/>
      <c r="N440" s="154"/>
      <c r="O440" s="154"/>
      <c r="P440" s="154"/>
      <c r="Q440" s="154"/>
      <c r="R440" s="154"/>
      <c r="S440" s="154"/>
      <c r="T440" s="154"/>
      <c r="U440" s="154"/>
      <c r="V440" s="154"/>
      <c r="W440" s="154"/>
      <c r="X440" s="154"/>
      <c r="Y440" s="154"/>
      <c r="Z440" s="154"/>
    </row>
    <row r="441" spans="1:26" ht="12" customHeight="1">
      <c r="A441" s="220"/>
      <c r="B441" s="154"/>
      <c r="C441" s="154"/>
      <c r="D441" s="154"/>
      <c r="E441" s="154"/>
      <c r="F441" s="154"/>
      <c r="G441" s="154"/>
      <c r="H441" s="154"/>
      <c r="I441" s="154"/>
      <c r="J441" s="217"/>
      <c r="K441" s="218"/>
      <c r="L441" s="154"/>
      <c r="M441" s="154"/>
      <c r="N441" s="154"/>
      <c r="O441" s="154"/>
      <c r="P441" s="154"/>
      <c r="Q441" s="154"/>
      <c r="R441" s="154"/>
      <c r="S441" s="154"/>
      <c r="T441" s="154"/>
      <c r="U441" s="154"/>
      <c r="V441" s="154"/>
      <c r="W441" s="154"/>
      <c r="X441" s="154"/>
      <c r="Y441" s="154"/>
      <c r="Z441" s="154"/>
    </row>
    <row r="442" spans="1:26" ht="12" customHeight="1">
      <c r="A442" s="220"/>
      <c r="B442" s="154"/>
      <c r="C442" s="154"/>
      <c r="D442" s="154"/>
      <c r="E442" s="154"/>
      <c r="F442" s="154"/>
      <c r="G442" s="154"/>
      <c r="H442" s="154"/>
      <c r="I442" s="154"/>
      <c r="J442" s="217"/>
      <c r="K442" s="218"/>
      <c r="L442" s="154"/>
      <c r="M442" s="154"/>
      <c r="N442" s="154"/>
      <c r="O442" s="154"/>
      <c r="P442" s="154"/>
      <c r="Q442" s="154"/>
      <c r="R442" s="154"/>
      <c r="S442" s="154"/>
      <c r="T442" s="154"/>
      <c r="U442" s="154"/>
      <c r="V442" s="154"/>
      <c r="W442" s="154"/>
      <c r="X442" s="154"/>
      <c r="Y442" s="154"/>
      <c r="Z442" s="154"/>
    </row>
    <row r="443" spans="1:26" ht="12" customHeight="1">
      <c r="A443" s="220"/>
      <c r="B443" s="154"/>
      <c r="C443" s="154"/>
      <c r="D443" s="154"/>
      <c r="E443" s="154"/>
      <c r="F443" s="154"/>
      <c r="G443" s="154"/>
      <c r="H443" s="154"/>
      <c r="I443" s="154"/>
      <c r="J443" s="217"/>
      <c r="K443" s="218"/>
      <c r="L443" s="154"/>
      <c r="M443" s="154"/>
      <c r="N443" s="154"/>
      <c r="O443" s="154"/>
      <c r="P443" s="154"/>
      <c r="Q443" s="154"/>
      <c r="R443" s="154"/>
      <c r="S443" s="154"/>
      <c r="T443" s="154"/>
      <c r="U443" s="154"/>
      <c r="V443" s="154"/>
      <c r="W443" s="154"/>
      <c r="X443" s="154"/>
      <c r="Y443" s="154"/>
      <c r="Z443" s="154"/>
    </row>
    <row r="444" spans="1:26" ht="12" customHeight="1">
      <c r="A444" s="220"/>
      <c r="B444" s="154"/>
      <c r="C444" s="154"/>
      <c r="D444" s="154"/>
      <c r="E444" s="154"/>
      <c r="F444" s="154"/>
      <c r="G444" s="154"/>
      <c r="H444" s="154"/>
      <c r="I444" s="154"/>
      <c r="J444" s="217"/>
      <c r="K444" s="218"/>
      <c r="L444" s="154"/>
      <c r="M444" s="154"/>
      <c r="N444" s="154"/>
      <c r="O444" s="154"/>
      <c r="P444" s="154"/>
      <c r="Q444" s="154"/>
      <c r="R444" s="154"/>
      <c r="S444" s="154"/>
      <c r="T444" s="154"/>
      <c r="U444" s="154"/>
      <c r="V444" s="154"/>
      <c r="W444" s="154"/>
      <c r="X444" s="154"/>
      <c r="Y444" s="154"/>
      <c r="Z444" s="154"/>
    </row>
    <row r="445" spans="1:26" ht="12" customHeight="1">
      <c r="A445" s="220"/>
      <c r="B445" s="154"/>
      <c r="C445" s="154"/>
      <c r="D445" s="154"/>
      <c r="E445" s="154"/>
      <c r="F445" s="154"/>
      <c r="G445" s="154"/>
      <c r="H445" s="154"/>
      <c r="I445" s="154"/>
      <c r="J445" s="217"/>
      <c r="K445" s="218"/>
      <c r="L445" s="154"/>
      <c r="M445" s="154"/>
      <c r="N445" s="154"/>
      <c r="O445" s="154"/>
      <c r="P445" s="154"/>
      <c r="Q445" s="154"/>
      <c r="R445" s="154"/>
      <c r="S445" s="154"/>
      <c r="T445" s="154"/>
      <c r="U445" s="154"/>
      <c r="V445" s="154"/>
      <c r="W445" s="154"/>
      <c r="X445" s="154"/>
      <c r="Y445" s="154"/>
      <c r="Z445" s="154"/>
    </row>
    <row r="446" spans="1:26" ht="12" customHeight="1">
      <c r="A446" s="220"/>
      <c r="B446" s="154"/>
      <c r="C446" s="154"/>
      <c r="D446" s="154"/>
      <c r="E446" s="154"/>
      <c r="F446" s="154"/>
      <c r="G446" s="154"/>
      <c r="H446" s="154"/>
      <c r="I446" s="154"/>
      <c r="J446" s="217"/>
      <c r="K446" s="218"/>
      <c r="L446" s="154"/>
      <c r="M446" s="154"/>
      <c r="N446" s="154"/>
      <c r="O446" s="154"/>
      <c r="P446" s="154"/>
      <c r="Q446" s="154"/>
      <c r="R446" s="154"/>
      <c r="S446" s="154"/>
      <c r="T446" s="154"/>
      <c r="U446" s="154"/>
      <c r="V446" s="154"/>
      <c r="W446" s="154"/>
      <c r="X446" s="154"/>
      <c r="Y446" s="154"/>
      <c r="Z446" s="154"/>
    </row>
    <row r="447" spans="1:26" ht="12" customHeight="1">
      <c r="A447" s="220"/>
      <c r="B447" s="154"/>
      <c r="C447" s="154"/>
      <c r="D447" s="154"/>
      <c r="E447" s="154"/>
      <c r="F447" s="154"/>
      <c r="G447" s="154"/>
      <c r="H447" s="154"/>
      <c r="I447" s="154"/>
      <c r="J447" s="217"/>
      <c r="K447" s="218"/>
      <c r="L447" s="154"/>
      <c r="M447" s="154"/>
      <c r="N447" s="154"/>
      <c r="O447" s="154"/>
      <c r="P447" s="154"/>
      <c r="Q447" s="154"/>
      <c r="R447" s="154"/>
      <c r="S447" s="154"/>
      <c r="T447" s="154"/>
      <c r="U447" s="154"/>
      <c r="V447" s="154"/>
      <c r="W447" s="154"/>
      <c r="X447" s="154"/>
      <c r="Y447" s="154"/>
      <c r="Z447" s="154"/>
    </row>
    <row r="448" spans="1:26" ht="12" customHeight="1">
      <c r="A448" s="220"/>
      <c r="B448" s="154"/>
      <c r="C448" s="154"/>
      <c r="D448" s="154"/>
      <c r="E448" s="154"/>
      <c r="F448" s="154"/>
      <c r="G448" s="154"/>
      <c r="H448" s="154"/>
      <c r="I448" s="154"/>
      <c r="J448" s="217"/>
      <c r="K448" s="218"/>
      <c r="L448" s="154"/>
      <c r="M448" s="154"/>
      <c r="N448" s="154"/>
      <c r="O448" s="154"/>
      <c r="P448" s="154"/>
      <c r="Q448" s="154"/>
      <c r="R448" s="154"/>
      <c r="S448" s="154"/>
      <c r="T448" s="154"/>
      <c r="U448" s="154"/>
      <c r="V448" s="154"/>
      <c r="W448" s="154"/>
      <c r="X448" s="154"/>
      <c r="Y448" s="154"/>
      <c r="Z448" s="154"/>
    </row>
    <row r="449" spans="1:26" ht="12" customHeight="1">
      <c r="A449" s="220"/>
      <c r="B449" s="154"/>
      <c r="C449" s="154"/>
      <c r="D449" s="154"/>
      <c r="E449" s="154"/>
      <c r="F449" s="154"/>
      <c r="G449" s="154"/>
      <c r="H449" s="154"/>
      <c r="I449" s="154"/>
      <c r="J449" s="217"/>
      <c r="K449" s="218"/>
      <c r="L449" s="154"/>
      <c r="M449" s="154"/>
      <c r="N449" s="154"/>
      <c r="O449" s="154"/>
      <c r="P449" s="154"/>
      <c r="Q449" s="154"/>
      <c r="R449" s="154"/>
      <c r="S449" s="154"/>
      <c r="T449" s="154"/>
      <c r="U449" s="154"/>
      <c r="V449" s="154"/>
      <c r="W449" s="154"/>
      <c r="X449" s="154"/>
      <c r="Y449" s="154"/>
      <c r="Z449" s="154"/>
    </row>
    <row r="450" spans="1:26" ht="12" customHeight="1">
      <c r="A450" s="220"/>
      <c r="B450" s="154"/>
      <c r="C450" s="154"/>
      <c r="D450" s="154"/>
      <c r="E450" s="154"/>
      <c r="F450" s="154"/>
      <c r="G450" s="154"/>
      <c r="H450" s="154"/>
      <c r="I450" s="154"/>
      <c r="J450" s="217"/>
      <c r="K450" s="218"/>
      <c r="L450" s="154"/>
      <c r="M450" s="154"/>
      <c r="N450" s="154"/>
      <c r="O450" s="154"/>
      <c r="P450" s="154"/>
      <c r="Q450" s="154"/>
      <c r="R450" s="154"/>
      <c r="S450" s="154"/>
      <c r="T450" s="154"/>
      <c r="U450" s="154"/>
      <c r="V450" s="154"/>
      <c r="W450" s="154"/>
      <c r="X450" s="154"/>
      <c r="Y450" s="154"/>
      <c r="Z450" s="154"/>
    </row>
    <row r="451" spans="1:26" ht="12" customHeight="1">
      <c r="A451" s="220"/>
      <c r="B451" s="154"/>
      <c r="C451" s="154"/>
      <c r="D451" s="154"/>
      <c r="E451" s="154"/>
      <c r="F451" s="154"/>
      <c r="G451" s="154"/>
      <c r="H451" s="154"/>
      <c r="I451" s="154"/>
      <c r="J451" s="217"/>
      <c r="K451" s="218"/>
      <c r="L451" s="154"/>
      <c r="M451" s="154"/>
      <c r="N451" s="154"/>
      <c r="O451" s="154"/>
      <c r="P451" s="154"/>
      <c r="Q451" s="154"/>
      <c r="R451" s="154"/>
      <c r="S451" s="154"/>
      <c r="T451" s="154"/>
      <c r="U451" s="154"/>
      <c r="V451" s="154"/>
      <c r="W451" s="154"/>
      <c r="X451" s="154"/>
      <c r="Y451" s="154"/>
      <c r="Z451" s="154"/>
    </row>
    <row r="452" spans="1:26" ht="12" customHeight="1">
      <c r="A452" s="220"/>
      <c r="B452" s="154"/>
      <c r="C452" s="154"/>
      <c r="D452" s="154"/>
      <c r="E452" s="154"/>
      <c r="F452" s="154"/>
      <c r="G452" s="154"/>
      <c r="H452" s="154"/>
      <c r="I452" s="154"/>
      <c r="J452" s="217"/>
      <c r="K452" s="218"/>
      <c r="L452" s="154"/>
      <c r="M452" s="154"/>
      <c r="N452" s="154"/>
      <c r="O452" s="154"/>
      <c r="P452" s="154"/>
      <c r="Q452" s="154"/>
      <c r="R452" s="154"/>
      <c r="S452" s="154"/>
      <c r="T452" s="154"/>
      <c r="U452" s="154"/>
      <c r="V452" s="154"/>
      <c r="W452" s="154"/>
      <c r="X452" s="154"/>
      <c r="Y452" s="154"/>
      <c r="Z452" s="154"/>
    </row>
    <row r="453" spans="1:26" ht="12" customHeight="1">
      <c r="A453" s="220"/>
      <c r="B453" s="154"/>
      <c r="C453" s="154"/>
      <c r="D453" s="154"/>
      <c r="E453" s="154"/>
      <c r="F453" s="154"/>
      <c r="G453" s="154"/>
      <c r="H453" s="154"/>
      <c r="I453" s="154"/>
      <c r="J453" s="217"/>
      <c r="K453" s="218"/>
      <c r="L453" s="154"/>
      <c r="M453" s="154"/>
      <c r="N453" s="154"/>
      <c r="O453" s="154"/>
      <c r="P453" s="154"/>
      <c r="Q453" s="154"/>
      <c r="R453" s="154"/>
      <c r="S453" s="154"/>
      <c r="T453" s="154"/>
      <c r="U453" s="154"/>
      <c r="V453" s="154"/>
      <c r="W453" s="154"/>
      <c r="X453" s="154"/>
      <c r="Y453" s="154"/>
      <c r="Z453" s="154"/>
    </row>
    <row r="454" spans="1:26" ht="12" customHeight="1">
      <c r="A454" s="220"/>
      <c r="B454" s="154"/>
      <c r="C454" s="154"/>
      <c r="D454" s="154"/>
      <c r="E454" s="154"/>
      <c r="F454" s="154"/>
      <c r="G454" s="154"/>
      <c r="H454" s="154"/>
      <c r="I454" s="154"/>
      <c r="J454" s="217"/>
      <c r="K454" s="218"/>
      <c r="L454" s="154"/>
      <c r="M454" s="154"/>
      <c r="N454" s="154"/>
      <c r="O454" s="154"/>
      <c r="P454" s="154"/>
      <c r="Q454" s="154"/>
      <c r="R454" s="154"/>
      <c r="S454" s="154"/>
      <c r="T454" s="154"/>
      <c r="U454" s="154"/>
      <c r="V454" s="154"/>
      <c r="W454" s="154"/>
      <c r="X454" s="154"/>
      <c r="Y454" s="154"/>
      <c r="Z454" s="154"/>
    </row>
    <row r="455" spans="1:26" ht="12" customHeight="1">
      <c r="A455" s="220"/>
      <c r="B455" s="154"/>
      <c r="C455" s="154"/>
      <c r="D455" s="154"/>
      <c r="E455" s="154"/>
      <c r="F455" s="154"/>
      <c r="G455" s="154"/>
      <c r="H455" s="154"/>
      <c r="I455" s="154"/>
      <c r="J455" s="217"/>
      <c r="K455" s="218"/>
      <c r="L455" s="154"/>
      <c r="M455" s="154"/>
      <c r="N455" s="154"/>
      <c r="O455" s="154"/>
      <c r="P455" s="154"/>
      <c r="Q455" s="154"/>
      <c r="R455" s="154"/>
      <c r="S455" s="154"/>
      <c r="T455" s="154"/>
      <c r="U455" s="154"/>
      <c r="V455" s="154"/>
      <c r="W455" s="154"/>
      <c r="X455" s="154"/>
      <c r="Y455" s="154"/>
      <c r="Z455" s="154"/>
    </row>
    <row r="456" spans="1:26" ht="12" customHeight="1">
      <c r="A456" s="220"/>
      <c r="B456" s="154"/>
      <c r="C456" s="154"/>
      <c r="D456" s="154"/>
      <c r="E456" s="154"/>
      <c r="F456" s="154"/>
      <c r="G456" s="154"/>
      <c r="H456" s="154"/>
      <c r="I456" s="154"/>
      <c r="J456" s="217"/>
      <c r="K456" s="218"/>
      <c r="L456" s="154"/>
      <c r="M456" s="154"/>
      <c r="N456" s="154"/>
      <c r="O456" s="154"/>
      <c r="P456" s="154"/>
      <c r="Q456" s="154"/>
      <c r="R456" s="154"/>
      <c r="S456" s="154"/>
      <c r="T456" s="154"/>
      <c r="U456" s="154"/>
      <c r="V456" s="154"/>
      <c r="W456" s="154"/>
      <c r="X456" s="154"/>
      <c r="Y456" s="154"/>
      <c r="Z456" s="154"/>
    </row>
    <row r="457" spans="1:26" ht="12" customHeight="1">
      <c r="A457" s="220"/>
      <c r="B457" s="154"/>
      <c r="C457" s="154"/>
      <c r="D457" s="154"/>
      <c r="E457" s="154"/>
      <c r="F457" s="154"/>
      <c r="G457" s="154"/>
      <c r="H457" s="154"/>
      <c r="I457" s="154"/>
      <c r="J457" s="217"/>
      <c r="K457" s="218"/>
      <c r="L457" s="154"/>
      <c r="M457" s="154"/>
      <c r="N457" s="154"/>
      <c r="O457" s="154"/>
      <c r="P457" s="154"/>
      <c r="Q457" s="154"/>
      <c r="R457" s="154"/>
      <c r="S457" s="154"/>
      <c r="T457" s="154"/>
      <c r="U457" s="154"/>
      <c r="V457" s="154"/>
      <c r="W457" s="154"/>
      <c r="X457" s="154"/>
      <c r="Y457" s="154"/>
      <c r="Z457" s="154"/>
    </row>
    <row r="458" spans="1:26" ht="12" customHeight="1">
      <c r="A458" s="220"/>
      <c r="B458" s="154"/>
      <c r="C458" s="154"/>
      <c r="D458" s="154"/>
      <c r="E458" s="154"/>
      <c r="F458" s="154"/>
      <c r="G458" s="154"/>
      <c r="H458" s="154"/>
      <c r="I458" s="154"/>
      <c r="J458" s="217"/>
      <c r="K458" s="218"/>
      <c r="L458" s="154"/>
      <c r="M458" s="154"/>
      <c r="N458" s="154"/>
      <c r="O458" s="154"/>
      <c r="P458" s="154"/>
      <c r="Q458" s="154"/>
      <c r="R458" s="154"/>
      <c r="S458" s="154"/>
      <c r="T458" s="154"/>
      <c r="U458" s="154"/>
      <c r="V458" s="154"/>
      <c r="W458" s="154"/>
      <c r="X458" s="154"/>
      <c r="Y458" s="154"/>
      <c r="Z458" s="154"/>
    </row>
    <row r="459" spans="1:26" ht="12" customHeight="1">
      <c r="A459" s="220"/>
      <c r="B459" s="154"/>
      <c r="C459" s="154"/>
      <c r="D459" s="154"/>
      <c r="E459" s="154"/>
      <c r="F459" s="154"/>
      <c r="G459" s="154"/>
      <c r="H459" s="154"/>
      <c r="I459" s="154"/>
      <c r="J459" s="217"/>
      <c r="K459" s="218"/>
      <c r="L459" s="154"/>
      <c r="M459" s="154"/>
      <c r="N459" s="154"/>
      <c r="O459" s="154"/>
      <c r="P459" s="154"/>
      <c r="Q459" s="154"/>
      <c r="R459" s="154"/>
      <c r="S459" s="154"/>
      <c r="T459" s="154"/>
      <c r="U459" s="154"/>
      <c r="V459" s="154"/>
      <c r="W459" s="154"/>
      <c r="X459" s="154"/>
      <c r="Y459" s="154"/>
      <c r="Z459" s="154"/>
    </row>
    <row r="460" spans="1:26" ht="12" customHeight="1">
      <c r="A460" s="220"/>
      <c r="B460" s="154"/>
      <c r="C460" s="154"/>
      <c r="D460" s="154"/>
      <c r="E460" s="154"/>
      <c r="F460" s="154"/>
      <c r="G460" s="154"/>
      <c r="H460" s="154"/>
      <c r="I460" s="154"/>
      <c r="J460" s="217"/>
      <c r="K460" s="218"/>
      <c r="L460" s="154"/>
      <c r="M460" s="154"/>
      <c r="N460" s="154"/>
      <c r="O460" s="154"/>
      <c r="P460" s="154"/>
      <c r="Q460" s="154"/>
      <c r="R460" s="154"/>
      <c r="S460" s="154"/>
      <c r="T460" s="154"/>
      <c r="U460" s="154"/>
      <c r="V460" s="154"/>
      <c r="W460" s="154"/>
      <c r="X460" s="154"/>
      <c r="Y460" s="154"/>
      <c r="Z460" s="154"/>
    </row>
    <row r="461" spans="1:26" ht="12" customHeight="1">
      <c r="A461" s="220"/>
      <c r="B461" s="154"/>
      <c r="C461" s="154"/>
      <c r="D461" s="154"/>
      <c r="E461" s="154"/>
      <c r="F461" s="154"/>
      <c r="G461" s="154"/>
      <c r="H461" s="154"/>
      <c r="I461" s="154"/>
      <c r="J461" s="217"/>
      <c r="K461" s="218"/>
      <c r="L461" s="154"/>
      <c r="M461" s="154"/>
      <c r="N461" s="154"/>
      <c r="O461" s="154"/>
      <c r="P461" s="154"/>
      <c r="Q461" s="154"/>
      <c r="R461" s="154"/>
      <c r="S461" s="154"/>
      <c r="T461" s="154"/>
      <c r="U461" s="154"/>
      <c r="V461" s="154"/>
      <c r="W461" s="154"/>
      <c r="X461" s="154"/>
      <c r="Y461" s="154"/>
      <c r="Z461" s="154"/>
    </row>
    <row r="462" spans="1:26" ht="12" customHeight="1">
      <c r="A462" s="220"/>
      <c r="B462" s="154"/>
      <c r="C462" s="154"/>
      <c r="D462" s="154"/>
      <c r="E462" s="154"/>
      <c r="F462" s="154"/>
      <c r="G462" s="154"/>
      <c r="H462" s="154"/>
      <c r="I462" s="154"/>
      <c r="J462" s="217"/>
      <c r="K462" s="218"/>
      <c r="L462" s="154"/>
      <c r="M462" s="154"/>
      <c r="N462" s="154"/>
      <c r="O462" s="154"/>
      <c r="P462" s="154"/>
      <c r="Q462" s="154"/>
      <c r="R462" s="154"/>
      <c r="S462" s="154"/>
      <c r="T462" s="154"/>
      <c r="U462" s="154"/>
      <c r="V462" s="154"/>
      <c r="W462" s="154"/>
      <c r="X462" s="154"/>
      <c r="Y462" s="154"/>
      <c r="Z462" s="154"/>
    </row>
    <row r="463" spans="1:26" ht="12" customHeight="1">
      <c r="A463" s="220"/>
      <c r="B463" s="154"/>
      <c r="C463" s="154"/>
      <c r="D463" s="154"/>
      <c r="E463" s="154"/>
      <c r="F463" s="154"/>
      <c r="G463" s="154"/>
      <c r="H463" s="154"/>
      <c r="I463" s="154"/>
      <c r="J463" s="217"/>
      <c r="K463" s="218"/>
      <c r="L463" s="154"/>
      <c r="M463" s="154"/>
      <c r="N463" s="154"/>
      <c r="O463" s="154"/>
      <c r="P463" s="154"/>
      <c r="Q463" s="154"/>
      <c r="R463" s="154"/>
      <c r="S463" s="154"/>
      <c r="T463" s="154"/>
      <c r="U463" s="154"/>
      <c r="V463" s="154"/>
      <c r="W463" s="154"/>
      <c r="X463" s="154"/>
      <c r="Y463" s="154"/>
      <c r="Z463" s="154"/>
    </row>
    <row r="464" spans="1:26" ht="12" customHeight="1">
      <c r="A464" s="220"/>
      <c r="B464" s="154"/>
      <c r="C464" s="154"/>
      <c r="D464" s="154"/>
      <c r="E464" s="154"/>
      <c r="F464" s="154"/>
      <c r="G464" s="154"/>
      <c r="H464" s="154"/>
      <c r="I464" s="154"/>
      <c r="J464" s="217"/>
      <c r="K464" s="218"/>
      <c r="L464" s="154"/>
      <c r="M464" s="154"/>
      <c r="N464" s="154"/>
      <c r="O464" s="154"/>
      <c r="P464" s="154"/>
      <c r="Q464" s="154"/>
      <c r="R464" s="154"/>
      <c r="S464" s="154"/>
      <c r="T464" s="154"/>
      <c r="U464" s="154"/>
      <c r="V464" s="154"/>
      <c r="W464" s="154"/>
      <c r="X464" s="154"/>
      <c r="Y464" s="154"/>
      <c r="Z464" s="154"/>
    </row>
    <row r="465" spans="1:26" ht="12" customHeight="1">
      <c r="A465" s="220"/>
      <c r="B465" s="154"/>
      <c r="C465" s="154"/>
      <c r="D465" s="154"/>
      <c r="E465" s="154"/>
      <c r="F465" s="154"/>
      <c r="G465" s="154"/>
      <c r="H465" s="154"/>
      <c r="I465" s="154"/>
      <c r="J465" s="217"/>
      <c r="K465" s="218"/>
      <c r="L465" s="154"/>
      <c r="M465" s="154"/>
      <c r="N465" s="154"/>
      <c r="O465" s="154"/>
      <c r="P465" s="154"/>
      <c r="Q465" s="154"/>
      <c r="R465" s="154"/>
      <c r="S465" s="154"/>
      <c r="T465" s="154"/>
      <c r="U465" s="154"/>
      <c r="V465" s="154"/>
      <c r="W465" s="154"/>
      <c r="X465" s="154"/>
      <c r="Y465" s="154"/>
      <c r="Z465" s="154"/>
    </row>
    <row r="466" spans="1:26" ht="12" customHeight="1">
      <c r="A466" s="220"/>
      <c r="B466" s="154"/>
      <c r="C466" s="154"/>
      <c r="D466" s="154"/>
      <c r="E466" s="154"/>
      <c r="F466" s="154"/>
      <c r="G466" s="154"/>
      <c r="H466" s="154"/>
      <c r="I466" s="154"/>
      <c r="J466" s="217"/>
      <c r="K466" s="218"/>
      <c r="L466" s="154"/>
      <c r="M466" s="154"/>
      <c r="N466" s="154"/>
      <c r="O466" s="154"/>
      <c r="P466" s="154"/>
      <c r="Q466" s="154"/>
      <c r="R466" s="154"/>
      <c r="S466" s="154"/>
      <c r="T466" s="154"/>
      <c r="U466" s="154"/>
      <c r="V466" s="154"/>
      <c r="W466" s="154"/>
      <c r="X466" s="154"/>
      <c r="Y466" s="154"/>
      <c r="Z466" s="154"/>
    </row>
    <row r="467" spans="1:26" ht="12" customHeight="1">
      <c r="A467" s="220"/>
      <c r="B467" s="154"/>
      <c r="C467" s="154"/>
      <c r="D467" s="154"/>
      <c r="E467" s="154"/>
      <c r="F467" s="154"/>
      <c r="G467" s="154"/>
      <c r="H467" s="154"/>
      <c r="I467" s="154"/>
      <c r="J467" s="217"/>
      <c r="K467" s="218"/>
      <c r="L467" s="154"/>
      <c r="M467" s="154"/>
      <c r="N467" s="154"/>
      <c r="O467" s="154"/>
      <c r="P467" s="154"/>
      <c r="Q467" s="154"/>
      <c r="R467" s="154"/>
      <c r="S467" s="154"/>
      <c r="T467" s="154"/>
      <c r="U467" s="154"/>
      <c r="V467" s="154"/>
      <c r="W467" s="154"/>
      <c r="X467" s="154"/>
      <c r="Y467" s="154"/>
      <c r="Z467" s="154"/>
    </row>
    <row r="468" spans="1:26" ht="12" customHeight="1">
      <c r="A468" s="220"/>
      <c r="B468" s="154"/>
      <c r="C468" s="154"/>
      <c r="D468" s="154"/>
      <c r="E468" s="154"/>
      <c r="F468" s="154"/>
      <c r="G468" s="154"/>
      <c r="H468" s="154"/>
      <c r="I468" s="154"/>
      <c r="J468" s="217"/>
      <c r="K468" s="218"/>
      <c r="L468" s="154"/>
      <c r="M468" s="154"/>
      <c r="N468" s="154"/>
      <c r="O468" s="154"/>
      <c r="P468" s="154"/>
      <c r="Q468" s="154"/>
      <c r="R468" s="154"/>
      <c r="S468" s="154"/>
      <c r="T468" s="154"/>
      <c r="U468" s="154"/>
      <c r="V468" s="154"/>
      <c r="W468" s="154"/>
      <c r="X468" s="154"/>
      <c r="Y468" s="154"/>
      <c r="Z468" s="154"/>
    </row>
    <row r="469" spans="1:26" ht="12" customHeight="1">
      <c r="A469" s="220"/>
      <c r="B469" s="154"/>
      <c r="C469" s="154"/>
      <c r="D469" s="154"/>
      <c r="E469" s="154"/>
      <c r="F469" s="154"/>
      <c r="G469" s="154"/>
      <c r="H469" s="154"/>
      <c r="I469" s="154"/>
      <c r="J469" s="217"/>
      <c r="K469" s="218"/>
      <c r="L469" s="154"/>
      <c r="M469" s="154"/>
      <c r="N469" s="154"/>
      <c r="O469" s="154"/>
      <c r="P469" s="154"/>
      <c r="Q469" s="154"/>
      <c r="R469" s="154"/>
      <c r="S469" s="154"/>
      <c r="T469" s="154"/>
      <c r="U469" s="154"/>
      <c r="V469" s="154"/>
      <c r="W469" s="154"/>
      <c r="X469" s="154"/>
      <c r="Y469" s="154"/>
      <c r="Z469" s="154"/>
    </row>
    <row r="470" spans="1:26" ht="12" customHeight="1">
      <c r="A470" s="220"/>
      <c r="B470" s="154"/>
      <c r="C470" s="154"/>
      <c r="D470" s="154"/>
      <c r="E470" s="154"/>
      <c r="F470" s="154"/>
      <c r="G470" s="154"/>
      <c r="H470" s="154"/>
      <c r="I470" s="154"/>
      <c r="J470" s="217"/>
      <c r="K470" s="218"/>
      <c r="L470" s="154"/>
      <c r="M470" s="154"/>
      <c r="N470" s="154"/>
      <c r="O470" s="154"/>
      <c r="P470" s="154"/>
      <c r="Q470" s="154"/>
      <c r="R470" s="154"/>
      <c r="S470" s="154"/>
      <c r="T470" s="154"/>
      <c r="U470" s="154"/>
      <c r="V470" s="154"/>
      <c r="W470" s="154"/>
      <c r="X470" s="154"/>
      <c r="Y470" s="154"/>
      <c r="Z470" s="154"/>
    </row>
    <row r="471" spans="1:26" ht="12" customHeight="1">
      <c r="A471" s="220"/>
      <c r="B471" s="154"/>
      <c r="C471" s="154"/>
      <c r="D471" s="154"/>
      <c r="E471" s="154"/>
      <c r="F471" s="154"/>
      <c r="G471" s="154"/>
      <c r="H471" s="154"/>
      <c r="I471" s="154"/>
      <c r="J471" s="217"/>
      <c r="K471" s="218"/>
      <c r="L471" s="154"/>
      <c r="M471" s="154"/>
      <c r="N471" s="154"/>
      <c r="O471" s="154"/>
      <c r="P471" s="154"/>
      <c r="Q471" s="154"/>
      <c r="R471" s="154"/>
      <c r="S471" s="154"/>
      <c r="T471" s="154"/>
      <c r="U471" s="154"/>
      <c r="V471" s="154"/>
      <c r="W471" s="154"/>
      <c r="X471" s="154"/>
      <c r="Y471" s="154"/>
      <c r="Z471" s="154"/>
    </row>
    <row r="472" spans="1:26" ht="12" customHeight="1">
      <c r="A472" s="220"/>
      <c r="B472" s="154"/>
      <c r="C472" s="154"/>
      <c r="D472" s="154"/>
      <c r="E472" s="154"/>
      <c r="F472" s="154"/>
      <c r="G472" s="154"/>
      <c r="H472" s="154"/>
      <c r="I472" s="154"/>
      <c r="J472" s="217"/>
      <c r="K472" s="218"/>
      <c r="L472" s="154"/>
      <c r="M472" s="154"/>
      <c r="N472" s="154"/>
      <c r="O472" s="154"/>
      <c r="P472" s="154"/>
      <c r="Q472" s="154"/>
      <c r="R472" s="154"/>
      <c r="S472" s="154"/>
      <c r="T472" s="154"/>
      <c r="U472" s="154"/>
      <c r="V472" s="154"/>
      <c r="W472" s="154"/>
      <c r="X472" s="154"/>
      <c r="Y472" s="154"/>
      <c r="Z472" s="154"/>
    </row>
    <row r="473" spans="1:26" ht="12" customHeight="1">
      <c r="A473" s="220"/>
      <c r="B473" s="154"/>
      <c r="C473" s="154"/>
      <c r="D473" s="154"/>
      <c r="E473" s="154"/>
      <c r="F473" s="154"/>
      <c r="G473" s="154"/>
      <c r="H473" s="154"/>
      <c r="I473" s="154"/>
      <c r="J473" s="217"/>
      <c r="K473" s="218"/>
      <c r="L473" s="154"/>
      <c r="M473" s="154"/>
      <c r="N473" s="154"/>
      <c r="O473" s="154"/>
      <c r="P473" s="154"/>
      <c r="Q473" s="154"/>
      <c r="R473" s="154"/>
      <c r="S473" s="154"/>
      <c r="T473" s="154"/>
      <c r="U473" s="154"/>
      <c r="V473" s="154"/>
      <c r="W473" s="154"/>
      <c r="X473" s="154"/>
      <c r="Y473" s="154"/>
      <c r="Z473" s="154"/>
    </row>
    <row r="474" spans="1:26" ht="12" customHeight="1">
      <c r="A474" s="220"/>
      <c r="B474" s="154"/>
      <c r="C474" s="154"/>
      <c r="D474" s="154"/>
      <c r="E474" s="154"/>
      <c r="F474" s="154"/>
      <c r="G474" s="154"/>
      <c r="H474" s="154"/>
      <c r="I474" s="154"/>
      <c r="J474" s="217"/>
      <c r="K474" s="218"/>
      <c r="L474" s="154"/>
      <c r="M474" s="154"/>
      <c r="N474" s="154"/>
      <c r="O474" s="154"/>
      <c r="P474" s="154"/>
      <c r="Q474" s="154"/>
      <c r="R474" s="154"/>
      <c r="S474" s="154"/>
      <c r="T474" s="154"/>
      <c r="U474" s="154"/>
      <c r="V474" s="154"/>
      <c r="W474" s="154"/>
      <c r="X474" s="154"/>
      <c r="Y474" s="154"/>
      <c r="Z474" s="154"/>
    </row>
    <row r="475" spans="1:26" ht="12" customHeight="1">
      <c r="A475" s="220"/>
      <c r="B475" s="154"/>
      <c r="C475" s="154"/>
      <c r="D475" s="154"/>
      <c r="E475" s="154"/>
      <c r="F475" s="154"/>
      <c r="G475" s="154"/>
      <c r="H475" s="154"/>
      <c r="I475" s="154"/>
      <c r="J475" s="217"/>
      <c r="K475" s="218"/>
      <c r="L475" s="154"/>
      <c r="M475" s="154"/>
      <c r="N475" s="154"/>
      <c r="O475" s="154"/>
      <c r="P475" s="154"/>
      <c r="Q475" s="154"/>
      <c r="R475" s="154"/>
      <c r="S475" s="154"/>
      <c r="T475" s="154"/>
      <c r="U475" s="154"/>
      <c r="V475" s="154"/>
      <c r="W475" s="154"/>
      <c r="X475" s="154"/>
      <c r="Y475" s="154"/>
      <c r="Z475" s="154"/>
    </row>
    <row r="476" spans="1:26" ht="12" customHeight="1">
      <c r="A476" s="220"/>
      <c r="B476" s="154"/>
      <c r="C476" s="154"/>
      <c r="D476" s="154"/>
      <c r="E476" s="154"/>
      <c r="F476" s="154"/>
      <c r="G476" s="154"/>
      <c r="H476" s="154"/>
      <c r="I476" s="154"/>
      <c r="J476" s="217"/>
      <c r="K476" s="218"/>
      <c r="L476" s="154"/>
      <c r="M476" s="154"/>
      <c r="N476" s="154"/>
      <c r="O476" s="154"/>
      <c r="P476" s="154"/>
      <c r="Q476" s="154"/>
      <c r="R476" s="154"/>
      <c r="S476" s="154"/>
      <c r="T476" s="154"/>
      <c r="U476" s="154"/>
      <c r="V476" s="154"/>
      <c r="W476" s="154"/>
      <c r="X476" s="154"/>
      <c r="Y476" s="154"/>
      <c r="Z476" s="154"/>
    </row>
    <row r="477" spans="1:26" ht="12" customHeight="1">
      <c r="A477" s="220"/>
      <c r="B477" s="154"/>
      <c r="C477" s="154"/>
      <c r="D477" s="154"/>
      <c r="E477" s="154"/>
      <c r="F477" s="154"/>
      <c r="G477" s="154"/>
      <c r="H477" s="154"/>
      <c r="I477" s="154"/>
      <c r="J477" s="217"/>
      <c r="K477" s="218"/>
      <c r="L477" s="154"/>
      <c r="M477" s="154"/>
      <c r="N477" s="154"/>
      <c r="O477" s="154"/>
      <c r="P477" s="154"/>
      <c r="Q477" s="154"/>
      <c r="R477" s="154"/>
      <c r="S477" s="154"/>
      <c r="T477" s="154"/>
      <c r="U477" s="154"/>
      <c r="V477" s="154"/>
      <c r="W477" s="154"/>
      <c r="X477" s="154"/>
      <c r="Y477" s="154"/>
      <c r="Z477" s="154"/>
    </row>
    <row r="478" spans="1:26" ht="12" customHeight="1">
      <c r="A478" s="220"/>
      <c r="B478" s="154"/>
      <c r="C478" s="154"/>
      <c r="D478" s="154"/>
      <c r="E478" s="154"/>
      <c r="F478" s="154"/>
      <c r="G478" s="154"/>
      <c r="H478" s="154"/>
      <c r="I478" s="154"/>
      <c r="J478" s="217"/>
      <c r="K478" s="218"/>
      <c r="L478" s="154"/>
      <c r="M478" s="154"/>
      <c r="N478" s="154"/>
      <c r="O478" s="154"/>
      <c r="P478" s="154"/>
      <c r="Q478" s="154"/>
      <c r="R478" s="154"/>
      <c r="S478" s="154"/>
      <c r="T478" s="154"/>
      <c r="U478" s="154"/>
      <c r="V478" s="154"/>
      <c r="W478" s="154"/>
      <c r="X478" s="154"/>
      <c r="Y478" s="154"/>
      <c r="Z478" s="154"/>
    </row>
    <row r="479" spans="1:26" ht="12" customHeight="1">
      <c r="A479" s="220"/>
      <c r="B479" s="154"/>
      <c r="C479" s="154"/>
      <c r="D479" s="154"/>
      <c r="E479" s="154"/>
      <c r="F479" s="154"/>
      <c r="G479" s="154"/>
      <c r="H479" s="154"/>
      <c r="I479" s="154"/>
      <c r="J479" s="217"/>
      <c r="K479" s="218"/>
      <c r="L479" s="154"/>
      <c r="M479" s="154"/>
      <c r="N479" s="154"/>
      <c r="O479" s="154"/>
      <c r="P479" s="154"/>
      <c r="Q479" s="154"/>
      <c r="R479" s="154"/>
      <c r="S479" s="154"/>
      <c r="T479" s="154"/>
      <c r="U479" s="154"/>
      <c r="V479" s="154"/>
      <c r="W479" s="154"/>
      <c r="X479" s="154"/>
      <c r="Y479" s="154"/>
      <c r="Z479" s="154"/>
    </row>
    <row r="480" spans="1:26" ht="12" customHeight="1">
      <c r="A480" s="220"/>
      <c r="B480" s="154"/>
      <c r="C480" s="154"/>
      <c r="D480" s="154"/>
      <c r="E480" s="154"/>
      <c r="F480" s="154"/>
      <c r="G480" s="154"/>
      <c r="H480" s="154"/>
      <c r="I480" s="154"/>
      <c r="J480" s="217"/>
      <c r="K480" s="218"/>
      <c r="L480" s="154"/>
      <c r="M480" s="154"/>
      <c r="N480" s="154"/>
      <c r="O480" s="154"/>
      <c r="P480" s="154"/>
      <c r="Q480" s="154"/>
      <c r="R480" s="154"/>
      <c r="S480" s="154"/>
      <c r="T480" s="154"/>
      <c r="U480" s="154"/>
      <c r="V480" s="154"/>
      <c r="W480" s="154"/>
      <c r="X480" s="154"/>
      <c r="Y480" s="154"/>
      <c r="Z480" s="154"/>
    </row>
    <row r="481" spans="1:26" ht="12" customHeight="1">
      <c r="A481" s="220"/>
      <c r="B481" s="154"/>
      <c r="C481" s="154"/>
      <c r="D481" s="154"/>
      <c r="E481" s="154"/>
      <c r="F481" s="154"/>
      <c r="G481" s="154"/>
      <c r="H481" s="154"/>
      <c r="I481" s="154"/>
      <c r="J481" s="217"/>
      <c r="K481" s="218"/>
      <c r="L481" s="154"/>
      <c r="M481" s="154"/>
      <c r="N481" s="154"/>
      <c r="O481" s="154"/>
      <c r="P481" s="154"/>
      <c r="Q481" s="154"/>
      <c r="R481" s="154"/>
      <c r="S481" s="154"/>
      <c r="T481" s="154"/>
      <c r="U481" s="154"/>
      <c r="V481" s="154"/>
      <c r="W481" s="154"/>
      <c r="X481" s="154"/>
      <c r="Y481" s="154"/>
      <c r="Z481" s="154"/>
    </row>
    <row r="482" spans="1:26" ht="12" customHeight="1">
      <c r="A482" s="220"/>
      <c r="B482" s="154"/>
      <c r="C482" s="154"/>
      <c r="D482" s="154"/>
      <c r="E482" s="154"/>
      <c r="F482" s="154"/>
      <c r="G482" s="154"/>
      <c r="H482" s="154"/>
      <c r="I482" s="154"/>
      <c r="J482" s="217"/>
      <c r="K482" s="218"/>
      <c r="L482" s="154"/>
      <c r="M482" s="154"/>
      <c r="N482" s="154"/>
      <c r="O482" s="154"/>
      <c r="P482" s="154"/>
      <c r="Q482" s="154"/>
      <c r="R482" s="154"/>
      <c r="S482" s="154"/>
      <c r="T482" s="154"/>
      <c r="U482" s="154"/>
      <c r="V482" s="154"/>
      <c r="W482" s="154"/>
      <c r="X482" s="154"/>
      <c r="Y482" s="154"/>
      <c r="Z482" s="154"/>
    </row>
    <row r="483" spans="1:26" ht="12" customHeight="1">
      <c r="A483" s="220"/>
      <c r="B483" s="154"/>
      <c r="C483" s="154"/>
      <c r="D483" s="154"/>
      <c r="E483" s="154"/>
      <c r="F483" s="154"/>
      <c r="G483" s="154"/>
      <c r="H483" s="154"/>
      <c r="I483" s="154"/>
      <c r="J483" s="217"/>
      <c r="K483" s="218"/>
      <c r="L483" s="154"/>
      <c r="M483" s="154"/>
      <c r="N483" s="154"/>
      <c r="O483" s="154"/>
      <c r="P483" s="154"/>
      <c r="Q483" s="154"/>
      <c r="R483" s="154"/>
      <c r="S483" s="154"/>
      <c r="T483" s="154"/>
      <c r="U483" s="154"/>
      <c r="V483" s="154"/>
      <c r="W483" s="154"/>
      <c r="X483" s="154"/>
      <c r="Y483" s="154"/>
      <c r="Z483" s="154"/>
    </row>
    <row r="484" spans="1:26" ht="12" customHeight="1">
      <c r="A484" s="220"/>
      <c r="B484" s="154"/>
      <c r="C484" s="154"/>
      <c r="D484" s="154"/>
      <c r="E484" s="154"/>
      <c r="F484" s="154"/>
      <c r="G484" s="154"/>
      <c r="H484" s="154"/>
      <c r="I484" s="154"/>
      <c r="J484" s="217"/>
      <c r="K484" s="218"/>
      <c r="L484" s="154"/>
      <c r="M484" s="154"/>
      <c r="N484" s="154"/>
      <c r="O484" s="154"/>
      <c r="P484" s="154"/>
      <c r="Q484" s="154"/>
      <c r="R484" s="154"/>
      <c r="S484" s="154"/>
      <c r="T484" s="154"/>
      <c r="U484" s="154"/>
      <c r="V484" s="154"/>
      <c r="W484" s="154"/>
      <c r="X484" s="154"/>
      <c r="Y484" s="154"/>
      <c r="Z484" s="154"/>
    </row>
    <row r="485" spans="1:26" ht="12" customHeight="1">
      <c r="A485" s="220"/>
      <c r="B485" s="154"/>
      <c r="C485" s="154"/>
      <c r="D485" s="154"/>
      <c r="E485" s="154"/>
      <c r="F485" s="154"/>
      <c r="G485" s="154"/>
      <c r="H485" s="154"/>
      <c r="I485" s="154"/>
      <c r="J485" s="217"/>
      <c r="K485" s="218"/>
      <c r="L485" s="154"/>
      <c r="M485" s="154"/>
      <c r="N485" s="154"/>
      <c r="O485" s="154"/>
      <c r="P485" s="154"/>
      <c r="Q485" s="154"/>
      <c r="R485" s="154"/>
      <c r="S485" s="154"/>
      <c r="T485" s="154"/>
      <c r="U485" s="154"/>
      <c r="V485" s="154"/>
      <c r="W485" s="154"/>
      <c r="X485" s="154"/>
      <c r="Y485" s="154"/>
      <c r="Z485" s="154"/>
    </row>
    <row r="486" spans="1:26" ht="12" customHeight="1">
      <c r="A486" s="220"/>
      <c r="B486" s="154"/>
      <c r="C486" s="154"/>
      <c r="D486" s="154"/>
      <c r="E486" s="154"/>
      <c r="F486" s="154"/>
      <c r="G486" s="154"/>
      <c r="H486" s="154"/>
      <c r="I486" s="154"/>
      <c r="J486" s="217"/>
      <c r="K486" s="218"/>
      <c r="L486" s="154"/>
      <c r="M486" s="154"/>
      <c r="N486" s="154"/>
      <c r="O486" s="154"/>
      <c r="P486" s="154"/>
      <c r="Q486" s="154"/>
      <c r="R486" s="154"/>
      <c r="S486" s="154"/>
      <c r="T486" s="154"/>
      <c r="U486" s="154"/>
      <c r="V486" s="154"/>
      <c r="W486" s="154"/>
      <c r="X486" s="154"/>
      <c r="Y486" s="154"/>
      <c r="Z486" s="154"/>
    </row>
    <row r="487" spans="1:26" ht="12" customHeight="1">
      <c r="A487" s="220"/>
      <c r="B487" s="154"/>
      <c r="C487" s="154"/>
      <c r="D487" s="154"/>
      <c r="E487" s="154"/>
      <c r="F487" s="154"/>
      <c r="G487" s="154"/>
      <c r="H487" s="154"/>
      <c r="I487" s="154"/>
      <c r="J487" s="217"/>
      <c r="K487" s="218"/>
      <c r="L487" s="154"/>
      <c r="M487" s="154"/>
      <c r="N487" s="154"/>
      <c r="O487" s="154"/>
      <c r="P487" s="154"/>
      <c r="Q487" s="154"/>
      <c r="R487" s="154"/>
      <c r="S487" s="154"/>
      <c r="T487" s="154"/>
      <c r="U487" s="154"/>
      <c r="V487" s="154"/>
      <c r="W487" s="154"/>
      <c r="X487" s="154"/>
      <c r="Y487" s="154"/>
      <c r="Z487" s="154"/>
    </row>
    <row r="488" spans="1:26" ht="12" customHeight="1">
      <c r="A488" s="220"/>
      <c r="B488" s="154"/>
      <c r="C488" s="154"/>
      <c r="D488" s="154"/>
      <c r="E488" s="154"/>
      <c r="F488" s="154"/>
      <c r="G488" s="154"/>
      <c r="H488" s="154"/>
      <c r="I488" s="154"/>
      <c r="J488" s="217"/>
      <c r="K488" s="218"/>
      <c r="L488" s="154"/>
      <c r="M488" s="154"/>
      <c r="N488" s="154"/>
      <c r="O488" s="154"/>
      <c r="P488" s="154"/>
      <c r="Q488" s="154"/>
      <c r="R488" s="154"/>
      <c r="S488" s="154"/>
      <c r="T488" s="154"/>
      <c r="U488" s="154"/>
      <c r="V488" s="154"/>
      <c r="W488" s="154"/>
      <c r="X488" s="154"/>
      <c r="Y488" s="154"/>
      <c r="Z488" s="154"/>
    </row>
    <row r="489" spans="1:26" ht="12" customHeight="1">
      <c r="A489" s="220"/>
      <c r="B489" s="154"/>
      <c r="C489" s="154"/>
      <c r="D489" s="154"/>
      <c r="E489" s="154"/>
      <c r="F489" s="154"/>
      <c r="G489" s="154"/>
      <c r="H489" s="154"/>
      <c r="I489" s="154"/>
      <c r="J489" s="217"/>
      <c r="K489" s="218"/>
      <c r="L489" s="154"/>
      <c r="M489" s="154"/>
      <c r="N489" s="154"/>
      <c r="O489" s="154"/>
      <c r="P489" s="154"/>
      <c r="Q489" s="154"/>
      <c r="R489" s="154"/>
      <c r="S489" s="154"/>
      <c r="T489" s="154"/>
      <c r="U489" s="154"/>
      <c r="V489" s="154"/>
      <c r="W489" s="154"/>
      <c r="X489" s="154"/>
      <c r="Y489" s="154"/>
      <c r="Z489" s="154"/>
    </row>
    <row r="490" spans="1:26" ht="12" customHeight="1">
      <c r="A490" s="220"/>
      <c r="B490" s="154"/>
      <c r="C490" s="154"/>
      <c r="D490" s="154"/>
      <c r="E490" s="154"/>
      <c r="F490" s="154"/>
      <c r="G490" s="154"/>
      <c r="H490" s="154"/>
      <c r="I490" s="154"/>
      <c r="J490" s="217"/>
      <c r="K490" s="218"/>
      <c r="L490" s="154"/>
      <c r="M490" s="154"/>
      <c r="N490" s="154"/>
      <c r="O490" s="154"/>
      <c r="P490" s="154"/>
      <c r="Q490" s="154"/>
      <c r="R490" s="154"/>
      <c r="S490" s="154"/>
      <c r="T490" s="154"/>
      <c r="U490" s="154"/>
      <c r="V490" s="154"/>
      <c r="W490" s="154"/>
      <c r="X490" s="154"/>
      <c r="Y490" s="154"/>
      <c r="Z490" s="154"/>
    </row>
    <row r="491" spans="1:26" ht="12" customHeight="1">
      <c r="A491" s="220"/>
      <c r="B491" s="154"/>
      <c r="C491" s="154"/>
      <c r="D491" s="154"/>
      <c r="E491" s="154"/>
      <c r="F491" s="154"/>
      <c r="G491" s="154"/>
      <c r="H491" s="154"/>
      <c r="I491" s="154"/>
      <c r="J491" s="217"/>
      <c r="K491" s="218"/>
      <c r="L491" s="154"/>
      <c r="M491" s="154"/>
      <c r="N491" s="154"/>
      <c r="O491" s="154"/>
      <c r="P491" s="154"/>
      <c r="Q491" s="154"/>
      <c r="R491" s="154"/>
      <c r="S491" s="154"/>
      <c r="T491" s="154"/>
      <c r="U491" s="154"/>
      <c r="V491" s="154"/>
      <c r="W491" s="154"/>
      <c r="X491" s="154"/>
      <c r="Y491" s="154"/>
      <c r="Z491" s="154"/>
    </row>
    <row r="492" spans="1:26" ht="12" customHeight="1">
      <c r="A492" s="220"/>
      <c r="B492" s="154"/>
      <c r="C492" s="154"/>
      <c r="D492" s="154"/>
      <c r="E492" s="154"/>
      <c r="F492" s="154"/>
      <c r="G492" s="154"/>
      <c r="H492" s="154"/>
      <c r="I492" s="154"/>
      <c r="J492" s="217"/>
      <c r="K492" s="218"/>
      <c r="L492" s="154"/>
      <c r="M492" s="154"/>
      <c r="N492" s="154"/>
      <c r="O492" s="154"/>
      <c r="P492" s="154"/>
      <c r="Q492" s="154"/>
      <c r="R492" s="154"/>
      <c r="S492" s="154"/>
      <c r="T492" s="154"/>
      <c r="U492" s="154"/>
      <c r="V492" s="154"/>
      <c r="W492" s="154"/>
      <c r="X492" s="154"/>
      <c r="Y492" s="154"/>
      <c r="Z492" s="154"/>
    </row>
    <row r="493" spans="1:26" ht="12" customHeight="1">
      <c r="A493" s="220"/>
      <c r="B493" s="154"/>
      <c r="C493" s="154"/>
      <c r="D493" s="154"/>
      <c r="E493" s="154"/>
      <c r="F493" s="154"/>
      <c r="G493" s="154"/>
      <c r="H493" s="154"/>
      <c r="I493" s="154"/>
      <c r="J493" s="217"/>
      <c r="K493" s="218"/>
      <c r="L493" s="154"/>
      <c r="M493" s="154"/>
      <c r="N493" s="154"/>
      <c r="O493" s="154"/>
      <c r="P493" s="154"/>
      <c r="Q493" s="154"/>
      <c r="R493" s="154"/>
      <c r="S493" s="154"/>
      <c r="T493" s="154"/>
      <c r="U493" s="154"/>
      <c r="V493" s="154"/>
      <c r="W493" s="154"/>
      <c r="X493" s="154"/>
      <c r="Y493" s="154"/>
      <c r="Z493" s="154"/>
    </row>
    <row r="494" spans="1:26" ht="12" customHeight="1">
      <c r="A494" s="220"/>
      <c r="B494" s="154"/>
      <c r="C494" s="154"/>
      <c r="D494" s="154"/>
      <c r="E494" s="154"/>
      <c r="F494" s="154"/>
      <c r="G494" s="154"/>
      <c r="H494" s="154"/>
      <c r="I494" s="154"/>
      <c r="J494" s="217"/>
      <c r="K494" s="218"/>
      <c r="L494" s="154"/>
      <c r="M494" s="154"/>
      <c r="N494" s="154"/>
      <c r="O494" s="154"/>
      <c r="P494" s="154"/>
      <c r="Q494" s="154"/>
      <c r="R494" s="154"/>
      <c r="S494" s="154"/>
      <c r="T494" s="154"/>
      <c r="U494" s="154"/>
      <c r="V494" s="154"/>
      <c r="W494" s="154"/>
      <c r="X494" s="154"/>
      <c r="Y494" s="154"/>
      <c r="Z494" s="154"/>
    </row>
    <row r="495" spans="1:26" ht="12" customHeight="1">
      <c r="A495" s="220"/>
      <c r="B495" s="154"/>
      <c r="C495" s="154"/>
      <c r="D495" s="154"/>
      <c r="E495" s="154"/>
      <c r="F495" s="154"/>
      <c r="G495" s="154"/>
      <c r="H495" s="154"/>
      <c r="I495" s="154"/>
      <c r="J495" s="217"/>
      <c r="K495" s="218"/>
      <c r="L495" s="154"/>
      <c r="M495" s="154"/>
      <c r="N495" s="154"/>
      <c r="O495" s="154"/>
      <c r="P495" s="154"/>
      <c r="Q495" s="154"/>
      <c r="R495" s="154"/>
      <c r="S495" s="154"/>
      <c r="T495" s="154"/>
      <c r="U495" s="154"/>
      <c r="V495" s="154"/>
      <c r="W495" s="154"/>
      <c r="X495" s="154"/>
      <c r="Y495" s="154"/>
      <c r="Z495" s="154"/>
    </row>
    <row r="496" spans="1:26" ht="12" customHeight="1">
      <c r="A496" s="220"/>
      <c r="B496" s="154"/>
      <c r="C496" s="154"/>
      <c r="D496" s="154"/>
      <c r="E496" s="154"/>
      <c r="F496" s="154"/>
      <c r="G496" s="154"/>
      <c r="H496" s="154"/>
      <c r="I496" s="154"/>
      <c r="J496" s="217"/>
      <c r="K496" s="218"/>
      <c r="L496" s="154"/>
      <c r="M496" s="154"/>
      <c r="N496" s="154"/>
      <c r="O496" s="154"/>
      <c r="P496" s="154"/>
      <c r="Q496" s="154"/>
      <c r="R496" s="154"/>
      <c r="S496" s="154"/>
      <c r="T496" s="154"/>
      <c r="U496" s="154"/>
      <c r="V496" s="154"/>
      <c r="W496" s="154"/>
      <c r="X496" s="154"/>
      <c r="Y496" s="154"/>
      <c r="Z496" s="154"/>
    </row>
    <row r="497" spans="1:26" ht="12" customHeight="1">
      <c r="A497" s="220"/>
      <c r="B497" s="154"/>
      <c r="C497" s="154"/>
      <c r="D497" s="154"/>
      <c r="E497" s="154"/>
      <c r="F497" s="154"/>
      <c r="G497" s="154"/>
      <c r="H497" s="154"/>
      <c r="I497" s="154"/>
      <c r="J497" s="217"/>
      <c r="K497" s="218"/>
      <c r="L497" s="154"/>
      <c r="M497" s="154"/>
      <c r="N497" s="154"/>
      <c r="O497" s="154"/>
      <c r="P497" s="154"/>
      <c r="Q497" s="154"/>
      <c r="R497" s="154"/>
      <c r="S497" s="154"/>
      <c r="T497" s="154"/>
      <c r="U497" s="154"/>
      <c r="V497" s="154"/>
      <c r="W497" s="154"/>
      <c r="X497" s="154"/>
      <c r="Y497" s="154"/>
      <c r="Z497" s="154"/>
    </row>
    <row r="498" spans="1:26" ht="12" customHeight="1">
      <c r="A498" s="220"/>
      <c r="B498" s="154"/>
      <c r="C498" s="154"/>
      <c r="D498" s="154"/>
      <c r="E498" s="154"/>
      <c r="F498" s="154"/>
      <c r="G498" s="154"/>
      <c r="H498" s="154"/>
      <c r="I498" s="154"/>
      <c r="J498" s="217"/>
      <c r="K498" s="218"/>
      <c r="L498" s="154"/>
      <c r="M498" s="154"/>
      <c r="N498" s="154"/>
      <c r="O498" s="154"/>
      <c r="P498" s="154"/>
      <c r="Q498" s="154"/>
      <c r="R498" s="154"/>
      <c r="S498" s="154"/>
      <c r="T498" s="154"/>
      <c r="U498" s="154"/>
      <c r="V498" s="154"/>
      <c r="W498" s="154"/>
      <c r="X498" s="154"/>
      <c r="Y498" s="154"/>
      <c r="Z498" s="154"/>
    </row>
    <row r="499" spans="1:26" ht="12" customHeight="1">
      <c r="A499" s="220"/>
      <c r="B499" s="154"/>
      <c r="C499" s="154"/>
      <c r="D499" s="154"/>
      <c r="E499" s="154"/>
      <c r="F499" s="154"/>
      <c r="G499" s="154"/>
      <c r="H499" s="154"/>
      <c r="I499" s="154"/>
      <c r="J499" s="217"/>
      <c r="K499" s="218"/>
      <c r="L499" s="154"/>
      <c r="M499" s="154"/>
      <c r="N499" s="154"/>
      <c r="O499" s="154"/>
      <c r="P499" s="154"/>
      <c r="Q499" s="154"/>
      <c r="R499" s="154"/>
      <c r="S499" s="154"/>
      <c r="T499" s="154"/>
      <c r="U499" s="154"/>
      <c r="V499" s="154"/>
      <c r="W499" s="154"/>
      <c r="X499" s="154"/>
      <c r="Y499" s="154"/>
      <c r="Z499" s="154"/>
    </row>
    <row r="500" spans="1:26" ht="12" customHeight="1">
      <c r="A500" s="220"/>
      <c r="B500" s="154"/>
      <c r="C500" s="154"/>
      <c r="D500" s="154"/>
      <c r="E500" s="154"/>
      <c r="F500" s="154"/>
      <c r="G500" s="154"/>
      <c r="H500" s="154"/>
      <c r="I500" s="154"/>
      <c r="J500" s="217"/>
      <c r="K500" s="218"/>
      <c r="L500" s="154"/>
      <c r="M500" s="154"/>
      <c r="N500" s="154"/>
      <c r="O500" s="154"/>
      <c r="P500" s="154"/>
      <c r="Q500" s="154"/>
      <c r="R500" s="154"/>
      <c r="S500" s="154"/>
      <c r="T500" s="154"/>
      <c r="U500" s="154"/>
      <c r="V500" s="154"/>
      <c r="W500" s="154"/>
      <c r="X500" s="154"/>
      <c r="Y500" s="154"/>
      <c r="Z500" s="154"/>
    </row>
    <row r="501" spans="1:26" ht="12" customHeight="1">
      <c r="A501" s="220"/>
      <c r="B501" s="154"/>
      <c r="C501" s="154"/>
      <c r="D501" s="154"/>
      <c r="E501" s="154"/>
      <c r="F501" s="154"/>
      <c r="G501" s="154"/>
      <c r="H501" s="154"/>
      <c r="I501" s="154"/>
      <c r="J501" s="217"/>
      <c r="K501" s="218"/>
      <c r="L501" s="154"/>
      <c r="M501" s="154"/>
      <c r="N501" s="154"/>
      <c r="O501" s="154"/>
      <c r="P501" s="154"/>
      <c r="Q501" s="154"/>
      <c r="R501" s="154"/>
      <c r="S501" s="154"/>
      <c r="T501" s="154"/>
      <c r="U501" s="154"/>
      <c r="V501" s="154"/>
      <c r="W501" s="154"/>
      <c r="X501" s="154"/>
      <c r="Y501" s="154"/>
      <c r="Z501" s="154"/>
    </row>
    <row r="502" spans="1:26" ht="12" customHeight="1">
      <c r="A502" s="220"/>
      <c r="B502" s="154"/>
      <c r="C502" s="154"/>
      <c r="D502" s="154"/>
      <c r="E502" s="154"/>
      <c r="F502" s="154"/>
      <c r="G502" s="154"/>
      <c r="H502" s="154"/>
      <c r="I502" s="154"/>
      <c r="J502" s="217"/>
      <c r="K502" s="218"/>
      <c r="L502" s="154"/>
      <c r="M502" s="154"/>
      <c r="N502" s="154"/>
      <c r="O502" s="154"/>
      <c r="P502" s="154"/>
      <c r="Q502" s="154"/>
      <c r="R502" s="154"/>
      <c r="S502" s="154"/>
      <c r="T502" s="154"/>
      <c r="U502" s="154"/>
      <c r="V502" s="154"/>
      <c r="W502" s="154"/>
      <c r="X502" s="154"/>
      <c r="Y502" s="154"/>
      <c r="Z502" s="154"/>
    </row>
    <row r="503" spans="1:26" ht="12" customHeight="1">
      <c r="A503" s="220"/>
      <c r="B503" s="154"/>
      <c r="C503" s="154"/>
      <c r="D503" s="154"/>
      <c r="E503" s="154"/>
      <c r="F503" s="154"/>
      <c r="G503" s="154"/>
      <c r="H503" s="154"/>
      <c r="I503" s="154"/>
      <c r="J503" s="217"/>
      <c r="K503" s="218"/>
      <c r="L503" s="154"/>
      <c r="M503" s="154"/>
      <c r="N503" s="154"/>
      <c r="O503" s="154"/>
      <c r="P503" s="154"/>
      <c r="Q503" s="154"/>
      <c r="R503" s="154"/>
      <c r="S503" s="154"/>
      <c r="T503" s="154"/>
      <c r="U503" s="154"/>
      <c r="V503" s="154"/>
      <c r="W503" s="154"/>
      <c r="X503" s="154"/>
      <c r="Y503" s="154"/>
      <c r="Z503" s="154"/>
    </row>
    <row r="504" spans="1:26" ht="12" customHeight="1">
      <c r="A504" s="220"/>
      <c r="B504" s="154"/>
      <c r="C504" s="154"/>
      <c r="D504" s="154"/>
      <c r="E504" s="154"/>
      <c r="F504" s="154"/>
      <c r="G504" s="154"/>
      <c r="H504" s="154"/>
      <c r="I504" s="154"/>
      <c r="J504" s="217"/>
      <c r="K504" s="218"/>
      <c r="L504" s="154"/>
      <c r="M504" s="154"/>
      <c r="N504" s="154"/>
      <c r="O504" s="154"/>
      <c r="P504" s="154"/>
      <c r="Q504" s="154"/>
      <c r="R504" s="154"/>
      <c r="S504" s="154"/>
      <c r="T504" s="154"/>
      <c r="U504" s="154"/>
      <c r="V504" s="154"/>
      <c r="W504" s="154"/>
      <c r="X504" s="154"/>
      <c r="Y504" s="154"/>
      <c r="Z504" s="154"/>
    </row>
    <row r="505" spans="1:26" ht="12" customHeight="1">
      <c r="A505" s="220"/>
      <c r="B505" s="154"/>
      <c r="C505" s="154"/>
      <c r="D505" s="154"/>
      <c r="E505" s="154"/>
      <c r="F505" s="154"/>
      <c r="G505" s="154"/>
      <c r="H505" s="154"/>
      <c r="I505" s="154"/>
      <c r="J505" s="217"/>
      <c r="K505" s="218"/>
      <c r="L505" s="154"/>
      <c r="M505" s="154"/>
      <c r="N505" s="154"/>
      <c r="O505" s="154"/>
      <c r="P505" s="154"/>
      <c r="Q505" s="154"/>
      <c r="R505" s="154"/>
      <c r="S505" s="154"/>
      <c r="T505" s="154"/>
      <c r="U505" s="154"/>
      <c r="V505" s="154"/>
      <c r="W505" s="154"/>
      <c r="X505" s="154"/>
      <c r="Y505" s="154"/>
      <c r="Z505" s="154"/>
    </row>
    <row r="506" spans="1:26" ht="12" customHeight="1">
      <c r="A506" s="220"/>
      <c r="B506" s="154"/>
      <c r="C506" s="154"/>
      <c r="D506" s="154"/>
      <c r="E506" s="154"/>
      <c r="F506" s="154"/>
      <c r="G506" s="154"/>
      <c r="H506" s="154"/>
      <c r="I506" s="154"/>
      <c r="J506" s="217"/>
      <c r="K506" s="218"/>
      <c r="L506" s="154"/>
      <c r="M506" s="154"/>
      <c r="N506" s="154"/>
      <c r="O506" s="154"/>
      <c r="P506" s="154"/>
      <c r="Q506" s="154"/>
      <c r="R506" s="154"/>
      <c r="S506" s="154"/>
      <c r="T506" s="154"/>
      <c r="U506" s="154"/>
      <c r="V506" s="154"/>
      <c r="W506" s="154"/>
      <c r="X506" s="154"/>
      <c r="Y506" s="154"/>
      <c r="Z506" s="154"/>
    </row>
    <row r="507" spans="1:26" ht="12" customHeight="1">
      <c r="A507" s="220"/>
      <c r="B507" s="154"/>
      <c r="C507" s="154"/>
      <c r="D507" s="154"/>
      <c r="E507" s="154"/>
      <c r="F507" s="154"/>
      <c r="G507" s="154"/>
      <c r="H507" s="154"/>
      <c r="I507" s="154"/>
      <c r="J507" s="217"/>
      <c r="K507" s="218"/>
      <c r="L507" s="154"/>
      <c r="M507" s="154"/>
      <c r="N507" s="154"/>
      <c r="O507" s="154"/>
      <c r="P507" s="154"/>
      <c r="Q507" s="154"/>
      <c r="R507" s="154"/>
      <c r="S507" s="154"/>
      <c r="T507" s="154"/>
      <c r="U507" s="154"/>
      <c r="V507" s="154"/>
      <c r="W507" s="154"/>
      <c r="X507" s="154"/>
      <c r="Y507" s="154"/>
      <c r="Z507" s="154"/>
    </row>
    <row r="508" spans="1:26" ht="12" customHeight="1">
      <c r="A508" s="220"/>
      <c r="B508" s="154"/>
      <c r="C508" s="154"/>
      <c r="D508" s="154"/>
      <c r="E508" s="154"/>
      <c r="F508" s="154"/>
      <c r="G508" s="154"/>
      <c r="H508" s="154"/>
      <c r="I508" s="154"/>
      <c r="J508" s="217"/>
      <c r="K508" s="218"/>
      <c r="L508" s="154"/>
      <c r="M508" s="154"/>
      <c r="N508" s="154"/>
      <c r="O508" s="154"/>
      <c r="P508" s="154"/>
      <c r="Q508" s="154"/>
      <c r="R508" s="154"/>
      <c r="S508" s="154"/>
      <c r="T508" s="154"/>
      <c r="U508" s="154"/>
      <c r="V508" s="154"/>
      <c r="W508" s="154"/>
      <c r="X508" s="154"/>
      <c r="Y508" s="154"/>
      <c r="Z508" s="154"/>
    </row>
    <row r="509" spans="1:26" ht="12" customHeight="1">
      <c r="A509" s="220"/>
      <c r="B509" s="154"/>
      <c r="C509" s="154"/>
      <c r="D509" s="154"/>
      <c r="E509" s="154"/>
      <c r="F509" s="154"/>
      <c r="G509" s="154"/>
      <c r="H509" s="154"/>
      <c r="I509" s="154"/>
      <c r="J509" s="217"/>
      <c r="K509" s="218"/>
      <c r="L509" s="154"/>
      <c r="M509" s="154"/>
      <c r="N509" s="154"/>
      <c r="O509" s="154"/>
      <c r="P509" s="154"/>
      <c r="Q509" s="154"/>
      <c r="R509" s="154"/>
      <c r="S509" s="154"/>
      <c r="T509" s="154"/>
      <c r="U509" s="154"/>
      <c r="V509" s="154"/>
      <c r="W509" s="154"/>
      <c r="X509" s="154"/>
      <c r="Y509" s="154"/>
      <c r="Z509" s="154"/>
    </row>
    <row r="510" spans="1:26" ht="12" customHeight="1">
      <c r="A510" s="220"/>
      <c r="B510" s="154"/>
      <c r="C510" s="154"/>
      <c r="D510" s="154"/>
      <c r="E510" s="154"/>
      <c r="F510" s="154"/>
      <c r="G510" s="154"/>
      <c r="H510" s="154"/>
      <c r="I510" s="154"/>
      <c r="J510" s="217"/>
      <c r="K510" s="218"/>
      <c r="L510" s="154"/>
      <c r="M510" s="154"/>
      <c r="N510" s="154"/>
      <c r="O510" s="154"/>
      <c r="P510" s="154"/>
      <c r="Q510" s="154"/>
      <c r="R510" s="154"/>
      <c r="S510" s="154"/>
      <c r="T510" s="154"/>
      <c r="U510" s="154"/>
      <c r="V510" s="154"/>
      <c r="W510" s="154"/>
      <c r="X510" s="154"/>
      <c r="Y510" s="154"/>
      <c r="Z510" s="154"/>
    </row>
    <row r="511" spans="1:26" ht="12" customHeight="1">
      <c r="A511" s="220"/>
      <c r="B511" s="154"/>
      <c r="C511" s="154"/>
      <c r="D511" s="154"/>
      <c r="E511" s="154"/>
      <c r="F511" s="154"/>
      <c r="G511" s="154"/>
      <c r="H511" s="154"/>
      <c r="I511" s="154"/>
      <c r="J511" s="217"/>
      <c r="K511" s="218"/>
      <c r="L511" s="154"/>
      <c r="M511" s="154"/>
      <c r="N511" s="154"/>
      <c r="O511" s="154"/>
      <c r="P511" s="154"/>
      <c r="Q511" s="154"/>
      <c r="R511" s="154"/>
      <c r="S511" s="154"/>
      <c r="T511" s="154"/>
      <c r="U511" s="154"/>
      <c r="V511" s="154"/>
      <c r="W511" s="154"/>
      <c r="X511" s="154"/>
      <c r="Y511" s="154"/>
      <c r="Z511" s="154"/>
    </row>
    <row r="512" spans="1:26" ht="12" customHeight="1">
      <c r="A512" s="220"/>
      <c r="B512" s="154"/>
      <c r="C512" s="154"/>
      <c r="D512" s="154"/>
      <c r="E512" s="154"/>
      <c r="F512" s="154"/>
      <c r="G512" s="154"/>
      <c r="H512" s="154"/>
      <c r="I512" s="154"/>
      <c r="J512" s="217"/>
      <c r="K512" s="218"/>
      <c r="L512" s="154"/>
      <c r="M512" s="154"/>
      <c r="N512" s="154"/>
      <c r="O512" s="154"/>
      <c r="P512" s="154"/>
      <c r="Q512" s="154"/>
      <c r="R512" s="154"/>
      <c r="S512" s="154"/>
      <c r="T512" s="154"/>
      <c r="U512" s="154"/>
      <c r="V512" s="154"/>
      <c r="W512" s="154"/>
      <c r="X512" s="154"/>
      <c r="Y512" s="154"/>
      <c r="Z512" s="154"/>
    </row>
    <row r="513" spans="1:26" ht="12" customHeight="1">
      <c r="A513" s="220"/>
      <c r="B513" s="154"/>
      <c r="C513" s="154"/>
      <c r="D513" s="154"/>
      <c r="E513" s="154"/>
      <c r="F513" s="154"/>
      <c r="G513" s="154"/>
      <c r="H513" s="154"/>
      <c r="I513" s="154"/>
      <c r="J513" s="217"/>
      <c r="K513" s="218"/>
      <c r="L513" s="154"/>
      <c r="M513" s="154"/>
      <c r="N513" s="154"/>
      <c r="O513" s="154"/>
      <c r="P513" s="154"/>
      <c r="Q513" s="154"/>
      <c r="R513" s="154"/>
      <c r="S513" s="154"/>
      <c r="T513" s="154"/>
      <c r="U513" s="154"/>
      <c r="V513" s="154"/>
      <c r="W513" s="154"/>
      <c r="X513" s="154"/>
      <c r="Y513" s="154"/>
      <c r="Z513" s="154"/>
    </row>
    <row r="514" spans="1:26" ht="12" customHeight="1">
      <c r="A514" s="220"/>
      <c r="B514" s="154"/>
      <c r="C514" s="154"/>
      <c r="D514" s="154"/>
      <c r="E514" s="154"/>
      <c r="F514" s="154"/>
      <c r="G514" s="154"/>
      <c r="H514" s="154"/>
      <c r="I514" s="154"/>
      <c r="J514" s="217"/>
      <c r="K514" s="218"/>
      <c r="L514" s="154"/>
      <c r="M514" s="154"/>
      <c r="N514" s="154"/>
      <c r="O514" s="154"/>
      <c r="P514" s="154"/>
      <c r="Q514" s="154"/>
      <c r="R514" s="154"/>
      <c r="S514" s="154"/>
      <c r="T514" s="154"/>
      <c r="U514" s="154"/>
      <c r="V514" s="154"/>
      <c r="W514" s="154"/>
      <c r="X514" s="154"/>
      <c r="Y514" s="154"/>
      <c r="Z514" s="154"/>
    </row>
    <row r="515" spans="1:26" ht="12" customHeight="1">
      <c r="A515" s="220"/>
      <c r="B515" s="154"/>
      <c r="C515" s="154"/>
      <c r="D515" s="154"/>
      <c r="E515" s="154"/>
      <c r="F515" s="154"/>
      <c r="G515" s="154"/>
      <c r="H515" s="154"/>
      <c r="I515" s="154"/>
      <c r="J515" s="217"/>
      <c r="K515" s="218"/>
      <c r="L515" s="154"/>
      <c r="M515" s="154"/>
      <c r="N515" s="154"/>
      <c r="O515" s="154"/>
      <c r="P515" s="154"/>
      <c r="Q515" s="154"/>
      <c r="R515" s="154"/>
      <c r="S515" s="154"/>
      <c r="T515" s="154"/>
      <c r="U515" s="154"/>
      <c r="V515" s="154"/>
      <c r="W515" s="154"/>
      <c r="X515" s="154"/>
      <c r="Y515" s="154"/>
      <c r="Z515" s="154"/>
    </row>
    <row r="516" spans="1:26" ht="12" customHeight="1">
      <c r="A516" s="220"/>
      <c r="B516" s="154"/>
      <c r="C516" s="154"/>
      <c r="D516" s="154"/>
      <c r="E516" s="154"/>
      <c r="F516" s="154"/>
      <c r="G516" s="154"/>
      <c r="H516" s="154"/>
      <c r="I516" s="154"/>
      <c r="J516" s="217"/>
      <c r="K516" s="218"/>
      <c r="L516" s="154"/>
      <c r="M516" s="154"/>
      <c r="N516" s="154"/>
      <c r="O516" s="154"/>
      <c r="P516" s="154"/>
      <c r="Q516" s="154"/>
      <c r="R516" s="154"/>
      <c r="S516" s="154"/>
      <c r="T516" s="154"/>
      <c r="U516" s="154"/>
      <c r="V516" s="154"/>
      <c r="W516" s="154"/>
      <c r="X516" s="154"/>
      <c r="Y516" s="154"/>
      <c r="Z516" s="154"/>
    </row>
    <row r="517" spans="1:26" ht="12" customHeight="1">
      <c r="A517" s="220"/>
      <c r="B517" s="154"/>
      <c r="C517" s="154"/>
      <c r="D517" s="154"/>
      <c r="E517" s="154"/>
      <c r="F517" s="154"/>
      <c r="G517" s="154"/>
      <c r="H517" s="154"/>
      <c r="I517" s="154"/>
      <c r="J517" s="217"/>
      <c r="K517" s="218"/>
      <c r="L517" s="154"/>
      <c r="M517" s="154"/>
      <c r="N517" s="154"/>
      <c r="O517" s="154"/>
      <c r="P517" s="154"/>
      <c r="Q517" s="154"/>
      <c r="R517" s="154"/>
      <c r="S517" s="154"/>
      <c r="T517" s="154"/>
      <c r="U517" s="154"/>
      <c r="V517" s="154"/>
      <c r="W517" s="154"/>
      <c r="X517" s="154"/>
      <c r="Y517" s="154"/>
      <c r="Z517" s="154"/>
    </row>
    <row r="518" spans="1:26" ht="12" customHeight="1">
      <c r="A518" s="220"/>
      <c r="B518" s="154"/>
      <c r="C518" s="154"/>
      <c r="D518" s="154"/>
      <c r="E518" s="154"/>
      <c r="F518" s="154"/>
      <c r="G518" s="154"/>
      <c r="H518" s="154"/>
      <c r="I518" s="154"/>
      <c r="J518" s="217"/>
      <c r="K518" s="218"/>
      <c r="L518" s="154"/>
      <c r="M518" s="154"/>
      <c r="N518" s="154"/>
      <c r="O518" s="154"/>
      <c r="P518" s="154"/>
      <c r="Q518" s="154"/>
      <c r="R518" s="154"/>
      <c r="S518" s="154"/>
      <c r="T518" s="154"/>
      <c r="U518" s="154"/>
      <c r="V518" s="154"/>
      <c r="W518" s="154"/>
      <c r="X518" s="154"/>
      <c r="Y518" s="154"/>
      <c r="Z518" s="154"/>
    </row>
    <row r="519" spans="1:26" ht="12" customHeight="1">
      <c r="A519" s="220"/>
      <c r="B519" s="154"/>
      <c r="C519" s="154"/>
      <c r="D519" s="154"/>
      <c r="E519" s="154"/>
      <c r="F519" s="154"/>
      <c r="G519" s="154"/>
      <c r="H519" s="154"/>
      <c r="I519" s="154"/>
      <c r="J519" s="217"/>
      <c r="K519" s="218"/>
      <c r="L519" s="154"/>
      <c r="M519" s="154"/>
      <c r="N519" s="154"/>
      <c r="O519" s="154"/>
      <c r="P519" s="154"/>
      <c r="Q519" s="154"/>
      <c r="R519" s="154"/>
      <c r="S519" s="154"/>
      <c r="T519" s="154"/>
      <c r="U519" s="154"/>
      <c r="V519" s="154"/>
      <c r="W519" s="154"/>
      <c r="X519" s="154"/>
      <c r="Y519" s="154"/>
      <c r="Z519" s="154"/>
    </row>
    <row r="520" spans="1:26" ht="12" customHeight="1">
      <c r="A520" s="220"/>
      <c r="B520" s="154"/>
      <c r="C520" s="154"/>
      <c r="D520" s="154"/>
      <c r="E520" s="154"/>
      <c r="F520" s="154"/>
      <c r="G520" s="154"/>
      <c r="H520" s="154"/>
      <c r="I520" s="154"/>
      <c r="J520" s="217"/>
      <c r="K520" s="218"/>
      <c r="L520" s="154"/>
      <c r="M520" s="154"/>
      <c r="N520" s="154"/>
      <c r="O520" s="154"/>
      <c r="P520" s="154"/>
      <c r="Q520" s="154"/>
      <c r="R520" s="154"/>
      <c r="S520" s="154"/>
      <c r="T520" s="154"/>
      <c r="U520" s="154"/>
      <c r="V520" s="154"/>
      <c r="W520" s="154"/>
      <c r="X520" s="154"/>
      <c r="Y520" s="154"/>
      <c r="Z520" s="154"/>
    </row>
    <row r="521" spans="1:26" ht="12" customHeight="1">
      <c r="A521" s="220"/>
      <c r="B521" s="154"/>
      <c r="C521" s="154"/>
      <c r="D521" s="154"/>
      <c r="E521" s="154"/>
      <c r="F521" s="154"/>
      <c r="G521" s="154"/>
      <c r="H521" s="154"/>
      <c r="I521" s="154"/>
      <c r="J521" s="217"/>
      <c r="K521" s="218"/>
      <c r="L521" s="154"/>
      <c r="M521" s="154"/>
      <c r="N521" s="154"/>
      <c r="O521" s="154"/>
      <c r="P521" s="154"/>
      <c r="Q521" s="154"/>
      <c r="R521" s="154"/>
      <c r="S521" s="154"/>
      <c r="T521" s="154"/>
      <c r="U521" s="154"/>
      <c r="V521" s="154"/>
      <c r="W521" s="154"/>
      <c r="X521" s="154"/>
      <c r="Y521" s="154"/>
      <c r="Z521" s="154"/>
    </row>
    <row r="522" spans="1:26" ht="12" customHeight="1">
      <c r="A522" s="220"/>
      <c r="B522" s="154"/>
      <c r="C522" s="154"/>
      <c r="D522" s="154"/>
      <c r="E522" s="154"/>
      <c r="F522" s="154"/>
      <c r="G522" s="154"/>
      <c r="H522" s="154"/>
      <c r="I522" s="154"/>
      <c r="J522" s="217"/>
      <c r="K522" s="218"/>
      <c r="L522" s="154"/>
      <c r="M522" s="154"/>
      <c r="N522" s="154"/>
      <c r="O522" s="154"/>
      <c r="P522" s="154"/>
      <c r="Q522" s="154"/>
      <c r="R522" s="154"/>
      <c r="S522" s="154"/>
      <c r="T522" s="154"/>
      <c r="U522" s="154"/>
      <c r="V522" s="154"/>
      <c r="W522" s="154"/>
      <c r="X522" s="154"/>
      <c r="Y522" s="154"/>
      <c r="Z522" s="154"/>
    </row>
    <row r="523" spans="1:26" ht="12" customHeight="1">
      <c r="A523" s="220"/>
      <c r="B523" s="154"/>
      <c r="C523" s="154"/>
      <c r="D523" s="154"/>
      <c r="E523" s="154"/>
      <c r="F523" s="154"/>
      <c r="G523" s="154"/>
      <c r="H523" s="154"/>
      <c r="I523" s="154"/>
      <c r="J523" s="217"/>
      <c r="K523" s="218"/>
      <c r="L523" s="154"/>
      <c r="M523" s="154"/>
      <c r="N523" s="154"/>
      <c r="O523" s="154"/>
      <c r="P523" s="154"/>
      <c r="Q523" s="154"/>
      <c r="R523" s="154"/>
      <c r="S523" s="154"/>
      <c r="T523" s="154"/>
      <c r="U523" s="154"/>
      <c r="V523" s="154"/>
      <c r="W523" s="154"/>
      <c r="X523" s="154"/>
      <c r="Y523" s="154"/>
      <c r="Z523" s="154"/>
    </row>
    <row r="524" spans="1:26" ht="12" customHeight="1">
      <c r="A524" s="220"/>
      <c r="B524" s="154"/>
      <c r="C524" s="154"/>
      <c r="D524" s="154"/>
      <c r="E524" s="154"/>
      <c r="F524" s="154"/>
      <c r="G524" s="154"/>
      <c r="H524" s="154"/>
      <c r="I524" s="154"/>
      <c r="J524" s="217"/>
      <c r="K524" s="218"/>
      <c r="L524" s="154"/>
      <c r="M524" s="154"/>
      <c r="N524" s="154"/>
      <c r="O524" s="154"/>
      <c r="P524" s="154"/>
      <c r="Q524" s="154"/>
      <c r="R524" s="154"/>
      <c r="S524" s="154"/>
      <c r="T524" s="154"/>
      <c r="U524" s="154"/>
      <c r="V524" s="154"/>
      <c r="W524" s="154"/>
      <c r="X524" s="154"/>
      <c r="Y524" s="154"/>
      <c r="Z524" s="154"/>
    </row>
    <row r="525" spans="1:26" ht="12" customHeight="1">
      <c r="A525" s="220"/>
      <c r="B525" s="154"/>
      <c r="C525" s="154"/>
      <c r="D525" s="154"/>
      <c r="E525" s="154"/>
      <c r="F525" s="154"/>
      <c r="G525" s="154"/>
      <c r="H525" s="154"/>
      <c r="I525" s="154"/>
      <c r="J525" s="217"/>
      <c r="K525" s="218"/>
      <c r="L525" s="154"/>
      <c r="M525" s="154"/>
      <c r="N525" s="154"/>
      <c r="O525" s="154"/>
      <c r="P525" s="154"/>
      <c r="Q525" s="154"/>
      <c r="R525" s="154"/>
      <c r="S525" s="154"/>
      <c r="T525" s="154"/>
      <c r="U525" s="154"/>
      <c r="V525" s="154"/>
      <c r="W525" s="154"/>
      <c r="X525" s="154"/>
      <c r="Y525" s="154"/>
      <c r="Z525" s="154"/>
    </row>
    <row r="526" spans="1:26" ht="12" customHeight="1">
      <c r="A526" s="220"/>
      <c r="B526" s="154"/>
      <c r="C526" s="154"/>
      <c r="D526" s="154"/>
      <c r="E526" s="154"/>
      <c r="F526" s="154"/>
      <c r="G526" s="154"/>
      <c r="H526" s="154"/>
      <c r="I526" s="154"/>
      <c r="J526" s="217"/>
      <c r="K526" s="218"/>
      <c r="L526" s="154"/>
      <c r="M526" s="154"/>
      <c r="N526" s="154"/>
      <c r="O526" s="154"/>
      <c r="P526" s="154"/>
      <c r="Q526" s="154"/>
      <c r="R526" s="154"/>
      <c r="S526" s="154"/>
      <c r="T526" s="154"/>
      <c r="U526" s="154"/>
      <c r="V526" s="154"/>
      <c r="W526" s="154"/>
      <c r="X526" s="154"/>
      <c r="Y526" s="154"/>
      <c r="Z526" s="154"/>
    </row>
    <row r="527" spans="1:26" ht="12" customHeight="1">
      <c r="A527" s="220"/>
      <c r="B527" s="154"/>
      <c r="C527" s="154"/>
      <c r="D527" s="154"/>
      <c r="E527" s="154"/>
      <c r="F527" s="154"/>
      <c r="G527" s="154"/>
      <c r="H527" s="154"/>
      <c r="I527" s="154"/>
      <c r="J527" s="217"/>
      <c r="K527" s="218"/>
      <c r="L527" s="154"/>
      <c r="M527" s="154"/>
      <c r="N527" s="154"/>
      <c r="O527" s="154"/>
      <c r="P527" s="154"/>
      <c r="Q527" s="154"/>
      <c r="R527" s="154"/>
      <c r="S527" s="154"/>
      <c r="T527" s="154"/>
      <c r="U527" s="154"/>
      <c r="V527" s="154"/>
      <c r="W527" s="154"/>
      <c r="X527" s="154"/>
      <c r="Y527" s="154"/>
      <c r="Z527" s="154"/>
    </row>
    <row r="528" spans="1:26" ht="12" customHeight="1">
      <c r="A528" s="220"/>
      <c r="B528" s="154"/>
      <c r="C528" s="154"/>
      <c r="D528" s="154"/>
      <c r="E528" s="154"/>
      <c r="F528" s="154"/>
      <c r="G528" s="154"/>
      <c r="H528" s="154"/>
      <c r="I528" s="154"/>
      <c r="J528" s="217"/>
      <c r="K528" s="218"/>
      <c r="L528" s="154"/>
      <c r="M528" s="154"/>
      <c r="N528" s="154"/>
      <c r="O528" s="154"/>
      <c r="P528" s="154"/>
      <c r="Q528" s="154"/>
      <c r="R528" s="154"/>
      <c r="S528" s="154"/>
      <c r="T528" s="154"/>
      <c r="U528" s="154"/>
      <c r="V528" s="154"/>
      <c r="W528" s="154"/>
      <c r="X528" s="154"/>
      <c r="Y528" s="154"/>
      <c r="Z528" s="154"/>
    </row>
    <row r="529" spans="1:26" ht="12" customHeight="1">
      <c r="A529" s="220"/>
      <c r="B529" s="154"/>
      <c r="C529" s="154"/>
      <c r="D529" s="154"/>
      <c r="E529" s="154"/>
      <c r="F529" s="154"/>
      <c r="G529" s="154"/>
      <c r="H529" s="154"/>
      <c r="I529" s="154"/>
      <c r="J529" s="217"/>
      <c r="K529" s="218"/>
      <c r="L529" s="154"/>
      <c r="M529" s="154"/>
      <c r="N529" s="154"/>
      <c r="O529" s="154"/>
      <c r="P529" s="154"/>
      <c r="Q529" s="154"/>
      <c r="R529" s="154"/>
      <c r="S529" s="154"/>
      <c r="T529" s="154"/>
      <c r="U529" s="154"/>
      <c r="V529" s="154"/>
      <c r="W529" s="154"/>
      <c r="X529" s="154"/>
      <c r="Y529" s="154"/>
      <c r="Z529" s="154"/>
    </row>
    <row r="530" spans="1:26" ht="12" customHeight="1">
      <c r="A530" s="220"/>
      <c r="B530" s="154"/>
      <c r="C530" s="154"/>
      <c r="D530" s="154"/>
      <c r="E530" s="154"/>
      <c r="F530" s="154"/>
      <c r="G530" s="154"/>
      <c r="H530" s="154"/>
      <c r="I530" s="154"/>
      <c r="J530" s="217"/>
      <c r="K530" s="218"/>
      <c r="L530" s="154"/>
      <c r="M530" s="154"/>
      <c r="N530" s="154"/>
      <c r="O530" s="154"/>
      <c r="P530" s="154"/>
      <c r="Q530" s="154"/>
      <c r="R530" s="154"/>
      <c r="S530" s="154"/>
      <c r="T530" s="154"/>
      <c r="U530" s="154"/>
      <c r="V530" s="154"/>
      <c r="W530" s="154"/>
      <c r="X530" s="154"/>
      <c r="Y530" s="154"/>
      <c r="Z530" s="154"/>
    </row>
    <row r="531" spans="1:26" ht="12" customHeight="1">
      <c r="A531" s="220"/>
      <c r="B531" s="154"/>
      <c r="C531" s="154"/>
      <c r="D531" s="154"/>
      <c r="E531" s="154"/>
      <c r="F531" s="154"/>
      <c r="G531" s="154"/>
      <c r="H531" s="154"/>
      <c r="I531" s="154"/>
      <c r="J531" s="217"/>
      <c r="K531" s="218"/>
      <c r="L531" s="154"/>
      <c r="M531" s="154"/>
      <c r="N531" s="154"/>
      <c r="O531" s="154"/>
      <c r="P531" s="154"/>
      <c r="Q531" s="154"/>
      <c r="R531" s="154"/>
      <c r="S531" s="154"/>
      <c r="T531" s="154"/>
      <c r="U531" s="154"/>
      <c r="V531" s="154"/>
      <c r="W531" s="154"/>
      <c r="X531" s="154"/>
      <c r="Y531" s="154"/>
      <c r="Z531" s="154"/>
    </row>
    <row r="532" spans="1:26" ht="12" customHeight="1">
      <c r="A532" s="220"/>
      <c r="B532" s="154"/>
      <c r="C532" s="154"/>
      <c r="D532" s="154"/>
      <c r="E532" s="154"/>
      <c r="F532" s="154"/>
      <c r="G532" s="154"/>
      <c r="H532" s="154"/>
      <c r="I532" s="154"/>
      <c r="J532" s="217"/>
      <c r="K532" s="218"/>
      <c r="L532" s="154"/>
      <c r="M532" s="154"/>
      <c r="N532" s="154"/>
      <c r="O532" s="154"/>
      <c r="P532" s="154"/>
      <c r="Q532" s="154"/>
      <c r="R532" s="154"/>
      <c r="S532" s="154"/>
      <c r="T532" s="154"/>
      <c r="U532" s="154"/>
      <c r="V532" s="154"/>
      <c r="W532" s="154"/>
      <c r="X532" s="154"/>
      <c r="Y532" s="154"/>
      <c r="Z532" s="154"/>
    </row>
    <row r="533" spans="1:26" ht="12" customHeight="1">
      <c r="A533" s="220"/>
      <c r="B533" s="154"/>
      <c r="C533" s="154"/>
      <c r="D533" s="154"/>
      <c r="E533" s="154"/>
      <c r="F533" s="154"/>
      <c r="G533" s="154"/>
      <c r="H533" s="154"/>
      <c r="I533" s="154"/>
      <c r="J533" s="217"/>
      <c r="K533" s="218"/>
      <c r="L533" s="154"/>
      <c r="M533" s="154"/>
      <c r="N533" s="154"/>
      <c r="O533" s="154"/>
      <c r="P533" s="154"/>
      <c r="Q533" s="154"/>
      <c r="R533" s="154"/>
      <c r="S533" s="154"/>
      <c r="T533" s="154"/>
      <c r="U533" s="154"/>
      <c r="V533" s="154"/>
      <c r="W533" s="154"/>
      <c r="X533" s="154"/>
      <c r="Y533" s="154"/>
      <c r="Z533" s="154"/>
    </row>
    <row r="534" spans="1:26" ht="12" customHeight="1">
      <c r="A534" s="220"/>
      <c r="B534" s="154"/>
      <c r="C534" s="154"/>
      <c r="D534" s="154"/>
      <c r="E534" s="154"/>
      <c r="F534" s="154"/>
      <c r="G534" s="154"/>
      <c r="H534" s="154"/>
      <c r="I534" s="154"/>
      <c r="J534" s="217"/>
      <c r="K534" s="218"/>
      <c r="L534" s="154"/>
      <c r="M534" s="154"/>
      <c r="N534" s="154"/>
      <c r="O534" s="154"/>
      <c r="P534" s="154"/>
      <c r="Q534" s="154"/>
      <c r="R534" s="154"/>
      <c r="S534" s="154"/>
      <c r="T534" s="154"/>
      <c r="U534" s="154"/>
      <c r="V534" s="154"/>
      <c r="W534" s="154"/>
      <c r="X534" s="154"/>
      <c r="Y534" s="154"/>
      <c r="Z534" s="154"/>
    </row>
    <row r="535" spans="1:26" ht="12" customHeight="1">
      <c r="A535" s="220"/>
      <c r="B535" s="154"/>
      <c r="C535" s="154"/>
      <c r="D535" s="154"/>
      <c r="E535" s="154"/>
      <c r="F535" s="154"/>
      <c r="G535" s="154"/>
      <c r="H535" s="154"/>
      <c r="I535" s="154"/>
      <c r="J535" s="217"/>
      <c r="K535" s="218"/>
      <c r="L535" s="154"/>
      <c r="M535" s="154"/>
      <c r="N535" s="154"/>
      <c r="O535" s="154"/>
      <c r="P535" s="154"/>
      <c r="Q535" s="154"/>
      <c r="R535" s="154"/>
      <c r="S535" s="154"/>
      <c r="T535" s="154"/>
      <c r="U535" s="154"/>
      <c r="V535" s="154"/>
      <c r="W535" s="154"/>
      <c r="X535" s="154"/>
      <c r="Y535" s="154"/>
      <c r="Z535" s="154"/>
    </row>
    <row r="536" spans="1:26" ht="12" customHeight="1">
      <c r="A536" s="220"/>
      <c r="B536" s="154"/>
      <c r="C536" s="154"/>
      <c r="D536" s="154"/>
      <c r="E536" s="154"/>
      <c r="F536" s="154"/>
      <c r="G536" s="154"/>
      <c r="H536" s="154"/>
      <c r="I536" s="154"/>
      <c r="J536" s="217"/>
      <c r="K536" s="218"/>
      <c r="L536" s="154"/>
      <c r="M536" s="154"/>
      <c r="N536" s="154"/>
      <c r="O536" s="154"/>
      <c r="P536" s="154"/>
      <c r="Q536" s="154"/>
      <c r="R536" s="154"/>
      <c r="S536" s="154"/>
      <c r="T536" s="154"/>
      <c r="U536" s="154"/>
      <c r="V536" s="154"/>
      <c r="W536" s="154"/>
      <c r="X536" s="154"/>
      <c r="Y536" s="154"/>
      <c r="Z536" s="154"/>
    </row>
    <row r="537" spans="1:26" ht="12" customHeight="1">
      <c r="A537" s="220"/>
      <c r="B537" s="154"/>
      <c r="C537" s="154"/>
      <c r="D537" s="154"/>
      <c r="E537" s="154"/>
      <c r="F537" s="154"/>
      <c r="G537" s="154"/>
      <c r="H537" s="154"/>
      <c r="I537" s="154"/>
      <c r="J537" s="217"/>
      <c r="K537" s="218"/>
      <c r="L537" s="154"/>
      <c r="M537" s="154"/>
      <c r="N537" s="154"/>
      <c r="O537" s="154"/>
      <c r="P537" s="154"/>
      <c r="Q537" s="154"/>
      <c r="R537" s="154"/>
      <c r="S537" s="154"/>
      <c r="T537" s="154"/>
      <c r="U537" s="154"/>
      <c r="V537" s="154"/>
      <c r="W537" s="154"/>
      <c r="X537" s="154"/>
      <c r="Y537" s="154"/>
      <c r="Z537" s="154"/>
    </row>
    <row r="538" spans="1:26" ht="12" customHeight="1">
      <c r="A538" s="220"/>
      <c r="B538" s="154"/>
      <c r="C538" s="154"/>
      <c r="D538" s="154"/>
      <c r="E538" s="154"/>
      <c r="F538" s="154"/>
      <c r="G538" s="154"/>
      <c r="H538" s="154"/>
      <c r="I538" s="154"/>
      <c r="J538" s="217"/>
      <c r="K538" s="218"/>
      <c r="L538" s="154"/>
      <c r="M538" s="154"/>
      <c r="N538" s="154"/>
      <c r="O538" s="154"/>
      <c r="P538" s="154"/>
      <c r="Q538" s="154"/>
      <c r="R538" s="154"/>
      <c r="S538" s="154"/>
      <c r="T538" s="154"/>
      <c r="U538" s="154"/>
      <c r="V538" s="154"/>
      <c r="W538" s="154"/>
      <c r="X538" s="154"/>
      <c r="Y538" s="154"/>
      <c r="Z538" s="154"/>
    </row>
    <row r="539" spans="1:26" ht="12" customHeight="1">
      <c r="A539" s="220"/>
      <c r="B539" s="154"/>
      <c r="C539" s="154"/>
      <c r="D539" s="154"/>
      <c r="E539" s="154"/>
      <c r="F539" s="154"/>
      <c r="G539" s="154"/>
      <c r="H539" s="154"/>
      <c r="I539" s="154"/>
      <c r="J539" s="217"/>
      <c r="K539" s="218"/>
      <c r="L539" s="154"/>
      <c r="M539" s="154"/>
      <c r="N539" s="154"/>
      <c r="O539" s="154"/>
      <c r="P539" s="154"/>
      <c r="Q539" s="154"/>
      <c r="R539" s="154"/>
      <c r="S539" s="154"/>
      <c r="T539" s="154"/>
      <c r="U539" s="154"/>
      <c r="V539" s="154"/>
      <c r="W539" s="154"/>
      <c r="X539" s="154"/>
      <c r="Y539" s="154"/>
      <c r="Z539" s="154"/>
    </row>
    <row r="540" spans="1:26" ht="12" customHeight="1">
      <c r="A540" s="220"/>
      <c r="B540" s="154"/>
      <c r="C540" s="154"/>
      <c r="D540" s="154"/>
      <c r="E540" s="154"/>
      <c r="F540" s="154"/>
      <c r="G540" s="154"/>
      <c r="H540" s="154"/>
      <c r="I540" s="154"/>
      <c r="J540" s="217"/>
      <c r="K540" s="218"/>
      <c r="L540" s="154"/>
      <c r="M540" s="154"/>
      <c r="N540" s="154"/>
      <c r="O540" s="154"/>
      <c r="P540" s="154"/>
      <c r="Q540" s="154"/>
      <c r="R540" s="154"/>
      <c r="S540" s="154"/>
      <c r="T540" s="154"/>
      <c r="U540" s="154"/>
      <c r="V540" s="154"/>
      <c r="W540" s="154"/>
      <c r="X540" s="154"/>
      <c r="Y540" s="154"/>
      <c r="Z540" s="154"/>
    </row>
    <row r="541" spans="1:26" ht="12" customHeight="1">
      <c r="A541" s="220"/>
      <c r="B541" s="154"/>
      <c r="C541" s="154"/>
      <c r="D541" s="154"/>
      <c r="E541" s="154"/>
      <c r="F541" s="154"/>
      <c r="G541" s="154"/>
      <c r="H541" s="154"/>
      <c r="I541" s="154"/>
      <c r="J541" s="217"/>
      <c r="K541" s="218"/>
      <c r="L541" s="154"/>
      <c r="M541" s="154"/>
      <c r="N541" s="154"/>
      <c r="O541" s="154"/>
      <c r="P541" s="154"/>
      <c r="Q541" s="154"/>
      <c r="R541" s="154"/>
      <c r="S541" s="154"/>
      <c r="T541" s="154"/>
      <c r="U541" s="154"/>
      <c r="V541" s="154"/>
      <c r="W541" s="154"/>
      <c r="X541" s="154"/>
      <c r="Y541" s="154"/>
      <c r="Z541" s="154"/>
    </row>
    <row r="542" spans="1:26" ht="12" customHeight="1">
      <c r="A542" s="220"/>
      <c r="B542" s="154"/>
      <c r="C542" s="154"/>
      <c r="D542" s="154"/>
      <c r="E542" s="154"/>
      <c r="F542" s="154"/>
      <c r="G542" s="154"/>
      <c r="H542" s="154"/>
      <c r="I542" s="154"/>
      <c r="J542" s="217"/>
      <c r="K542" s="218"/>
      <c r="L542" s="154"/>
      <c r="M542" s="154"/>
      <c r="N542" s="154"/>
      <c r="O542" s="154"/>
      <c r="P542" s="154"/>
      <c r="Q542" s="154"/>
      <c r="R542" s="154"/>
      <c r="S542" s="154"/>
      <c r="T542" s="154"/>
      <c r="U542" s="154"/>
      <c r="V542" s="154"/>
      <c r="W542" s="154"/>
      <c r="X542" s="154"/>
      <c r="Y542" s="154"/>
      <c r="Z542" s="154"/>
    </row>
    <row r="543" spans="1:26" ht="12" customHeight="1">
      <c r="A543" s="220"/>
      <c r="B543" s="154"/>
      <c r="C543" s="154"/>
      <c r="D543" s="154"/>
      <c r="E543" s="154"/>
      <c r="F543" s="154"/>
      <c r="G543" s="154"/>
      <c r="H543" s="154"/>
      <c r="I543" s="154"/>
      <c r="J543" s="217"/>
      <c r="K543" s="218"/>
      <c r="L543" s="154"/>
      <c r="M543" s="154"/>
      <c r="N543" s="154"/>
      <c r="O543" s="154"/>
      <c r="P543" s="154"/>
      <c r="Q543" s="154"/>
      <c r="R543" s="154"/>
      <c r="S543" s="154"/>
      <c r="T543" s="154"/>
      <c r="U543" s="154"/>
      <c r="V543" s="154"/>
      <c r="W543" s="154"/>
      <c r="X543" s="154"/>
      <c r="Y543" s="154"/>
      <c r="Z543" s="154"/>
    </row>
    <row r="544" spans="1:26" ht="12" customHeight="1">
      <c r="A544" s="220"/>
      <c r="B544" s="154"/>
      <c r="C544" s="154"/>
      <c r="D544" s="154"/>
      <c r="E544" s="154"/>
      <c r="F544" s="154"/>
      <c r="G544" s="154"/>
      <c r="H544" s="154"/>
      <c r="I544" s="154"/>
      <c r="J544" s="217"/>
      <c r="K544" s="218"/>
      <c r="L544" s="154"/>
      <c r="M544" s="154"/>
      <c r="N544" s="154"/>
      <c r="O544" s="154"/>
      <c r="P544" s="154"/>
      <c r="Q544" s="154"/>
      <c r="R544" s="154"/>
      <c r="S544" s="154"/>
      <c r="T544" s="154"/>
      <c r="U544" s="154"/>
      <c r="V544" s="154"/>
      <c r="W544" s="154"/>
      <c r="X544" s="154"/>
      <c r="Y544" s="154"/>
      <c r="Z544" s="154"/>
    </row>
    <row r="545" spans="1:26" ht="12" customHeight="1">
      <c r="A545" s="220"/>
      <c r="B545" s="154"/>
      <c r="C545" s="154"/>
      <c r="D545" s="154"/>
      <c r="E545" s="154"/>
      <c r="F545" s="154"/>
      <c r="G545" s="154"/>
      <c r="H545" s="154"/>
      <c r="I545" s="154"/>
      <c r="J545" s="217"/>
      <c r="K545" s="218"/>
      <c r="L545" s="154"/>
      <c r="M545" s="154"/>
      <c r="N545" s="154"/>
      <c r="O545" s="154"/>
      <c r="P545" s="154"/>
      <c r="Q545" s="154"/>
      <c r="R545" s="154"/>
      <c r="S545" s="154"/>
      <c r="T545" s="154"/>
      <c r="U545" s="154"/>
      <c r="V545" s="154"/>
      <c r="W545" s="154"/>
      <c r="X545" s="154"/>
      <c r="Y545" s="154"/>
      <c r="Z545" s="154"/>
    </row>
    <row r="546" spans="1:26" ht="12" customHeight="1">
      <c r="A546" s="220"/>
      <c r="B546" s="154"/>
      <c r="C546" s="154"/>
      <c r="D546" s="154"/>
      <c r="E546" s="154"/>
      <c r="F546" s="154"/>
      <c r="G546" s="154"/>
      <c r="H546" s="154"/>
      <c r="I546" s="154"/>
      <c r="J546" s="217"/>
      <c r="K546" s="218"/>
      <c r="L546" s="154"/>
      <c r="M546" s="154"/>
      <c r="N546" s="154"/>
      <c r="O546" s="154"/>
      <c r="P546" s="154"/>
      <c r="Q546" s="154"/>
      <c r="R546" s="154"/>
      <c r="S546" s="154"/>
      <c r="T546" s="154"/>
      <c r="U546" s="154"/>
      <c r="V546" s="154"/>
      <c r="W546" s="154"/>
      <c r="X546" s="154"/>
      <c r="Y546" s="154"/>
      <c r="Z546" s="154"/>
    </row>
    <row r="547" spans="1:26" ht="12" customHeight="1">
      <c r="A547" s="220"/>
      <c r="B547" s="154"/>
      <c r="C547" s="154"/>
      <c r="D547" s="154"/>
      <c r="E547" s="154"/>
      <c r="F547" s="154"/>
      <c r="G547" s="154"/>
      <c r="H547" s="154"/>
      <c r="I547" s="154"/>
      <c r="J547" s="217"/>
      <c r="K547" s="218"/>
      <c r="L547" s="154"/>
      <c r="M547" s="154"/>
      <c r="N547" s="154"/>
      <c r="O547" s="154"/>
      <c r="P547" s="154"/>
      <c r="Q547" s="154"/>
      <c r="R547" s="154"/>
      <c r="S547" s="154"/>
      <c r="T547" s="154"/>
      <c r="U547" s="154"/>
      <c r="V547" s="154"/>
      <c r="W547" s="154"/>
      <c r="X547" s="154"/>
      <c r="Y547" s="154"/>
      <c r="Z547" s="154"/>
    </row>
    <row r="548" spans="1:26" ht="12" customHeight="1">
      <c r="A548" s="220"/>
      <c r="B548" s="154"/>
      <c r="C548" s="154"/>
      <c r="D548" s="154"/>
      <c r="E548" s="154"/>
      <c r="F548" s="154"/>
      <c r="G548" s="154"/>
      <c r="H548" s="154"/>
      <c r="I548" s="154"/>
      <c r="J548" s="217"/>
      <c r="K548" s="218"/>
      <c r="L548" s="154"/>
      <c r="M548" s="154"/>
      <c r="N548" s="154"/>
      <c r="O548" s="154"/>
      <c r="P548" s="154"/>
      <c r="Q548" s="154"/>
      <c r="R548" s="154"/>
      <c r="S548" s="154"/>
      <c r="T548" s="154"/>
      <c r="U548" s="154"/>
      <c r="V548" s="154"/>
      <c r="W548" s="154"/>
      <c r="X548" s="154"/>
      <c r="Y548" s="154"/>
      <c r="Z548" s="154"/>
    </row>
    <row r="549" spans="1:26" ht="12" customHeight="1">
      <c r="A549" s="220"/>
      <c r="B549" s="154"/>
      <c r="C549" s="154"/>
      <c r="D549" s="154"/>
      <c r="E549" s="154"/>
      <c r="F549" s="154"/>
      <c r="G549" s="154"/>
      <c r="H549" s="154"/>
      <c r="I549" s="154"/>
      <c r="J549" s="217"/>
      <c r="K549" s="218"/>
      <c r="L549" s="154"/>
      <c r="M549" s="154"/>
      <c r="N549" s="154"/>
      <c r="O549" s="154"/>
      <c r="P549" s="154"/>
      <c r="Q549" s="154"/>
      <c r="R549" s="154"/>
      <c r="S549" s="154"/>
      <c r="T549" s="154"/>
      <c r="U549" s="154"/>
      <c r="V549" s="154"/>
      <c r="W549" s="154"/>
      <c r="X549" s="154"/>
      <c r="Y549" s="154"/>
      <c r="Z549" s="154"/>
    </row>
    <row r="550" spans="1:26" ht="12" customHeight="1">
      <c r="A550" s="220"/>
      <c r="B550" s="154"/>
      <c r="C550" s="154"/>
      <c r="D550" s="154"/>
      <c r="E550" s="154"/>
      <c r="F550" s="154"/>
      <c r="G550" s="154"/>
      <c r="H550" s="154"/>
      <c r="I550" s="154"/>
      <c r="J550" s="217"/>
      <c r="K550" s="218"/>
      <c r="L550" s="154"/>
      <c r="M550" s="154"/>
      <c r="N550" s="154"/>
      <c r="O550" s="154"/>
      <c r="P550" s="154"/>
      <c r="Q550" s="154"/>
      <c r="R550" s="154"/>
      <c r="S550" s="154"/>
      <c r="T550" s="154"/>
      <c r="U550" s="154"/>
      <c r="V550" s="154"/>
      <c r="W550" s="154"/>
      <c r="X550" s="154"/>
      <c r="Y550" s="154"/>
      <c r="Z550" s="154"/>
    </row>
    <row r="551" spans="1:26" ht="12" customHeight="1">
      <c r="A551" s="220"/>
      <c r="B551" s="154"/>
      <c r="C551" s="154"/>
      <c r="D551" s="154"/>
      <c r="E551" s="154"/>
      <c r="F551" s="154"/>
      <c r="G551" s="154"/>
      <c r="H551" s="154"/>
      <c r="I551" s="154"/>
      <c r="J551" s="217"/>
      <c r="K551" s="218"/>
      <c r="L551" s="154"/>
      <c r="M551" s="154"/>
      <c r="N551" s="154"/>
      <c r="O551" s="154"/>
      <c r="P551" s="154"/>
      <c r="Q551" s="154"/>
      <c r="R551" s="154"/>
      <c r="S551" s="154"/>
      <c r="T551" s="154"/>
      <c r="U551" s="154"/>
      <c r="V551" s="154"/>
      <c r="W551" s="154"/>
      <c r="X551" s="154"/>
      <c r="Y551" s="154"/>
      <c r="Z551" s="154"/>
    </row>
    <row r="552" spans="1:26" ht="12" customHeight="1">
      <c r="A552" s="220"/>
      <c r="B552" s="154"/>
      <c r="C552" s="154"/>
      <c r="D552" s="154"/>
      <c r="E552" s="154"/>
      <c r="F552" s="154"/>
      <c r="G552" s="154"/>
      <c r="H552" s="154"/>
      <c r="I552" s="154"/>
      <c r="J552" s="217"/>
      <c r="K552" s="218"/>
      <c r="L552" s="154"/>
      <c r="M552" s="154"/>
      <c r="N552" s="154"/>
      <c r="O552" s="154"/>
      <c r="P552" s="154"/>
      <c r="Q552" s="154"/>
      <c r="R552" s="154"/>
      <c r="S552" s="154"/>
      <c r="T552" s="154"/>
      <c r="U552" s="154"/>
      <c r="V552" s="154"/>
      <c r="W552" s="154"/>
      <c r="X552" s="154"/>
      <c r="Y552" s="154"/>
      <c r="Z552" s="154"/>
    </row>
    <row r="553" spans="1:26" ht="12" customHeight="1">
      <c r="A553" s="220"/>
      <c r="B553" s="154"/>
      <c r="C553" s="154"/>
      <c r="D553" s="154"/>
      <c r="E553" s="154"/>
      <c r="F553" s="154"/>
      <c r="G553" s="154"/>
      <c r="H553" s="154"/>
      <c r="I553" s="154"/>
      <c r="J553" s="217"/>
      <c r="K553" s="218"/>
      <c r="L553" s="154"/>
      <c r="M553" s="154"/>
      <c r="N553" s="154"/>
      <c r="O553" s="154"/>
      <c r="P553" s="154"/>
      <c r="Q553" s="154"/>
      <c r="R553" s="154"/>
      <c r="S553" s="154"/>
      <c r="T553" s="154"/>
      <c r="U553" s="154"/>
      <c r="V553" s="154"/>
      <c r="W553" s="154"/>
      <c r="X553" s="154"/>
      <c r="Y553" s="154"/>
      <c r="Z553" s="154"/>
    </row>
    <row r="554" spans="1:26" ht="12" customHeight="1">
      <c r="A554" s="220"/>
      <c r="B554" s="154"/>
      <c r="C554" s="154"/>
      <c r="D554" s="154"/>
      <c r="E554" s="154"/>
      <c r="F554" s="154"/>
      <c r="G554" s="154"/>
      <c r="H554" s="154"/>
      <c r="I554" s="154"/>
      <c r="J554" s="217"/>
      <c r="K554" s="218"/>
      <c r="L554" s="154"/>
      <c r="M554" s="154"/>
      <c r="N554" s="154"/>
      <c r="O554" s="154"/>
      <c r="P554" s="154"/>
      <c r="Q554" s="154"/>
      <c r="R554" s="154"/>
      <c r="S554" s="154"/>
      <c r="T554" s="154"/>
      <c r="U554" s="154"/>
      <c r="V554" s="154"/>
      <c r="W554" s="154"/>
      <c r="X554" s="154"/>
      <c r="Y554" s="154"/>
      <c r="Z554" s="154"/>
    </row>
    <row r="555" spans="1:26" ht="12" customHeight="1">
      <c r="A555" s="220"/>
      <c r="B555" s="154"/>
      <c r="C555" s="154"/>
      <c r="D555" s="154"/>
      <c r="E555" s="154"/>
      <c r="F555" s="154"/>
      <c r="G555" s="154"/>
      <c r="H555" s="154"/>
      <c r="I555" s="154"/>
      <c r="J555" s="217"/>
      <c r="K555" s="218"/>
      <c r="L555" s="154"/>
      <c r="M555" s="154"/>
      <c r="N555" s="154"/>
      <c r="O555" s="154"/>
      <c r="P555" s="154"/>
      <c r="Q555" s="154"/>
      <c r="R555" s="154"/>
      <c r="S555" s="154"/>
      <c r="T555" s="154"/>
      <c r="U555" s="154"/>
      <c r="V555" s="154"/>
      <c r="W555" s="154"/>
      <c r="X555" s="154"/>
      <c r="Y555" s="154"/>
      <c r="Z555" s="154"/>
    </row>
    <row r="556" spans="1:26" ht="12" customHeight="1">
      <c r="A556" s="220"/>
      <c r="B556" s="154"/>
      <c r="C556" s="154"/>
      <c r="D556" s="154"/>
      <c r="E556" s="154"/>
      <c r="F556" s="154"/>
      <c r="G556" s="154"/>
      <c r="H556" s="154"/>
      <c r="I556" s="154"/>
      <c r="J556" s="217"/>
      <c r="K556" s="218"/>
      <c r="L556" s="154"/>
      <c r="M556" s="154"/>
      <c r="N556" s="154"/>
      <c r="O556" s="154"/>
      <c r="P556" s="154"/>
      <c r="Q556" s="154"/>
      <c r="R556" s="154"/>
      <c r="S556" s="154"/>
      <c r="T556" s="154"/>
      <c r="U556" s="154"/>
      <c r="V556" s="154"/>
      <c r="W556" s="154"/>
      <c r="X556" s="154"/>
      <c r="Y556" s="154"/>
      <c r="Z556" s="154"/>
    </row>
    <row r="557" spans="1:26" ht="12" customHeight="1">
      <c r="A557" s="220"/>
      <c r="B557" s="154"/>
      <c r="C557" s="154"/>
      <c r="D557" s="154"/>
      <c r="E557" s="154"/>
      <c r="F557" s="154"/>
      <c r="G557" s="154"/>
      <c r="H557" s="154"/>
      <c r="I557" s="154"/>
      <c r="J557" s="217"/>
      <c r="K557" s="218"/>
      <c r="L557" s="154"/>
      <c r="M557" s="154"/>
      <c r="N557" s="154"/>
      <c r="O557" s="154"/>
      <c r="P557" s="154"/>
      <c r="Q557" s="154"/>
      <c r="R557" s="154"/>
      <c r="S557" s="154"/>
      <c r="T557" s="154"/>
      <c r="U557" s="154"/>
      <c r="V557" s="154"/>
      <c r="W557" s="154"/>
      <c r="X557" s="154"/>
      <c r="Y557" s="154"/>
      <c r="Z557" s="154"/>
    </row>
    <row r="558" spans="1:26" ht="12" customHeight="1">
      <c r="A558" s="220"/>
      <c r="B558" s="154"/>
      <c r="C558" s="154"/>
      <c r="D558" s="154"/>
      <c r="E558" s="154"/>
      <c r="F558" s="154"/>
      <c r="G558" s="154"/>
      <c r="H558" s="154"/>
      <c r="I558" s="154"/>
      <c r="J558" s="217"/>
      <c r="K558" s="218"/>
      <c r="L558" s="154"/>
      <c r="M558" s="154"/>
      <c r="N558" s="154"/>
      <c r="O558" s="154"/>
      <c r="P558" s="154"/>
      <c r="Q558" s="154"/>
      <c r="R558" s="154"/>
      <c r="S558" s="154"/>
      <c r="T558" s="154"/>
      <c r="U558" s="154"/>
      <c r="V558" s="154"/>
      <c r="W558" s="154"/>
      <c r="X558" s="154"/>
      <c r="Y558" s="154"/>
      <c r="Z558" s="154"/>
    </row>
    <row r="559" spans="1:26" ht="12" customHeight="1">
      <c r="A559" s="220"/>
      <c r="B559" s="154"/>
      <c r="C559" s="154"/>
      <c r="D559" s="154"/>
      <c r="E559" s="154"/>
      <c r="F559" s="154"/>
      <c r="G559" s="154"/>
      <c r="H559" s="154"/>
      <c r="I559" s="154"/>
      <c r="J559" s="217"/>
      <c r="K559" s="218"/>
      <c r="L559" s="154"/>
      <c r="M559" s="154"/>
      <c r="N559" s="154"/>
      <c r="O559" s="154"/>
      <c r="P559" s="154"/>
      <c r="Q559" s="154"/>
      <c r="R559" s="154"/>
      <c r="S559" s="154"/>
      <c r="T559" s="154"/>
      <c r="U559" s="154"/>
      <c r="V559" s="154"/>
      <c r="W559" s="154"/>
      <c r="X559" s="154"/>
      <c r="Y559" s="154"/>
      <c r="Z559" s="154"/>
    </row>
    <row r="560" spans="1:26" ht="12" customHeight="1">
      <c r="A560" s="220"/>
      <c r="B560" s="154"/>
      <c r="C560" s="154"/>
      <c r="D560" s="154"/>
      <c r="E560" s="154"/>
      <c r="F560" s="154"/>
      <c r="G560" s="154"/>
      <c r="H560" s="154"/>
      <c r="I560" s="154"/>
      <c r="J560" s="217"/>
      <c r="K560" s="218"/>
      <c r="L560" s="154"/>
      <c r="M560" s="154"/>
      <c r="N560" s="154"/>
      <c r="O560" s="154"/>
      <c r="P560" s="154"/>
      <c r="Q560" s="154"/>
      <c r="R560" s="154"/>
      <c r="S560" s="154"/>
      <c r="T560" s="154"/>
      <c r="U560" s="154"/>
      <c r="V560" s="154"/>
      <c r="W560" s="154"/>
      <c r="X560" s="154"/>
      <c r="Y560" s="154"/>
      <c r="Z560" s="154"/>
    </row>
    <row r="561" spans="1:26" ht="12" customHeight="1">
      <c r="A561" s="220"/>
      <c r="B561" s="154"/>
      <c r="C561" s="154"/>
      <c r="D561" s="154"/>
      <c r="E561" s="154"/>
      <c r="F561" s="154"/>
      <c r="G561" s="154"/>
      <c r="H561" s="154"/>
      <c r="I561" s="154"/>
      <c r="J561" s="217"/>
      <c r="K561" s="218"/>
      <c r="L561" s="154"/>
      <c r="M561" s="154"/>
      <c r="N561" s="154"/>
      <c r="O561" s="154"/>
      <c r="P561" s="154"/>
      <c r="Q561" s="154"/>
      <c r="R561" s="154"/>
      <c r="S561" s="154"/>
      <c r="T561" s="154"/>
      <c r="U561" s="154"/>
      <c r="V561" s="154"/>
      <c r="W561" s="154"/>
      <c r="X561" s="154"/>
      <c r="Y561" s="154"/>
      <c r="Z561" s="154"/>
    </row>
    <row r="562" spans="1:26" ht="12" customHeight="1">
      <c r="A562" s="220"/>
      <c r="B562" s="154"/>
      <c r="C562" s="154"/>
      <c r="D562" s="154"/>
      <c r="E562" s="154"/>
      <c r="F562" s="154"/>
      <c r="G562" s="154"/>
      <c r="H562" s="154"/>
      <c r="I562" s="154"/>
      <c r="J562" s="217"/>
      <c r="K562" s="218"/>
      <c r="L562" s="154"/>
      <c r="M562" s="154"/>
      <c r="N562" s="154"/>
      <c r="O562" s="154"/>
      <c r="P562" s="154"/>
      <c r="Q562" s="154"/>
      <c r="R562" s="154"/>
      <c r="S562" s="154"/>
      <c r="T562" s="154"/>
      <c r="U562" s="154"/>
      <c r="V562" s="154"/>
      <c r="W562" s="154"/>
      <c r="X562" s="154"/>
      <c r="Y562" s="154"/>
      <c r="Z562" s="154"/>
    </row>
    <row r="563" spans="1:26" ht="12" customHeight="1">
      <c r="A563" s="220"/>
      <c r="B563" s="154"/>
      <c r="C563" s="154"/>
      <c r="D563" s="154"/>
      <c r="E563" s="154"/>
      <c r="F563" s="154"/>
      <c r="G563" s="154"/>
      <c r="H563" s="154"/>
      <c r="I563" s="154"/>
      <c r="J563" s="217"/>
      <c r="K563" s="218"/>
      <c r="L563" s="154"/>
      <c r="M563" s="154"/>
      <c r="N563" s="154"/>
      <c r="O563" s="154"/>
      <c r="P563" s="154"/>
      <c r="Q563" s="154"/>
      <c r="R563" s="154"/>
      <c r="S563" s="154"/>
      <c r="T563" s="154"/>
      <c r="U563" s="154"/>
      <c r="V563" s="154"/>
      <c r="W563" s="154"/>
      <c r="X563" s="154"/>
      <c r="Y563" s="154"/>
      <c r="Z563" s="154"/>
    </row>
    <row r="564" spans="1:26" ht="12" customHeight="1">
      <c r="A564" s="220"/>
      <c r="B564" s="154"/>
      <c r="C564" s="154"/>
      <c r="D564" s="154"/>
      <c r="E564" s="154"/>
      <c r="F564" s="154"/>
      <c r="G564" s="154"/>
      <c r="H564" s="154"/>
      <c r="I564" s="154"/>
      <c r="J564" s="217"/>
      <c r="K564" s="218"/>
      <c r="L564" s="154"/>
      <c r="M564" s="154"/>
      <c r="N564" s="154"/>
      <c r="O564" s="154"/>
      <c r="P564" s="154"/>
      <c r="Q564" s="154"/>
      <c r="R564" s="154"/>
      <c r="S564" s="154"/>
      <c r="T564" s="154"/>
      <c r="U564" s="154"/>
      <c r="V564" s="154"/>
      <c r="W564" s="154"/>
      <c r="X564" s="154"/>
      <c r="Y564" s="154"/>
      <c r="Z564" s="154"/>
    </row>
    <row r="565" spans="1:26" ht="12" customHeight="1">
      <c r="A565" s="220"/>
      <c r="B565" s="154"/>
      <c r="C565" s="154"/>
      <c r="D565" s="154"/>
      <c r="E565" s="154"/>
      <c r="F565" s="154"/>
      <c r="G565" s="154"/>
      <c r="H565" s="154"/>
      <c r="I565" s="154"/>
      <c r="J565" s="217"/>
      <c r="K565" s="218"/>
      <c r="L565" s="154"/>
      <c r="M565" s="154"/>
      <c r="N565" s="154"/>
      <c r="O565" s="154"/>
      <c r="P565" s="154"/>
      <c r="Q565" s="154"/>
      <c r="R565" s="154"/>
      <c r="S565" s="154"/>
      <c r="T565" s="154"/>
      <c r="U565" s="154"/>
      <c r="V565" s="154"/>
      <c r="W565" s="154"/>
      <c r="X565" s="154"/>
      <c r="Y565" s="154"/>
      <c r="Z565" s="154"/>
    </row>
    <row r="566" spans="1:26" ht="12" customHeight="1">
      <c r="A566" s="220"/>
      <c r="B566" s="154"/>
      <c r="C566" s="154"/>
      <c r="D566" s="154"/>
      <c r="E566" s="154"/>
      <c r="F566" s="154"/>
      <c r="G566" s="154"/>
      <c r="H566" s="154"/>
      <c r="I566" s="154"/>
      <c r="J566" s="217"/>
      <c r="K566" s="218"/>
      <c r="L566" s="154"/>
      <c r="M566" s="154"/>
      <c r="N566" s="154"/>
      <c r="O566" s="154"/>
      <c r="P566" s="154"/>
      <c r="Q566" s="154"/>
      <c r="R566" s="154"/>
      <c r="S566" s="154"/>
      <c r="T566" s="154"/>
      <c r="U566" s="154"/>
      <c r="V566" s="154"/>
      <c r="W566" s="154"/>
      <c r="X566" s="154"/>
      <c r="Y566" s="154"/>
      <c r="Z566" s="154"/>
    </row>
    <row r="567" spans="1:26" ht="12" customHeight="1">
      <c r="A567" s="220"/>
      <c r="B567" s="154"/>
      <c r="C567" s="154"/>
      <c r="D567" s="154"/>
      <c r="E567" s="154"/>
      <c r="F567" s="154"/>
      <c r="G567" s="154"/>
      <c r="H567" s="154"/>
      <c r="I567" s="154"/>
      <c r="J567" s="217"/>
      <c r="K567" s="218"/>
      <c r="L567" s="154"/>
      <c r="M567" s="154"/>
      <c r="N567" s="154"/>
      <c r="O567" s="154"/>
      <c r="P567" s="154"/>
      <c r="Q567" s="154"/>
      <c r="R567" s="154"/>
      <c r="S567" s="154"/>
      <c r="T567" s="154"/>
      <c r="U567" s="154"/>
      <c r="V567" s="154"/>
      <c r="W567" s="154"/>
      <c r="X567" s="154"/>
      <c r="Y567" s="154"/>
      <c r="Z567" s="154"/>
    </row>
    <row r="568" spans="1:26" ht="12" customHeight="1">
      <c r="A568" s="220"/>
      <c r="B568" s="154"/>
      <c r="C568" s="154"/>
      <c r="D568" s="154"/>
      <c r="E568" s="154"/>
      <c r="F568" s="154"/>
      <c r="G568" s="154"/>
      <c r="H568" s="154"/>
      <c r="I568" s="154"/>
      <c r="J568" s="217"/>
      <c r="K568" s="218"/>
      <c r="L568" s="154"/>
      <c r="M568" s="154"/>
      <c r="N568" s="154"/>
      <c r="O568" s="154"/>
      <c r="P568" s="154"/>
      <c r="Q568" s="154"/>
      <c r="R568" s="154"/>
      <c r="S568" s="154"/>
      <c r="T568" s="154"/>
      <c r="U568" s="154"/>
      <c r="V568" s="154"/>
      <c r="W568" s="154"/>
      <c r="X568" s="154"/>
      <c r="Y568" s="154"/>
      <c r="Z568" s="154"/>
    </row>
    <row r="569" spans="1:26" ht="12" customHeight="1">
      <c r="A569" s="220"/>
      <c r="B569" s="154"/>
      <c r="C569" s="154"/>
      <c r="D569" s="154"/>
      <c r="E569" s="154"/>
      <c r="F569" s="154"/>
      <c r="G569" s="154"/>
      <c r="H569" s="154"/>
      <c r="I569" s="154"/>
      <c r="J569" s="217"/>
      <c r="K569" s="218"/>
      <c r="L569" s="154"/>
      <c r="M569" s="154"/>
      <c r="N569" s="154"/>
      <c r="O569" s="154"/>
      <c r="P569" s="154"/>
      <c r="Q569" s="154"/>
      <c r="R569" s="154"/>
      <c r="S569" s="154"/>
      <c r="T569" s="154"/>
      <c r="U569" s="154"/>
      <c r="V569" s="154"/>
      <c r="W569" s="154"/>
      <c r="X569" s="154"/>
      <c r="Y569" s="154"/>
      <c r="Z569" s="154"/>
    </row>
    <row r="570" spans="1:26" ht="12" customHeight="1">
      <c r="A570" s="220"/>
      <c r="B570" s="154"/>
      <c r="C570" s="154"/>
      <c r="D570" s="154"/>
      <c r="E570" s="154"/>
      <c r="F570" s="154"/>
      <c r="G570" s="154"/>
      <c r="H570" s="154"/>
      <c r="I570" s="154"/>
      <c r="J570" s="217"/>
      <c r="K570" s="218"/>
      <c r="L570" s="154"/>
      <c r="M570" s="154"/>
      <c r="N570" s="154"/>
      <c r="O570" s="154"/>
      <c r="P570" s="154"/>
      <c r="Q570" s="154"/>
      <c r="R570" s="154"/>
      <c r="S570" s="154"/>
      <c r="T570" s="154"/>
      <c r="U570" s="154"/>
      <c r="V570" s="154"/>
      <c r="W570" s="154"/>
      <c r="X570" s="154"/>
      <c r="Y570" s="154"/>
      <c r="Z570" s="154"/>
    </row>
    <row r="571" spans="1:26" ht="12" customHeight="1">
      <c r="A571" s="220"/>
      <c r="B571" s="154"/>
      <c r="C571" s="154"/>
      <c r="D571" s="154"/>
      <c r="E571" s="154"/>
      <c r="F571" s="154"/>
      <c r="G571" s="154"/>
      <c r="H571" s="154"/>
      <c r="I571" s="154"/>
      <c r="J571" s="217"/>
      <c r="K571" s="218"/>
      <c r="L571" s="154"/>
      <c r="M571" s="154"/>
      <c r="N571" s="154"/>
      <c r="O571" s="154"/>
      <c r="P571" s="154"/>
      <c r="Q571" s="154"/>
      <c r="R571" s="154"/>
      <c r="S571" s="154"/>
      <c r="T571" s="154"/>
      <c r="U571" s="154"/>
      <c r="V571" s="154"/>
      <c r="W571" s="154"/>
      <c r="X571" s="154"/>
      <c r="Y571" s="154"/>
      <c r="Z571" s="154"/>
    </row>
    <row r="572" spans="1:26" ht="12" customHeight="1">
      <c r="A572" s="220"/>
      <c r="B572" s="154"/>
      <c r="C572" s="154"/>
      <c r="D572" s="154"/>
      <c r="E572" s="154"/>
      <c r="F572" s="154"/>
      <c r="G572" s="154"/>
      <c r="H572" s="154"/>
      <c r="I572" s="154"/>
      <c r="J572" s="217"/>
      <c r="K572" s="218"/>
      <c r="L572" s="154"/>
      <c r="M572" s="154"/>
      <c r="N572" s="154"/>
      <c r="O572" s="154"/>
      <c r="P572" s="154"/>
      <c r="Q572" s="154"/>
      <c r="R572" s="154"/>
      <c r="S572" s="154"/>
      <c r="T572" s="154"/>
      <c r="U572" s="154"/>
      <c r="V572" s="154"/>
      <c r="W572" s="154"/>
      <c r="X572" s="154"/>
      <c r="Y572" s="154"/>
      <c r="Z572" s="154"/>
    </row>
    <row r="573" spans="1:26" ht="12" customHeight="1">
      <c r="A573" s="220"/>
      <c r="B573" s="154"/>
      <c r="C573" s="154"/>
      <c r="D573" s="154"/>
      <c r="E573" s="154"/>
      <c r="F573" s="154"/>
      <c r="G573" s="154"/>
      <c r="H573" s="154"/>
      <c r="I573" s="154"/>
      <c r="J573" s="217"/>
      <c r="K573" s="218"/>
      <c r="L573" s="154"/>
      <c r="M573" s="154"/>
      <c r="N573" s="154"/>
      <c r="O573" s="154"/>
      <c r="P573" s="154"/>
      <c r="Q573" s="154"/>
      <c r="R573" s="154"/>
      <c r="S573" s="154"/>
      <c r="T573" s="154"/>
      <c r="U573" s="154"/>
      <c r="V573" s="154"/>
      <c r="W573" s="154"/>
      <c r="X573" s="154"/>
      <c r="Y573" s="154"/>
      <c r="Z573" s="154"/>
    </row>
    <row r="574" spans="1:26" ht="12" customHeight="1">
      <c r="A574" s="220"/>
      <c r="B574" s="154"/>
      <c r="C574" s="154"/>
      <c r="D574" s="154"/>
      <c r="E574" s="154"/>
      <c r="F574" s="154"/>
      <c r="G574" s="154"/>
      <c r="H574" s="154"/>
      <c r="I574" s="154"/>
      <c r="J574" s="217"/>
      <c r="K574" s="218"/>
      <c r="L574" s="154"/>
      <c r="M574" s="154"/>
      <c r="N574" s="154"/>
      <c r="O574" s="154"/>
      <c r="P574" s="154"/>
      <c r="Q574" s="154"/>
      <c r="R574" s="154"/>
      <c r="S574" s="154"/>
      <c r="T574" s="154"/>
      <c r="U574" s="154"/>
      <c r="V574" s="154"/>
      <c r="W574" s="154"/>
      <c r="X574" s="154"/>
      <c r="Y574" s="154"/>
      <c r="Z574" s="154"/>
    </row>
    <row r="575" spans="1:26" ht="12" customHeight="1">
      <c r="A575" s="220"/>
      <c r="B575" s="154"/>
      <c r="C575" s="154"/>
      <c r="D575" s="154"/>
      <c r="E575" s="154"/>
      <c r="F575" s="154"/>
      <c r="G575" s="154"/>
      <c r="H575" s="154"/>
      <c r="I575" s="154"/>
      <c r="J575" s="217"/>
      <c r="K575" s="218"/>
      <c r="L575" s="154"/>
      <c r="M575" s="154"/>
      <c r="N575" s="154"/>
      <c r="O575" s="154"/>
      <c r="P575" s="154"/>
      <c r="Q575" s="154"/>
      <c r="R575" s="154"/>
      <c r="S575" s="154"/>
      <c r="T575" s="154"/>
      <c r="U575" s="154"/>
      <c r="V575" s="154"/>
      <c r="W575" s="154"/>
      <c r="X575" s="154"/>
      <c r="Y575" s="154"/>
      <c r="Z575" s="154"/>
    </row>
    <row r="576" spans="1:26" ht="12" customHeight="1">
      <c r="A576" s="220"/>
      <c r="B576" s="154"/>
      <c r="C576" s="154"/>
      <c r="D576" s="154"/>
      <c r="E576" s="154"/>
      <c r="F576" s="154"/>
      <c r="G576" s="154"/>
      <c r="H576" s="154"/>
      <c r="I576" s="154"/>
      <c r="J576" s="217"/>
      <c r="K576" s="218"/>
      <c r="L576" s="154"/>
      <c r="M576" s="154"/>
      <c r="N576" s="154"/>
      <c r="O576" s="154"/>
      <c r="P576" s="154"/>
      <c r="Q576" s="154"/>
      <c r="R576" s="154"/>
      <c r="S576" s="154"/>
      <c r="T576" s="154"/>
      <c r="U576" s="154"/>
      <c r="V576" s="154"/>
      <c r="W576" s="154"/>
      <c r="X576" s="154"/>
      <c r="Y576" s="154"/>
      <c r="Z576" s="154"/>
    </row>
    <row r="577" spans="1:26" ht="12" customHeight="1">
      <c r="A577" s="220"/>
      <c r="B577" s="154"/>
      <c r="C577" s="154"/>
      <c r="D577" s="154"/>
      <c r="E577" s="154"/>
      <c r="F577" s="154"/>
      <c r="G577" s="154"/>
      <c r="H577" s="154"/>
      <c r="I577" s="154"/>
      <c r="J577" s="217"/>
      <c r="K577" s="218"/>
      <c r="L577" s="154"/>
      <c r="M577" s="154"/>
      <c r="N577" s="154"/>
      <c r="O577" s="154"/>
      <c r="P577" s="154"/>
      <c r="Q577" s="154"/>
      <c r="R577" s="154"/>
      <c r="S577" s="154"/>
      <c r="T577" s="154"/>
      <c r="U577" s="154"/>
      <c r="V577" s="154"/>
      <c r="W577" s="154"/>
      <c r="X577" s="154"/>
      <c r="Y577" s="154"/>
      <c r="Z577" s="154"/>
    </row>
    <row r="578" spans="1:26" ht="12" customHeight="1">
      <c r="A578" s="220"/>
      <c r="B578" s="154"/>
      <c r="C578" s="154"/>
      <c r="D578" s="154"/>
      <c r="E578" s="154"/>
      <c r="F578" s="154"/>
      <c r="G578" s="154"/>
      <c r="H578" s="154"/>
      <c r="I578" s="154"/>
      <c r="J578" s="217"/>
      <c r="K578" s="218"/>
      <c r="L578" s="154"/>
      <c r="M578" s="154"/>
      <c r="N578" s="154"/>
      <c r="O578" s="154"/>
      <c r="P578" s="154"/>
      <c r="Q578" s="154"/>
      <c r="R578" s="154"/>
      <c r="S578" s="154"/>
      <c r="T578" s="154"/>
      <c r="U578" s="154"/>
      <c r="V578" s="154"/>
      <c r="W578" s="154"/>
      <c r="X578" s="154"/>
      <c r="Y578" s="154"/>
      <c r="Z578" s="154"/>
    </row>
    <row r="579" spans="1:26" ht="12" customHeight="1">
      <c r="A579" s="220"/>
      <c r="B579" s="154"/>
      <c r="C579" s="154"/>
      <c r="D579" s="154"/>
      <c r="E579" s="154"/>
      <c r="F579" s="154"/>
      <c r="G579" s="154"/>
      <c r="H579" s="154"/>
      <c r="I579" s="154"/>
      <c r="J579" s="217"/>
      <c r="K579" s="218"/>
      <c r="L579" s="154"/>
      <c r="M579" s="154"/>
      <c r="N579" s="154"/>
      <c r="O579" s="154"/>
      <c r="P579" s="154"/>
      <c r="Q579" s="154"/>
      <c r="R579" s="154"/>
      <c r="S579" s="154"/>
      <c r="T579" s="154"/>
      <c r="U579" s="154"/>
      <c r="V579" s="154"/>
      <c r="W579" s="154"/>
      <c r="X579" s="154"/>
      <c r="Y579" s="154"/>
      <c r="Z579" s="154"/>
    </row>
    <row r="580" spans="1:26" ht="12" customHeight="1">
      <c r="A580" s="220"/>
      <c r="B580" s="154"/>
      <c r="C580" s="154"/>
      <c r="D580" s="154"/>
      <c r="E580" s="154"/>
      <c r="F580" s="154"/>
      <c r="G580" s="154"/>
      <c r="H580" s="154"/>
      <c r="I580" s="154"/>
      <c r="J580" s="217"/>
      <c r="K580" s="218"/>
      <c r="L580" s="154"/>
      <c r="M580" s="154"/>
      <c r="N580" s="154"/>
      <c r="O580" s="154"/>
      <c r="P580" s="154"/>
      <c r="Q580" s="154"/>
      <c r="R580" s="154"/>
      <c r="S580" s="154"/>
      <c r="T580" s="154"/>
      <c r="U580" s="154"/>
      <c r="V580" s="154"/>
      <c r="W580" s="154"/>
      <c r="X580" s="154"/>
      <c r="Y580" s="154"/>
      <c r="Z580" s="154"/>
    </row>
    <row r="581" spans="1:26" ht="12" customHeight="1">
      <c r="A581" s="220"/>
      <c r="B581" s="154"/>
      <c r="C581" s="154"/>
      <c r="D581" s="154"/>
      <c r="E581" s="154"/>
      <c r="F581" s="154"/>
      <c r="G581" s="154"/>
      <c r="H581" s="154"/>
      <c r="I581" s="154"/>
      <c r="J581" s="217"/>
      <c r="K581" s="218"/>
      <c r="L581" s="154"/>
      <c r="M581" s="154"/>
      <c r="N581" s="154"/>
      <c r="O581" s="154"/>
      <c r="P581" s="154"/>
      <c r="Q581" s="154"/>
      <c r="R581" s="154"/>
      <c r="S581" s="154"/>
      <c r="T581" s="154"/>
      <c r="U581" s="154"/>
      <c r="V581" s="154"/>
      <c r="W581" s="154"/>
      <c r="X581" s="154"/>
      <c r="Y581" s="154"/>
      <c r="Z581" s="154"/>
    </row>
    <row r="582" spans="1:26" ht="12" customHeight="1">
      <c r="A582" s="220"/>
      <c r="B582" s="154"/>
      <c r="C582" s="154"/>
      <c r="D582" s="154"/>
      <c r="E582" s="154"/>
      <c r="F582" s="154"/>
      <c r="G582" s="154"/>
      <c r="H582" s="154"/>
      <c r="I582" s="154"/>
      <c r="J582" s="217"/>
      <c r="K582" s="218"/>
      <c r="L582" s="154"/>
      <c r="M582" s="154"/>
      <c r="N582" s="154"/>
      <c r="O582" s="154"/>
      <c r="P582" s="154"/>
      <c r="Q582" s="154"/>
      <c r="R582" s="154"/>
      <c r="S582" s="154"/>
      <c r="T582" s="154"/>
      <c r="U582" s="154"/>
      <c r="V582" s="154"/>
      <c r="W582" s="154"/>
      <c r="X582" s="154"/>
      <c r="Y582" s="154"/>
      <c r="Z582" s="154"/>
    </row>
    <row r="583" spans="1:26" ht="12" customHeight="1">
      <c r="A583" s="220"/>
      <c r="B583" s="154"/>
      <c r="C583" s="154"/>
      <c r="D583" s="154"/>
      <c r="E583" s="154"/>
      <c r="F583" s="154"/>
      <c r="G583" s="154"/>
      <c r="H583" s="154"/>
      <c r="I583" s="154"/>
      <c r="J583" s="217"/>
      <c r="K583" s="218"/>
      <c r="L583" s="154"/>
      <c r="M583" s="154"/>
      <c r="N583" s="154"/>
      <c r="O583" s="154"/>
      <c r="P583" s="154"/>
      <c r="Q583" s="154"/>
      <c r="R583" s="154"/>
      <c r="S583" s="154"/>
      <c r="T583" s="154"/>
      <c r="U583" s="154"/>
      <c r="V583" s="154"/>
      <c r="W583" s="154"/>
      <c r="X583" s="154"/>
      <c r="Y583" s="154"/>
      <c r="Z583" s="154"/>
    </row>
    <row r="584" spans="1:26" ht="12" customHeight="1">
      <c r="A584" s="220"/>
      <c r="B584" s="154"/>
      <c r="C584" s="154"/>
      <c r="D584" s="154"/>
      <c r="E584" s="154"/>
      <c r="F584" s="154"/>
      <c r="G584" s="154"/>
      <c r="H584" s="154"/>
      <c r="I584" s="154"/>
      <c r="J584" s="217"/>
      <c r="K584" s="218"/>
      <c r="L584" s="154"/>
      <c r="M584" s="154"/>
      <c r="N584" s="154"/>
      <c r="O584" s="154"/>
      <c r="P584" s="154"/>
      <c r="Q584" s="154"/>
      <c r="R584" s="154"/>
      <c r="S584" s="154"/>
      <c r="T584" s="154"/>
      <c r="U584" s="154"/>
      <c r="V584" s="154"/>
      <c r="W584" s="154"/>
      <c r="X584" s="154"/>
      <c r="Y584" s="154"/>
      <c r="Z584" s="154"/>
    </row>
    <row r="585" spans="1:26" ht="12" customHeight="1">
      <c r="A585" s="220"/>
      <c r="B585" s="154"/>
      <c r="C585" s="154"/>
      <c r="D585" s="154"/>
      <c r="E585" s="154"/>
      <c r="F585" s="154"/>
      <c r="G585" s="154"/>
      <c r="H585" s="154"/>
      <c r="I585" s="154"/>
      <c r="J585" s="217"/>
      <c r="K585" s="218"/>
      <c r="L585" s="154"/>
      <c r="M585" s="154"/>
      <c r="N585" s="154"/>
      <c r="O585" s="154"/>
      <c r="P585" s="154"/>
      <c r="Q585" s="154"/>
      <c r="R585" s="154"/>
      <c r="S585" s="154"/>
      <c r="T585" s="154"/>
      <c r="U585" s="154"/>
      <c r="V585" s="154"/>
      <c r="W585" s="154"/>
      <c r="X585" s="154"/>
      <c r="Y585" s="154"/>
      <c r="Z585" s="154"/>
    </row>
    <row r="586" spans="1:26" ht="12" customHeight="1">
      <c r="A586" s="220"/>
      <c r="B586" s="154"/>
      <c r="C586" s="154"/>
      <c r="D586" s="154"/>
      <c r="E586" s="154"/>
      <c r="F586" s="154"/>
      <c r="G586" s="154"/>
      <c r="H586" s="154"/>
      <c r="I586" s="154"/>
      <c r="J586" s="217"/>
      <c r="K586" s="218"/>
      <c r="L586" s="154"/>
      <c r="M586" s="154"/>
      <c r="N586" s="154"/>
      <c r="O586" s="154"/>
      <c r="P586" s="154"/>
      <c r="Q586" s="154"/>
      <c r="R586" s="154"/>
      <c r="S586" s="154"/>
      <c r="T586" s="154"/>
      <c r="U586" s="154"/>
      <c r="V586" s="154"/>
      <c r="W586" s="154"/>
      <c r="X586" s="154"/>
      <c r="Y586" s="154"/>
      <c r="Z586" s="154"/>
    </row>
    <row r="587" spans="1:26" ht="12" customHeight="1">
      <c r="A587" s="220"/>
      <c r="B587" s="154"/>
      <c r="C587" s="154"/>
      <c r="D587" s="154"/>
      <c r="E587" s="154"/>
      <c r="F587" s="154"/>
      <c r="G587" s="154"/>
      <c r="H587" s="154"/>
      <c r="I587" s="154"/>
      <c r="J587" s="217"/>
      <c r="K587" s="218"/>
      <c r="L587" s="154"/>
      <c r="M587" s="154"/>
      <c r="N587" s="154"/>
      <c r="O587" s="154"/>
      <c r="P587" s="154"/>
      <c r="Q587" s="154"/>
      <c r="R587" s="154"/>
      <c r="S587" s="154"/>
      <c r="T587" s="154"/>
      <c r="U587" s="154"/>
      <c r="V587" s="154"/>
      <c r="W587" s="154"/>
      <c r="X587" s="154"/>
      <c r="Y587" s="154"/>
      <c r="Z587" s="154"/>
    </row>
    <row r="588" spans="1:26" ht="12" customHeight="1">
      <c r="A588" s="220"/>
      <c r="B588" s="154"/>
      <c r="C588" s="154"/>
      <c r="D588" s="154"/>
      <c r="E588" s="154"/>
      <c r="F588" s="154"/>
      <c r="G588" s="154"/>
      <c r="H588" s="154"/>
      <c r="I588" s="154"/>
      <c r="J588" s="217"/>
      <c r="K588" s="218"/>
      <c r="L588" s="154"/>
      <c r="M588" s="154"/>
      <c r="N588" s="154"/>
      <c r="O588" s="154"/>
      <c r="P588" s="154"/>
      <c r="Q588" s="154"/>
      <c r="R588" s="154"/>
      <c r="S588" s="154"/>
      <c r="T588" s="154"/>
      <c r="U588" s="154"/>
      <c r="V588" s="154"/>
      <c r="W588" s="154"/>
      <c r="X588" s="154"/>
      <c r="Y588" s="154"/>
      <c r="Z588" s="154"/>
    </row>
    <row r="589" spans="1:26" ht="12" customHeight="1">
      <c r="A589" s="220"/>
      <c r="B589" s="154"/>
      <c r="C589" s="154"/>
      <c r="D589" s="154"/>
      <c r="E589" s="154"/>
      <c r="F589" s="154"/>
      <c r="G589" s="154"/>
      <c r="H589" s="154"/>
      <c r="I589" s="154"/>
      <c r="J589" s="217"/>
      <c r="K589" s="218"/>
      <c r="L589" s="154"/>
      <c r="M589" s="154"/>
      <c r="N589" s="154"/>
      <c r="O589" s="154"/>
      <c r="P589" s="154"/>
      <c r="Q589" s="154"/>
      <c r="R589" s="154"/>
      <c r="S589" s="154"/>
      <c r="T589" s="154"/>
      <c r="U589" s="154"/>
      <c r="V589" s="154"/>
      <c r="W589" s="154"/>
      <c r="X589" s="154"/>
      <c r="Y589" s="154"/>
      <c r="Z589" s="154"/>
    </row>
    <row r="590" spans="1:26" ht="12" customHeight="1">
      <c r="A590" s="220"/>
      <c r="B590" s="154"/>
      <c r="C590" s="154"/>
      <c r="D590" s="154"/>
      <c r="E590" s="154"/>
      <c r="F590" s="154"/>
      <c r="G590" s="154"/>
      <c r="H590" s="154"/>
      <c r="I590" s="154"/>
      <c r="J590" s="217"/>
      <c r="K590" s="218"/>
      <c r="L590" s="154"/>
      <c r="M590" s="154"/>
      <c r="N590" s="154"/>
      <c r="O590" s="154"/>
      <c r="P590" s="154"/>
      <c r="Q590" s="154"/>
      <c r="R590" s="154"/>
      <c r="S590" s="154"/>
      <c r="T590" s="154"/>
      <c r="U590" s="154"/>
      <c r="V590" s="154"/>
      <c r="W590" s="154"/>
      <c r="X590" s="154"/>
      <c r="Y590" s="154"/>
      <c r="Z590" s="154"/>
    </row>
    <row r="591" spans="1:26" ht="12" customHeight="1">
      <c r="A591" s="220"/>
      <c r="B591" s="154"/>
      <c r="C591" s="154"/>
      <c r="D591" s="154"/>
      <c r="E591" s="154"/>
      <c r="F591" s="154"/>
      <c r="G591" s="154"/>
      <c r="H591" s="154"/>
      <c r="I591" s="154"/>
      <c r="J591" s="217"/>
      <c r="K591" s="218"/>
      <c r="L591" s="154"/>
      <c r="M591" s="154"/>
      <c r="N591" s="154"/>
      <c r="O591" s="154"/>
      <c r="P591" s="154"/>
      <c r="Q591" s="154"/>
      <c r="R591" s="154"/>
      <c r="S591" s="154"/>
      <c r="T591" s="154"/>
      <c r="U591" s="154"/>
      <c r="V591" s="154"/>
      <c r="W591" s="154"/>
      <c r="X591" s="154"/>
      <c r="Y591" s="154"/>
      <c r="Z591" s="154"/>
    </row>
    <row r="592" spans="1:26" ht="12" customHeight="1">
      <c r="A592" s="220"/>
      <c r="B592" s="154"/>
      <c r="C592" s="154"/>
      <c r="D592" s="154"/>
      <c r="E592" s="154"/>
      <c r="F592" s="154"/>
      <c r="G592" s="154"/>
      <c r="H592" s="154"/>
      <c r="I592" s="154"/>
      <c r="J592" s="217"/>
      <c r="K592" s="218"/>
      <c r="L592" s="154"/>
      <c r="M592" s="154"/>
      <c r="N592" s="154"/>
      <c r="O592" s="154"/>
      <c r="P592" s="154"/>
      <c r="Q592" s="154"/>
      <c r="R592" s="154"/>
      <c r="S592" s="154"/>
      <c r="T592" s="154"/>
      <c r="U592" s="154"/>
      <c r="V592" s="154"/>
      <c r="W592" s="154"/>
      <c r="X592" s="154"/>
      <c r="Y592" s="154"/>
      <c r="Z592" s="154"/>
    </row>
    <row r="593" spans="1:26" ht="12" customHeight="1">
      <c r="A593" s="220"/>
      <c r="B593" s="154"/>
      <c r="C593" s="154"/>
      <c r="D593" s="154"/>
      <c r="E593" s="154"/>
      <c r="F593" s="154"/>
      <c r="G593" s="154"/>
      <c r="H593" s="154"/>
      <c r="I593" s="154"/>
      <c r="J593" s="217"/>
      <c r="K593" s="218"/>
      <c r="L593" s="154"/>
      <c r="M593" s="154"/>
      <c r="N593" s="154"/>
      <c r="O593" s="154"/>
      <c r="P593" s="154"/>
      <c r="Q593" s="154"/>
      <c r="R593" s="154"/>
      <c r="S593" s="154"/>
      <c r="T593" s="154"/>
      <c r="U593" s="154"/>
      <c r="V593" s="154"/>
      <c r="W593" s="154"/>
      <c r="X593" s="154"/>
      <c r="Y593" s="154"/>
      <c r="Z593" s="154"/>
    </row>
    <row r="594" spans="1:26" ht="12" customHeight="1">
      <c r="A594" s="220"/>
      <c r="B594" s="154"/>
      <c r="C594" s="154"/>
      <c r="D594" s="154"/>
      <c r="E594" s="154"/>
      <c r="F594" s="154"/>
      <c r="G594" s="154"/>
      <c r="H594" s="154"/>
      <c r="I594" s="154"/>
      <c r="J594" s="217"/>
      <c r="K594" s="218"/>
      <c r="L594" s="154"/>
      <c r="M594" s="154"/>
      <c r="N594" s="154"/>
      <c r="O594" s="154"/>
      <c r="P594" s="154"/>
      <c r="Q594" s="154"/>
      <c r="R594" s="154"/>
      <c r="S594" s="154"/>
      <c r="T594" s="154"/>
      <c r="U594" s="154"/>
      <c r="V594" s="154"/>
      <c r="W594" s="154"/>
      <c r="X594" s="154"/>
      <c r="Y594" s="154"/>
      <c r="Z594" s="154"/>
    </row>
    <row r="595" spans="1:26" ht="12" customHeight="1">
      <c r="A595" s="220"/>
      <c r="B595" s="154"/>
      <c r="C595" s="154"/>
      <c r="D595" s="154"/>
      <c r="E595" s="154"/>
      <c r="F595" s="154"/>
      <c r="G595" s="154"/>
      <c r="H595" s="154"/>
      <c r="I595" s="154"/>
      <c r="J595" s="217"/>
      <c r="K595" s="218"/>
      <c r="L595" s="154"/>
      <c r="M595" s="154"/>
      <c r="N595" s="154"/>
      <c r="O595" s="154"/>
      <c r="P595" s="154"/>
      <c r="Q595" s="154"/>
      <c r="R595" s="154"/>
      <c r="S595" s="154"/>
      <c r="T595" s="154"/>
      <c r="U595" s="154"/>
      <c r="V595" s="154"/>
      <c r="W595" s="154"/>
      <c r="X595" s="154"/>
      <c r="Y595" s="154"/>
      <c r="Z595" s="154"/>
    </row>
    <row r="596" spans="1:26" ht="12" customHeight="1">
      <c r="A596" s="220"/>
      <c r="B596" s="154"/>
      <c r="C596" s="154"/>
      <c r="D596" s="154"/>
      <c r="E596" s="154"/>
      <c r="F596" s="154"/>
      <c r="G596" s="154"/>
      <c r="H596" s="154"/>
      <c r="I596" s="154"/>
      <c r="J596" s="217"/>
      <c r="K596" s="218"/>
      <c r="L596" s="154"/>
      <c r="M596" s="154"/>
      <c r="N596" s="154"/>
      <c r="O596" s="154"/>
      <c r="P596" s="154"/>
      <c r="Q596" s="154"/>
      <c r="R596" s="154"/>
      <c r="S596" s="154"/>
      <c r="T596" s="154"/>
      <c r="U596" s="154"/>
      <c r="V596" s="154"/>
      <c r="W596" s="154"/>
      <c r="X596" s="154"/>
      <c r="Y596" s="154"/>
      <c r="Z596" s="154"/>
    </row>
    <row r="597" spans="1:26" ht="12" customHeight="1">
      <c r="A597" s="220"/>
      <c r="B597" s="154"/>
      <c r="C597" s="154"/>
      <c r="D597" s="154"/>
      <c r="E597" s="154"/>
      <c r="F597" s="154"/>
      <c r="G597" s="154"/>
      <c r="H597" s="154"/>
      <c r="I597" s="154"/>
      <c r="J597" s="217"/>
      <c r="K597" s="218"/>
      <c r="L597" s="154"/>
      <c r="M597" s="154"/>
      <c r="N597" s="154"/>
      <c r="O597" s="154"/>
      <c r="P597" s="154"/>
      <c r="Q597" s="154"/>
      <c r="R597" s="154"/>
      <c r="S597" s="154"/>
      <c r="T597" s="154"/>
      <c r="U597" s="154"/>
      <c r="V597" s="154"/>
      <c r="W597" s="154"/>
      <c r="X597" s="154"/>
      <c r="Y597" s="154"/>
      <c r="Z597" s="154"/>
    </row>
    <row r="598" spans="1:26" ht="12" customHeight="1">
      <c r="A598" s="220"/>
      <c r="B598" s="154"/>
      <c r="C598" s="154"/>
      <c r="D598" s="154"/>
      <c r="E598" s="154"/>
      <c r="F598" s="154"/>
      <c r="G598" s="154"/>
      <c r="H598" s="154"/>
      <c r="I598" s="154"/>
      <c r="J598" s="217"/>
      <c r="K598" s="218"/>
      <c r="L598" s="154"/>
      <c r="M598" s="154"/>
      <c r="N598" s="154"/>
      <c r="O598" s="154"/>
      <c r="P598" s="154"/>
      <c r="Q598" s="154"/>
      <c r="R598" s="154"/>
      <c r="S598" s="154"/>
      <c r="T598" s="154"/>
      <c r="U598" s="154"/>
      <c r="V598" s="154"/>
      <c r="W598" s="154"/>
      <c r="X598" s="154"/>
      <c r="Y598" s="154"/>
      <c r="Z598" s="154"/>
    </row>
    <row r="599" spans="1:26" ht="12" customHeight="1">
      <c r="A599" s="220"/>
      <c r="B599" s="154"/>
      <c r="C599" s="154"/>
      <c r="D599" s="154"/>
      <c r="E599" s="154"/>
      <c r="F599" s="154"/>
      <c r="G599" s="154"/>
      <c r="H599" s="154"/>
      <c r="I599" s="154"/>
      <c r="J599" s="217"/>
      <c r="K599" s="218"/>
      <c r="L599" s="154"/>
      <c r="M599" s="154"/>
      <c r="N599" s="154"/>
      <c r="O599" s="154"/>
      <c r="P599" s="154"/>
      <c r="Q599" s="154"/>
      <c r="R599" s="154"/>
      <c r="S599" s="154"/>
      <c r="T599" s="154"/>
      <c r="U599" s="154"/>
      <c r="V599" s="154"/>
      <c r="W599" s="154"/>
      <c r="X599" s="154"/>
      <c r="Y599" s="154"/>
      <c r="Z599" s="154"/>
    </row>
    <row r="600" spans="1:26" ht="12" customHeight="1">
      <c r="A600" s="220"/>
      <c r="B600" s="154"/>
      <c r="C600" s="154"/>
      <c r="D600" s="154"/>
      <c r="E600" s="154"/>
      <c r="F600" s="154"/>
      <c r="G600" s="154"/>
      <c r="H600" s="154"/>
      <c r="I600" s="154"/>
      <c r="J600" s="217"/>
      <c r="K600" s="218"/>
      <c r="L600" s="154"/>
      <c r="M600" s="154"/>
      <c r="N600" s="154"/>
      <c r="O600" s="154"/>
      <c r="P600" s="154"/>
      <c r="Q600" s="154"/>
      <c r="R600" s="154"/>
      <c r="S600" s="154"/>
      <c r="T600" s="154"/>
      <c r="U600" s="154"/>
      <c r="V600" s="154"/>
      <c r="W600" s="154"/>
      <c r="X600" s="154"/>
      <c r="Y600" s="154"/>
      <c r="Z600" s="154"/>
    </row>
    <row r="601" spans="1:26" ht="12" customHeight="1">
      <c r="A601" s="220"/>
      <c r="B601" s="154"/>
      <c r="C601" s="154"/>
      <c r="D601" s="154"/>
      <c r="E601" s="154"/>
      <c r="F601" s="154"/>
      <c r="G601" s="154"/>
      <c r="H601" s="154"/>
      <c r="I601" s="154"/>
      <c r="J601" s="217"/>
      <c r="K601" s="218"/>
      <c r="L601" s="154"/>
      <c r="M601" s="154"/>
      <c r="N601" s="154"/>
      <c r="O601" s="154"/>
      <c r="P601" s="154"/>
      <c r="Q601" s="154"/>
      <c r="R601" s="154"/>
      <c r="S601" s="154"/>
      <c r="T601" s="154"/>
      <c r="U601" s="154"/>
      <c r="V601" s="154"/>
      <c r="W601" s="154"/>
      <c r="X601" s="154"/>
      <c r="Y601" s="154"/>
      <c r="Z601" s="154"/>
    </row>
    <row r="602" spans="1:26" ht="12" customHeight="1">
      <c r="A602" s="220"/>
      <c r="B602" s="154"/>
      <c r="C602" s="154"/>
      <c r="D602" s="154"/>
      <c r="E602" s="154"/>
      <c r="F602" s="154"/>
      <c r="G602" s="154"/>
      <c r="H602" s="154"/>
      <c r="I602" s="154"/>
      <c r="J602" s="217"/>
      <c r="K602" s="218"/>
      <c r="L602" s="154"/>
      <c r="M602" s="154"/>
      <c r="N602" s="154"/>
      <c r="O602" s="154"/>
      <c r="P602" s="154"/>
      <c r="Q602" s="154"/>
      <c r="R602" s="154"/>
      <c r="S602" s="154"/>
      <c r="T602" s="154"/>
      <c r="U602" s="154"/>
      <c r="V602" s="154"/>
      <c r="W602" s="154"/>
      <c r="X602" s="154"/>
      <c r="Y602" s="154"/>
      <c r="Z602" s="154"/>
    </row>
    <row r="603" spans="1:26" ht="12" customHeight="1">
      <c r="A603" s="220"/>
      <c r="B603" s="154"/>
      <c r="C603" s="154"/>
      <c r="D603" s="154"/>
      <c r="E603" s="154"/>
      <c r="F603" s="154"/>
      <c r="G603" s="154"/>
      <c r="H603" s="154"/>
      <c r="I603" s="154"/>
      <c r="J603" s="217"/>
      <c r="K603" s="218"/>
      <c r="L603" s="154"/>
      <c r="M603" s="154"/>
      <c r="N603" s="154"/>
      <c r="O603" s="154"/>
      <c r="P603" s="154"/>
      <c r="Q603" s="154"/>
      <c r="R603" s="154"/>
      <c r="S603" s="154"/>
      <c r="T603" s="154"/>
      <c r="U603" s="154"/>
      <c r="V603" s="154"/>
      <c r="W603" s="154"/>
      <c r="X603" s="154"/>
      <c r="Y603" s="154"/>
      <c r="Z603" s="154"/>
    </row>
    <row r="604" spans="1:26" ht="12" customHeight="1">
      <c r="A604" s="220"/>
      <c r="B604" s="154"/>
      <c r="C604" s="154"/>
      <c r="D604" s="154"/>
      <c r="E604" s="154"/>
      <c r="F604" s="154"/>
      <c r="G604" s="154"/>
      <c r="H604" s="154"/>
      <c r="I604" s="154"/>
      <c r="J604" s="217"/>
      <c r="K604" s="218"/>
      <c r="L604" s="154"/>
      <c r="M604" s="154"/>
      <c r="N604" s="154"/>
      <c r="O604" s="154"/>
      <c r="P604" s="154"/>
      <c r="Q604" s="154"/>
      <c r="R604" s="154"/>
      <c r="S604" s="154"/>
      <c r="T604" s="154"/>
      <c r="U604" s="154"/>
      <c r="V604" s="154"/>
      <c r="W604" s="154"/>
      <c r="X604" s="154"/>
      <c r="Y604" s="154"/>
      <c r="Z604" s="154"/>
    </row>
    <row r="605" spans="1:26" ht="12" customHeight="1">
      <c r="A605" s="220"/>
      <c r="B605" s="154"/>
      <c r="C605" s="154"/>
      <c r="D605" s="154"/>
      <c r="E605" s="154"/>
      <c r="F605" s="154"/>
      <c r="G605" s="154"/>
      <c r="H605" s="154"/>
      <c r="I605" s="154"/>
      <c r="J605" s="217"/>
      <c r="K605" s="218"/>
      <c r="L605" s="154"/>
      <c r="M605" s="154"/>
      <c r="N605" s="154"/>
      <c r="O605" s="154"/>
      <c r="P605" s="154"/>
      <c r="Q605" s="154"/>
      <c r="R605" s="154"/>
      <c r="S605" s="154"/>
      <c r="T605" s="154"/>
      <c r="U605" s="154"/>
      <c r="V605" s="154"/>
      <c r="W605" s="154"/>
      <c r="X605" s="154"/>
      <c r="Y605" s="154"/>
      <c r="Z605" s="154"/>
    </row>
    <row r="606" spans="1:26" ht="12" customHeight="1">
      <c r="A606" s="220"/>
      <c r="B606" s="154"/>
      <c r="C606" s="154"/>
      <c r="D606" s="154"/>
      <c r="E606" s="154"/>
      <c r="F606" s="154"/>
      <c r="G606" s="154"/>
      <c r="H606" s="154"/>
      <c r="I606" s="154"/>
      <c r="J606" s="217"/>
      <c r="K606" s="218"/>
      <c r="L606" s="154"/>
      <c r="M606" s="154"/>
      <c r="N606" s="154"/>
      <c r="O606" s="154"/>
      <c r="P606" s="154"/>
      <c r="Q606" s="154"/>
      <c r="R606" s="154"/>
      <c r="S606" s="154"/>
      <c r="T606" s="154"/>
      <c r="U606" s="154"/>
      <c r="V606" s="154"/>
      <c r="W606" s="154"/>
      <c r="X606" s="154"/>
      <c r="Y606" s="154"/>
      <c r="Z606" s="154"/>
    </row>
    <row r="607" spans="1:26" ht="12" customHeight="1">
      <c r="A607" s="220"/>
      <c r="B607" s="154"/>
      <c r="C607" s="154"/>
      <c r="D607" s="154"/>
      <c r="E607" s="154"/>
      <c r="F607" s="154"/>
      <c r="G607" s="154"/>
      <c r="H607" s="154"/>
      <c r="I607" s="154"/>
      <c r="J607" s="217"/>
      <c r="K607" s="218"/>
      <c r="L607" s="154"/>
      <c r="M607" s="154"/>
      <c r="N607" s="154"/>
      <c r="O607" s="154"/>
      <c r="P607" s="154"/>
      <c r="Q607" s="154"/>
      <c r="R607" s="154"/>
      <c r="S607" s="154"/>
      <c r="T607" s="154"/>
      <c r="U607" s="154"/>
      <c r="V607" s="154"/>
      <c r="W607" s="154"/>
      <c r="X607" s="154"/>
      <c r="Y607" s="154"/>
      <c r="Z607" s="154"/>
    </row>
    <row r="608" spans="1:26" ht="12" customHeight="1">
      <c r="A608" s="220"/>
      <c r="B608" s="154"/>
      <c r="C608" s="154"/>
      <c r="D608" s="154"/>
      <c r="E608" s="154"/>
      <c r="F608" s="154"/>
      <c r="G608" s="154"/>
      <c r="H608" s="154"/>
      <c r="I608" s="154"/>
      <c r="J608" s="217"/>
      <c r="K608" s="218"/>
      <c r="L608" s="154"/>
      <c r="M608" s="154"/>
      <c r="N608" s="154"/>
      <c r="O608" s="154"/>
      <c r="P608" s="154"/>
      <c r="Q608" s="154"/>
      <c r="R608" s="154"/>
      <c r="S608" s="154"/>
      <c r="T608" s="154"/>
      <c r="U608" s="154"/>
      <c r="V608" s="154"/>
      <c r="W608" s="154"/>
      <c r="X608" s="154"/>
      <c r="Y608" s="154"/>
      <c r="Z608" s="154"/>
    </row>
    <row r="609" spans="1:26" ht="12" customHeight="1">
      <c r="A609" s="220"/>
      <c r="B609" s="154"/>
      <c r="C609" s="154"/>
      <c r="D609" s="154"/>
      <c r="E609" s="154"/>
      <c r="F609" s="154"/>
      <c r="G609" s="154"/>
      <c r="H609" s="154"/>
      <c r="I609" s="154"/>
      <c r="J609" s="217"/>
      <c r="K609" s="218"/>
      <c r="L609" s="154"/>
      <c r="M609" s="154"/>
      <c r="N609" s="154"/>
      <c r="O609" s="154"/>
      <c r="P609" s="154"/>
      <c r="Q609" s="154"/>
      <c r="R609" s="154"/>
      <c r="S609" s="154"/>
      <c r="T609" s="154"/>
      <c r="U609" s="154"/>
      <c r="V609" s="154"/>
      <c r="W609" s="154"/>
      <c r="X609" s="154"/>
      <c r="Y609" s="154"/>
      <c r="Z609" s="154"/>
    </row>
    <row r="610" spans="1:26" ht="12" customHeight="1">
      <c r="A610" s="220"/>
      <c r="B610" s="154"/>
      <c r="C610" s="154"/>
      <c r="D610" s="154"/>
      <c r="E610" s="154"/>
      <c r="F610" s="154"/>
      <c r="G610" s="154"/>
      <c r="H610" s="154"/>
      <c r="I610" s="154"/>
      <c r="J610" s="217"/>
      <c r="K610" s="218"/>
      <c r="L610" s="154"/>
      <c r="M610" s="154"/>
      <c r="N610" s="154"/>
      <c r="O610" s="154"/>
      <c r="P610" s="154"/>
      <c r="Q610" s="154"/>
      <c r="R610" s="154"/>
      <c r="S610" s="154"/>
      <c r="T610" s="154"/>
      <c r="U610" s="154"/>
      <c r="V610" s="154"/>
      <c r="W610" s="154"/>
      <c r="X610" s="154"/>
      <c r="Y610" s="154"/>
      <c r="Z610" s="154"/>
    </row>
    <row r="611" spans="1:26" ht="12" customHeight="1">
      <c r="A611" s="220"/>
      <c r="B611" s="154"/>
      <c r="C611" s="154"/>
      <c r="D611" s="154"/>
      <c r="E611" s="154"/>
      <c r="F611" s="154"/>
      <c r="G611" s="154"/>
      <c r="H611" s="154"/>
      <c r="I611" s="154"/>
      <c r="J611" s="217"/>
      <c r="K611" s="218"/>
      <c r="L611" s="154"/>
      <c r="M611" s="154"/>
      <c r="N611" s="154"/>
      <c r="O611" s="154"/>
      <c r="P611" s="154"/>
      <c r="Q611" s="154"/>
      <c r="R611" s="154"/>
      <c r="S611" s="154"/>
      <c r="T611" s="154"/>
      <c r="U611" s="154"/>
      <c r="V611" s="154"/>
      <c r="W611" s="154"/>
      <c r="X611" s="154"/>
      <c r="Y611" s="154"/>
      <c r="Z611" s="154"/>
    </row>
    <row r="612" spans="1:26" ht="12" customHeight="1">
      <c r="A612" s="220"/>
      <c r="B612" s="154"/>
      <c r="C612" s="154"/>
      <c r="D612" s="154"/>
      <c r="E612" s="154"/>
      <c r="F612" s="154"/>
      <c r="G612" s="154"/>
      <c r="H612" s="154"/>
      <c r="I612" s="154"/>
      <c r="J612" s="217"/>
      <c r="K612" s="218"/>
      <c r="L612" s="154"/>
      <c r="M612" s="154"/>
      <c r="N612" s="154"/>
      <c r="O612" s="154"/>
      <c r="P612" s="154"/>
      <c r="Q612" s="154"/>
      <c r="R612" s="154"/>
      <c r="S612" s="154"/>
      <c r="T612" s="154"/>
      <c r="U612" s="154"/>
      <c r="V612" s="154"/>
      <c r="W612" s="154"/>
      <c r="X612" s="154"/>
      <c r="Y612" s="154"/>
      <c r="Z612" s="154"/>
    </row>
    <row r="613" spans="1:26" ht="12" customHeight="1">
      <c r="A613" s="220"/>
      <c r="B613" s="154"/>
      <c r="C613" s="154"/>
      <c r="D613" s="154"/>
      <c r="E613" s="154"/>
      <c r="F613" s="154"/>
      <c r="G613" s="154"/>
      <c r="H613" s="154"/>
      <c r="I613" s="154"/>
      <c r="J613" s="217"/>
      <c r="K613" s="218"/>
      <c r="L613" s="154"/>
      <c r="M613" s="154"/>
      <c r="N613" s="154"/>
      <c r="O613" s="154"/>
      <c r="P613" s="154"/>
      <c r="Q613" s="154"/>
      <c r="R613" s="154"/>
      <c r="S613" s="154"/>
      <c r="T613" s="154"/>
      <c r="U613" s="154"/>
      <c r="V613" s="154"/>
      <c r="W613" s="154"/>
      <c r="X613" s="154"/>
      <c r="Y613" s="154"/>
      <c r="Z613" s="154"/>
    </row>
    <row r="614" spans="1:26" ht="12" customHeight="1">
      <c r="A614" s="220"/>
      <c r="B614" s="154"/>
      <c r="C614" s="154"/>
      <c r="D614" s="154"/>
      <c r="E614" s="154"/>
      <c r="F614" s="154"/>
      <c r="G614" s="154"/>
      <c r="H614" s="154"/>
      <c r="I614" s="154"/>
      <c r="J614" s="217"/>
      <c r="K614" s="218"/>
      <c r="L614" s="154"/>
      <c r="M614" s="154"/>
      <c r="N614" s="154"/>
      <c r="O614" s="154"/>
      <c r="P614" s="154"/>
      <c r="Q614" s="154"/>
      <c r="R614" s="154"/>
      <c r="S614" s="154"/>
      <c r="T614" s="154"/>
      <c r="U614" s="154"/>
      <c r="V614" s="154"/>
      <c r="W614" s="154"/>
      <c r="X614" s="154"/>
      <c r="Y614" s="154"/>
      <c r="Z614" s="154"/>
    </row>
    <row r="615" spans="1:26" ht="12" customHeight="1">
      <c r="A615" s="220"/>
      <c r="B615" s="154"/>
      <c r="C615" s="154"/>
      <c r="D615" s="154"/>
      <c r="E615" s="154"/>
      <c r="F615" s="154"/>
      <c r="G615" s="154"/>
      <c r="H615" s="154"/>
      <c r="I615" s="154"/>
      <c r="J615" s="217"/>
      <c r="K615" s="218"/>
      <c r="L615" s="154"/>
      <c r="M615" s="154"/>
      <c r="N615" s="154"/>
      <c r="O615" s="154"/>
      <c r="P615" s="154"/>
      <c r="Q615" s="154"/>
      <c r="R615" s="154"/>
      <c r="S615" s="154"/>
      <c r="T615" s="154"/>
      <c r="U615" s="154"/>
      <c r="V615" s="154"/>
      <c r="W615" s="154"/>
      <c r="X615" s="154"/>
      <c r="Y615" s="154"/>
      <c r="Z615" s="154"/>
    </row>
    <row r="616" spans="1:26" ht="12" customHeight="1">
      <c r="A616" s="220"/>
      <c r="B616" s="154"/>
      <c r="C616" s="154"/>
      <c r="D616" s="154"/>
      <c r="E616" s="154"/>
      <c r="F616" s="154"/>
      <c r="G616" s="154"/>
      <c r="H616" s="154"/>
      <c r="I616" s="154"/>
      <c r="J616" s="217"/>
      <c r="K616" s="218"/>
      <c r="L616" s="154"/>
      <c r="M616" s="154"/>
      <c r="N616" s="154"/>
      <c r="O616" s="154"/>
      <c r="P616" s="154"/>
      <c r="Q616" s="154"/>
      <c r="R616" s="154"/>
      <c r="S616" s="154"/>
      <c r="T616" s="154"/>
      <c r="U616" s="154"/>
      <c r="V616" s="154"/>
      <c r="W616" s="154"/>
      <c r="X616" s="154"/>
      <c r="Y616" s="154"/>
      <c r="Z616" s="154"/>
    </row>
    <row r="617" spans="1:26" ht="12" customHeight="1">
      <c r="A617" s="220"/>
      <c r="B617" s="154"/>
      <c r="C617" s="154"/>
      <c r="D617" s="154"/>
      <c r="E617" s="154"/>
      <c r="F617" s="154"/>
      <c r="G617" s="154"/>
      <c r="H617" s="154"/>
      <c r="I617" s="154"/>
      <c r="J617" s="217"/>
      <c r="K617" s="218"/>
      <c r="L617" s="154"/>
      <c r="M617" s="154"/>
      <c r="N617" s="154"/>
      <c r="O617" s="154"/>
      <c r="P617" s="154"/>
      <c r="Q617" s="154"/>
      <c r="R617" s="154"/>
      <c r="S617" s="154"/>
      <c r="T617" s="154"/>
      <c r="U617" s="154"/>
      <c r="V617" s="154"/>
      <c r="W617" s="154"/>
      <c r="X617" s="154"/>
      <c r="Y617" s="154"/>
      <c r="Z617" s="154"/>
    </row>
    <row r="618" spans="1:26" ht="12" customHeight="1">
      <c r="A618" s="220"/>
      <c r="B618" s="154"/>
      <c r="C618" s="154"/>
      <c r="D618" s="154"/>
      <c r="E618" s="154"/>
      <c r="F618" s="154"/>
      <c r="G618" s="154"/>
      <c r="H618" s="154"/>
      <c r="I618" s="154"/>
      <c r="J618" s="217"/>
      <c r="K618" s="218"/>
      <c r="L618" s="154"/>
      <c r="M618" s="154"/>
      <c r="N618" s="154"/>
      <c r="O618" s="154"/>
      <c r="P618" s="154"/>
      <c r="Q618" s="154"/>
      <c r="R618" s="154"/>
      <c r="S618" s="154"/>
      <c r="T618" s="154"/>
      <c r="U618" s="154"/>
      <c r="V618" s="154"/>
      <c r="W618" s="154"/>
      <c r="X618" s="154"/>
      <c r="Y618" s="154"/>
      <c r="Z618" s="154"/>
    </row>
    <row r="619" spans="1:26" ht="12" customHeight="1">
      <c r="A619" s="220"/>
      <c r="B619" s="154"/>
      <c r="C619" s="154"/>
      <c r="D619" s="154"/>
      <c r="E619" s="154"/>
      <c r="F619" s="154"/>
      <c r="G619" s="154"/>
      <c r="H619" s="154"/>
      <c r="I619" s="154"/>
      <c r="J619" s="217"/>
      <c r="K619" s="218"/>
      <c r="L619" s="154"/>
      <c r="M619" s="154"/>
      <c r="N619" s="154"/>
      <c r="O619" s="154"/>
      <c r="P619" s="154"/>
      <c r="Q619" s="154"/>
      <c r="R619" s="154"/>
      <c r="S619" s="154"/>
      <c r="T619" s="154"/>
      <c r="U619" s="154"/>
      <c r="V619" s="154"/>
      <c r="W619" s="154"/>
      <c r="X619" s="154"/>
      <c r="Y619" s="154"/>
      <c r="Z619" s="154"/>
    </row>
    <row r="620" spans="1:26" ht="12" customHeight="1">
      <c r="A620" s="220"/>
      <c r="B620" s="154"/>
      <c r="C620" s="154"/>
      <c r="D620" s="154"/>
      <c r="E620" s="154"/>
      <c r="F620" s="154"/>
      <c r="G620" s="154"/>
      <c r="H620" s="154"/>
      <c r="I620" s="154"/>
      <c r="J620" s="217"/>
      <c r="K620" s="218"/>
      <c r="L620" s="154"/>
      <c r="M620" s="154"/>
      <c r="N620" s="154"/>
      <c r="O620" s="154"/>
      <c r="P620" s="154"/>
      <c r="Q620" s="154"/>
      <c r="R620" s="154"/>
      <c r="S620" s="154"/>
      <c r="T620" s="154"/>
      <c r="U620" s="154"/>
      <c r="V620" s="154"/>
      <c r="W620" s="154"/>
      <c r="X620" s="154"/>
      <c r="Y620" s="154"/>
      <c r="Z620" s="154"/>
    </row>
    <row r="621" spans="1:26" ht="12" customHeight="1">
      <c r="A621" s="220"/>
      <c r="B621" s="154"/>
      <c r="C621" s="154"/>
      <c r="D621" s="154"/>
      <c r="E621" s="154"/>
      <c r="F621" s="154"/>
      <c r="G621" s="154"/>
      <c r="H621" s="154"/>
      <c r="I621" s="154"/>
      <c r="J621" s="217"/>
      <c r="K621" s="218"/>
      <c r="L621" s="154"/>
      <c r="M621" s="154"/>
      <c r="N621" s="154"/>
      <c r="O621" s="154"/>
      <c r="P621" s="154"/>
      <c r="Q621" s="154"/>
      <c r="R621" s="154"/>
      <c r="S621" s="154"/>
      <c r="T621" s="154"/>
      <c r="U621" s="154"/>
      <c r="V621" s="154"/>
      <c r="W621" s="154"/>
      <c r="X621" s="154"/>
      <c r="Y621" s="154"/>
      <c r="Z621" s="154"/>
    </row>
    <row r="622" spans="1:26" ht="12" customHeight="1">
      <c r="A622" s="220"/>
      <c r="B622" s="154"/>
      <c r="C622" s="154"/>
      <c r="D622" s="154"/>
      <c r="E622" s="154"/>
      <c r="F622" s="154"/>
      <c r="G622" s="154"/>
      <c r="H622" s="154"/>
      <c r="I622" s="154"/>
      <c r="J622" s="217"/>
      <c r="K622" s="218"/>
      <c r="L622" s="154"/>
      <c r="M622" s="154"/>
      <c r="N622" s="154"/>
      <c r="O622" s="154"/>
      <c r="P622" s="154"/>
      <c r="Q622" s="154"/>
      <c r="R622" s="154"/>
      <c r="S622" s="154"/>
      <c r="T622" s="154"/>
      <c r="U622" s="154"/>
      <c r="V622" s="154"/>
      <c r="W622" s="154"/>
      <c r="X622" s="154"/>
      <c r="Y622" s="154"/>
      <c r="Z622" s="154"/>
    </row>
    <row r="623" spans="1:26" ht="12" customHeight="1">
      <c r="A623" s="220"/>
      <c r="B623" s="154"/>
      <c r="C623" s="154"/>
      <c r="D623" s="154"/>
      <c r="E623" s="154"/>
      <c r="F623" s="154"/>
      <c r="G623" s="154"/>
      <c r="H623" s="154"/>
      <c r="I623" s="154"/>
      <c r="J623" s="217"/>
      <c r="K623" s="218"/>
      <c r="L623" s="154"/>
      <c r="M623" s="154"/>
      <c r="N623" s="154"/>
      <c r="O623" s="154"/>
      <c r="P623" s="154"/>
      <c r="Q623" s="154"/>
      <c r="R623" s="154"/>
      <c r="S623" s="154"/>
      <c r="T623" s="154"/>
      <c r="U623" s="154"/>
      <c r="V623" s="154"/>
      <c r="W623" s="154"/>
      <c r="X623" s="154"/>
      <c r="Y623" s="154"/>
      <c r="Z623" s="154"/>
    </row>
    <row r="624" spans="1:26" ht="12" customHeight="1">
      <c r="A624" s="220"/>
      <c r="B624" s="154"/>
      <c r="C624" s="154"/>
      <c r="D624" s="154"/>
      <c r="E624" s="154"/>
      <c r="F624" s="154"/>
      <c r="G624" s="154"/>
      <c r="H624" s="154"/>
      <c r="I624" s="154"/>
      <c r="J624" s="217"/>
      <c r="K624" s="218"/>
      <c r="L624" s="154"/>
      <c r="M624" s="154"/>
      <c r="N624" s="154"/>
      <c r="O624" s="154"/>
      <c r="P624" s="154"/>
      <c r="Q624" s="154"/>
      <c r="R624" s="154"/>
      <c r="S624" s="154"/>
      <c r="T624" s="154"/>
      <c r="U624" s="154"/>
      <c r="V624" s="154"/>
      <c r="W624" s="154"/>
      <c r="X624" s="154"/>
      <c r="Y624" s="154"/>
      <c r="Z624" s="154"/>
    </row>
    <row r="625" spans="1:26" ht="12" customHeight="1">
      <c r="A625" s="220"/>
      <c r="B625" s="154"/>
      <c r="C625" s="154"/>
      <c r="D625" s="154"/>
      <c r="E625" s="154"/>
      <c r="F625" s="154"/>
      <c r="G625" s="154"/>
      <c r="H625" s="154"/>
      <c r="I625" s="154"/>
      <c r="J625" s="217"/>
      <c r="K625" s="218"/>
      <c r="L625" s="154"/>
      <c r="M625" s="154"/>
      <c r="N625" s="154"/>
      <c r="O625" s="154"/>
      <c r="P625" s="154"/>
      <c r="Q625" s="154"/>
      <c r="R625" s="154"/>
      <c r="S625" s="154"/>
      <c r="T625" s="154"/>
      <c r="U625" s="154"/>
      <c r="V625" s="154"/>
      <c r="W625" s="154"/>
      <c r="X625" s="154"/>
      <c r="Y625" s="154"/>
      <c r="Z625" s="154"/>
    </row>
    <row r="626" spans="1:26" ht="12" customHeight="1">
      <c r="A626" s="220"/>
      <c r="B626" s="154"/>
      <c r="C626" s="154"/>
      <c r="D626" s="154"/>
      <c r="E626" s="154"/>
      <c r="F626" s="154"/>
      <c r="G626" s="154"/>
      <c r="H626" s="154"/>
      <c r="I626" s="154"/>
      <c r="J626" s="217"/>
      <c r="K626" s="218"/>
      <c r="L626" s="154"/>
      <c r="M626" s="154"/>
      <c r="N626" s="154"/>
      <c r="O626" s="154"/>
      <c r="P626" s="154"/>
      <c r="Q626" s="154"/>
      <c r="R626" s="154"/>
      <c r="S626" s="154"/>
      <c r="T626" s="154"/>
      <c r="U626" s="154"/>
      <c r="V626" s="154"/>
      <c r="W626" s="154"/>
      <c r="X626" s="154"/>
      <c r="Y626" s="154"/>
      <c r="Z626" s="154"/>
    </row>
    <row r="627" spans="1:26" ht="12" customHeight="1">
      <c r="A627" s="220"/>
      <c r="B627" s="154"/>
      <c r="C627" s="154"/>
      <c r="D627" s="154"/>
      <c r="E627" s="154"/>
      <c r="F627" s="154"/>
      <c r="G627" s="154"/>
      <c r="H627" s="154"/>
      <c r="I627" s="154"/>
      <c r="J627" s="217"/>
      <c r="K627" s="218"/>
      <c r="L627" s="154"/>
      <c r="M627" s="154"/>
      <c r="N627" s="154"/>
      <c r="O627" s="154"/>
      <c r="P627" s="154"/>
      <c r="Q627" s="154"/>
      <c r="R627" s="154"/>
      <c r="S627" s="154"/>
      <c r="T627" s="154"/>
      <c r="U627" s="154"/>
      <c r="V627" s="154"/>
      <c r="W627" s="154"/>
      <c r="X627" s="154"/>
      <c r="Y627" s="154"/>
      <c r="Z627" s="154"/>
    </row>
    <row r="628" spans="1:26" ht="12" customHeight="1">
      <c r="A628" s="220"/>
      <c r="B628" s="154"/>
      <c r="C628" s="154"/>
      <c r="D628" s="154"/>
      <c r="E628" s="154"/>
      <c r="F628" s="154"/>
      <c r="G628" s="154"/>
      <c r="H628" s="154"/>
      <c r="I628" s="154"/>
      <c r="J628" s="217"/>
      <c r="K628" s="218"/>
      <c r="L628" s="154"/>
      <c r="M628" s="154"/>
      <c r="N628" s="154"/>
      <c r="O628" s="154"/>
      <c r="P628" s="154"/>
      <c r="Q628" s="154"/>
      <c r="R628" s="154"/>
      <c r="S628" s="154"/>
      <c r="T628" s="154"/>
      <c r="U628" s="154"/>
      <c r="V628" s="154"/>
      <c r="W628" s="154"/>
      <c r="X628" s="154"/>
      <c r="Y628" s="154"/>
      <c r="Z628" s="154"/>
    </row>
    <row r="629" spans="1:26" ht="12" customHeight="1">
      <c r="A629" s="220"/>
      <c r="B629" s="154"/>
      <c r="C629" s="154"/>
      <c r="D629" s="154"/>
      <c r="E629" s="154"/>
      <c r="F629" s="154"/>
      <c r="G629" s="154"/>
      <c r="H629" s="154"/>
      <c r="I629" s="154"/>
      <c r="J629" s="217"/>
      <c r="K629" s="218"/>
      <c r="L629" s="154"/>
      <c r="M629" s="154"/>
      <c r="N629" s="154"/>
      <c r="O629" s="154"/>
      <c r="P629" s="154"/>
      <c r="Q629" s="154"/>
      <c r="R629" s="154"/>
      <c r="S629" s="154"/>
      <c r="T629" s="154"/>
      <c r="U629" s="154"/>
      <c r="V629" s="154"/>
      <c r="W629" s="154"/>
      <c r="X629" s="154"/>
      <c r="Y629" s="154"/>
      <c r="Z629" s="154"/>
    </row>
    <row r="630" spans="1:26" ht="12" customHeight="1">
      <c r="A630" s="220"/>
      <c r="B630" s="154"/>
      <c r="C630" s="154"/>
      <c r="D630" s="154"/>
      <c r="E630" s="154"/>
      <c r="F630" s="154"/>
      <c r="G630" s="154"/>
      <c r="H630" s="154"/>
      <c r="I630" s="154"/>
      <c r="J630" s="217"/>
      <c r="K630" s="218"/>
      <c r="L630" s="154"/>
      <c r="M630" s="154"/>
      <c r="N630" s="154"/>
      <c r="O630" s="154"/>
      <c r="P630" s="154"/>
      <c r="Q630" s="154"/>
      <c r="R630" s="154"/>
      <c r="S630" s="154"/>
      <c r="T630" s="154"/>
      <c r="U630" s="154"/>
      <c r="V630" s="154"/>
      <c r="W630" s="154"/>
      <c r="X630" s="154"/>
      <c r="Y630" s="154"/>
      <c r="Z630" s="154"/>
    </row>
    <row r="631" spans="1:26" ht="12" customHeight="1">
      <c r="A631" s="220"/>
      <c r="B631" s="154"/>
      <c r="C631" s="154"/>
      <c r="D631" s="154"/>
      <c r="E631" s="154"/>
      <c r="F631" s="154"/>
      <c r="G631" s="154"/>
      <c r="H631" s="154"/>
      <c r="I631" s="154"/>
      <c r="J631" s="217"/>
      <c r="K631" s="218"/>
      <c r="L631" s="154"/>
      <c r="M631" s="154"/>
      <c r="N631" s="154"/>
      <c r="O631" s="154"/>
      <c r="P631" s="154"/>
      <c r="Q631" s="154"/>
      <c r="R631" s="154"/>
      <c r="S631" s="154"/>
      <c r="T631" s="154"/>
      <c r="U631" s="154"/>
      <c r="V631" s="154"/>
      <c r="W631" s="154"/>
      <c r="X631" s="154"/>
      <c r="Y631" s="154"/>
      <c r="Z631" s="154"/>
    </row>
    <row r="632" spans="1:26" ht="12" customHeight="1">
      <c r="A632" s="220"/>
      <c r="B632" s="154"/>
      <c r="C632" s="154"/>
      <c r="D632" s="154"/>
      <c r="E632" s="154"/>
      <c r="F632" s="154"/>
      <c r="G632" s="154"/>
      <c r="H632" s="154"/>
      <c r="I632" s="154"/>
      <c r="J632" s="217"/>
      <c r="K632" s="218"/>
      <c r="L632" s="154"/>
      <c r="M632" s="154"/>
      <c r="N632" s="154"/>
      <c r="O632" s="154"/>
      <c r="P632" s="154"/>
      <c r="Q632" s="154"/>
      <c r="R632" s="154"/>
      <c r="S632" s="154"/>
      <c r="T632" s="154"/>
      <c r="U632" s="154"/>
      <c r="V632" s="154"/>
      <c r="W632" s="154"/>
      <c r="X632" s="154"/>
      <c r="Y632" s="154"/>
      <c r="Z632" s="154"/>
    </row>
    <row r="633" spans="1:26" ht="12" customHeight="1">
      <c r="A633" s="220"/>
      <c r="B633" s="154"/>
      <c r="C633" s="154"/>
      <c r="D633" s="154"/>
      <c r="E633" s="154"/>
      <c r="F633" s="154"/>
      <c r="G633" s="154"/>
      <c r="H633" s="154"/>
      <c r="I633" s="154"/>
      <c r="J633" s="217"/>
      <c r="K633" s="218"/>
      <c r="L633" s="154"/>
      <c r="M633" s="154"/>
      <c r="N633" s="154"/>
      <c r="O633" s="154"/>
      <c r="P633" s="154"/>
      <c r="Q633" s="154"/>
      <c r="R633" s="154"/>
      <c r="S633" s="154"/>
      <c r="T633" s="154"/>
      <c r="U633" s="154"/>
      <c r="V633" s="154"/>
      <c r="W633" s="154"/>
      <c r="X633" s="154"/>
      <c r="Y633" s="154"/>
      <c r="Z633" s="154"/>
    </row>
    <row r="634" spans="1:26" ht="12" customHeight="1">
      <c r="A634" s="220"/>
      <c r="B634" s="154"/>
      <c r="C634" s="154"/>
      <c r="D634" s="154"/>
      <c r="E634" s="154"/>
      <c r="F634" s="154"/>
      <c r="G634" s="154"/>
      <c r="H634" s="154"/>
      <c r="I634" s="154"/>
      <c r="J634" s="217"/>
      <c r="K634" s="218"/>
      <c r="L634" s="154"/>
      <c r="M634" s="154"/>
      <c r="N634" s="154"/>
      <c r="O634" s="154"/>
      <c r="P634" s="154"/>
      <c r="Q634" s="154"/>
      <c r="R634" s="154"/>
      <c r="S634" s="154"/>
      <c r="T634" s="154"/>
      <c r="U634" s="154"/>
      <c r="V634" s="154"/>
      <c r="W634" s="154"/>
      <c r="X634" s="154"/>
      <c r="Y634" s="154"/>
      <c r="Z634" s="154"/>
    </row>
    <row r="635" spans="1:26" ht="12" customHeight="1">
      <c r="A635" s="220"/>
      <c r="B635" s="154"/>
      <c r="C635" s="154"/>
      <c r="D635" s="154"/>
      <c r="E635" s="154"/>
      <c r="F635" s="154"/>
      <c r="G635" s="154"/>
      <c r="H635" s="154"/>
      <c r="I635" s="154"/>
      <c r="J635" s="217"/>
      <c r="K635" s="218"/>
      <c r="L635" s="154"/>
      <c r="M635" s="154"/>
      <c r="N635" s="154"/>
      <c r="O635" s="154"/>
      <c r="P635" s="154"/>
      <c r="Q635" s="154"/>
      <c r="R635" s="154"/>
      <c r="S635" s="154"/>
      <c r="T635" s="154"/>
      <c r="U635" s="154"/>
      <c r="V635" s="154"/>
      <c r="W635" s="154"/>
      <c r="X635" s="154"/>
      <c r="Y635" s="154"/>
      <c r="Z635" s="154"/>
    </row>
    <row r="636" spans="1:26" ht="12" customHeight="1">
      <c r="A636" s="220"/>
      <c r="B636" s="154"/>
      <c r="C636" s="154"/>
      <c r="D636" s="154"/>
      <c r="E636" s="154"/>
      <c r="F636" s="154"/>
      <c r="G636" s="154"/>
      <c r="H636" s="154"/>
      <c r="I636" s="154"/>
      <c r="J636" s="217"/>
      <c r="K636" s="218"/>
      <c r="L636" s="154"/>
      <c r="M636" s="154"/>
      <c r="N636" s="154"/>
      <c r="O636" s="154"/>
      <c r="P636" s="154"/>
      <c r="Q636" s="154"/>
      <c r="R636" s="154"/>
      <c r="S636" s="154"/>
      <c r="T636" s="154"/>
      <c r="U636" s="154"/>
      <c r="V636" s="154"/>
      <c r="W636" s="154"/>
      <c r="X636" s="154"/>
      <c r="Y636" s="154"/>
      <c r="Z636" s="154"/>
    </row>
    <row r="637" spans="1:26" ht="12" customHeight="1">
      <c r="A637" s="220"/>
      <c r="B637" s="154"/>
      <c r="C637" s="154"/>
      <c r="D637" s="154"/>
      <c r="E637" s="154"/>
      <c r="F637" s="154"/>
      <c r="G637" s="154"/>
      <c r="H637" s="154"/>
      <c r="I637" s="154"/>
      <c r="J637" s="217"/>
      <c r="K637" s="218"/>
      <c r="L637" s="154"/>
      <c r="M637" s="154"/>
      <c r="N637" s="154"/>
      <c r="O637" s="154"/>
      <c r="P637" s="154"/>
      <c r="Q637" s="154"/>
      <c r="R637" s="154"/>
      <c r="S637" s="154"/>
      <c r="T637" s="154"/>
      <c r="U637" s="154"/>
      <c r="V637" s="154"/>
      <c r="W637" s="154"/>
      <c r="X637" s="154"/>
      <c r="Y637" s="154"/>
      <c r="Z637" s="154"/>
    </row>
    <row r="638" spans="1:26" ht="12" customHeight="1">
      <c r="A638" s="220"/>
      <c r="B638" s="154"/>
      <c r="C638" s="154"/>
      <c r="D638" s="154"/>
      <c r="E638" s="154"/>
      <c r="F638" s="154"/>
      <c r="G638" s="154"/>
      <c r="H638" s="154"/>
      <c r="I638" s="154"/>
      <c r="J638" s="217"/>
      <c r="K638" s="218"/>
      <c r="L638" s="154"/>
      <c r="M638" s="154"/>
      <c r="N638" s="154"/>
      <c r="O638" s="154"/>
      <c r="P638" s="154"/>
      <c r="Q638" s="154"/>
      <c r="R638" s="154"/>
      <c r="S638" s="154"/>
      <c r="T638" s="154"/>
      <c r="U638" s="154"/>
      <c r="V638" s="154"/>
      <c r="W638" s="154"/>
      <c r="X638" s="154"/>
      <c r="Y638" s="154"/>
      <c r="Z638" s="154"/>
    </row>
    <row r="639" spans="1:26" ht="12" customHeight="1">
      <c r="A639" s="220"/>
      <c r="B639" s="154"/>
      <c r="C639" s="154"/>
      <c r="D639" s="154"/>
      <c r="E639" s="154"/>
      <c r="F639" s="154"/>
      <c r="G639" s="154"/>
      <c r="H639" s="154"/>
      <c r="I639" s="154"/>
      <c r="J639" s="217"/>
      <c r="K639" s="218"/>
      <c r="L639" s="154"/>
      <c r="M639" s="154"/>
      <c r="N639" s="154"/>
      <c r="O639" s="154"/>
      <c r="P639" s="154"/>
      <c r="Q639" s="154"/>
      <c r="R639" s="154"/>
      <c r="S639" s="154"/>
      <c r="T639" s="154"/>
      <c r="U639" s="154"/>
      <c r="V639" s="154"/>
      <c r="W639" s="154"/>
      <c r="X639" s="154"/>
      <c r="Y639" s="154"/>
      <c r="Z639" s="154"/>
    </row>
    <row r="640" spans="1:26" ht="12" customHeight="1">
      <c r="A640" s="220"/>
      <c r="B640" s="154"/>
      <c r="C640" s="154"/>
      <c r="D640" s="154"/>
      <c r="E640" s="154"/>
      <c r="F640" s="154"/>
      <c r="G640" s="154"/>
      <c r="H640" s="154"/>
      <c r="I640" s="154"/>
      <c r="J640" s="217"/>
      <c r="K640" s="218"/>
      <c r="L640" s="154"/>
      <c r="M640" s="154"/>
      <c r="N640" s="154"/>
      <c r="O640" s="154"/>
      <c r="P640" s="154"/>
      <c r="Q640" s="154"/>
      <c r="R640" s="154"/>
      <c r="S640" s="154"/>
      <c r="T640" s="154"/>
      <c r="U640" s="154"/>
      <c r="V640" s="154"/>
      <c r="W640" s="154"/>
      <c r="X640" s="154"/>
      <c r="Y640" s="154"/>
      <c r="Z640" s="154"/>
    </row>
    <row r="641" spans="1:26" ht="12" customHeight="1">
      <c r="A641" s="220"/>
      <c r="B641" s="154"/>
      <c r="C641" s="154"/>
      <c r="D641" s="154"/>
      <c r="E641" s="154"/>
      <c r="F641" s="154"/>
      <c r="G641" s="154"/>
      <c r="H641" s="154"/>
      <c r="I641" s="154"/>
      <c r="J641" s="217"/>
      <c r="K641" s="218"/>
      <c r="L641" s="154"/>
      <c r="M641" s="154"/>
      <c r="N641" s="154"/>
      <c r="O641" s="154"/>
      <c r="P641" s="154"/>
      <c r="Q641" s="154"/>
      <c r="R641" s="154"/>
      <c r="S641" s="154"/>
      <c r="T641" s="154"/>
      <c r="U641" s="154"/>
      <c r="V641" s="154"/>
      <c r="W641" s="154"/>
      <c r="X641" s="154"/>
      <c r="Y641" s="154"/>
      <c r="Z641" s="154"/>
    </row>
    <row r="642" spans="1:26" ht="12" customHeight="1">
      <c r="A642" s="220"/>
      <c r="B642" s="154"/>
      <c r="C642" s="154"/>
      <c r="D642" s="154"/>
      <c r="E642" s="154"/>
      <c r="F642" s="154"/>
      <c r="G642" s="154"/>
      <c r="H642" s="154"/>
      <c r="I642" s="154"/>
      <c r="J642" s="217"/>
      <c r="K642" s="218"/>
      <c r="L642" s="154"/>
      <c r="M642" s="154"/>
      <c r="N642" s="154"/>
      <c r="O642" s="154"/>
      <c r="P642" s="154"/>
      <c r="Q642" s="154"/>
      <c r="R642" s="154"/>
      <c r="S642" s="154"/>
      <c r="T642" s="154"/>
      <c r="U642" s="154"/>
      <c r="V642" s="154"/>
      <c r="W642" s="154"/>
      <c r="X642" s="154"/>
      <c r="Y642" s="154"/>
      <c r="Z642" s="154"/>
    </row>
    <row r="643" spans="1:26" ht="12" customHeight="1">
      <c r="A643" s="220"/>
      <c r="B643" s="154"/>
      <c r="C643" s="154"/>
      <c r="D643" s="154"/>
      <c r="E643" s="154"/>
      <c r="F643" s="154"/>
      <c r="G643" s="154"/>
      <c r="H643" s="154"/>
      <c r="I643" s="154"/>
      <c r="J643" s="217"/>
      <c r="K643" s="218"/>
      <c r="L643" s="154"/>
      <c r="M643" s="154"/>
      <c r="N643" s="154"/>
      <c r="O643" s="154"/>
      <c r="P643" s="154"/>
      <c r="Q643" s="154"/>
      <c r="R643" s="154"/>
      <c r="S643" s="154"/>
      <c r="T643" s="154"/>
      <c r="U643" s="154"/>
      <c r="V643" s="154"/>
      <c r="W643" s="154"/>
      <c r="X643" s="154"/>
      <c r="Y643" s="154"/>
      <c r="Z643" s="154"/>
    </row>
    <row r="644" spans="1:26" ht="12" customHeight="1">
      <c r="A644" s="220"/>
      <c r="B644" s="154"/>
      <c r="C644" s="154"/>
      <c r="D644" s="154"/>
      <c r="E644" s="154"/>
      <c r="F644" s="154"/>
      <c r="G644" s="154"/>
      <c r="H644" s="154"/>
      <c r="I644" s="154"/>
      <c r="J644" s="217"/>
      <c r="K644" s="218"/>
      <c r="L644" s="154"/>
      <c r="M644" s="154"/>
      <c r="N644" s="154"/>
      <c r="O644" s="154"/>
      <c r="P644" s="154"/>
      <c r="Q644" s="154"/>
      <c r="R644" s="154"/>
      <c r="S644" s="154"/>
      <c r="T644" s="154"/>
      <c r="U644" s="154"/>
      <c r="V644" s="154"/>
      <c r="W644" s="154"/>
      <c r="X644" s="154"/>
      <c r="Y644" s="154"/>
      <c r="Z644" s="154"/>
    </row>
    <row r="645" spans="1:26" ht="12" customHeight="1">
      <c r="A645" s="220"/>
      <c r="B645" s="154"/>
      <c r="C645" s="154"/>
      <c r="D645" s="154"/>
      <c r="E645" s="154"/>
      <c r="F645" s="154"/>
      <c r="G645" s="154"/>
      <c r="H645" s="154"/>
      <c r="I645" s="154"/>
      <c r="J645" s="217"/>
      <c r="K645" s="218"/>
      <c r="L645" s="154"/>
      <c r="M645" s="154"/>
      <c r="N645" s="154"/>
      <c r="O645" s="154"/>
      <c r="P645" s="154"/>
      <c r="Q645" s="154"/>
      <c r="R645" s="154"/>
      <c r="S645" s="154"/>
      <c r="T645" s="154"/>
      <c r="U645" s="154"/>
      <c r="V645" s="154"/>
      <c r="W645" s="154"/>
      <c r="X645" s="154"/>
      <c r="Y645" s="154"/>
      <c r="Z645" s="154"/>
    </row>
    <row r="646" spans="1:26" ht="12" customHeight="1">
      <c r="A646" s="220"/>
      <c r="B646" s="154"/>
      <c r="C646" s="154"/>
      <c r="D646" s="154"/>
      <c r="E646" s="154"/>
      <c r="F646" s="154"/>
      <c r="G646" s="154"/>
      <c r="H646" s="154"/>
      <c r="I646" s="154"/>
      <c r="J646" s="217"/>
      <c r="K646" s="218"/>
      <c r="L646" s="154"/>
      <c r="M646" s="154"/>
      <c r="N646" s="154"/>
      <c r="O646" s="154"/>
      <c r="P646" s="154"/>
      <c r="Q646" s="154"/>
      <c r="R646" s="154"/>
      <c r="S646" s="154"/>
      <c r="T646" s="154"/>
      <c r="U646" s="154"/>
      <c r="V646" s="154"/>
      <c r="W646" s="154"/>
      <c r="X646" s="154"/>
      <c r="Y646" s="154"/>
      <c r="Z646" s="154"/>
    </row>
    <row r="647" spans="1:26" ht="12" customHeight="1">
      <c r="A647" s="220"/>
      <c r="B647" s="154"/>
      <c r="C647" s="154"/>
      <c r="D647" s="154"/>
      <c r="E647" s="154"/>
      <c r="F647" s="154"/>
      <c r="G647" s="154"/>
      <c r="H647" s="154"/>
      <c r="I647" s="154"/>
      <c r="J647" s="217"/>
      <c r="K647" s="218"/>
      <c r="L647" s="154"/>
      <c r="M647" s="154"/>
      <c r="N647" s="154"/>
      <c r="O647" s="154"/>
      <c r="P647" s="154"/>
      <c r="Q647" s="154"/>
      <c r="R647" s="154"/>
      <c r="S647" s="154"/>
      <c r="T647" s="154"/>
      <c r="U647" s="154"/>
      <c r="V647" s="154"/>
      <c r="W647" s="154"/>
      <c r="X647" s="154"/>
      <c r="Y647" s="154"/>
      <c r="Z647" s="154"/>
    </row>
    <row r="648" spans="1:26" ht="12" customHeight="1">
      <c r="A648" s="220"/>
      <c r="B648" s="154"/>
      <c r="C648" s="154"/>
      <c r="D648" s="154"/>
      <c r="E648" s="154"/>
      <c r="F648" s="154"/>
      <c r="G648" s="154"/>
      <c r="H648" s="154"/>
      <c r="I648" s="154"/>
      <c r="J648" s="217"/>
      <c r="K648" s="218"/>
      <c r="L648" s="154"/>
      <c r="M648" s="154"/>
      <c r="N648" s="154"/>
      <c r="O648" s="154"/>
      <c r="P648" s="154"/>
      <c r="Q648" s="154"/>
      <c r="R648" s="154"/>
      <c r="S648" s="154"/>
      <c r="T648" s="154"/>
      <c r="U648" s="154"/>
      <c r="V648" s="154"/>
      <c r="W648" s="154"/>
      <c r="X648" s="154"/>
      <c r="Y648" s="154"/>
      <c r="Z648" s="154"/>
    </row>
    <row r="649" spans="1:26" ht="12" customHeight="1">
      <c r="A649" s="220"/>
      <c r="B649" s="154"/>
      <c r="C649" s="154"/>
      <c r="D649" s="154"/>
      <c r="E649" s="154"/>
      <c r="F649" s="154"/>
      <c r="G649" s="154"/>
      <c r="H649" s="154"/>
      <c r="I649" s="154"/>
      <c r="J649" s="217"/>
      <c r="K649" s="218"/>
      <c r="L649" s="154"/>
      <c r="M649" s="154"/>
      <c r="N649" s="154"/>
      <c r="O649" s="154"/>
      <c r="P649" s="154"/>
      <c r="Q649" s="154"/>
      <c r="R649" s="154"/>
      <c r="S649" s="154"/>
      <c r="T649" s="154"/>
      <c r="U649" s="154"/>
      <c r="V649" s="154"/>
      <c r="W649" s="154"/>
      <c r="X649" s="154"/>
      <c r="Y649" s="154"/>
      <c r="Z649" s="154"/>
    </row>
    <row r="650" spans="1:26" ht="12" customHeight="1">
      <c r="A650" s="220"/>
      <c r="B650" s="154"/>
      <c r="C650" s="154"/>
      <c r="D650" s="154"/>
      <c r="E650" s="154"/>
      <c r="F650" s="154"/>
      <c r="G650" s="154"/>
      <c r="H650" s="154"/>
      <c r="I650" s="154"/>
      <c r="J650" s="217"/>
      <c r="K650" s="218"/>
      <c r="L650" s="154"/>
      <c r="M650" s="154"/>
      <c r="N650" s="154"/>
      <c r="O650" s="154"/>
      <c r="P650" s="154"/>
      <c r="Q650" s="154"/>
      <c r="R650" s="154"/>
      <c r="S650" s="154"/>
      <c r="T650" s="154"/>
      <c r="U650" s="154"/>
      <c r="V650" s="154"/>
      <c r="W650" s="154"/>
      <c r="X650" s="154"/>
      <c r="Y650" s="154"/>
      <c r="Z650" s="154"/>
    </row>
    <row r="651" spans="1:26" ht="12" customHeight="1">
      <c r="A651" s="220"/>
      <c r="B651" s="154"/>
      <c r="C651" s="154"/>
      <c r="D651" s="154"/>
      <c r="E651" s="154"/>
      <c r="F651" s="154"/>
      <c r="G651" s="154"/>
      <c r="H651" s="154"/>
      <c r="I651" s="154"/>
      <c r="J651" s="217"/>
      <c r="K651" s="218"/>
      <c r="L651" s="154"/>
      <c r="M651" s="154"/>
      <c r="N651" s="154"/>
      <c r="O651" s="154"/>
      <c r="P651" s="154"/>
      <c r="Q651" s="154"/>
      <c r="R651" s="154"/>
      <c r="S651" s="154"/>
      <c r="T651" s="154"/>
      <c r="U651" s="154"/>
      <c r="V651" s="154"/>
      <c r="W651" s="154"/>
      <c r="X651" s="154"/>
      <c r="Y651" s="154"/>
      <c r="Z651" s="154"/>
    </row>
    <row r="652" spans="1:26" ht="12" customHeight="1">
      <c r="A652" s="220"/>
      <c r="B652" s="154"/>
      <c r="C652" s="154"/>
      <c r="D652" s="154"/>
      <c r="E652" s="154"/>
      <c r="F652" s="154"/>
      <c r="G652" s="154"/>
      <c r="H652" s="154"/>
      <c r="I652" s="154"/>
      <c r="J652" s="217"/>
      <c r="K652" s="218"/>
      <c r="L652" s="154"/>
      <c r="M652" s="154"/>
      <c r="N652" s="154"/>
      <c r="O652" s="154"/>
      <c r="P652" s="154"/>
      <c r="Q652" s="154"/>
      <c r="R652" s="154"/>
      <c r="S652" s="154"/>
      <c r="T652" s="154"/>
      <c r="U652" s="154"/>
      <c r="V652" s="154"/>
      <c r="W652" s="154"/>
      <c r="X652" s="154"/>
      <c r="Y652" s="154"/>
      <c r="Z652" s="154"/>
    </row>
    <row r="653" spans="1:26" ht="12" customHeight="1">
      <c r="A653" s="220"/>
      <c r="B653" s="154"/>
      <c r="C653" s="154"/>
      <c r="D653" s="154"/>
      <c r="E653" s="154"/>
      <c r="F653" s="154"/>
      <c r="G653" s="154"/>
      <c r="H653" s="154"/>
      <c r="I653" s="154"/>
      <c r="J653" s="217"/>
      <c r="K653" s="218"/>
      <c r="L653" s="154"/>
      <c r="M653" s="154"/>
      <c r="N653" s="154"/>
      <c r="O653" s="154"/>
      <c r="P653" s="154"/>
      <c r="Q653" s="154"/>
      <c r="R653" s="154"/>
      <c r="S653" s="154"/>
      <c r="T653" s="154"/>
      <c r="U653" s="154"/>
      <c r="V653" s="154"/>
      <c r="W653" s="154"/>
      <c r="X653" s="154"/>
      <c r="Y653" s="154"/>
      <c r="Z653" s="154"/>
    </row>
    <row r="654" spans="1:26" ht="12" customHeight="1">
      <c r="A654" s="220"/>
      <c r="B654" s="154"/>
      <c r="C654" s="154"/>
      <c r="D654" s="154"/>
      <c r="E654" s="154"/>
      <c r="F654" s="154"/>
      <c r="G654" s="154"/>
      <c r="H654" s="154"/>
      <c r="I654" s="154"/>
      <c r="J654" s="217"/>
      <c r="K654" s="218"/>
      <c r="L654" s="154"/>
      <c r="M654" s="154"/>
      <c r="N654" s="154"/>
      <c r="O654" s="154"/>
      <c r="P654" s="154"/>
      <c r="Q654" s="154"/>
      <c r="R654" s="154"/>
      <c r="S654" s="154"/>
      <c r="T654" s="154"/>
      <c r="U654" s="154"/>
      <c r="V654" s="154"/>
      <c r="W654" s="154"/>
      <c r="X654" s="154"/>
      <c r="Y654" s="154"/>
      <c r="Z654" s="154"/>
    </row>
    <row r="655" spans="1:26" ht="12" customHeight="1">
      <c r="A655" s="220"/>
      <c r="B655" s="154"/>
      <c r="C655" s="154"/>
      <c r="D655" s="154"/>
      <c r="E655" s="154"/>
      <c r="F655" s="154"/>
      <c r="G655" s="154"/>
      <c r="H655" s="154"/>
      <c r="I655" s="154"/>
      <c r="J655" s="217"/>
      <c r="K655" s="218"/>
      <c r="L655" s="154"/>
      <c r="M655" s="154"/>
      <c r="N655" s="154"/>
      <c r="O655" s="154"/>
      <c r="P655" s="154"/>
      <c r="Q655" s="154"/>
      <c r="R655" s="154"/>
      <c r="S655" s="154"/>
      <c r="T655" s="154"/>
      <c r="U655" s="154"/>
      <c r="V655" s="154"/>
      <c r="W655" s="154"/>
      <c r="X655" s="154"/>
      <c r="Y655" s="154"/>
      <c r="Z655" s="154"/>
    </row>
    <row r="656" spans="1:26" ht="12" customHeight="1">
      <c r="A656" s="220"/>
      <c r="B656" s="154"/>
      <c r="C656" s="154"/>
      <c r="D656" s="154"/>
      <c r="E656" s="154"/>
      <c r="F656" s="154"/>
      <c r="G656" s="154"/>
      <c r="H656" s="154"/>
      <c r="I656" s="154"/>
      <c r="J656" s="217"/>
      <c r="K656" s="218"/>
      <c r="L656" s="154"/>
      <c r="M656" s="154"/>
      <c r="N656" s="154"/>
      <c r="O656" s="154"/>
      <c r="P656" s="154"/>
      <c r="Q656" s="154"/>
      <c r="R656" s="154"/>
      <c r="S656" s="154"/>
      <c r="T656" s="154"/>
      <c r="U656" s="154"/>
      <c r="V656" s="154"/>
      <c r="W656" s="154"/>
      <c r="X656" s="154"/>
      <c r="Y656" s="154"/>
      <c r="Z656" s="154"/>
    </row>
    <row r="657" spans="1:26" ht="12" customHeight="1">
      <c r="A657" s="220"/>
      <c r="B657" s="154"/>
      <c r="C657" s="154"/>
      <c r="D657" s="154"/>
      <c r="E657" s="154"/>
      <c r="F657" s="154"/>
      <c r="G657" s="154"/>
      <c r="H657" s="154"/>
      <c r="I657" s="154"/>
      <c r="J657" s="217"/>
      <c r="K657" s="218"/>
      <c r="L657" s="154"/>
      <c r="M657" s="154"/>
      <c r="N657" s="154"/>
      <c r="O657" s="154"/>
      <c r="P657" s="154"/>
      <c r="Q657" s="154"/>
      <c r="R657" s="154"/>
      <c r="S657" s="154"/>
      <c r="T657" s="154"/>
      <c r="U657" s="154"/>
      <c r="V657" s="154"/>
      <c r="W657" s="154"/>
      <c r="X657" s="154"/>
      <c r="Y657" s="154"/>
      <c r="Z657" s="154"/>
    </row>
    <row r="658" spans="1:26" ht="12" customHeight="1">
      <c r="A658" s="220"/>
      <c r="B658" s="154"/>
      <c r="C658" s="154"/>
      <c r="D658" s="154"/>
      <c r="E658" s="154"/>
      <c r="F658" s="154"/>
      <c r="G658" s="154"/>
      <c r="H658" s="154"/>
      <c r="I658" s="154"/>
      <c r="J658" s="217"/>
      <c r="K658" s="218"/>
      <c r="L658" s="154"/>
      <c r="M658" s="154"/>
      <c r="N658" s="154"/>
      <c r="O658" s="154"/>
      <c r="P658" s="154"/>
      <c r="Q658" s="154"/>
      <c r="R658" s="154"/>
      <c r="S658" s="154"/>
      <c r="T658" s="154"/>
      <c r="U658" s="154"/>
      <c r="V658" s="154"/>
      <c r="W658" s="154"/>
      <c r="X658" s="154"/>
      <c r="Y658" s="154"/>
      <c r="Z658" s="154"/>
    </row>
    <row r="659" spans="1:26" ht="12" customHeight="1">
      <c r="A659" s="220"/>
      <c r="B659" s="154"/>
      <c r="C659" s="154"/>
      <c r="D659" s="154"/>
      <c r="E659" s="154"/>
      <c r="F659" s="154"/>
      <c r="G659" s="154"/>
      <c r="H659" s="154"/>
      <c r="I659" s="154"/>
      <c r="J659" s="217"/>
      <c r="K659" s="218"/>
      <c r="L659" s="154"/>
      <c r="M659" s="154"/>
      <c r="N659" s="154"/>
      <c r="O659" s="154"/>
      <c r="P659" s="154"/>
      <c r="Q659" s="154"/>
      <c r="R659" s="154"/>
      <c r="S659" s="154"/>
      <c r="T659" s="154"/>
      <c r="U659" s="154"/>
      <c r="V659" s="154"/>
      <c r="W659" s="154"/>
      <c r="X659" s="154"/>
      <c r="Y659" s="154"/>
      <c r="Z659" s="154"/>
    </row>
    <row r="660" spans="1:26" ht="12" customHeight="1">
      <c r="A660" s="220"/>
      <c r="B660" s="154"/>
      <c r="C660" s="154"/>
      <c r="D660" s="154"/>
      <c r="E660" s="154"/>
      <c r="F660" s="154"/>
      <c r="G660" s="154"/>
      <c r="H660" s="154"/>
      <c r="I660" s="154"/>
      <c r="J660" s="217"/>
      <c r="K660" s="218"/>
      <c r="L660" s="154"/>
      <c r="M660" s="154"/>
      <c r="N660" s="154"/>
      <c r="O660" s="154"/>
      <c r="P660" s="154"/>
      <c r="Q660" s="154"/>
      <c r="R660" s="154"/>
      <c r="S660" s="154"/>
      <c r="T660" s="154"/>
      <c r="U660" s="154"/>
      <c r="V660" s="154"/>
      <c r="W660" s="154"/>
      <c r="X660" s="154"/>
      <c r="Y660" s="154"/>
      <c r="Z660" s="154"/>
    </row>
    <row r="661" spans="1:26" ht="12" customHeight="1">
      <c r="A661" s="220"/>
      <c r="B661" s="154"/>
      <c r="C661" s="154"/>
      <c r="D661" s="154"/>
      <c r="E661" s="154"/>
      <c r="F661" s="154"/>
      <c r="G661" s="154"/>
      <c r="H661" s="154"/>
      <c r="I661" s="154"/>
      <c r="J661" s="217"/>
      <c r="K661" s="218"/>
      <c r="L661" s="154"/>
      <c r="M661" s="154"/>
      <c r="N661" s="154"/>
      <c r="O661" s="154"/>
      <c r="P661" s="154"/>
      <c r="Q661" s="154"/>
      <c r="R661" s="154"/>
      <c r="S661" s="154"/>
      <c r="T661" s="154"/>
      <c r="U661" s="154"/>
      <c r="V661" s="154"/>
      <c r="W661" s="154"/>
      <c r="X661" s="154"/>
      <c r="Y661" s="154"/>
      <c r="Z661" s="154"/>
    </row>
    <row r="662" spans="1:26" ht="12" customHeight="1">
      <c r="A662" s="220"/>
      <c r="B662" s="154"/>
      <c r="C662" s="154"/>
      <c r="D662" s="154"/>
      <c r="E662" s="154"/>
      <c r="F662" s="154"/>
      <c r="G662" s="154"/>
      <c r="H662" s="154"/>
      <c r="I662" s="154"/>
      <c r="J662" s="217"/>
      <c r="K662" s="218"/>
      <c r="L662" s="154"/>
      <c r="M662" s="154"/>
      <c r="N662" s="154"/>
      <c r="O662" s="154"/>
      <c r="P662" s="154"/>
      <c r="Q662" s="154"/>
      <c r="R662" s="154"/>
      <c r="S662" s="154"/>
      <c r="T662" s="154"/>
      <c r="U662" s="154"/>
      <c r="V662" s="154"/>
      <c r="W662" s="154"/>
      <c r="X662" s="154"/>
      <c r="Y662" s="154"/>
      <c r="Z662" s="154"/>
    </row>
    <row r="663" spans="1:26" ht="12" customHeight="1">
      <c r="A663" s="220"/>
      <c r="B663" s="154"/>
      <c r="C663" s="154"/>
      <c r="D663" s="154"/>
      <c r="E663" s="154"/>
      <c r="F663" s="154"/>
      <c r="G663" s="154"/>
      <c r="H663" s="154"/>
      <c r="I663" s="154"/>
      <c r="J663" s="217"/>
      <c r="K663" s="218"/>
      <c r="L663" s="154"/>
      <c r="M663" s="154"/>
      <c r="N663" s="154"/>
      <c r="O663" s="154"/>
      <c r="P663" s="154"/>
      <c r="Q663" s="154"/>
      <c r="R663" s="154"/>
      <c r="S663" s="154"/>
      <c r="T663" s="154"/>
      <c r="U663" s="154"/>
      <c r="V663" s="154"/>
      <c r="W663" s="154"/>
      <c r="X663" s="154"/>
      <c r="Y663" s="154"/>
      <c r="Z663" s="154"/>
    </row>
    <row r="664" spans="1:26" ht="12" customHeight="1">
      <c r="A664" s="220"/>
      <c r="B664" s="154"/>
      <c r="C664" s="154"/>
      <c r="D664" s="154"/>
      <c r="E664" s="154"/>
      <c r="F664" s="154"/>
      <c r="G664" s="154"/>
      <c r="H664" s="154"/>
      <c r="I664" s="154"/>
      <c r="J664" s="217"/>
      <c r="K664" s="218"/>
      <c r="L664" s="154"/>
      <c r="M664" s="154"/>
      <c r="N664" s="154"/>
      <c r="O664" s="154"/>
      <c r="P664" s="154"/>
      <c r="Q664" s="154"/>
      <c r="R664" s="154"/>
      <c r="S664" s="154"/>
      <c r="T664" s="154"/>
      <c r="U664" s="154"/>
      <c r="V664" s="154"/>
      <c r="W664" s="154"/>
      <c r="X664" s="154"/>
      <c r="Y664" s="154"/>
      <c r="Z664" s="154"/>
    </row>
    <row r="665" spans="1:26" ht="12" customHeight="1">
      <c r="A665" s="220"/>
      <c r="B665" s="154"/>
      <c r="C665" s="154"/>
      <c r="D665" s="154"/>
      <c r="E665" s="154"/>
      <c r="F665" s="154"/>
      <c r="G665" s="154"/>
      <c r="H665" s="154"/>
      <c r="I665" s="154"/>
      <c r="J665" s="217"/>
      <c r="K665" s="218"/>
      <c r="L665" s="154"/>
      <c r="M665" s="154"/>
      <c r="N665" s="154"/>
      <c r="O665" s="154"/>
      <c r="P665" s="154"/>
      <c r="Q665" s="154"/>
      <c r="R665" s="154"/>
      <c r="S665" s="154"/>
      <c r="T665" s="154"/>
      <c r="U665" s="154"/>
      <c r="V665" s="154"/>
      <c r="W665" s="154"/>
      <c r="X665" s="154"/>
      <c r="Y665" s="154"/>
      <c r="Z665" s="154"/>
    </row>
    <row r="666" spans="1:26" ht="12" customHeight="1">
      <c r="A666" s="220"/>
      <c r="B666" s="154"/>
      <c r="C666" s="154"/>
      <c r="D666" s="154"/>
      <c r="E666" s="154"/>
      <c r="F666" s="154"/>
      <c r="G666" s="154"/>
      <c r="H666" s="154"/>
      <c r="I666" s="154"/>
      <c r="J666" s="217"/>
      <c r="K666" s="218"/>
      <c r="L666" s="154"/>
      <c r="M666" s="154"/>
      <c r="N666" s="154"/>
      <c r="O666" s="154"/>
      <c r="P666" s="154"/>
      <c r="Q666" s="154"/>
      <c r="R666" s="154"/>
      <c r="S666" s="154"/>
      <c r="T666" s="154"/>
      <c r="U666" s="154"/>
      <c r="V666" s="154"/>
      <c r="W666" s="154"/>
      <c r="X666" s="154"/>
      <c r="Y666" s="154"/>
      <c r="Z666" s="154"/>
    </row>
    <row r="667" spans="1:26" ht="12" customHeight="1">
      <c r="A667" s="220"/>
      <c r="B667" s="154"/>
      <c r="C667" s="154"/>
      <c r="D667" s="154"/>
      <c r="E667" s="154"/>
      <c r="F667" s="154"/>
      <c r="G667" s="154"/>
      <c r="H667" s="154"/>
      <c r="I667" s="154"/>
      <c r="J667" s="217"/>
      <c r="K667" s="218"/>
      <c r="L667" s="154"/>
      <c r="M667" s="154"/>
      <c r="N667" s="154"/>
      <c r="O667" s="154"/>
      <c r="P667" s="154"/>
      <c r="Q667" s="154"/>
      <c r="R667" s="154"/>
      <c r="S667" s="154"/>
      <c r="T667" s="154"/>
      <c r="U667" s="154"/>
      <c r="V667" s="154"/>
      <c r="W667" s="154"/>
      <c r="X667" s="154"/>
      <c r="Y667" s="154"/>
      <c r="Z667" s="154"/>
    </row>
    <row r="668" spans="1:26" ht="12" customHeight="1">
      <c r="A668" s="220"/>
      <c r="B668" s="154"/>
      <c r="C668" s="154"/>
      <c r="D668" s="154"/>
      <c r="E668" s="154"/>
      <c r="F668" s="154"/>
      <c r="G668" s="154"/>
      <c r="H668" s="154"/>
      <c r="I668" s="154"/>
      <c r="J668" s="217"/>
      <c r="K668" s="218"/>
      <c r="L668" s="154"/>
      <c r="M668" s="154"/>
      <c r="N668" s="154"/>
      <c r="O668" s="154"/>
      <c r="P668" s="154"/>
      <c r="Q668" s="154"/>
      <c r="R668" s="154"/>
      <c r="S668" s="154"/>
      <c r="T668" s="154"/>
      <c r="U668" s="154"/>
      <c r="V668" s="154"/>
      <c r="W668" s="154"/>
      <c r="X668" s="154"/>
      <c r="Y668" s="154"/>
      <c r="Z668" s="154"/>
    </row>
    <row r="669" spans="1:26" ht="12" customHeight="1">
      <c r="A669" s="220"/>
      <c r="B669" s="154"/>
      <c r="C669" s="154"/>
      <c r="D669" s="154"/>
      <c r="E669" s="154"/>
      <c r="F669" s="154"/>
      <c r="G669" s="154"/>
      <c r="H669" s="154"/>
      <c r="I669" s="154"/>
      <c r="J669" s="217"/>
      <c r="K669" s="218"/>
      <c r="L669" s="154"/>
      <c r="M669" s="154"/>
      <c r="N669" s="154"/>
      <c r="O669" s="154"/>
      <c r="P669" s="154"/>
      <c r="Q669" s="154"/>
      <c r="R669" s="154"/>
      <c r="S669" s="154"/>
      <c r="T669" s="154"/>
      <c r="U669" s="154"/>
      <c r="V669" s="154"/>
      <c r="W669" s="154"/>
      <c r="X669" s="154"/>
      <c r="Y669" s="154"/>
      <c r="Z669" s="154"/>
    </row>
    <row r="670" spans="1:26" ht="12" customHeight="1">
      <c r="A670" s="220"/>
      <c r="B670" s="154"/>
      <c r="C670" s="154"/>
      <c r="D670" s="154"/>
      <c r="E670" s="154"/>
      <c r="F670" s="154"/>
      <c r="G670" s="154"/>
      <c r="H670" s="154"/>
      <c r="I670" s="154"/>
      <c r="J670" s="217"/>
      <c r="K670" s="218"/>
      <c r="L670" s="154"/>
      <c r="M670" s="154"/>
      <c r="N670" s="154"/>
      <c r="O670" s="154"/>
      <c r="P670" s="154"/>
      <c r="Q670" s="154"/>
      <c r="R670" s="154"/>
      <c r="S670" s="154"/>
      <c r="T670" s="154"/>
      <c r="U670" s="154"/>
      <c r="V670" s="154"/>
      <c r="W670" s="154"/>
      <c r="X670" s="154"/>
      <c r="Y670" s="154"/>
      <c r="Z670" s="154"/>
    </row>
    <row r="671" spans="1:26" ht="12" customHeight="1">
      <c r="A671" s="220"/>
      <c r="B671" s="154"/>
      <c r="C671" s="154"/>
      <c r="D671" s="154"/>
      <c r="E671" s="154"/>
      <c r="F671" s="154"/>
      <c r="G671" s="154"/>
      <c r="H671" s="154"/>
      <c r="I671" s="154"/>
      <c r="J671" s="217"/>
      <c r="K671" s="218"/>
      <c r="L671" s="154"/>
      <c r="M671" s="154"/>
      <c r="N671" s="154"/>
      <c r="O671" s="154"/>
      <c r="P671" s="154"/>
      <c r="Q671" s="154"/>
      <c r="R671" s="154"/>
      <c r="S671" s="154"/>
      <c r="T671" s="154"/>
      <c r="U671" s="154"/>
      <c r="V671" s="154"/>
      <c r="W671" s="154"/>
      <c r="X671" s="154"/>
      <c r="Y671" s="154"/>
      <c r="Z671" s="154"/>
    </row>
    <row r="672" spans="1:26" ht="12" customHeight="1">
      <c r="A672" s="220"/>
      <c r="B672" s="154"/>
      <c r="C672" s="154"/>
      <c r="D672" s="154"/>
      <c r="E672" s="154"/>
      <c r="F672" s="154"/>
      <c r="G672" s="154"/>
      <c r="H672" s="154"/>
      <c r="I672" s="154"/>
      <c r="J672" s="217"/>
      <c r="K672" s="218"/>
      <c r="L672" s="154"/>
      <c r="M672" s="154"/>
      <c r="N672" s="154"/>
      <c r="O672" s="154"/>
      <c r="P672" s="154"/>
      <c r="Q672" s="154"/>
      <c r="R672" s="154"/>
      <c r="S672" s="154"/>
      <c r="T672" s="154"/>
      <c r="U672" s="154"/>
      <c r="V672" s="154"/>
      <c r="W672" s="154"/>
      <c r="X672" s="154"/>
      <c r="Y672" s="154"/>
      <c r="Z672" s="154"/>
    </row>
    <row r="673" spans="1:26" ht="12" customHeight="1">
      <c r="A673" s="220"/>
      <c r="B673" s="154"/>
      <c r="C673" s="154"/>
      <c r="D673" s="154"/>
      <c r="E673" s="154"/>
      <c r="F673" s="154"/>
      <c r="G673" s="154"/>
      <c r="H673" s="154"/>
      <c r="I673" s="154"/>
      <c r="J673" s="217"/>
      <c r="K673" s="218"/>
      <c r="L673" s="154"/>
      <c r="M673" s="154"/>
      <c r="N673" s="154"/>
      <c r="O673" s="154"/>
      <c r="P673" s="154"/>
      <c r="Q673" s="154"/>
      <c r="R673" s="154"/>
      <c r="S673" s="154"/>
      <c r="T673" s="154"/>
      <c r="U673" s="154"/>
      <c r="V673" s="154"/>
      <c r="W673" s="154"/>
      <c r="X673" s="154"/>
      <c r="Y673" s="154"/>
      <c r="Z673" s="154"/>
    </row>
    <row r="674" spans="1:26" ht="12" customHeight="1">
      <c r="A674" s="220"/>
      <c r="B674" s="154"/>
      <c r="C674" s="154"/>
      <c r="D674" s="154"/>
      <c r="E674" s="154"/>
      <c r="F674" s="154"/>
      <c r="G674" s="154"/>
      <c r="H674" s="154"/>
      <c r="I674" s="154"/>
      <c r="J674" s="217"/>
      <c r="K674" s="218"/>
      <c r="L674" s="154"/>
      <c r="M674" s="154"/>
      <c r="N674" s="154"/>
      <c r="O674" s="154"/>
      <c r="P674" s="154"/>
      <c r="Q674" s="154"/>
      <c r="R674" s="154"/>
      <c r="S674" s="154"/>
      <c r="T674" s="154"/>
      <c r="U674" s="154"/>
      <c r="V674" s="154"/>
      <c r="W674" s="154"/>
      <c r="X674" s="154"/>
      <c r="Y674" s="154"/>
      <c r="Z674" s="154"/>
    </row>
    <row r="675" spans="1:26" ht="12" customHeight="1">
      <c r="A675" s="220"/>
      <c r="B675" s="154"/>
      <c r="C675" s="154"/>
      <c r="D675" s="154"/>
      <c r="E675" s="154"/>
      <c r="F675" s="154"/>
      <c r="G675" s="154"/>
      <c r="H675" s="154"/>
      <c r="I675" s="154"/>
      <c r="J675" s="217"/>
      <c r="K675" s="218"/>
      <c r="L675" s="154"/>
      <c r="M675" s="154"/>
      <c r="N675" s="154"/>
      <c r="O675" s="154"/>
      <c r="P675" s="154"/>
      <c r="Q675" s="154"/>
      <c r="R675" s="154"/>
      <c r="S675" s="154"/>
      <c r="T675" s="154"/>
      <c r="U675" s="154"/>
      <c r="V675" s="154"/>
      <c r="W675" s="154"/>
      <c r="X675" s="154"/>
      <c r="Y675" s="154"/>
      <c r="Z675" s="154"/>
    </row>
    <row r="676" spans="1:26" ht="12" customHeight="1">
      <c r="A676" s="220"/>
      <c r="B676" s="154"/>
      <c r="C676" s="154"/>
      <c r="D676" s="154"/>
      <c r="E676" s="154"/>
      <c r="F676" s="154"/>
      <c r="G676" s="154"/>
      <c r="H676" s="154"/>
      <c r="I676" s="154"/>
      <c r="J676" s="217"/>
      <c r="K676" s="218"/>
      <c r="L676" s="154"/>
      <c r="M676" s="154"/>
      <c r="N676" s="154"/>
      <c r="O676" s="154"/>
      <c r="P676" s="154"/>
      <c r="Q676" s="154"/>
      <c r="R676" s="154"/>
      <c r="S676" s="154"/>
      <c r="T676" s="154"/>
      <c r="U676" s="154"/>
      <c r="V676" s="154"/>
      <c r="W676" s="154"/>
      <c r="X676" s="154"/>
      <c r="Y676" s="154"/>
      <c r="Z676" s="154"/>
    </row>
    <row r="677" spans="1:26" ht="12" customHeight="1">
      <c r="A677" s="220"/>
      <c r="B677" s="154"/>
      <c r="C677" s="154"/>
      <c r="D677" s="154"/>
      <c r="E677" s="154"/>
      <c r="F677" s="154"/>
      <c r="G677" s="154"/>
      <c r="H677" s="154"/>
      <c r="I677" s="154"/>
      <c r="J677" s="217"/>
      <c r="K677" s="218"/>
      <c r="L677" s="154"/>
      <c r="M677" s="154"/>
      <c r="N677" s="154"/>
      <c r="O677" s="154"/>
      <c r="P677" s="154"/>
      <c r="Q677" s="154"/>
      <c r="R677" s="154"/>
      <c r="S677" s="154"/>
      <c r="T677" s="154"/>
      <c r="U677" s="154"/>
      <c r="V677" s="154"/>
      <c r="W677" s="154"/>
      <c r="X677" s="154"/>
      <c r="Y677" s="154"/>
      <c r="Z677" s="154"/>
    </row>
    <row r="678" spans="1:26" ht="12" customHeight="1">
      <c r="A678" s="220"/>
      <c r="B678" s="154"/>
      <c r="C678" s="154"/>
      <c r="D678" s="154"/>
      <c r="E678" s="154"/>
      <c r="F678" s="154"/>
      <c r="G678" s="154"/>
      <c r="H678" s="154"/>
      <c r="I678" s="154"/>
      <c r="J678" s="217"/>
      <c r="K678" s="218"/>
      <c r="L678" s="154"/>
      <c r="M678" s="154"/>
      <c r="N678" s="154"/>
      <c r="O678" s="154"/>
      <c r="P678" s="154"/>
      <c r="Q678" s="154"/>
      <c r="R678" s="154"/>
      <c r="S678" s="154"/>
      <c r="T678" s="154"/>
      <c r="U678" s="154"/>
      <c r="V678" s="154"/>
      <c r="W678" s="154"/>
      <c r="X678" s="154"/>
      <c r="Y678" s="154"/>
      <c r="Z678" s="154"/>
    </row>
    <row r="679" spans="1:26" ht="12" customHeight="1">
      <c r="A679" s="220"/>
      <c r="B679" s="154"/>
      <c r="C679" s="154"/>
      <c r="D679" s="154"/>
      <c r="E679" s="154"/>
      <c r="F679" s="154"/>
      <c r="G679" s="154"/>
      <c r="H679" s="154"/>
      <c r="I679" s="154"/>
      <c r="J679" s="217"/>
      <c r="K679" s="218"/>
      <c r="L679" s="154"/>
      <c r="M679" s="154"/>
      <c r="N679" s="154"/>
      <c r="O679" s="154"/>
      <c r="P679" s="154"/>
      <c r="Q679" s="154"/>
      <c r="R679" s="154"/>
      <c r="S679" s="154"/>
      <c r="T679" s="154"/>
      <c r="U679" s="154"/>
      <c r="V679" s="154"/>
      <c r="W679" s="154"/>
      <c r="X679" s="154"/>
      <c r="Y679" s="154"/>
      <c r="Z679" s="154"/>
    </row>
    <row r="680" spans="1:26" ht="12" customHeight="1">
      <c r="A680" s="220"/>
      <c r="B680" s="154"/>
      <c r="C680" s="154"/>
      <c r="D680" s="154"/>
      <c r="E680" s="154"/>
      <c r="F680" s="154"/>
      <c r="G680" s="154"/>
      <c r="H680" s="154"/>
      <c r="I680" s="154"/>
      <c r="J680" s="217"/>
      <c r="K680" s="218"/>
      <c r="L680" s="154"/>
      <c r="M680" s="154"/>
      <c r="N680" s="154"/>
      <c r="O680" s="154"/>
      <c r="P680" s="154"/>
      <c r="Q680" s="154"/>
      <c r="R680" s="154"/>
      <c r="S680" s="154"/>
      <c r="T680" s="154"/>
      <c r="U680" s="154"/>
      <c r="V680" s="154"/>
      <c r="W680" s="154"/>
      <c r="X680" s="154"/>
      <c r="Y680" s="154"/>
      <c r="Z680" s="154"/>
    </row>
    <row r="681" spans="1:26" ht="12" customHeight="1">
      <c r="A681" s="220"/>
      <c r="B681" s="154"/>
      <c r="C681" s="154"/>
      <c r="D681" s="154"/>
      <c r="E681" s="154"/>
      <c r="F681" s="154"/>
      <c r="G681" s="154"/>
      <c r="H681" s="154"/>
      <c r="I681" s="154"/>
      <c r="J681" s="217"/>
      <c r="K681" s="218"/>
      <c r="L681" s="154"/>
      <c r="M681" s="154"/>
      <c r="N681" s="154"/>
      <c r="O681" s="154"/>
      <c r="P681" s="154"/>
      <c r="Q681" s="154"/>
      <c r="R681" s="154"/>
      <c r="S681" s="154"/>
      <c r="T681" s="154"/>
      <c r="U681" s="154"/>
      <c r="V681" s="154"/>
      <c r="W681" s="154"/>
      <c r="X681" s="154"/>
      <c r="Y681" s="154"/>
      <c r="Z681" s="154"/>
    </row>
    <row r="682" spans="1:26" ht="12" customHeight="1">
      <c r="A682" s="220"/>
      <c r="B682" s="154"/>
      <c r="C682" s="154"/>
      <c r="D682" s="154"/>
      <c r="E682" s="154"/>
      <c r="F682" s="154"/>
      <c r="G682" s="154"/>
      <c r="H682" s="154"/>
      <c r="I682" s="154"/>
      <c r="J682" s="217"/>
      <c r="K682" s="218"/>
      <c r="L682" s="154"/>
      <c r="M682" s="154"/>
      <c r="N682" s="154"/>
      <c r="O682" s="154"/>
      <c r="P682" s="154"/>
      <c r="Q682" s="154"/>
      <c r="R682" s="154"/>
      <c r="S682" s="154"/>
      <c r="T682" s="154"/>
      <c r="U682" s="154"/>
      <c r="V682" s="154"/>
      <c r="W682" s="154"/>
      <c r="X682" s="154"/>
      <c r="Y682" s="154"/>
      <c r="Z682" s="154"/>
    </row>
    <row r="683" spans="1:26" ht="12" customHeight="1">
      <c r="A683" s="220"/>
      <c r="B683" s="154"/>
      <c r="C683" s="154"/>
      <c r="D683" s="154"/>
      <c r="E683" s="154"/>
      <c r="F683" s="154"/>
      <c r="G683" s="154"/>
      <c r="H683" s="154"/>
      <c r="I683" s="154"/>
      <c r="J683" s="217"/>
      <c r="K683" s="218"/>
      <c r="L683" s="154"/>
      <c r="M683" s="154"/>
      <c r="N683" s="154"/>
      <c r="O683" s="154"/>
      <c r="P683" s="154"/>
      <c r="Q683" s="154"/>
      <c r="R683" s="154"/>
      <c r="S683" s="154"/>
      <c r="T683" s="154"/>
      <c r="U683" s="154"/>
      <c r="V683" s="154"/>
      <c r="W683" s="154"/>
      <c r="X683" s="154"/>
      <c r="Y683" s="154"/>
      <c r="Z683" s="154"/>
    </row>
    <row r="684" spans="1:26" ht="12" customHeight="1">
      <c r="A684" s="220"/>
      <c r="B684" s="154"/>
      <c r="C684" s="154"/>
      <c r="D684" s="154"/>
      <c r="E684" s="154"/>
      <c r="F684" s="154"/>
      <c r="G684" s="154"/>
      <c r="H684" s="154"/>
      <c r="I684" s="154"/>
      <c r="J684" s="217"/>
      <c r="K684" s="218"/>
      <c r="L684" s="154"/>
      <c r="M684" s="154"/>
      <c r="N684" s="154"/>
      <c r="O684" s="154"/>
      <c r="P684" s="154"/>
      <c r="Q684" s="154"/>
      <c r="R684" s="154"/>
      <c r="S684" s="154"/>
      <c r="T684" s="154"/>
      <c r="U684" s="154"/>
      <c r="V684" s="154"/>
      <c r="W684" s="154"/>
      <c r="X684" s="154"/>
      <c r="Y684" s="154"/>
      <c r="Z684" s="154"/>
    </row>
    <row r="685" spans="1:26" ht="12" customHeight="1">
      <c r="A685" s="220"/>
      <c r="B685" s="154"/>
      <c r="C685" s="154"/>
      <c r="D685" s="154"/>
      <c r="E685" s="154"/>
      <c r="F685" s="154"/>
      <c r="G685" s="154"/>
      <c r="H685" s="154"/>
      <c r="I685" s="154"/>
      <c r="J685" s="217"/>
      <c r="K685" s="218"/>
      <c r="L685" s="154"/>
      <c r="M685" s="154"/>
      <c r="N685" s="154"/>
      <c r="O685" s="154"/>
      <c r="P685" s="154"/>
      <c r="Q685" s="154"/>
      <c r="R685" s="154"/>
      <c r="S685" s="154"/>
      <c r="T685" s="154"/>
      <c r="U685" s="154"/>
      <c r="V685" s="154"/>
      <c r="W685" s="154"/>
      <c r="X685" s="154"/>
      <c r="Y685" s="154"/>
      <c r="Z685" s="154"/>
    </row>
    <row r="686" spans="1:26" ht="12" customHeight="1">
      <c r="A686" s="220"/>
      <c r="B686" s="154"/>
      <c r="C686" s="154"/>
      <c r="D686" s="154"/>
      <c r="E686" s="154"/>
      <c r="F686" s="154"/>
      <c r="G686" s="154"/>
      <c r="H686" s="154"/>
      <c r="I686" s="154"/>
      <c r="J686" s="217"/>
      <c r="K686" s="218"/>
      <c r="L686" s="154"/>
      <c r="M686" s="154"/>
      <c r="N686" s="154"/>
      <c r="O686" s="154"/>
      <c r="P686" s="154"/>
      <c r="Q686" s="154"/>
      <c r="R686" s="154"/>
      <c r="S686" s="154"/>
      <c r="T686" s="154"/>
      <c r="U686" s="154"/>
      <c r="V686" s="154"/>
      <c r="W686" s="154"/>
      <c r="X686" s="154"/>
      <c r="Y686" s="154"/>
      <c r="Z686" s="154"/>
    </row>
    <row r="687" spans="1:26" ht="12" customHeight="1">
      <c r="A687" s="220"/>
      <c r="B687" s="154"/>
      <c r="C687" s="154"/>
      <c r="D687" s="154"/>
      <c r="E687" s="154"/>
      <c r="F687" s="154"/>
      <c r="G687" s="154"/>
      <c r="H687" s="154"/>
      <c r="I687" s="154"/>
      <c r="J687" s="217"/>
      <c r="K687" s="218"/>
      <c r="L687" s="154"/>
      <c r="M687" s="154"/>
      <c r="N687" s="154"/>
      <c r="O687" s="154"/>
      <c r="P687" s="154"/>
      <c r="Q687" s="154"/>
      <c r="R687" s="154"/>
      <c r="S687" s="154"/>
      <c r="T687" s="154"/>
      <c r="U687" s="154"/>
      <c r="V687" s="154"/>
      <c r="W687" s="154"/>
      <c r="X687" s="154"/>
      <c r="Y687" s="154"/>
      <c r="Z687" s="154"/>
    </row>
    <row r="688" spans="1:26" ht="12" customHeight="1">
      <c r="A688" s="220"/>
      <c r="B688" s="154"/>
      <c r="C688" s="154"/>
      <c r="D688" s="154"/>
      <c r="E688" s="154"/>
      <c r="F688" s="154"/>
      <c r="G688" s="154"/>
      <c r="H688" s="154"/>
      <c r="I688" s="154"/>
      <c r="J688" s="217"/>
      <c r="K688" s="218"/>
      <c r="L688" s="154"/>
      <c r="M688" s="154"/>
      <c r="N688" s="154"/>
      <c r="O688" s="154"/>
      <c r="P688" s="154"/>
      <c r="Q688" s="154"/>
      <c r="R688" s="154"/>
      <c r="S688" s="154"/>
      <c r="T688" s="154"/>
      <c r="U688" s="154"/>
      <c r="V688" s="154"/>
      <c r="W688" s="154"/>
      <c r="X688" s="154"/>
      <c r="Y688" s="154"/>
      <c r="Z688" s="154"/>
    </row>
    <row r="689" spans="1:26" ht="12" customHeight="1">
      <c r="A689" s="220"/>
      <c r="B689" s="154"/>
      <c r="C689" s="154"/>
      <c r="D689" s="154"/>
      <c r="E689" s="154"/>
      <c r="F689" s="154"/>
      <c r="G689" s="154"/>
      <c r="H689" s="154"/>
      <c r="I689" s="154"/>
      <c r="J689" s="217"/>
      <c r="K689" s="218"/>
      <c r="L689" s="154"/>
      <c r="M689" s="154"/>
      <c r="N689" s="154"/>
      <c r="O689" s="154"/>
      <c r="P689" s="154"/>
      <c r="Q689" s="154"/>
      <c r="R689" s="154"/>
      <c r="S689" s="154"/>
      <c r="T689" s="154"/>
      <c r="U689" s="154"/>
      <c r="V689" s="154"/>
      <c r="W689" s="154"/>
      <c r="X689" s="154"/>
      <c r="Y689" s="154"/>
      <c r="Z689" s="154"/>
    </row>
    <row r="690" spans="1:26" ht="12" customHeight="1">
      <c r="A690" s="220"/>
      <c r="B690" s="154"/>
      <c r="C690" s="154"/>
      <c r="D690" s="154"/>
      <c r="E690" s="154"/>
      <c r="F690" s="154"/>
      <c r="G690" s="154"/>
      <c r="H690" s="154"/>
      <c r="I690" s="154"/>
      <c r="J690" s="217"/>
      <c r="K690" s="218"/>
      <c r="L690" s="154"/>
      <c r="M690" s="154"/>
      <c r="N690" s="154"/>
      <c r="O690" s="154"/>
      <c r="P690" s="154"/>
      <c r="Q690" s="154"/>
      <c r="R690" s="154"/>
      <c r="S690" s="154"/>
      <c r="T690" s="154"/>
      <c r="U690" s="154"/>
      <c r="V690" s="154"/>
      <c r="W690" s="154"/>
      <c r="X690" s="154"/>
      <c r="Y690" s="154"/>
      <c r="Z690" s="154"/>
    </row>
    <row r="691" spans="1:26" ht="12" customHeight="1">
      <c r="A691" s="220"/>
      <c r="B691" s="154"/>
      <c r="C691" s="154"/>
      <c r="D691" s="154"/>
      <c r="E691" s="154"/>
      <c r="F691" s="154"/>
      <c r="G691" s="154"/>
      <c r="H691" s="154"/>
      <c r="I691" s="154"/>
      <c r="J691" s="217"/>
      <c r="K691" s="218"/>
      <c r="L691" s="154"/>
      <c r="M691" s="154"/>
      <c r="N691" s="154"/>
      <c r="O691" s="154"/>
      <c r="P691" s="154"/>
      <c r="Q691" s="154"/>
      <c r="R691" s="154"/>
      <c r="S691" s="154"/>
      <c r="T691" s="154"/>
      <c r="U691" s="154"/>
      <c r="V691" s="154"/>
      <c r="W691" s="154"/>
      <c r="X691" s="154"/>
      <c r="Y691" s="154"/>
      <c r="Z691" s="154"/>
    </row>
    <row r="692" spans="1:26" ht="12" customHeight="1">
      <c r="A692" s="220"/>
      <c r="B692" s="154"/>
      <c r="C692" s="154"/>
      <c r="D692" s="154"/>
      <c r="E692" s="154"/>
      <c r="F692" s="154"/>
      <c r="G692" s="154"/>
      <c r="H692" s="154"/>
      <c r="I692" s="154"/>
      <c r="J692" s="217"/>
      <c r="K692" s="218"/>
      <c r="L692" s="154"/>
      <c r="M692" s="154"/>
      <c r="N692" s="154"/>
      <c r="O692" s="154"/>
      <c r="P692" s="154"/>
      <c r="Q692" s="154"/>
      <c r="R692" s="154"/>
      <c r="S692" s="154"/>
      <c r="T692" s="154"/>
      <c r="U692" s="154"/>
      <c r="V692" s="154"/>
      <c r="W692" s="154"/>
      <c r="X692" s="154"/>
      <c r="Y692" s="154"/>
      <c r="Z692" s="154"/>
    </row>
    <row r="693" spans="1:26" ht="12" customHeight="1">
      <c r="A693" s="220"/>
      <c r="B693" s="154"/>
      <c r="C693" s="154"/>
      <c r="D693" s="154"/>
      <c r="E693" s="154"/>
      <c r="F693" s="154"/>
      <c r="G693" s="154"/>
      <c r="H693" s="154"/>
      <c r="I693" s="154"/>
      <c r="J693" s="217"/>
      <c r="K693" s="218"/>
      <c r="L693" s="154"/>
      <c r="M693" s="154"/>
      <c r="N693" s="154"/>
      <c r="O693" s="154"/>
      <c r="P693" s="154"/>
      <c r="Q693" s="154"/>
      <c r="R693" s="154"/>
      <c r="S693" s="154"/>
      <c r="T693" s="154"/>
      <c r="U693" s="154"/>
      <c r="V693" s="154"/>
      <c r="W693" s="154"/>
      <c r="X693" s="154"/>
      <c r="Y693" s="154"/>
      <c r="Z693" s="154"/>
    </row>
    <row r="694" spans="1:26" ht="12" customHeight="1">
      <c r="A694" s="220"/>
      <c r="B694" s="154"/>
      <c r="C694" s="154"/>
      <c r="D694" s="154"/>
      <c r="E694" s="154"/>
      <c r="F694" s="154"/>
      <c r="G694" s="154"/>
      <c r="H694" s="154"/>
      <c r="I694" s="154"/>
      <c r="J694" s="217"/>
      <c r="K694" s="218"/>
      <c r="L694" s="154"/>
      <c r="M694" s="154"/>
      <c r="N694" s="154"/>
      <c r="O694" s="154"/>
      <c r="P694" s="154"/>
      <c r="Q694" s="154"/>
      <c r="R694" s="154"/>
      <c r="S694" s="154"/>
      <c r="T694" s="154"/>
      <c r="U694" s="154"/>
      <c r="V694" s="154"/>
      <c r="W694" s="154"/>
      <c r="X694" s="154"/>
      <c r="Y694" s="154"/>
      <c r="Z694" s="154"/>
    </row>
    <row r="695" spans="1:26" ht="12" customHeight="1">
      <c r="A695" s="220"/>
      <c r="B695" s="154"/>
      <c r="C695" s="154"/>
      <c r="D695" s="154"/>
      <c r="E695" s="154"/>
      <c r="F695" s="154"/>
      <c r="G695" s="154"/>
      <c r="H695" s="154"/>
      <c r="I695" s="154"/>
      <c r="J695" s="217"/>
      <c r="K695" s="218"/>
      <c r="L695" s="154"/>
      <c r="M695" s="154"/>
      <c r="N695" s="154"/>
      <c r="O695" s="154"/>
      <c r="P695" s="154"/>
      <c r="Q695" s="154"/>
      <c r="R695" s="154"/>
      <c r="S695" s="154"/>
      <c r="T695" s="154"/>
      <c r="U695" s="154"/>
      <c r="V695" s="154"/>
      <c r="W695" s="154"/>
      <c r="X695" s="154"/>
      <c r="Y695" s="154"/>
      <c r="Z695" s="154"/>
    </row>
    <row r="696" spans="1:26" ht="12" customHeight="1">
      <c r="A696" s="220"/>
      <c r="B696" s="154"/>
      <c r="C696" s="154"/>
      <c r="D696" s="154"/>
      <c r="E696" s="154"/>
      <c r="F696" s="154"/>
      <c r="G696" s="154"/>
      <c r="H696" s="154"/>
      <c r="I696" s="154"/>
      <c r="J696" s="217"/>
      <c r="K696" s="218"/>
      <c r="L696" s="154"/>
      <c r="M696" s="154"/>
      <c r="N696" s="154"/>
      <c r="O696" s="154"/>
      <c r="P696" s="154"/>
      <c r="Q696" s="154"/>
      <c r="R696" s="154"/>
      <c r="S696" s="154"/>
      <c r="T696" s="154"/>
      <c r="U696" s="154"/>
      <c r="V696" s="154"/>
      <c r="W696" s="154"/>
      <c r="X696" s="154"/>
      <c r="Y696" s="154"/>
      <c r="Z696" s="154"/>
    </row>
    <row r="697" spans="1:26" ht="12" customHeight="1">
      <c r="A697" s="220"/>
      <c r="B697" s="154"/>
      <c r="C697" s="154"/>
      <c r="D697" s="154"/>
      <c r="E697" s="154"/>
      <c r="F697" s="154"/>
      <c r="G697" s="154"/>
      <c r="H697" s="154"/>
      <c r="I697" s="154"/>
      <c r="J697" s="217"/>
      <c r="K697" s="218"/>
      <c r="L697" s="154"/>
      <c r="M697" s="154"/>
      <c r="N697" s="154"/>
      <c r="O697" s="154"/>
      <c r="P697" s="154"/>
      <c r="Q697" s="154"/>
      <c r="R697" s="154"/>
      <c r="S697" s="154"/>
      <c r="T697" s="154"/>
      <c r="U697" s="154"/>
      <c r="V697" s="154"/>
      <c r="W697" s="154"/>
      <c r="X697" s="154"/>
      <c r="Y697" s="154"/>
      <c r="Z697" s="154"/>
    </row>
    <row r="698" spans="1:26" ht="12" customHeight="1">
      <c r="A698" s="220"/>
      <c r="B698" s="154"/>
      <c r="C698" s="154"/>
      <c r="D698" s="154"/>
      <c r="E698" s="154"/>
      <c r="F698" s="154"/>
      <c r="G698" s="154"/>
      <c r="H698" s="154"/>
      <c r="I698" s="154"/>
      <c r="J698" s="217"/>
      <c r="K698" s="218"/>
      <c r="L698" s="154"/>
      <c r="M698" s="154"/>
      <c r="N698" s="154"/>
      <c r="O698" s="154"/>
      <c r="P698" s="154"/>
      <c r="Q698" s="154"/>
      <c r="R698" s="154"/>
      <c r="S698" s="154"/>
      <c r="T698" s="154"/>
      <c r="U698" s="154"/>
      <c r="V698" s="154"/>
      <c r="W698" s="154"/>
      <c r="X698" s="154"/>
      <c r="Y698" s="154"/>
      <c r="Z698" s="154"/>
    </row>
    <row r="699" spans="1:26" ht="12" customHeight="1">
      <c r="A699" s="220"/>
      <c r="B699" s="154"/>
      <c r="C699" s="154"/>
      <c r="D699" s="154"/>
      <c r="E699" s="154"/>
      <c r="F699" s="154"/>
      <c r="G699" s="154"/>
      <c r="H699" s="154"/>
      <c r="I699" s="154"/>
      <c r="J699" s="217"/>
      <c r="K699" s="218"/>
      <c r="L699" s="154"/>
      <c r="M699" s="154"/>
      <c r="N699" s="154"/>
      <c r="O699" s="154"/>
      <c r="P699" s="154"/>
      <c r="Q699" s="154"/>
      <c r="R699" s="154"/>
      <c r="S699" s="154"/>
      <c r="T699" s="154"/>
      <c r="U699" s="154"/>
      <c r="V699" s="154"/>
      <c r="W699" s="154"/>
      <c r="X699" s="154"/>
      <c r="Y699" s="154"/>
      <c r="Z699" s="154"/>
    </row>
    <row r="700" spans="1:26" ht="12" customHeight="1">
      <c r="A700" s="220"/>
      <c r="B700" s="154"/>
      <c r="C700" s="154"/>
      <c r="D700" s="154"/>
      <c r="E700" s="154"/>
      <c r="F700" s="154"/>
      <c r="G700" s="154"/>
      <c r="H700" s="154"/>
      <c r="I700" s="154"/>
      <c r="J700" s="217"/>
      <c r="K700" s="218"/>
      <c r="L700" s="154"/>
      <c r="M700" s="154"/>
      <c r="N700" s="154"/>
      <c r="O700" s="154"/>
      <c r="P700" s="154"/>
      <c r="Q700" s="154"/>
      <c r="R700" s="154"/>
      <c r="S700" s="154"/>
      <c r="T700" s="154"/>
      <c r="U700" s="154"/>
      <c r="V700" s="154"/>
      <c r="W700" s="154"/>
      <c r="X700" s="154"/>
      <c r="Y700" s="154"/>
      <c r="Z700" s="154"/>
    </row>
    <row r="701" spans="1:26" ht="12" customHeight="1">
      <c r="A701" s="220"/>
      <c r="B701" s="154"/>
      <c r="C701" s="154"/>
      <c r="D701" s="154"/>
      <c r="E701" s="154"/>
      <c r="F701" s="154"/>
      <c r="G701" s="154"/>
      <c r="H701" s="154"/>
      <c r="I701" s="154"/>
      <c r="J701" s="217"/>
      <c r="K701" s="218"/>
      <c r="L701" s="154"/>
      <c r="M701" s="154"/>
      <c r="N701" s="154"/>
      <c r="O701" s="154"/>
      <c r="P701" s="154"/>
      <c r="Q701" s="154"/>
      <c r="R701" s="154"/>
      <c r="S701" s="154"/>
      <c r="T701" s="154"/>
      <c r="U701" s="154"/>
      <c r="V701" s="154"/>
      <c r="W701" s="154"/>
      <c r="X701" s="154"/>
      <c r="Y701" s="154"/>
      <c r="Z701" s="154"/>
    </row>
    <row r="702" spans="1:26" ht="12" customHeight="1">
      <c r="A702" s="220"/>
      <c r="B702" s="154"/>
      <c r="C702" s="154"/>
      <c r="D702" s="154"/>
      <c r="E702" s="154"/>
      <c r="F702" s="154"/>
      <c r="G702" s="154"/>
      <c r="H702" s="154"/>
      <c r="I702" s="154"/>
      <c r="J702" s="217"/>
      <c r="K702" s="218"/>
      <c r="L702" s="154"/>
      <c r="M702" s="154"/>
      <c r="N702" s="154"/>
      <c r="O702" s="154"/>
      <c r="P702" s="154"/>
      <c r="Q702" s="154"/>
      <c r="R702" s="154"/>
      <c r="S702" s="154"/>
      <c r="T702" s="154"/>
      <c r="U702" s="154"/>
      <c r="V702" s="154"/>
      <c r="W702" s="154"/>
      <c r="X702" s="154"/>
      <c r="Y702" s="154"/>
      <c r="Z702" s="154"/>
    </row>
    <row r="703" spans="1:26" ht="12" customHeight="1">
      <c r="A703" s="220"/>
      <c r="B703" s="154"/>
      <c r="C703" s="154"/>
      <c r="D703" s="154"/>
      <c r="E703" s="154"/>
      <c r="F703" s="154"/>
      <c r="G703" s="154"/>
      <c r="H703" s="154"/>
      <c r="I703" s="154"/>
      <c r="J703" s="217"/>
      <c r="K703" s="218"/>
      <c r="L703" s="154"/>
      <c r="M703" s="154"/>
      <c r="N703" s="154"/>
      <c r="O703" s="154"/>
      <c r="P703" s="154"/>
      <c r="Q703" s="154"/>
      <c r="R703" s="154"/>
      <c r="S703" s="154"/>
      <c r="T703" s="154"/>
      <c r="U703" s="154"/>
      <c r="V703" s="154"/>
      <c r="W703" s="154"/>
      <c r="X703" s="154"/>
      <c r="Y703" s="154"/>
      <c r="Z703" s="154"/>
    </row>
    <row r="704" spans="1:26" ht="12" customHeight="1">
      <c r="A704" s="220"/>
      <c r="B704" s="154"/>
      <c r="C704" s="154"/>
      <c r="D704" s="154"/>
      <c r="E704" s="154"/>
      <c r="F704" s="154"/>
      <c r="G704" s="154"/>
      <c r="H704" s="154"/>
      <c r="I704" s="154"/>
      <c r="J704" s="217"/>
      <c r="K704" s="218"/>
      <c r="L704" s="154"/>
      <c r="M704" s="154"/>
      <c r="N704" s="154"/>
      <c r="O704" s="154"/>
      <c r="P704" s="154"/>
      <c r="Q704" s="154"/>
      <c r="R704" s="154"/>
      <c r="S704" s="154"/>
      <c r="T704" s="154"/>
      <c r="U704" s="154"/>
      <c r="V704" s="154"/>
      <c r="W704" s="154"/>
      <c r="X704" s="154"/>
      <c r="Y704" s="154"/>
      <c r="Z704" s="154"/>
    </row>
    <row r="705" spans="1:26" ht="12" customHeight="1">
      <c r="A705" s="220"/>
      <c r="B705" s="154"/>
      <c r="C705" s="154"/>
      <c r="D705" s="154"/>
      <c r="E705" s="154"/>
      <c r="F705" s="154"/>
      <c r="G705" s="154"/>
      <c r="H705" s="154"/>
      <c r="I705" s="154"/>
      <c r="J705" s="217"/>
      <c r="K705" s="218"/>
      <c r="L705" s="154"/>
      <c r="M705" s="154"/>
      <c r="N705" s="154"/>
      <c r="O705" s="154"/>
      <c r="P705" s="154"/>
      <c r="Q705" s="154"/>
      <c r="R705" s="154"/>
      <c r="S705" s="154"/>
      <c r="T705" s="154"/>
      <c r="U705" s="154"/>
      <c r="V705" s="154"/>
      <c r="W705" s="154"/>
      <c r="X705" s="154"/>
      <c r="Y705" s="154"/>
      <c r="Z705" s="154"/>
    </row>
    <row r="706" spans="1:26" ht="12" customHeight="1">
      <c r="A706" s="220"/>
      <c r="B706" s="154"/>
      <c r="C706" s="154"/>
      <c r="D706" s="154"/>
      <c r="E706" s="154"/>
      <c r="F706" s="154"/>
      <c r="G706" s="154"/>
      <c r="H706" s="154"/>
      <c r="I706" s="154"/>
      <c r="J706" s="217"/>
      <c r="K706" s="218"/>
      <c r="L706" s="154"/>
      <c r="M706" s="154"/>
      <c r="N706" s="154"/>
      <c r="O706" s="154"/>
      <c r="P706" s="154"/>
      <c r="Q706" s="154"/>
      <c r="R706" s="154"/>
      <c r="S706" s="154"/>
      <c r="T706" s="154"/>
      <c r="U706" s="154"/>
      <c r="V706" s="154"/>
      <c r="W706" s="154"/>
      <c r="X706" s="154"/>
      <c r="Y706" s="154"/>
      <c r="Z706" s="154"/>
    </row>
    <row r="707" spans="1:26" ht="12" customHeight="1">
      <c r="A707" s="220"/>
      <c r="B707" s="154"/>
      <c r="C707" s="154"/>
      <c r="D707" s="154"/>
      <c r="E707" s="154"/>
      <c r="F707" s="154"/>
      <c r="G707" s="154"/>
      <c r="H707" s="154"/>
      <c r="I707" s="154"/>
      <c r="J707" s="217"/>
      <c r="K707" s="218"/>
      <c r="L707" s="154"/>
      <c r="M707" s="154"/>
      <c r="N707" s="154"/>
      <c r="O707" s="154"/>
      <c r="P707" s="154"/>
      <c r="Q707" s="154"/>
      <c r="R707" s="154"/>
      <c r="S707" s="154"/>
      <c r="T707" s="154"/>
      <c r="U707" s="154"/>
      <c r="V707" s="154"/>
      <c r="W707" s="154"/>
      <c r="X707" s="154"/>
      <c r="Y707" s="154"/>
      <c r="Z707" s="154"/>
    </row>
    <row r="708" spans="1:26" ht="12" customHeight="1">
      <c r="A708" s="220"/>
      <c r="B708" s="154"/>
      <c r="C708" s="154"/>
      <c r="D708" s="154"/>
      <c r="E708" s="154"/>
      <c r="F708" s="154"/>
      <c r="G708" s="154"/>
      <c r="H708" s="154"/>
      <c r="I708" s="154"/>
      <c r="J708" s="217"/>
      <c r="K708" s="218"/>
      <c r="L708" s="154"/>
      <c r="M708" s="154"/>
      <c r="N708" s="154"/>
      <c r="O708" s="154"/>
      <c r="P708" s="154"/>
      <c r="Q708" s="154"/>
      <c r="R708" s="154"/>
      <c r="S708" s="154"/>
      <c r="T708" s="154"/>
      <c r="U708" s="154"/>
      <c r="V708" s="154"/>
      <c r="W708" s="154"/>
      <c r="X708" s="154"/>
      <c r="Y708" s="154"/>
      <c r="Z708" s="154"/>
    </row>
    <row r="709" spans="1:26" ht="12" customHeight="1">
      <c r="A709" s="220"/>
      <c r="B709" s="154"/>
      <c r="C709" s="154"/>
      <c r="D709" s="154"/>
      <c r="E709" s="154"/>
      <c r="F709" s="154"/>
      <c r="G709" s="154"/>
      <c r="H709" s="154"/>
      <c r="I709" s="154"/>
      <c r="J709" s="217"/>
      <c r="K709" s="218"/>
      <c r="L709" s="154"/>
      <c r="M709" s="154"/>
      <c r="N709" s="154"/>
      <c r="O709" s="154"/>
      <c r="P709" s="154"/>
      <c r="Q709" s="154"/>
      <c r="R709" s="154"/>
      <c r="S709" s="154"/>
      <c r="T709" s="154"/>
      <c r="U709" s="154"/>
      <c r="V709" s="154"/>
      <c r="W709" s="154"/>
      <c r="X709" s="154"/>
      <c r="Y709" s="154"/>
      <c r="Z709" s="154"/>
    </row>
    <row r="710" spans="1:26" ht="12" customHeight="1">
      <c r="A710" s="220"/>
      <c r="B710" s="154"/>
      <c r="C710" s="154"/>
      <c r="D710" s="154"/>
      <c r="E710" s="154"/>
      <c r="F710" s="154"/>
      <c r="G710" s="154"/>
      <c r="H710" s="154"/>
      <c r="I710" s="154"/>
      <c r="J710" s="217"/>
      <c r="K710" s="218"/>
      <c r="L710" s="154"/>
      <c r="M710" s="154"/>
      <c r="N710" s="154"/>
      <c r="O710" s="154"/>
      <c r="P710" s="154"/>
      <c r="Q710" s="154"/>
      <c r="R710" s="154"/>
      <c r="S710" s="154"/>
      <c r="T710" s="154"/>
      <c r="U710" s="154"/>
      <c r="V710" s="154"/>
      <c r="W710" s="154"/>
      <c r="X710" s="154"/>
      <c r="Y710" s="154"/>
      <c r="Z710" s="154"/>
    </row>
    <row r="711" spans="1:26" ht="12" customHeight="1">
      <c r="A711" s="220"/>
      <c r="B711" s="154"/>
      <c r="C711" s="154"/>
      <c r="D711" s="154"/>
      <c r="E711" s="154"/>
      <c r="F711" s="154"/>
      <c r="G711" s="154"/>
      <c r="H711" s="154"/>
      <c r="I711" s="154"/>
      <c r="J711" s="217"/>
      <c r="K711" s="218"/>
      <c r="L711" s="154"/>
      <c r="M711" s="154"/>
      <c r="N711" s="154"/>
      <c r="O711" s="154"/>
      <c r="P711" s="154"/>
      <c r="Q711" s="154"/>
      <c r="R711" s="154"/>
      <c r="S711" s="154"/>
      <c r="T711" s="154"/>
      <c r="U711" s="154"/>
      <c r="V711" s="154"/>
      <c r="W711" s="154"/>
      <c r="X711" s="154"/>
      <c r="Y711" s="154"/>
      <c r="Z711" s="154"/>
    </row>
    <row r="712" spans="1:26" ht="12" customHeight="1">
      <c r="A712" s="220"/>
      <c r="B712" s="154"/>
      <c r="C712" s="154"/>
      <c r="D712" s="154"/>
      <c r="E712" s="154"/>
      <c r="F712" s="154"/>
      <c r="G712" s="154"/>
      <c r="H712" s="154"/>
      <c r="I712" s="154"/>
      <c r="J712" s="217"/>
      <c r="K712" s="218"/>
      <c r="L712" s="154"/>
      <c r="M712" s="154"/>
      <c r="N712" s="154"/>
      <c r="O712" s="154"/>
      <c r="P712" s="154"/>
      <c r="Q712" s="154"/>
      <c r="R712" s="154"/>
      <c r="S712" s="154"/>
      <c r="T712" s="154"/>
      <c r="U712" s="154"/>
      <c r="V712" s="154"/>
      <c r="W712" s="154"/>
      <c r="X712" s="154"/>
      <c r="Y712" s="154"/>
      <c r="Z712" s="154"/>
    </row>
    <row r="713" spans="1:26" ht="12" customHeight="1">
      <c r="A713" s="220"/>
      <c r="B713" s="154"/>
      <c r="C713" s="154"/>
      <c r="D713" s="154"/>
      <c r="E713" s="154"/>
      <c r="F713" s="154"/>
      <c r="G713" s="154"/>
      <c r="H713" s="154"/>
      <c r="I713" s="154"/>
      <c r="J713" s="217"/>
      <c r="K713" s="218"/>
      <c r="L713" s="154"/>
      <c r="M713" s="154"/>
      <c r="N713" s="154"/>
      <c r="O713" s="154"/>
      <c r="P713" s="154"/>
      <c r="Q713" s="154"/>
      <c r="R713" s="154"/>
      <c r="S713" s="154"/>
      <c r="T713" s="154"/>
      <c r="U713" s="154"/>
      <c r="V713" s="154"/>
      <c r="W713" s="154"/>
      <c r="X713" s="154"/>
      <c r="Y713" s="154"/>
      <c r="Z713" s="154"/>
    </row>
    <row r="714" spans="1:26" ht="12" customHeight="1">
      <c r="A714" s="220"/>
      <c r="B714" s="154"/>
      <c r="C714" s="154"/>
      <c r="D714" s="154"/>
      <c r="E714" s="154"/>
      <c r="F714" s="154"/>
      <c r="G714" s="154"/>
      <c r="H714" s="154"/>
      <c r="I714" s="154"/>
      <c r="J714" s="217"/>
      <c r="K714" s="218"/>
      <c r="L714" s="154"/>
      <c r="M714" s="154"/>
      <c r="N714" s="154"/>
      <c r="O714" s="154"/>
      <c r="P714" s="154"/>
      <c r="Q714" s="154"/>
      <c r="R714" s="154"/>
      <c r="S714" s="154"/>
      <c r="T714" s="154"/>
      <c r="U714" s="154"/>
      <c r="V714" s="154"/>
      <c r="W714" s="154"/>
      <c r="X714" s="154"/>
      <c r="Y714" s="154"/>
      <c r="Z714" s="154"/>
    </row>
    <row r="715" spans="1:26" ht="12" customHeight="1">
      <c r="A715" s="220"/>
      <c r="B715" s="154"/>
      <c r="C715" s="154"/>
      <c r="D715" s="154"/>
      <c r="E715" s="154"/>
      <c r="F715" s="154"/>
      <c r="G715" s="154"/>
      <c r="H715" s="154"/>
      <c r="I715" s="154"/>
      <c r="J715" s="217"/>
      <c r="K715" s="218"/>
      <c r="L715" s="154"/>
      <c r="M715" s="154"/>
      <c r="N715" s="154"/>
      <c r="O715" s="154"/>
      <c r="P715" s="154"/>
      <c r="Q715" s="154"/>
      <c r="R715" s="154"/>
      <c r="S715" s="154"/>
      <c r="T715" s="154"/>
      <c r="U715" s="154"/>
      <c r="V715" s="154"/>
      <c r="W715" s="154"/>
      <c r="X715" s="154"/>
      <c r="Y715" s="154"/>
      <c r="Z715" s="154"/>
    </row>
    <row r="716" spans="1:26" ht="12" customHeight="1">
      <c r="A716" s="220"/>
      <c r="B716" s="154"/>
      <c r="C716" s="154"/>
      <c r="D716" s="154"/>
      <c r="E716" s="154"/>
      <c r="F716" s="154"/>
      <c r="G716" s="154"/>
      <c r="H716" s="154"/>
      <c r="I716" s="154"/>
      <c r="J716" s="217"/>
      <c r="K716" s="218"/>
      <c r="L716" s="154"/>
      <c r="M716" s="154"/>
      <c r="N716" s="154"/>
      <c r="O716" s="154"/>
      <c r="P716" s="154"/>
      <c r="Q716" s="154"/>
      <c r="R716" s="154"/>
      <c r="S716" s="154"/>
      <c r="T716" s="154"/>
      <c r="U716" s="154"/>
      <c r="V716" s="154"/>
      <c r="W716" s="154"/>
      <c r="X716" s="154"/>
      <c r="Y716" s="154"/>
      <c r="Z716" s="154"/>
    </row>
    <row r="717" spans="1:26" ht="12" customHeight="1">
      <c r="A717" s="220"/>
      <c r="B717" s="154"/>
      <c r="C717" s="154"/>
      <c r="D717" s="154"/>
      <c r="E717" s="154"/>
      <c r="F717" s="154"/>
      <c r="G717" s="154"/>
      <c r="H717" s="154"/>
      <c r="I717" s="154"/>
      <c r="J717" s="217"/>
      <c r="K717" s="218"/>
      <c r="L717" s="154"/>
      <c r="M717" s="154"/>
      <c r="N717" s="154"/>
      <c r="O717" s="154"/>
      <c r="P717" s="154"/>
      <c r="Q717" s="154"/>
      <c r="R717" s="154"/>
      <c r="S717" s="154"/>
      <c r="T717" s="154"/>
      <c r="U717" s="154"/>
      <c r="V717" s="154"/>
      <c r="W717" s="154"/>
      <c r="X717" s="154"/>
      <c r="Y717" s="154"/>
      <c r="Z717" s="154"/>
    </row>
    <row r="718" spans="1:26" ht="12" customHeight="1">
      <c r="A718" s="220"/>
      <c r="B718" s="154"/>
      <c r="C718" s="154"/>
      <c r="D718" s="154"/>
      <c r="E718" s="154"/>
      <c r="F718" s="154"/>
      <c r="G718" s="154"/>
      <c r="H718" s="154"/>
      <c r="I718" s="154"/>
      <c r="J718" s="217"/>
      <c r="K718" s="218"/>
      <c r="L718" s="154"/>
      <c r="M718" s="154"/>
      <c r="N718" s="154"/>
      <c r="O718" s="154"/>
      <c r="P718" s="154"/>
      <c r="Q718" s="154"/>
      <c r="R718" s="154"/>
      <c r="S718" s="154"/>
      <c r="T718" s="154"/>
      <c r="U718" s="154"/>
      <c r="V718" s="154"/>
      <c r="W718" s="154"/>
      <c r="X718" s="154"/>
      <c r="Y718" s="154"/>
      <c r="Z718" s="154"/>
    </row>
    <row r="719" spans="1:26" ht="12" customHeight="1">
      <c r="A719" s="220"/>
      <c r="B719" s="154"/>
      <c r="C719" s="154"/>
      <c r="D719" s="154"/>
      <c r="E719" s="154"/>
      <c r="F719" s="154"/>
      <c r="G719" s="154"/>
      <c r="H719" s="154"/>
      <c r="I719" s="154"/>
      <c r="J719" s="217"/>
      <c r="K719" s="218"/>
      <c r="L719" s="154"/>
      <c r="M719" s="154"/>
      <c r="N719" s="154"/>
      <c r="O719" s="154"/>
      <c r="P719" s="154"/>
      <c r="Q719" s="154"/>
      <c r="R719" s="154"/>
      <c r="S719" s="154"/>
      <c r="T719" s="154"/>
      <c r="U719" s="154"/>
      <c r="V719" s="154"/>
      <c r="W719" s="154"/>
      <c r="X719" s="154"/>
      <c r="Y719" s="154"/>
      <c r="Z719" s="154"/>
    </row>
    <row r="720" spans="1:26" ht="12" customHeight="1">
      <c r="A720" s="220"/>
      <c r="B720" s="154"/>
      <c r="C720" s="154"/>
      <c r="D720" s="154"/>
      <c r="E720" s="154"/>
      <c r="F720" s="154"/>
      <c r="G720" s="154"/>
      <c r="H720" s="154"/>
      <c r="I720" s="154"/>
      <c r="J720" s="217"/>
      <c r="K720" s="218"/>
      <c r="L720" s="154"/>
      <c r="M720" s="154"/>
      <c r="N720" s="154"/>
      <c r="O720" s="154"/>
      <c r="P720" s="154"/>
      <c r="Q720" s="154"/>
      <c r="R720" s="154"/>
      <c r="S720" s="154"/>
      <c r="T720" s="154"/>
      <c r="U720" s="154"/>
      <c r="V720" s="154"/>
      <c r="W720" s="154"/>
      <c r="X720" s="154"/>
      <c r="Y720" s="154"/>
      <c r="Z720" s="154"/>
    </row>
    <row r="721" spans="1:26" ht="12" customHeight="1">
      <c r="A721" s="220"/>
      <c r="B721" s="154"/>
      <c r="C721" s="154"/>
      <c r="D721" s="154"/>
      <c r="E721" s="154"/>
      <c r="F721" s="154"/>
      <c r="G721" s="154"/>
      <c r="H721" s="154"/>
      <c r="I721" s="154"/>
      <c r="J721" s="217"/>
      <c r="K721" s="218"/>
      <c r="L721" s="154"/>
      <c r="M721" s="154"/>
      <c r="N721" s="154"/>
      <c r="O721" s="154"/>
      <c r="P721" s="154"/>
      <c r="Q721" s="154"/>
      <c r="R721" s="154"/>
      <c r="S721" s="154"/>
      <c r="T721" s="154"/>
      <c r="U721" s="154"/>
      <c r="V721" s="154"/>
      <c r="W721" s="154"/>
      <c r="X721" s="154"/>
      <c r="Y721" s="154"/>
      <c r="Z721" s="154"/>
    </row>
    <row r="722" spans="1:26" ht="12" customHeight="1">
      <c r="A722" s="220"/>
      <c r="B722" s="154"/>
      <c r="C722" s="154"/>
      <c r="D722" s="154"/>
      <c r="E722" s="154"/>
      <c r="F722" s="154"/>
      <c r="G722" s="154"/>
      <c r="H722" s="154"/>
      <c r="I722" s="154"/>
      <c r="J722" s="217"/>
      <c r="K722" s="218"/>
      <c r="L722" s="154"/>
      <c r="M722" s="154"/>
      <c r="N722" s="154"/>
      <c r="O722" s="154"/>
      <c r="P722" s="154"/>
      <c r="Q722" s="154"/>
      <c r="R722" s="154"/>
      <c r="S722" s="154"/>
      <c r="T722" s="154"/>
      <c r="U722" s="154"/>
      <c r="V722" s="154"/>
      <c r="W722" s="154"/>
      <c r="X722" s="154"/>
      <c r="Y722" s="154"/>
      <c r="Z722" s="154"/>
    </row>
    <row r="723" spans="1:26" ht="12" customHeight="1">
      <c r="A723" s="220"/>
      <c r="B723" s="154"/>
      <c r="C723" s="154"/>
      <c r="D723" s="154"/>
      <c r="E723" s="154"/>
      <c r="F723" s="154"/>
      <c r="G723" s="154"/>
      <c r="H723" s="154"/>
      <c r="I723" s="154"/>
      <c r="J723" s="217"/>
      <c r="K723" s="218"/>
      <c r="L723" s="154"/>
      <c r="M723" s="154"/>
      <c r="N723" s="154"/>
      <c r="O723" s="154"/>
      <c r="P723" s="154"/>
      <c r="Q723" s="154"/>
      <c r="R723" s="154"/>
      <c r="S723" s="154"/>
      <c r="T723" s="154"/>
      <c r="U723" s="154"/>
      <c r="V723" s="154"/>
      <c r="W723" s="154"/>
      <c r="X723" s="154"/>
      <c r="Y723" s="154"/>
      <c r="Z723" s="154"/>
    </row>
    <row r="724" spans="1:26" ht="12" customHeight="1">
      <c r="A724" s="220"/>
      <c r="B724" s="154"/>
      <c r="C724" s="154"/>
      <c r="D724" s="154"/>
      <c r="E724" s="154"/>
      <c r="F724" s="154"/>
      <c r="G724" s="154"/>
      <c r="H724" s="154"/>
      <c r="I724" s="154"/>
      <c r="J724" s="217"/>
      <c r="K724" s="218"/>
      <c r="L724" s="154"/>
      <c r="M724" s="154"/>
      <c r="N724" s="154"/>
      <c r="O724" s="154"/>
      <c r="P724" s="154"/>
      <c r="Q724" s="154"/>
      <c r="R724" s="154"/>
      <c r="S724" s="154"/>
      <c r="T724" s="154"/>
      <c r="U724" s="154"/>
      <c r="V724" s="154"/>
      <c r="W724" s="154"/>
      <c r="X724" s="154"/>
      <c r="Y724" s="154"/>
      <c r="Z724" s="154"/>
    </row>
    <row r="725" spans="1:26" ht="12" customHeight="1">
      <c r="A725" s="220"/>
      <c r="B725" s="154"/>
      <c r="C725" s="154"/>
      <c r="D725" s="154"/>
      <c r="E725" s="154"/>
      <c r="F725" s="154"/>
      <c r="G725" s="154"/>
      <c r="H725" s="154"/>
      <c r="I725" s="154"/>
      <c r="J725" s="217"/>
      <c r="K725" s="218"/>
      <c r="L725" s="154"/>
      <c r="M725" s="154"/>
      <c r="N725" s="154"/>
      <c r="O725" s="154"/>
      <c r="P725" s="154"/>
      <c r="Q725" s="154"/>
      <c r="R725" s="154"/>
      <c r="S725" s="154"/>
      <c r="T725" s="154"/>
      <c r="U725" s="154"/>
      <c r="V725" s="154"/>
      <c r="W725" s="154"/>
      <c r="X725" s="154"/>
      <c r="Y725" s="154"/>
      <c r="Z725" s="154"/>
    </row>
    <row r="726" spans="1:26" ht="12" customHeight="1">
      <c r="A726" s="220"/>
      <c r="B726" s="154"/>
      <c r="C726" s="154"/>
      <c r="D726" s="154"/>
      <c r="E726" s="154"/>
      <c r="F726" s="154"/>
      <c r="G726" s="154"/>
      <c r="H726" s="154"/>
      <c r="I726" s="154"/>
      <c r="J726" s="217"/>
      <c r="K726" s="218"/>
      <c r="L726" s="154"/>
      <c r="M726" s="154"/>
      <c r="N726" s="154"/>
      <c r="O726" s="154"/>
      <c r="P726" s="154"/>
      <c r="Q726" s="154"/>
      <c r="R726" s="154"/>
      <c r="S726" s="154"/>
      <c r="T726" s="154"/>
      <c r="U726" s="154"/>
      <c r="V726" s="154"/>
      <c r="W726" s="154"/>
      <c r="X726" s="154"/>
      <c r="Y726" s="154"/>
      <c r="Z726" s="154"/>
    </row>
    <row r="727" spans="1:26" ht="12" customHeight="1">
      <c r="A727" s="220"/>
      <c r="B727" s="154"/>
      <c r="C727" s="154"/>
      <c r="D727" s="154"/>
      <c r="E727" s="154"/>
      <c r="F727" s="154"/>
      <c r="G727" s="154"/>
      <c r="H727" s="154"/>
      <c r="I727" s="154"/>
      <c r="J727" s="217"/>
      <c r="K727" s="218"/>
      <c r="L727" s="154"/>
      <c r="M727" s="154"/>
      <c r="N727" s="154"/>
      <c r="O727" s="154"/>
      <c r="P727" s="154"/>
      <c r="Q727" s="154"/>
      <c r="R727" s="154"/>
      <c r="S727" s="154"/>
      <c r="T727" s="154"/>
      <c r="U727" s="154"/>
      <c r="V727" s="154"/>
      <c r="W727" s="154"/>
      <c r="X727" s="154"/>
      <c r="Y727" s="154"/>
      <c r="Z727" s="154"/>
    </row>
    <row r="728" spans="1:26" ht="12" customHeight="1">
      <c r="A728" s="220"/>
      <c r="B728" s="154"/>
      <c r="C728" s="154"/>
      <c r="D728" s="154"/>
      <c r="E728" s="154"/>
      <c r="F728" s="154"/>
      <c r="G728" s="154"/>
      <c r="H728" s="154"/>
      <c r="I728" s="154"/>
      <c r="J728" s="217"/>
      <c r="K728" s="218"/>
      <c r="L728" s="154"/>
      <c r="M728" s="154"/>
      <c r="N728" s="154"/>
      <c r="O728" s="154"/>
      <c r="P728" s="154"/>
      <c r="Q728" s="154"/>
      <c r="R728" s="154"/>
      <c r="S728" s="154"/>
      <c r="T728" s="154"/>
      <c r="U728" s="154"/>
      <c r="V728" s="154"/>
      <c r="W728" s="154"/>
      <c r="X728" s="154"/>
      <c r="Y728" s="154"/>
      <c r="Z728" s="154"/>
    </row>
    <row r="729" spans="1:26" ht="12" customHeight="1">
      <c r="A729" s="220"/>
      <c r="B729" s="154"/>
      <c r="C729" s="154"/>
      <c r="D729" s="154"/>
      <c r="E729" s="154"/>
      <c r="F729" s="154"/>
      <c r="G729" s="154"/>
      <c r="H729" s="154"/>
      <c r="I729" s="154"/>
      <c r="J729" s="217"/>
      <c r="K729" s="218"/>
      <c r="L729" s="154"/>
      <c r="M729" s="154"/>
      <c r="N729" s="154"/>
      <c r="O729" s="154"/>
      <c r="P729" s="154"/>
      <c r="Q729" s="154"/>
      <c r="R729" s="154"/>
      <c r="S729" s="154"/>
      <c r="T729" s="154"/>
      <c r="U729" s="154"/>
      <c r="V729" s="154"/>
      <c r="W729" s="154"/>
      <c r="X729" s="154"/>
      <c r="Y729" s="154"/>
      <c r="Z729" s="154"/>
    </row>
    <row r="730" spans="1:26" ht="12" customHeight="1">
      <c r="A730" s="220"/>
      <c r="B730" s="154"/>
      <c r="C730" s="154"/>
      <c r="D730" s="154"/>
      <c r="E730" s="154"/>
      <c r="F730" s="154"/>
      <c r="G730" s="154"/>
      <c r="H730" s="154"/>
      <c r="I730" s="154"/>
      <c r="J730" s="217"/>
      <c r="K730" s="218"/>
      <c r="L730" s="154"/>
      <c r="M730" s="154"/>
      <c r="N730" s="154"/>
      <c r="O730" s="154"/>
      <c r="P730" s="154"/>
      <c r="Q730" s="154"/>
      <c r="R730" s="154"/>
      <c r="S730" s="154"/>
      <c r="T730" s="154"/>
      <c r="U730" s="154"/>
      <c r="V730" s="154"/>
      <c r="W730" s="154"/>
      <c r="X730" s="154"/>
      <c r="Y730" s="154"/>
      <c r="Z730" s="154"/>
    </row>
    <row r="731" spans="1:26" ht="12" customHeight="1">
      <c r="A731" s="220"/>
      <c r="B731" s="154"/>
      <c r="C731" s="154"/>
      <c r="D731" s="154"/>
      <c r="E731" s="154"/>
      <c r="F731" s="154"/>
      <c r="G731" s="154"/>
      <c r="H731" s="154"/>
      <c r="I731" s="154"/>
      <c r="J731" s="217"/>
      <c r="K731" s="218"/>
      <c r="L731" s="154"/>
      <c r="M731" s="154"/>
      <c r="N731" s="154"/>
      <c r="O731" s="154"/>
      <c r="P731" s="154"/>
      <c r="Q731" s="154"/>
      <c r="R731" s="154"/>
      <c r="S731" s="154"/>
      <c r="T731" s="154"/>
      <c r="U731" s="154"/>
      <c r="V731" s="154"/>
      <c r="W731" s="154"/>
      <c r="X731" s="154"/>
      <c r="Y731" s="154"/>
      <c r="Z731" s="154"/>
    </row>
    <row r="732" spans="1:26" ht="12" customHeight="1">
      <c r="A732" s="220"/>
      <c r="B732" s="154"/>
      <c r="C732" s="154"/>
      <c r="D732" s="154"/>
      <c r="E732" s="154"/>
      <c r="F732" s="154"/>
      <c r="G732" s="154"/>
      <c r="H732" s="154"/>
      <c r="I732" s="154"/>
      <c r="J732" s="217"/>
      <c r="K732" s="218"/>
      <c r="L732" s="154"/>
      <c r="M732" s="154"/>
      <c r="N732" s="154"/>
      <c r="O732" s="154"/>
      <c r="P732" s="154"/>
      <c r="Q732" s="154"/>
      <c r="R732" s="154"/>
      <c r="S732" s="154"/>
      <c r="T732" s="154"/>
      <c r="U732" s="154"/>
      <c r="V732" s="154"/>
      <c r="W732" s="154"/>
      <c r="X732" s="154"/>
      <c r="Y732" s="154"/>
      <c r="Z732" s="154"/>
    </row>
    <row r="733" spans="1:26" ht="12" customHeight="1">
      <c r="A733" s="220"/>
      <c r="B733" s="154"/>
      <c r="C733" s="154"/>
      <c r="D733" s="154"/>
      <c r="E733" s="154"/>
      <c r="F733" s="154"/>
      <c r="G733" s="154"/>
      <c r="H733" s="154"/>
      <c r="I733" s="154"/>
      <c r="J733" s="217"/>
      <c r="K733" s="218"/>
      <c r="L733" s="154"/>
      <c r="M733" s="154"/>
      <c r="N733" s="154"/>
      <c r="O733" s="154"/>
      <c r="P733" s="154"/>
      <c r="Q733" s="154"/>
      <c r="R733" s="154"/>
      <c r="S733" s="154"/>
      <c r="T733" s="154"/>
      <c r="U733" s="154"/>
      <c r="V733" s="154"/>
      <c r="W733" s="154"/>
      <c r="X733" s="154"/>
      <c r="Y733" s="154"/>
      <c r="Z733" s="154"/>
    </row>
    <row r="734" spans="1:26" ht="12" customHeight="1">
      <c r="A734" s="220"/>
      <c r="B734" s="154"/>
      <c r="C734" s="154"/>
      <c r="D734" s="154"/>
      <c r="E734" s="154"/>
      <c r="F734" s="154"/>
      <c r="G734" s="154"/>
      <c r="H734" s="154"/>
      <c r="I734" s="154"/>
      <c r="J734" s="217"/>
      <c r="K734" s="218"/>
      <c r="L734" s="154"/>
      <c r="M734" s="154"/>
      <c r="N734" s="154"/>
      <c r="O734" s="154"/>
      <c r="P734" s="154"/>
      <c r="Q734" s="154"/>
      <c r="R734" s="154"/>
      <c r="S734" s="154"/>
      <c r="T734" s="154"/>
      <c r="U734" s="154"/>
      <c r="V734" s="154"/>
      <c r="W734" s="154"/>
      <c r="X734" s="154"/>
      <c r="Y734" s="154"/>
      <c r="Z734" s="154"/>
    </row>
    <row r="735" spans="1:26" ht="12" customHeight="1">
      <c r="A735" s="220"/>
      <c r="B735" s="154"/>
      <c r="C735" s="154"/>
      <c r="D735" s="154"/>
      <c r="E735" s="154"/>
      <c r="F735" s="154"/>
      <c r="G735" s="154"/>
      <c r="H735" s="154"/>
      <c r="I735" s="154"/>
      <c r="J735" s="217"/>
      <c r="K735" s="218"/>
      <c r="L735" s="154"/>
      <c r="M735" s="154"/>
      <c r="N735" s="154"/>
      <c r="O735" s="154"/>
      <c r="P735" s="154"/>
      <c r="Q735" s="154"/>
      <c r="R735" s="154"/>
      <c r="S735" s="154"/>
      <c r="T735" s="154"/>
      <c r="U735" s="154"/>
      <c r="V735" s="154"/>
      <c r="W735" s="154"/>
      <c r="X735" s="154"/>
      <c r="Y735" s="154"/>
      <c r="Z735" s="154"/>
    </row>
    <row r="736" spans="1:26" ht="12" customHeight="1">
      <c r="A736" s="220"/>
      <c r="B736" s="154"/>
      <c r="C736" s="154"/>
      <c r="D736" s="154"/>
      <c r="E736" s="154"/>
      <c r="F736" s="154"/>
      <c r="G736" s="154"/>
      <c r="H736" s="154"/>
      <c r="I736" s="154"/>
      <c r="J736" s="217"/>
      <c r="K736" s="218"/>
      <c r="L736" s="154"/>
      <c r="M736" s="154"/>
      <c r="N736" s="154"/>
      <c r="O736" s="154"/>
      <c r="P736" s="154"/>
      <c r="Q736" s="154"/>
      <c r="R736" s="154"/>
      <c r="S736" s="154"/>
      <c r="T736" s="154"/>
      <c r="U736" s="154"/>
      <c r="V736" s="154"/>
      <c r="W736" s="154"/>
      <c r="X736" s="154"/>
      <c r="Y736" s="154"/>
      <c r="Z736" s="154"/>
    </row>
    <row r="737" spans="1:26" ht="12" customHeight="1">
      <c r="A737" s="220"/>
      <c r="B737" s="154"/>
      <c r="C737" s="154"/>
      <c r="D737" s="154"/>
      <c r="E737" s="154"/>
      <c r="F737" s="154"/>
      <c r="G737" s="154"/>
      <c r="H737" s="154"/>
      <c r="I737" s="154"/>
      <c r="J737" s="217"/>
      <c r="K737" s="218"/>
      <c r="L737" s="154"/>
      <c r="M737" s="154"/>
      <c r="N737" s="154"/>
      <c r="O737" s="154"/>
      <c r="P737" s="154"/>
      <c r="Q737" s="154"/>
      <c r="R737" s="154"/>
      <c r="S737" s="154"/>
      <c r="T737" s="154"/>
      <c r="U737" s="154"/>
      <c r="V737" s="154"/>
      <c r="W737" s="154"/>
      <c r="X737" s="154"/>
      <c r="Y737" s="154"/>
      <c r="Z737" s="154"/>
    </row>
    <row r="738" spans="1:26" ht="12" customHeight="1">
      <c r="A738" s="220"/>
      <c r="B738" s="154"/>
      <c r="C738" s="154"/>
      <c r="D738" s="154"/>
      <c r="E738" s="154"/>
      <c r="F738" s="154"/>
      <c r="G738" s="154"/>
      <c r="H738" s="154"/>
      <c r="I738" s="154"/>
      <c r="J738" s="217"/>
      <c r="K738" s="218"/>
      <c r="L738" s="154"/>
      <c r="M738" s="154"/>
      <c r="N738" s="154"/>
      <c r="O738" s="154"/>
      <c r="P738" s="154"/>
      <c r="Q738" s="154"/>
      <c r="R738" s="154"/>
      <c r="S738" s="154"/>
      <c r="T738" s="154"/>
      <c r="U738" s="154"/>
      <c r="V738" s="154"/>
      <c r="W738" s="154"/>
      <c r="X738" s="154"/>
      <c r="Y738" s="154"/>
      <c r="Z738" s="154"/>
    </row>
    <row r="739" spans="1:26" ht="12" customHeight="1">
      <c r="A739" s="220"/>
      <c r="B739" s="154"/>
      <c r="C739" s="154"/>
      <c r="D739" s="154"/>
      <c r="E739" s="154"/>
      <c r="F739" s="154"/>
      <c r="G739" s="154"/>
      <c r="H739" s="154"/>
      <c r="I739" s="154"/>
      <c r="J739" s="217"/>
      <c r="K739" s="218"/>
      <c r="L739" s="154"/>
      <c r="M739" s="154"/>
      <c r="N739" s="154"/>
      <c r="O739" s="154"/>
      <c r="P739" s="154"/>
      <c r="Q739" s="154"/>
      <c r="R739" s="154"/>
      <c r="S739" s="154"/>
      <c r="T739" s="154"/>
      <c r="U739" s="154"/>
      <c r="V739" s="154"/>
      <c r="W739" s="154"/>
      <c r="X739" s="154"/>
      <c r="Y739" s="154"/>
      <c r="Z739" s="154"/>
    </row>
    <row r="740" spans="1:26" ht="12" customHeight="1">
      <c r="A740" s="220"/>
      <c r="B740" s="154"/>
      <c r="C740" s="154"/>
      <c r="D740" s="154"/>
      <c r="E740" s="154"/>
      <c r="F740" s="154"/>
      <c r="G740" s="154"/>
      <c r="H740" s="154"/>
      <c r="I740" s="154"/>
      <c r="J740" s="217"/>
      <c r="K740" s="218"/>
      <c r="L740" s="154"/>
      <c r="M740" s="154"/>
      <c r="N740" s="154"/>
      <c r="O740" s="154"/>
      <c r="P740" s="154"/>
      <c r="Q740" s="154"/>
      <c r="R740" s="154"/>
      <c r="S740" s="154"/>
      <c r="T740" s="154"/>
      <c r="U740" s="154"/>
      <c r="V740" s="154"/>
      <c r="W740" s="154"/>
      <c r="X740" s="154"/>
      <c r="Y740" s="154"/>
      <c r="Z740" s="154"/>
    </row>
    <row r="741" spans="1:26" ht="12" customHeight="1">
      <c r="A741" s="220"/>
      <c r="B741" s="154"/>
      <c r="C741" s="154"/>
      <c r="D741" s="154"/>
      <c r="E741" s="154"/>
      <c r="F741" s="154"/>
      <c r="G741" s="154"/>
      <c r="H741" s="154"/>
      <c r="I741" s="154"/>
      <c r="J741" s="217"/>
      <c r="K741" s="218"/>
      <c r="L741" s="154"/>
      <c r="M741" s="154"/>
      <c r="N741" s="154"/>
      <c r="O741" s="154"/>
      <c r="P741" s="154"/>
      <c r="Q741" s="154"/>
      <c r="R741" s="154"/>
      <c r="S741" s="154"/>
      <c r="T741" s="154"/>
      <c r="U741" s="154"/>
      <c r="V741" s="154"/>
      <c r="W741" s="154"/>
      <c r="X741" s="154"/>
      <c r="Y741" s="154"/>
      <c r="Z741" s="154"/>
    </row>
    <row r="742" spans="1:26" ht="12" customHeight="1">
      <c r="A742" s="220"/>
      <c r="B742" s="154"/>
      <c r="C742" s="154"/>
      <c r="D742" s="154"/>
      <c r="E742" s="154"/>
      <c r="F742" s="154"/>
      <c r="G742" s="154"/>
      <c r="H742" s="154"/>
      <c r="I742" s="154"/>
      <c r="J742" s="217"/>
      <c r="K742" s="218"/>
      <c r="L742" s="154"/>
      <c r="M742" s="154"/>
      <c r="N742" s="154"/>
      <c r="O742" s="154"/>
      <c r="P742" s="154"/>
      <c r="Q742" s="154"/>
      <c r="R742" s="154"/>
      <c r="S742" s="154"/>
      <c r="T742" s="154"/>
      <c r="U742" s="154"/>
      <c r="V742" s="154"/>
      <c r="W742" s="154"/>
      <c r="X742" s="154"/>
      <c r="Y742" s="154"/>
      <c r="Z742" s="154"/>
    </row>
    <row r="743" spans="1:26" ht="12" customHeight="1">
      <c r="A743" s="220"/>
      <c r="B743" s="154"/>
      <c r="C743" s="154"/>
      <c r="D743" s="154"/>
      <c r="E743" s="154"/>
      <c r="F743" s="154"/>
      <c r="G743" s="154"/>
      <c r="H743" s="154"/>
      <c r="I743" s="154"/>
      <c r="J743" s="217"/>
      <c r="K743" s="218"/>
      <c r="L743" s="154"/>
      <c r="M743" s="154"/>
      <c r="N743" s="154"/>
      <c r="O743" s="154"/>
      <c r="P743" s="154"/>
      <c r="Q743" s="154"/>
      <c r="R743" s="154"/>
      <c r="S743" s="154"/>
      <c r="T743" s="154"/>
      <c r="U743" s="154"/>
      <c r="V743" s="154"/>
      <c r="W743" s="154"/>
      <c r="X743" s="154"/>
      <c r="Y743" s="154"/>
      <c r="Z743" s="154"/>
    </row>
    <row r="744" spans="1:26" ht="12" customHeight="1">
      <c r="A744" s="220"/>
      <c r="B744" s="154"/>
      <c r="C744" s="154"/>
      <c r="D744" s="154"/>
      <c r="E744" s="154"/>
      <c r="F744" s="154"/>
      <c r="G744" s="154"/>
      <c r="H744" s="154"/>
      <c r="I744" s="154"/>
      <c r="J744" s="217"/>
      <c r="K744" s="218"/>
      <c r="L744" s="154"/>
      <c r="M744" s="154"/>
      <c r="N744" s="154"/>
      <c r="O744" s="154"/>
      <c r="P744" s="154"/>
      <c r="Q744" s="154"/>
      <c r="R744" s="154"/>
      <c r="S744" s="154"/>
      <c r="T744" s="154"/>
      <c r="U744" s="154"/>
      <c r="V744" s="154"/>
      <c r="W744" s="154"/>
      <c r="X744" s="154"/>
      <c r="Y744" s="154"/>
      <c r="Z744" s="154"/>
    </row>
    <row r="745" spans="1:26" ht="12" customHeight="1">
      <c r="A745" s="220"/>
      <c r="B745" s="154"/>
      <c r="C745" s="154"/>
      <c r="D745" s="154"/>
      <c r="E745" s="154"/>
      <c r="F745" s="154"/>
      <c r="G745" s="154"/>
      <c r="H745" s="154"/>
      <c r="I745" s="154"/>
      <c r="J745" s="217"/>
      <c r="K745" s="218"/>
      <c r="L745" s="154"/>
      <c r="M745" s="154"/>
      <c r="N745" s="154"/>
      <c r="O745" s="154"/>
      <c r="P745" s="154"/>
      <c r="Q745" s="154"/>
      <c r="R745" s="154"/>
      <c r="S745" s="154"/>
      <c r="T745" s="154"/>
      <c r="U745" s="154"/>
      <c r="V745" s="154"/>
      <c r="W745" s="154"/>
      <c r="X745" s="154"/>
      <c r="Y745" s="154"/>
      <c r="Z745" s="154"/>
    </row>
    <row r="746" spans="1:26" ht="12" customHeight="1">
      <c r="A746" s="220"/>
      <c r="B746" s="154"/>
      <c r="C746" s="154"/>
      <c r="D746" s="154"/>
      <c r="E746" s="154"/>
      <c r="F746" s="154"/>
      <c r="G746" s="154"/>
      <c r="H746" s="154"/>
      <c r="I746" s="154"/>
      <c r="J746" s="217"/>
      <c r="K746" s="218"/>
      <c r="L746" s="154"/>
      <c r="M746" s="154"/>
      <c r="N746" s="154"/>
      <c r="O746" s="154"/>
      <c r="P746" s="154"/>
      <c r="Q746" s="154"/>
      <c r="R746" s="154"/>
      <c r="S746" s="154"/>
      <c r="T746" s="154"/>
      <c r="U746" s="154"/>
      <c r="V746" s="154"/>
      <c r="W746" s="154"/>
      <c r="X746" s="154"/>
      <c r="Y746" s="154"/>
      <c r="Z746" s="154"/>
    </row>
    <row r="747" spans="1:26" ht="12" customHeight="1">
      <c r="A747" s="220"/>
      <c r="B747" s="154"/>
      <c r="C747" s="154"/>
      <c r="D747" s="154"/>
      <c r="E747" s="154"/>
      <c r="F747" s="154"/>
      <c r="G747" s="154"/>
      <c r="H747" s="154"/>
      <c r="I747" s="154"/>
      <c r="J747" s="217"/>
      <c r="K747" s="218"/>
      <c r="L747" s="154"/>
      <c r="M747" s="154"/>
      <c r="N747" s="154"/>
      <c r="O747" s="154"/>
      <c r="P747" s="154"/>
      <c r="Q747" s="154"/>
      <c r="R747" s="154"/>
      <c r="S747" s="154"/>
      <c r="T747" s="154"/>
      <c r="U747" s="154"/>
      <c r="V747" s="154"/>
      <c r="W747" s="154"/>
      <c r="X747" s="154"/>
      <c r="Y747" s="154"/>
      <c r="Z747" s="154"/>
    </row>
    <row r="748" spans="1:26" ht="12" customHeight="1">
      <c r="A748" s="220"/>
      <c r="B748" s="154"/>
      <c r="C748" s="154"/>
      <c r="D748" s="154"/>
      <c r="E748" s="154"/>
      <c r="F748" s="154"/>
      <c r="G748" s="154"/>
      <c r="H748" s="154"/>
      <c r="I748" s="154"/>
      <c r="J748" s="217"/>
      <c r="K748" s="218"/>
      <c r="L748" s="154"/>
      <c r="M748" s="154"/>
      <c r="N748" s="154"/>
      <c r="O748" s="154"/>
      <c r="P748" s="154"/>
      <c r="Q748" s="154"/>
      <c r="R748" s="154"/>
      <c r="S748" s="154"/>
      <c r="T748" s="154"/>
      <c r="U748" s="154"/>
      <c r="V748" s="154"/>
      <c r="W748" s="154"/>
      <c r="X748" s="154"/>
      <c r="Y748" s="154"/>
      <c r="Z748" s="154"/>
    </row>
    <row r="749" spans="1:26" ht="12" customHeight="1">
      <c r="A749" s="220"/>
      <c r="B749" s="154"/>
      <c r="C749" s="154"/>
      <c r="D749" s="154"/>
      <c r="E749" s="154"/>
      <c r="F749" s="154"/>
      <c r="G749" s="154"/>
      <c r="H749" s="154"/>
      <c r="I749" s="154"/>
      <c r="J749" s="217"/>
      <c r="K749" s="218"/>
      <c r="L749" s="154"/>
      <c r="M749" s="154"/>
      <c r="N749" s="154"/>
      <c r="O749" s="154"/>
      <c r="P749" s="154"/>
      <c r="Q749" s="154"/>
      <c r="R749" s="154"/>
      <c r="S749" s="154"/>
      <c r="T749" s="154"/>
      <c r="U749" s="154"/>
      <c r="V749" s="154"/>
      <c r="W749" s="154"/>
      <c r="X749" s="154"/>
      <c r="Y749" s="154"/>
      <c r="Z749" s="154"/>
    </row>
    <row r="750" spans="1:26" ht="12" customHeight="1">
      <c r="A750" s="220"/>
      <c r="B750" s="154"/>
      <c r="C750" s="154"/>
      <c r="D750" s="154"/>
      <c r="E750" s="154"/>
      <c r="F750" s="154"/>
      <c r="G750" s="154"/>
      <c r="H750" s="154"/>
      <c r="I750" s="154"/>
      <c r="J750" s="217"/>
      <c r="K750" s="218"/>
      <c r="L750" s="154"/>
      <c r="M750" s="154"/>
      <c r="N750" s="154"/>
      <c r="O750" s="154"/>
      <c r="P750" s="154"/>
      <c r="Q750" s="154"/>
      <c r="R750" s="154"/>
      <c r="S750" s="154"/>
      <c r="T750" s="154"/>
      <c r="U750" s="154"/>
      <c r="V750" s="154"/>
      <c r="W750" s="154"/>
      <c r="X750" s="154"/>
      <c r="Y750" s="154"/>
      <c r="Z750" s="154"/>
    </row>
    <row r="751" spans="1:26" ht="12" customHeight="1">
      <c r="A751" s="220"/>
      <c r="B751" s="154"/>
      <c r="C751" s="154"/>
      <c r="D751" s="154"/>
      <c r="E751" s="154"/>
      <c r="F751" s="154"/>
      <c r="G751" s="154"/>
      <c r="H751" s="154"/>
      <c r="I751" s="154"/>
      <c r="J751" s="217"/>
      <c r="K751" s="218"/>
      <c r="L751" s="154"/>
      <c r="M751" s="154"/>
      <c r="N751" s="154"/>
      <c r="O751" s="154"/>
      <c r="P751" s="154"/>
      <c r="Q751" s="154"/>
      <c r="R751" s="154"/>
      <c r="S751" s="154"/>
      <c r="T751" s="154"/>
      <c r="U751" s="154"/>
      <c r="V751" s="154"/>
      <c r="W751" s="154"/>
      <c r="X751" s="154"/>
      <c r="Y751" s="154"/>
      <c r="Z751" s="154"/>
    </row>
    <row r="752" spans="1:26" ht="12" customHeight="1">
      <c r="A752" s="220"/>
      <c r="B752" s="154"/>
      <c r="C752" s="154"/>
      <c r="D752" s="154"/>
      <c r="E752" s="154"/>
      <c r="F752" s="154"/>
      <c r="G752" s="154"/>
      <c r="H752" s="154"/>
      <c r="I752" s="154"/>
      <c r="J752" s="217"/>
      <c r="K752" s="218"/>
      <c r="L752" s="154"/>
      <c r="M752" s="154"/>
      <c r="N752" s="154"/>
      <c r="O752" s="154"/>
      <c r="P752" s="154"/>
      <c r="Q752" s="154"/>
      <c r="R752" s="154"/>
      <c r="S752" s="154"/>
      <c r="T752" s="154"/>
      <c r="U752" s="154"/>
      <c r="V752" s="154"/>
      <c r="W752" s="154"/>
      <c r="X752" s="154"/>
      <c r="Y752" s="154"/>
      <c r="Z752" s="154"/>
    </row>
    <row r="753" spans="1:26" ht="12" customHeight="1">
      <c r="A753" s="220"/>
      <c r="B753" s="154"/>
      <c r="C753" s="154"/>
      <c r="D753" s="154"/>
      <c r="E753" s="154"/>
      <c r="F753" s="154"/>
      <c r="G753" s="154"/>
      <c r="H753" s="154"/>
      <c r="I753" s="154"/>
      <c r="J753" s="217"/>
      <c r="K753" s="218"/>
      <c r="L753" s="154"/>
      <c r="M753" s="154"/>
      <c r="N753" s="154"/>
      <c r="O753" s="154"/>
      <c r="P753" s="154"/>
      <c r="Q753" s="154"/>
      <c r="R753" s="154"/>
      <c r="S753" s="154"/>
      <c r="T753" s="154"/>
      <c r="U753" s="154"/>
      <c r="V753" s="154"/>
      <c r="W753" s="154"/>
      <c r="X753" s="154"/>
      <c r="Y753" s="154"/>
      <c r="Z753" s="154"/>
    </row>
    <row r="754" spans="1:26" ht="12" customHeight="1">
      <c r="A754" s="220"/>
      <c r="B754" s="154"/>
      <c r="C754" s="154"/>
      <c r="D754" s="154"/>
      <c r="E754" s="154"/>
      <c r="F754" s="154"/>
      <c r="G754" s="154"/>
      <c r="H754" s="154"/>
      <c r="I754" s="154"/>
      <c r="J754" s="217"/>
      <c r="K754" s="218"/>
      <c r="L754" s="154"/>
      <c r="M754" s="154"/>
      <c r="N754" s="154"/>
      <c r="O754" s="154"/>
      <c r="P754" s="154"/>
      <c r="Q754" s="154"/>
      <c r="R754" s="154"/>
      <c r="S754" s="154"/>
      <c r="T754" s="154"/>
      <c r="U754" s="154"/>
      <c r="V754" s="154"/>
      <c r="W754" s="154"/>
      <c r="X754" s="154"/>
      <c r="Y754" s="154"/>
      <c r="Z754" s="154"/>
    </row>
    <row r="755" spans="1:26" ht="12" customHeight="1">
      <c r="A755" s="220"/>
      <c r="B755" s="154"/>
      <c r="C755" s="154"/>
      <c r="D755" s="154"/>
      <c r="E755" s="154"/>
      <c r="F755" s="154"/>
      <c r="G755" s="154"/>
      <c r="H755" s="154"/>
      <c r="I755" s="154"/>
      <c r="J755" s="217"/>
      <c r="K755" s="218"/>
      <c r="L755" s="154"/>
      <c r="M755" s="154"/>
      <c r="N755" s="154"/>
      <c r="O755" s="154"/>
      <c r="P755" s="154"/>
      <c r="Q755" s="154"/>
      <c r="R755" s="154"/>
      <c r="S755" s="154"/>
      <c r="T755" s="154"/>
      <c r="U755" s="154"/>
      <c r="V755" s="154"/>
      <c r="W755" s="154"/>
      <c r="X755" s="154"/>
      <c r="Y755" s="154"/>
      <c r="Z755" s="154"/>
    </row>
    <row r="756" spans="1:26" ht="12" customHeight="1">
      <c r="A756" s="220"/>
      <c r="B756" s="154"/>
      <c r="C756" s="154"/>
      <c r="D756" s="154"/>
      <c r="E756" s="154"/>
      <c r="F756" s="154"/>
      <c r="G756" s="154"/>
      <c r="H756" s="154"/>
      <c r="I756" s="154"/>
      <c r="J756" s="217"/>
      <c r="K756" s="218"/>
      <c r="L756" s="154"/>
      <c r="M756" s="154"/>
      <c r="N756" s="154"/>
      <c r="O756" s="154"/>
      <c r="P756" s="154"/>
      <c r="Q756" s="154"/>
      <c r="R756" s="154"/>
      <c r="S756" s="154"/>
      <c r="T756" s="154"/>
      <c r="U756" s="154"/>
      <c r="V756" s="154"/>
      <c r="W756" s="154"/>
      <c r="X756" s="154"/>
      <c r="Y756" s="154"/>
      <c r="Z756" s="154"/>
    </row>
    <row r="757" spans="1:26" ht="12" customHeight="1">
      <c r="A757" s="220"/>
      <c r="B757" s="154"/>
      <c r="C757" s="154"/>
      <c r="D757" s="154"/>
      <c r="E757" s="154"/>
      <c r="F757" s="154"/>
      <c r="G757" s="154"/>
      <c r="H757" s="154"/>
      <c r="I757" s="154"/>
      <c r="J757" s="217"/>
      <c r="K757" s="218"/>
      <c r="L757" s="154"/>
      <c r="M757" s="154"/>
      <c r="N757" s="154"/>
      <c r="O757" s="154"/>
      <c r="P757" s="154"/>
      <c r="Q757" s="154"/>
      <c r="R757" s="154"/>
      <c r="S757" s="154"/>
      <c r="T757" s="154"/>
      <c r="U757" s="154"/>
      <c r="V757" s="154"/>
      <c r="W757" s="154"/>
      <c r="X757" s="154"/>
      <c r="Y757" s="154"/>
      <c r="Z757" s="154"/>
    </row>
    <row r="758" spans="1:26" ht="12" customHeight="1">
      <c r="A758" s="220"/>
      <c r="B758" s="154"/>
      <c r="C758" s="154"/>
      <c r="D758" s="154"/>
      <c r="E758" s="154"/>
      <c r="F758" s="154"/>
      <c r="G758" s="154"/>
      <c r="H758" s="154"/>
      <c r="I758" s="154"/>
      <c r="J758" s="217"/>
      <c r="K758" s="218"/>
      <c r="L758" s="154"/>
      <c r="M758" s="154"/>
      <c r="N758" s="154"/>
      <c r="O758" s="154"/>
      <c r="P758" s="154"/>
      <c r="Q758" s="154"/>
      <c r="R758" s="154"/>
      <c r="S758" s="154"/>
      <c r="T758" s="154"/>
      <c r="U758" s="154"/>
      <c r="V758" s="154"/>
      <c r="W758" s="154"/>
      <c r="X758" s="154"/>
      <c r="Y758" s="154"/>
      <c r="Z758" s="154"/>
    </row>
    <row r="759" spans="1:26" ht="12" customHeight="1">
      <c r="A759" s="220"/>
      <c r="B759" s="154"/>
      <c r="C759" s="154"/>
      <c r="D759" s="154"/>
      <c r="E759" s="154"/>
      <c r="F759" s="154"/>
      <c r="G759" s="154"/>
      <c r="H759" s="154"/>
      <c r="I759" s="154"/>
      <c r="J759" s="217"/>
      <c r="K759" s="218"/>
      <c r="L759" s="154"/>
      <c r="M759" s="154"/>
      <c r="N759" s="154"/>
      <c r="O759" s="154"/>
      <c r="P759" s="154"/>
      <c r="Q759" s="154"/>
      <c r="R759" s="154"/>
      <c r="S759" s="154"/>
      <c r="T759" s="154"/>
      <c r="U759" s="154"/>
      <c r="V759" s="154"/>
      <c r="W759" s="154"/>
      <c r="X759" s="154"/>
      <c r="Y759" s="154"/>
      <c r="Z759" s="154"/>
    </row>
    <row r="760" spans="1:26" ht="12" customHeight="1">
      <c r="A760" s="220"/>
      <c r="B760" s="154"/>
      <c r="C760" s="154"/>
      <c r="D760" s="154"/>
      <c r="E760" s="154"/>
      <c r="F760" s="154"/>
      <c r="G760" s="154"/>
      <c r="H760" s="154"/>
      <c r="I760" s="154"/>
      <c r="J760" s="217"/>
      <c r="K760" s="218"/>
      <c r="L760" s="154"/>
      <c r="M760" s="154"/>
      <c r="N760" s="154"/>
      <c r="O760" s="154"/>
      <c r="P760" s="154"/>
      <c r="Q760" s="154"/>
      <c r="R760" s="154"/>
      <c r="S760" s="154"/>
      <c r="T760" s="154"/>
      <c r="U760" s="154"/>
      <c r="V760" s="154"/>
      <c r="W760" s="154"/>
      <c r="X760" s="154"/>
      <c r="Y760" s="154"/>
      <c r="Z760" s="154"/>
    </row>
    <row r="761" spans="1:26" ht="12" customHeight="1">
      <c r="A761" s="220"/>
      <c r="B761" s="154"/>
      <c r="C761" s="154"/>
      <c r="D761" s="154"/>
      <c r="E761" s="154"/>
      <c r="F761" s="154"/>
      <c r="G761" s="154"/>
      <c r="H761" s="154"/>
      <c r="I761" s="154"/>
      <c r="J761" s="217"/>
      <c r="K761" s="218"/>
      <c r="L761" s="154"/>
      <c r="M761" s="154"/>
      <c r="N761" s="154"/>
      <c r="O761" s="154"/>
      <c r="P761" s="154"/>
      <c r="Q761" s="154"/>
      <c r="R761" s="154"/>
      <c r="S761" s="154"/>
      <c r="T761" s="154"/>
      <c r="U761" s="154"/>
      <c r="V761" s="154"/>
      <c r="W761" s="154"/>
      <c r="X761" s="154"/>
      <c r="Y761" s="154"/>
      <c r="Z761" s="154"/>
    </row>
    <row r="762" spans="1:26" ht="12" customHeight="1">
      <c r="A762" s="220"/>
      <c r="B762" s="154"/>
      <c r="C762" s="154"/>
      <c r="D762" s="154"/>
      <c r="E762" s="154"/>
      <c r="F762" s="154"/>
      <c r="G762" s="154"/>
      <c r="H762" s="154"/>
      <c r="I762" s="154"/>
      <c r="J762" s="217"/>
      <c r="K762" s="218"/>
      <c r="L762" s="154"/>
      <c r="M762" s="154"/>
      <c r="N762" s="154"/>
      <c r="O762" s="154"/>
      <c r="P762" s="154"/>
      <c r="Q762" s="154"/>
      <c r="R762" s="154"/>
      <c r="S762" s="154"/>
      <c r="T762" s="154"/>
      <c r="U762" s="154"/>
      <c r="V762" s="154"/>
      <c r="W762" s="154"/>
      <c r="X762" s="154"/>
      <c r="Y762" s="154"/>
      <c r="Z762" s="154"/>
    </row>
    <row r="763" spans="1:26" ht="12" customHeight="1">
      <c r="A763" s="220"/>
      <c r="B763" s="154"/>
      <c r="C763" s="154"/>
      <c r="D763" s="154"/>
      <c r="E763" s="154"/>
      <c r="F763" s="154"/>
      <c r="G763" s="154"/>
      <c r="H763" s="154"/>
      <c r="I763" s="154"/>
      <c r="J763" s="217"/>
      <c r="K763" s="218"/>
      <c r="L763" s="154"/>
      <c r="M763" s="154"/>
      <c r="N763" s="154"/>
      <c r="O763" s="154"/>
      <c r="P763" s="154"/>
      <c r="Q763" s="154"/>
      <c r="R763" s="154"/>
      <c r="S763" s="154"/>
      <c r="T763" s="154"/>
      <c r="U763" s="154"/>
      <c r="V763" s="154"/>
      <c r="W763" s="154"/>
      <c r="X763" s="154"/>
      <c r="Y763" s="154"/>
      <c r="Z763" s="154"/>
    </row>
    <row r="764" spans="1:26" ht="12" customHeight="1">
      <c r="A764" s="220"/>
      <c r="B764" s="154"/>
      <c r="C764" s="154"/>
      <c r="D764" s="154"/>
      <c r="E764" s="154"/>
      <c r="F764" s="154"/>
      <c r="G764" s="154"/>
      <c r="H764" s="154"/>
      <c r="I764" s="154"/>
      <c r="J764" s="217"/>
      <c r="K764" s="218"/>
      <c r="L764" s="154"/>
      <c r="M764" s="154"/>
      <c r="N764" s="154"/>
      <c r="O764" s="154"/>
      <c r="P764" s="154"/>
      <c r="Q764" s="154"/>
      <c r="R764" s="154"/>
      <c r="S764" s="154"/>
      <c r="T764" s="154"/>
      <c r="U764" s="154"/>
      <c r="V764" s="154"/>
      <c r="W764" s="154"/>
      <c r="X764" s="154"/>
      <c r="Y764" s="154"/>
      <c r="Z764" s="154"/>
    </row>
    <row r="765" spans="1:26" ht="12" customHeight="1">
      <c r="A765" s="220"/>
      <c r="B765" s="154"/>
      <c r="C765" s="154"/>
      <c r="D765" s="154"/>
      <c r="E765" s="154"/>
      <c r="F765" s="154"/>
      <c r="G765" s="154"/>
      <c r="H765" s="154"/>
      <c r="I765" s="154"/>
      <c r="J765" s="217"/>
      <c r="K765" s="218"/>
      <c r="L765" s="154"/>
      <c r="M765" s="154"/>
      <c r="N765" s="154"/>
      <c r="O765" s="154"/>
      <c r="P765" s="154"/>
      <c r="Q765" s="154"/>
      <c r="R765" s="154"/>
      <c r="S765" s="154"/>
      <c r="T765" s="154"/>
      <c r="U765" s="154"/>
      <c r="V765" s="154"/>
      <c r="W765" s="154"/>
      <c r="X765" s="154"/>
      <c r="Y765" s="154"/>
      <c r="Z765" s="154"/>
    </row>
    <row r="766" spans="1:26" ht="12" customHeight="1">
      <c r="A766" s="220"/>
      <c r="B766" s="154"/>
      <c r="C766" s="154"/>
      <c r="D766" s="154"/>
      <c r="E766" s="154"/>
      <c r="F766" s="154"/>
      <c r="G766" s="154"/>
      <c r="H766" s="154"/>
      <c r="I766" s="154"/>
      <c r="J766" s="217"/>
      <c r="K766" s="218"/>
      <c r="L766" s="154"/>
      <c r="M766" s="154"/>
      <c r="N766" s="154"/>
      <c r="O766" s="154"/>
      <c r="P766" s="154"/>
      <c r="Q766" s="154"/>
      <c r="R766" s="154"/>
      <c r="S766" s="154"/>
      <c r="T766" s="154"/>
      <c r="U766" s="154"/>
      <c r="V766" s="154"/>
      <c r="W766" s="154"/>
      <c r="X766" s="154"/>
      <c r="Y766" s="154"/>
      <c r="Z766" s="154"/>
    </row>
    <row r="767" spans="1:26" ht="12" customHeight="1">
      <c r="A767" s="220"/>
      <c r="B767" s="154"/>
      <c r="C767" s="154"/>
      <c r="D767" s="154"/>
      <c r="E767" s="154"/>
      <c r="F767" s="154"/>
      <c r="G767" s="154"/>
      <c r="H767" s="154"/>
      <c r="I767" s="154"/>
      <c r="J767" s="217"/>
      <c r="K767" s="218"/>
      <c r="L767" s="154"/>
      <c r="M767" s="154"/>
      <c r="N767" s="154"/>
      <c r="O767" s="154"/>
      <c r="P767" s="154"/>
      <c r="Q767" s="154"/>
      <c r="R767" s="154"/>
      <c r="S767" s="154"/>
      <c r="T767" s="154"/>
      <c r="U767" s="154"/>
      <c r="V767" s="154"/>
      <c r="W767" s="154"/>
      <c r="X767" s="154"/>
      <c r="Y767" s="154"/>
      <c r="Z767" s="154"/>
    </row>
    <row r="768" spans="1:26" ht="12" customHeight="1">
      <c r="A768" s="220"/>
      <c r="B768" s="154"/>
      <c r="C768" s="154"/>
      <c r="D768" s="154"/>
      <c r="E768" s="154"/>
      <c r="F768" s="154"/>
      <c r="G768" s="154"/>
      <c r="H768" s="154"/>
      <c r="I768" s="154"/>
      <c r="J768" s="217"/>
      <c r="K768" s="218"/>
      <c r="L768" s="154"/>
      <c r="M768" s="154"/>
      <c r="N768" s="154"/>
      <c r="O768" s="154"/>
      <c r="P768" s="154"/>
      <c r="Q768" s="154"/>
      <c r="R768" s="154"/>
      <c r="S768" s="154"/>
      <c r="T768" s="154"/>
      <c r="U768" s="154"/>
      <c r="V768" s="154"/>
      <c r="W768" s="154"/>
      <c r="X768" s="154"/>
      <c r="Y768" s="154"/>
      <c r="Z768" s="154"/>
    </row>
    <row r="769" spans="1:26" ht="12" customHeight="1">
      <c r="A769" s="220"/>
      <c r="B769" s="154"/>
      <c r="C769" s="154"/>
      <c r="D769" s="154"/>
      <c r="E769" s="154"/>
      <c r="F769" s="154"/>
      <c r="G769" s="154"/>
      <c r="H769" s="154"/>
      <c r="I769" s="154"/>
      <c r="J769" s="217"/>
      <c r="K769" s="218"/>
      <c r="L769" s="154"/>
      <c r="M769" s="154"/>
      <c r="N769" s="154"/>
      <c r="O769" s="154"/>
      <c r="P769" s="154"/>
      <c r="Q769" s="154"/>
      <c r="R769" s="154"/>
      <c r="S769" s="154"/>
      <c r="T769" s="154"/>
      <c r="U769" s="154"/>
      <c r="V769" s="154"/>
      <c r="W769" s="154"/>
      <c r="X769" s="154"/>
      <c r="Y769" s="154"/>
      <c r="Z769" s="154"/>
    </row>
    <row r="770" spans="1:26" ht="12" customHeight="1">
      <c r="A770" s="220"/>
      <c r="B770" s="154"/>
      <c r="C770" s="154"/>
      <c r="D770" s="154"/>
      <c r="E770" s="154"/>
      <c r="F770" s="154"/>
      <c r="G770" s="154"/>
      <c r="H770" s="154"/>
      <c r="I770" s="154"/>
      <c r="J770" s="217"/>
      <c r="K770" s="218"/>
      <c r="L770" s="154"/>
      <c r="M770" s="154"/>
      <c r="N770" s="154"/>
      <c r="O770" s="154"/>
      <c r="P770" s="154"/>
      <c r="Q770" s="154"/>
      <c r="R770" s="154"/>
      <c r="S770" s="154"/>
      <c r="T770" s="154"/>
      <c r="U770" s="154"/>
      <c r="V770" s="154"/>
      <c r="W770" s="154"/>
      <c r="X770" s="154"/>
      <c r="Y770" s="154"/>
      <c r="Z770" s="154"/>
    </row>
    <row r="771" spans="1:26" ht="12" customHeight="1">
      <c r="A771" s="220"/>
      <c r="B771" s="154"/>
      <c r="C771" s="154"/>
      <c r="D771" s="154"/>
      <c r="E771" s="154"/>
      <c r="F771" s="154"/>
      <c r="G771" s="154"/>
      <c r="H771" s="154"/>
      <c r="I771" s="154"/>
      <c r="J771" s="217"/>
      <c r="K771" s="218"/>
      <c r="L771" s="154"/>
      <c r="M771" s="154"/>
      <c r="N771" s="154"/>
      <c r="O771" s="154"/>
      <c r="P771" s="154"/>
      <c r="Q771" s="154"/>
      <c r="R771" s="154"/>
      <c r="S771" s="154"/>
      <c r="T771" s="154"/>
      <c r="U771" s="154"/>
      <c r="V771" s="154"/>
      <c r="W771" s="154"/>
      <c r="X771" s="154"/>
      <c r="Y771" s="154"/>
      <c r="Z771" s="154"/>
    </row>
    <row r="772" spans="1:26" ht="12" customHeight="1">
      <c r="A772" s="220"/>
      <c r="B772" s="154"/>
      <c r="C772" s="154"/>
      <c r="D772" s="154"/>
      <c r="E772" s="154"/>
      <c r="F772" s="154"/>
      <c r="G772" s="154"/>
      <c r="H772" s="154"/>
      <c r="I772" s="154"/>
      <c r="J772" s="217"/>
      <c r="K772" s="218"/>
      <c r="L772" s="154"/>
      <c r="M772" s="154"/>
      <c r="N772" s="154"/>
      <c r="O772" s="154"/>
      <c r="P772" s="154"/>
      <c r="Q772" s="154"/>
      <c r="R772" s="154"/>
      <c r="S772" s="154"/>
      <c r="T772" s="154"/>
      <c r="U772" s="154"/>
      <c r="V772" s="154"/>
      <c r="W772" s="154"/>
      <c r="X772" s="154"/>
      <c r="Y772" s="154"/>
      <c r="Z772" s="154"/>
    </row>
    <row r="773" spans="1:26" ht="12" customHeight="1">
      <c r="A773" s="220"/>
      <c r="B773" s="154"/>
      <c r="C773" s="154"/>
      <c r="D773" s="154"/>
      <c r="E773" s="154"/>
      <c r="F773" s="154"/>
      <c r="G773" s="154"/>
      <c r="H773" s="154"/>
      <c r="I773" s="154"/>
      <c r="J773" s="217"/>
      <c r="K773" s="218"/>
      <c r="L773" s="154"/>
      <c r="M773" s="154"/>
      <c r="N773" s="154"/>
      <c r="O773" s="154"/>
      <c r="P773" s="154"/>
      <c r="Q773" s="154"/>
      <c r="R773" s="154"/>
      <c r="S773" s="154"/>
      <c r="T773" s="154"/>
      <c r="U773" s="154"/>
      <c r="V773" s="154"/>
      <c r="W773" s="154"/>
      <c r="X773" s="154"/>
      <c r="Y773" s="154"/>
      <c r="Z773" s="154"/>
    </row>
    <row r="774" spans="1:26" ht="12" customHeight="1">
      <c r="A774" s="220"/>
      <c r="B774" s="154"/>
      <c r="C774" s="154"/>
      <c r="D774" s="154"/>
      <c r="E774" s="154"/>
      <c r="F774" s="154"/>
      <c r="G774" s="154"/>
      <c r="H774" s="154"/>
      <c r="I774" s="154"/>
      <c r="J774" s="217"/>
      <c r="K774" s="218"/>
      <c r="L774" s="154"/>
      <c r="M774" s="154"/>
      <c r="N774" s="154"/>
      <c r="O774" s="154"/>
      <c r="P774" s="154"/>
      <c r="Q774" s="154"/>
      <c r="R774" s="154"/>
      <c r="S774" s="154"/>
      <c r="T774" s="154"/>
      <c r="U774" s="154"/>
      <c r="V774" s="154"/>
      <c r="W774" s="154"/>
      <c r="X774" s="154"/>
      <c r="Y774" s="154"/>
      <c r="Z774" s="154"/>
    </row>
    <row r="775" spans="1:26" ht="12" customHeight="1">
      <c r="A775" s="220"/>
      <c r="B775" s="154"/>
      <c r="C775" s="154"/>
      <c r="D775" s="154"/>
      <c r="E775" s="154"/>
      <c r="F775" s="154"/>
      <c r="G775" s="154"/>
      <c r="H775" s="154"/>
      <c r="I775" s="154"/>
      <c r="J775" s="217"/>
      <c r="K775" s="218"/>
      <c r="L775" s="154"/>
      <c r="M775" s="154"/>
      <c r="N775" s="154"/>
      <c r="O775" s="154"/>
      <c r="P775" s="154"/>
      <c r="Q775" s="154"/>
      <c r="R775" s="154"/>
      <c r="S775" s="154"/>
      <c r="T775" s="154"/>
      <c r="U775" s="154"/>
      <c r="V775" s="154"/>
      <c r="W775" s="154"/>
      <c r="X775" s="154"/>
      <c r="Y775" s="154"/>
      <c r="Z775" s="154"/>
    </row>
    <row r="776" spans="1:26" ht="12" customHeight="1">
      <c r="A776" s="220"/>
      <c r="B776" s="154"/>
      <c r="C776" s="154"/>
      <c r="D776" s="154"/>
      <c r="E776" s="154"/>
      <c r="F776" s="154"/>
      <c r="G776" s="154"/>
      <c r="H776" s="154"/>
      <c r="I776" s="154"/>
      <c r="J776" s="217"/>
      <c r="K776" s="218"/>
      <c r="L776" s="154"/>
      <c r="M776" s="154"/>
      <c r="N776" s="154"/>
      <c r="O776" s="154"/>
      <c r="P776" s="154"/>
      <c r="Q776" s="154"/>
      <c r="R776" s="154"/>
      <c r="S776" s="154"/>
      <c r="T776" s="154"/>
      <c r="U776" s="154"/>
      <c r="V776" s="154"/>
      <c r="W776" s="154"/>
      <c r="X776" s="154"/>
      <c r="Y776" s="154"/>
      <c r="Z776" s="154"/>
    </row>
    <row r="777" spans="1:26" ht="12" customHeight="1">
      <c r="A777" s="220"/>
      <c r="B777" s="154"/>
      <c r="C777" s="154"/>
      <c r="D777" s="154"/>
      <c r="E777" s="154"/>
      <c r="F777" s="154"/>
      <c r="G777" s="154"/>
      <c r="H777" s="154"/>
      <c r="I777" s="154"/>
      <c r="J777" s="217"/>
      <c r="K777" s="218"/>
      <c r="L777" s="154"/>
      <c r="M777" s="154"/>
      <c r="N777" s="154"/>
      <c r="O777" s="154"/>
      <c r="P777" s="154"/>
      <c r="Q777" s="154"/>
      <c r="R777" s="154"/>
      <c r="S777" s="154"/>
      <c r="T777" s="154"/>
      <c r="U777" s="154"/>
      <c r="V777" s="154"/>
      <c r="W777" s="154"/>
      <c r="X777" s="154"/>
      <c r="Y777" s="154"/>
      <c r="Z777" s="154"/>
    </row>
    <row r="778" spans="1:26" ht="12" customHeight="1">
      <c r="A778" s="220"/>
      <c r="B778" s="154"/>
      <c r="C778" s="154"/>
      <c r="D778" s="154"/>
      <c r="E778" s="154"/>
      <c r="F778" s="154"/>
      <c r="G778" s="154"/>
      <c r="H778" s="154"/>
      <c r="I778" s="154"/>
      <c r="J778" s="217"/>
      <c r="K778" s="218"/>
      <c r="L778" s="154"/>
      <c r="M778" s="154"/>
      <c r="N778" s="154"/>
      <c r="O778" s="154"/>
      <c r="P778" s="154"/>
      <c r="Q778" s="154"/>
      <c r="R778" s="154"/>
      <c r="S778" s="154"/>
      <c r="T778" s="154"/>
      <c r="U778" s="154"/>
      <c r="V778" s="154"/>
      <c r="W778" s="154"/>
      <c r="X778" s="154"/>
      <c r="Y778" s="154"/>
      <c r="Z778" s="154"/>
    </row>
    <row r="779" spans="1:26" ht="12" customHeight="1">
      <c r="A779" s="220"/>
      <c r="B779" s="154"/>
      <c r="C779" s="154"/>
      <c r="D779" s="154"/>
      <c r="E779" s="154"/>
      <c r="F779" s="154"/>
      <c r="G779" s="154"/>
      <c r="H779" s="154"/>
      <c r="I779" s="154"/>
      <c r="J779" s="217"/>
      <c r="K779" s="218"/>
      <c r="L779" s="154"/>
      <c r="M779" s="154"/>
      <c r="N779" s="154"/>
      <c r="O779" s="154"/>
      <c r="P779" s="154"/>
      <c r="Q779" s="154"/>
      <c r="R779" s="154"/>
      <c r="S779" s="154"/>
      <c r="T779" s="154"/>
      <c r="U779" s="154"/>
      <c r="V779" s="154"/>
      <c r="W779" s="154"/>
      <c r="X779" s="154"/>
      <c r="Y779" s="154"/>
      <c r="Z779" s="154"/>
    </row>
    <row r="780" spans="1:26" ht="12" customHeight="1">
      <c r="A780" s="220"/>
      <c r="B780" s="154"/>
      <c r="C780" s="154"/>
      <c r="D780" s="154"/>
      <c r="E780" s="154"/>
      <c r="F780" s="154"/>
      <c r="G780" s="154"/>
      <c r="H780" s="154"/>
      <c r="I780" s="154"/>
      <c r="J780" s="217"/>
      <c r="K780" s="218"/>
      <c r="L780" s="154"/>
      <c r="M780" s="154"/>
      <c r="N780" s="154"/>
      <c r="O780" s="154"/>
      <c r="P780" s="154"/>
      <c r="Q780" s="154"/>
      <c r="R780" s="154"/>
      <c r="S780" s="154"/>
      <c r="T780" s="154"/>
      <c r="U780" s="154"/>
      <c r="V780" s="154"/>
      <c r="W780" s="154"/>
      <c r="X780" s="154"/>
      <c r="Y780" s="154"/>
      <c r="Z780" s="154"/>
    </row>
    <row r="781" spans="1:26" ht="12" customHeight="1">
      <c r="A781" s="220"/>
      <c r="B781" s="154"/>
      <c r="C781" s="154"/>
      <c r="D781" s="154"/>
      <c r="E781" s="154"/>
      <c r="F781" s="154"/>
      <c r="G781" s="154"/>
      <c r="H781" s="154"/>
      <c r="I781" s="154"/>
      <c r="J781" s="217"/>
      <c r="K781" s="218"/>
      <c r="L781" s="154"/>
      <c r="M781" s="154"/>
      <c r="N781" s="154"/>
      <c r="O781" s="154"/>
      <c r="P781" s="154"/>
      <c r="Q781" s="154"/>
      <c r="R781" s="154"/>
      <c r="S781" s="154"/>
      <c r="T781" s="154"/>
      <c r="U781" s="154"/>
      <c r="V781" s="154"/>
      <c r="W781" s="154"/>
      <c r="X781" s="154"/>
      <c r="Y781" s="154"/>
      <c r="Z781" s="154"/>
    </row>
    <row r="782" spans="1:26" ht="12" customHeight="1">
      <c r="A782" s="220"/>
      <c r="B782" s="154"/>
      <c r="C782" s="154"/>
      <c r="D782" s="154"/>
      <c r="E782" s="154"/>
      <c r="F782" s="154"/>
      <c r="G782" s="154"/>
      <c r="H782" s="154"/>
      <c r="I782" s="154"/>
      <c r="J782" s="217"/>
      <c r="K782" s="218"/>
      <c r="L782" s="154"/>
      <c r="M782" s="154"/>
      <c r="N782" s="154"/>
      <c r="O782" s="154"/>
      <c r="P782" s="154"/>
      <c r="Q782" s="154"/>
      <c r="R782" s="154"/>
      <c r="S782" s="154"/>
      <c r="T782" s="154"/>
      <c r="U782" s="154"/>
      <c r="V782" s="154"/>
      <c r="W782" s="154"/>
      <c r="X782" s="154"/>
      <c r="Y782" s="154"/>
      <c r="Z782" s="154"/>
    </row>
    <row r="783" spans="1:26" ht="12" customHeight="1">
      <c r="A783" s="220"/>
      <c r="B783" s="154"/>
      <c r="C783" s="154"/>
      <c r="D783" s="154"/>
      <c r="E783" s="154"/>
      <c r="F783" s="154"/>
      <c r="G783" s="154"/>
      <c r="H783" s="154"/>
      <c r="I783" s="154"/>
      <c r="J783" s="217"/>
      <c r="K783" s="218"/>
      <c r="L783" s="154"/>
      <c r="M783" s="154"/>
      <c r="N783" s="154"/>
      <c r="O783" s="154"/>
      <c r="P783" s="154"/>
      <c r="Q783" s="154"/>
      <c r="R783" s="154"/>
      <c r="S783" s="154"/>
      <c r="T783" s="154"/>
      <c r="U783" s="154"/>
      <c r="V783" s="154"/>
      <c r="W783" s="154"/>
      <c r="X783" s="154"/>
      <c r="Y783" s="154"/>
      <c r="Z783" s="154"/>
    </row>
    <row r="784" spans="1:26" ht="12" customHeight="1">
      <c r="A784" s="220"/>
      <c r="B784" s="154"/>
      <c r="C784" s="154"/>
      <c r="D784" s="154"/>
      <c r="E784" s="154"/>
      <c r="F784" s="154"/>
      <c r="G784" s="154"/>
      <c r="H784" s="154"/>
      <c r="I784" s="154"/>
      <c r="J784" s="217"/>
      <c r="K784" s="218"/>
      <c r="L784" s="154"/>
      <c r="M784" s="154"/>
      <c r="N784" s="154"/>
      <c r="O784" s="154"/>
      <c r="P784" s="154"/>
      <c r="Q784" s="154"/>
      <c r="R784" s="154"/>
      <c r="S784" s="154"/>
      <c r="T784" s="154"/>
      <c r="U784" s="154"/>
      <c r="V784" s="154"/>
      <c r="W784" s="154"/>
      <c r="X784" s="154"/>
      <c r="Y784" s="154"/>
      <c r="Z784" s="154"/>
    </row>
    <row r="785" spans="1:26" ht="12" customHeight="1">
      <c r="A785" s="220"/>
      <c r="B785" s="154"/>
      <c r="C785" s="154"/>
      <c r="D785" s="154"/>
      <c r="E785" s="154"/>
      <c r="F785" s="154"/>
      <c r="G785" s="154"/>
      <c r="H785" s="154"/>
      <c r="I785" s="154"/>
      <c r="J785" s="217"/>
      <c r="K785" s="218"/>
      <c r="L785" s="154"/>
      <c r="M785" s="154"/>
      <c r="N785" s="154"/>
      <c r="O785" s="154"/>
      <c r="P785" s="154"/>
      <c r="Q785" s="154"/>
      <c r="R785" s="154"/>
      <c r="S785" s="154"/>
      <c r="T785" s="154"/>
      <c r="U785" s="154"/>
      <c r="V785" s="154"/>
      <c r="W785" s="154"/>
      <c r="X785" s="154"/>
      <c r="Y785" s="154"/>
      <c r="Z785" s="154"/>
    </row>
    <row r="786" spans="1:26" ht="12" customHeight="1">
      <c r="A786" s="220"/>
      <c r="B786" s="154"/>
      <c r="C786" s="154"/>
      <c r="D786" s="154"/>
      <c r="E786" s="154"/>
      <c r="F786" s="154"/>
      <c r="G786" s="154"/>
      <c r="H786" s="154"/>
      <c r="I786" s="154"/>
      <c r="J786" s="217"/>
      <c r="K786" s="218"/>
      <c r="L786" s="154"/>
      <c r="M786" s="154"/>
      <c r="N786" s="154"/>
      <c r="O786" s="154"/>
      <c r="P786" s="154"/>
      <c r="Q786" s="154"/>
      <c r="R786" s="154"/>
      <c r="S786" s="154"/>
      <c r="T786" s="154"/>
      <c r="U786" s="154"/>
      <c r="V786" s="154"/>
      <c r="W786" s="154"/>
      <c r="X786" s="154"/>
      <c r="Y786" s="154"/>
      <c r="Z786" s="154"/>
    </row>
    <row r="787" spans="1:26" ht="12" customHeight="1">
      <c r="A787" s="220"/>
      <c r="B787" s="154"/>
      <c r="C787" s="154"/>
      <c r="D787" s="154"/>
      <c r="E787" s="154"/>
      <c r="F787" s="154"/>
      <c r="G787" s="154"/>
      <c r="H787" s="154"/>
      <c r="I787" s="154"/>
      <c r="J787" s="217"/>
      <c r="K787" s="218"/>
      <c r="L787" s="154"/>
      <c r="M787" s="154"/>
      <c r="N787" s="154"/>
      <c r="O787" s="154"/>
      <c r="P787" s="154"/>
      <c r="Q787" s="154"/>
      <c r="R787" s="154"/>
      <c r="S787" s="154"/>
      <c r="T787" s="154"/>
      <c r="U787" s="154"/>
      <c r="V787" s="154"/>
      <c r="W787" s="154"/>
      <c r="X787" s="154"/>
      <c r="Y787" s="154"/>
      <c r="Z787" s="154"/>
    </row>
    <row r="788" spans="1:26" ht="12" customHeight="1">
      <c r="A788" s="220"/>
      <c r="B788" s="154"/>
      <c r="C788" s="154"/>
      <c r="D788" s="154"/>
      <c r="E788" s="154"/>
      <c r="F788" s="154"/>
      <c r="G788" s="154"/>
      <c r="H788" s="154"/>
      <c r="I788" s="154"/>
      <c r="J788" s="217"/>
      <c r="K788" s="218"/>
      <c r="L788" s="154"/>
      <c r="M788" s="154"/>
      <c r="N788" s="154"/>
      <c r="O788" s="154"/>
      <c r="P788" s="154"/>
      <c r="Q788" s="154"/>
      <c r="R788" s="154"/>
      <c r="S788" s="154"/>
      <c r="T788" s="154"/>
      <c r="U788" s="154"/>
      <c r="V788" s="154"/>
      <c r="W788" s="154"/>
      <c r="X788" s="154"/>
      <c r="Y788" s="154"/>
      <c r="Z788" s="154"/>
    </row>
    <row r="789" spans="1:26" ht="12" customHeight="1">
      <c r="A789" s="220"/>
      <c r="B789" s="154"/>
      <c r="C789" s="154"/>
      <c r="D789" s="154"/>
      <c r="E789" s="154"/>
      <c r="F789" s="154"/>
      <c r="G789" s="154"/>
      <c r="H789" s="154"/>
      <c r="I789" s="154"/>
      <c r="J789" s="217"/>
      <c r="K789" s="218"/>
      <c r="L789" s="154"/>
      <c r="M789" s="154"/>
      <c r="N789" s="154"/>
      <c r="O789" s="154"/>
      <c r="P789" s="154"/>
      <c r="Q789" s="154"/>
      <c r="R789" s="154"/>
      <c r="S789" s="154"/>
      <c r="T789" s="154"/>
      <c r="U789" s="154"/>
      <c r="V789" s="154"/>
      <c r="W789" s="154"/>
      <c r="X789" s="154"/>
      <c r="Y789" s="154"/>
      <c r="Z789" s="154"/>
    </row>
    <row r="790" spans="1:26" ht="12" customHeight="1">
      <c r="A790" s="220"/>
      <c r="B790" s="154"/>
      <c r="C790" s="154"/>
      <c r="D790" s="154"/>
      <c r="E790" s="154"/>
      <c r="F790" s="154"/>
      <c r="G790" s="154"/>
      <c r="H790" s="154"/>
      <c r="I790" s="154"/>
      <c r="J790" s="217"/>
      <c r="K790" s="218"/>
      <c r="L790" s="154"/>
      <c r="M790" s="154"/>
      <c r="N790" s="154"/>
      <c r="O790" s="154"/>
      <c r="P790" s="154"/>
      <c r="Q790" s="154"/>
      <c r="R790" s="154"/>
      <c r="S790" s="154"/>
      <c r="T790" s="154"/>
      <c r="U790" s="154"/>
      <c r="V790" s="154"/>
      <c r="W790" s="154"/>
      <c r="X790" s="154"/>
      <c r="Y790" s="154"/>
      <c r="Z790" s="154"/>
    </row>
    <row r="791" spans="1:26" ht="12" customHeight="1">
      <c r="A791" s="220"/>
      <c r="B791" s="154"/>
      <c r="C791" s="154"/>
      <c r="D791" s="154"/>
      <c r="E791" s="154"/>
      <c r="F791" s="154"/>
      <c r="G791" s="154"/>
      <c r="H791" s="154"/>
      <c r="I791" s="154"/>
      <c r="J791" s="217"/>
      <c r="K791" s="218"/>
      <c r="L791" s="154"/>
      <c r="M791" s="154"/>
      <c r="N791" s="154"/>
      <c r="O791" s="154"/>
      <c r="P791" s="154"/>
      <c r="Q791" s="154"/>
      <c r="R791" s="154"/>
      <c r="S791" s="154"/>
      <c r="T791" s="154"/>
      <c r="U791" s="154"/>
      <c r="V791" s="154"/>
      <c r="W791" s="154"/>
      <c r="X791" s="154"/>
      <c r="Y791" s="154"/>
      <c r="Z791" s="154"/>
    </row>
    <row r="792" spans="1:26" ht="12" customHeight="1">
      <c r="A792" s="220"/>
      <c r="B792" s="154"/>
      <c r="C792" s="154"/>
      <c r="D792" s="154"/>
      <c r="E792" s="154"/>
      <c r="F792" s="154"/>
      <c r="G792" s="154"/>
      <c r="H792" s="154"/>
      <c r="I792" s="154"/>
      <c r="J792" s="217"/>
      <c r="K792" s="218"/>
      <c r="L792" s="154"/>
      <c r="M792" s="154"/>
      <c r="N792" s="154"/>
      <c r="O792" s="154"/>
      <c r="P792" s="154"/>
      <c r="Q792" s="154"/>
      <c r="R792" s="154"/>
      <c r="S792" s="154"/>
      <c r="T792" s="154"/>
      <c r="U792" s="154"/>
      <c r="V792" s="154"/>
      <c r="W792" s="154"/>
      <c r="X792" s="154"/>
      <c r="Y792" s="154"/>
      <c r="Z792" s="154"/>
    </row>
    <row r="793" spans="1:26" ht="12" customHeight="1">
      <c r="A793" s="220"/>
      <c r="B793" s="154"/>
      <c r="C793" s="154"/>
      <c r="D793" s="154"/>
      <c r="E793" s="154"/>
      <c r="F793" s="154"/>
      <c r="G793" s="154"/>
      <c r="H793" s="154"/>
      <c r="I793" s="154"/>
      <c r="J793" s="217"/>
      <c r="K793" s="218"/>
      <c r="L793" s="154"/>
      <c r="M793" s="154"/>
      <c r="N793" s="154"/>
      <c r="O793" s="154"/>
      <c r="P793" s="154"/>
      <c r="Q793" s="154"/>
      <c r="R793" s="154"/>
      <c r="S793" s="154"/>
      <c r="T793" s="154"/>
      <c r="U793" s="154"/>
      <c r="V793" s="154"/>
      <c r="W793" s="154"/>
      <c r="X793" s="154"/>
      <c r="Y793" s="154"/>
      <c r="Z793" s="154"/>
    </row>
    <row r="794" spans="1:26" ht="12" customHeight="1">
      <c r="A794" s="220"/>
      <c r="B794" s="154"/>
      <c r="C794" s="154"/>
      <c r="D794" s="154"/>
      <c r="E794" s="154"/>
      <c r="F794" s="154"/>
      <c r="G794" s="154"/>
      <c r="H794" s="154"/>
      <c r="I794" s="154"/>
      <c r="J794" s="217"/>
      <c r="K794" s="218"/>
      <c r="L794" s="154"/>
      <c r="M794" s="154"/>
      <c r="N794" s="154"/>
      <c r="O794" s="154"/>
      <c r="P794" s="154"/>
      <c r="Q794" s="154"/>
      <c r="R794" s="154"/>
      <c r="S794" s="154"/>
      <c r="T794" s="154"/>
      <c r="U794" s="154"/>
      <c r="V794" s="154"/>
      <c r="W794" s="154"/>
      <c r="X794" s="154"/>
      <c r="Y794" s="154"/>
      <c r="Z794" s="154"/>
    </row>
    <row r="795" spans="1:26" ht="12" customHeight="1">
      <c r="A795" s="220"/>
      <c r="B795" s="154"/>
      <c r="C795" s="154"/>
      <c r="D795" s="154"/>
      <c r="E795" s="154"/>
      <c r="F795" s="154"/>
      <c r="G795" s="154"/>
      <c r="H795" s="154"/>
      <c r="I795" s="154"/>
      <c r="J795" s="217"/>
      <c r="K795" s="218"/>
      <c r="L795" s="154"/>
      <c r="M795" s="154"/>
      <c r="N795" s="154"/>
      <c r="O795" s="154"/>
      <c r="P795" s="154"/>
      <c r="Q795" s="154"/>
      <c r="R795" s="154"/>
      <c r="S795" s="154"/>
      <c r="T795" s="154"/>
      <c r="U795" s="154"/>
      <c r="V795" s="154"/>
      <c r="W795" s="154"/>
      <c r="X795" s="154"/>
      <c r="Y795" s="154"/>
      <c r="Z795" s="154"/>
    </row>
    <row r="796" spans="1:26" ht="12" customHeight="1">
      <c r="A796" s="220"/>
      <c r="B796" s="154"/>
      <c r="C796" s="154"/>
      <c r="D796" s="154"/>
      <c r="E796" s="154"/>
      <c r="F796" s="154"/>
      <c r="G796" s="154"/>
      <c r="H796" s="154"/>
      <c r="I796" s="154"/>
      <c r="J796" s="217"/>
      <c r="K796" s="218"/>
      <c r="L796" s="154"/>
      <c r="M796" s="154"/>
      <c r="N796" s="154"/>
      <c r="O796" s="154"/>
      <c r="P796" s="154"/>
      <c r="Q796" s="154"/>
      <c r="R796" s="154"/>
      <c r="S796" s="154"/>
      <c r="T796" s="154"/>
      <c r="U796" s="154"/>
      <c r="V796" s="154"/>
      <c r="W796" s="154"/>
      <c r="X796" s="154"/>
      <c r="Y796" s="154"/>
      <c r="Z796" s="154"/>
    </row>
    <row r="797" spans="1:26" ht="12" customHeight="1">
      <c r="A797" s="220"/>
      <c r="B797" s="154"/>
      <c r="C797" s="154"/>
      <c r="D797" s="154"/>
      <c r="E797" s="154"/>
      <c r="F797" s="154"/>
      <c r="G797" s="154"/>
      <c r="H797" s="154"/>
      <c r="I797" s="154"/>
      <c r="J797" s="217"/>
      <c r="K797" s="218"/>
      <c r="L797" s="154"/>
      <c r="M797" s="154"/>
      <c r="N797" s="154"/>
      <c r="O797" s="154"/>
      <c r="P797" s="154"/>
      <c r="Q797" s="154"/>
      <c r="R797" s="154"/>
      <c r="S797" s="154"/>
      <c r="T797" s="154"/>
      <c r="U797" s="154"/>
      <c r="V797" s="154"/>
      <c r="W797" s="154"/>
      <c r="X797" s="154"/>
      <c r="Y797" s="154"/>
      <c r="Z797" s="154"/>
    </row>
    <row r="798" spans="1:26" ht="12" customHeight="1">
      <c r="A798" s="220"/>
      <c r="B798" s="154"/>
      <c r="C798" s="154"/>
      <c r="D798" s="154"/>
      <c r="E798" s="154"/>
      <c r="F798" s="154"/>
      <c r="G798" s="154"/>
      <c r="H798" s="154"/>
      <c r="I798" s="154"/>
      <c r="J798" s="217"/>
      <c r="K798" s="218"/>
      <c r="L798" s="154"/>
      <c r="M798" s="154"/>
      <c r="N798" s="154"/>
      <c r="O798" s="154"/>
      <c r="P798" s="154"/>
      <c r="Q798" s="154"/>
      <c r="R798" s="154"/>
      <c r="S798" s="154"/>
      <c r="T798" s="154"/>
      <c r="U798" s="154"/>
      <c r="V798" s="154"/>
      <c r="W798" s="154"/>
      <c r="X798" s="154"/>
      <c r="Y798" s="154"/>
      <c r="Z798" s="154"/>
    </row>
    <row r="799" spans="1:26" ht="12" customHeight="1">
      <c r="A799" s="220"/>
      <c r="B799" s="154"/>
      <c r="C799" s="154"/>
      <c r="D799" s="154"/>
      <c r="E799" s="154"/>
      <c r="F799" s="154"/>
      <c r="G799" s="154"/>
      <c r="H799" s="154"/>
      <c r="I799" s="154"/>
      <c r="J799" s="217"/>
      <c r="K799" s="218"/>
      <c r="L799" s="154"/>
      <c r="M799" s="154"/>
      <c r="N799" s="154"/>
      <c r="O799" s="154"/>
      <c r="P799" s="154"/>
      <c r="Q799" s="154"/>
      <c r="R799" s="154"/>
      <c r="S799" s="154"/>
      <c r="T799" s="154"/>
      <c r="U799" s="154"/>
      <c r="V799" s="154"/>
      <c r="W799" s="154"/>
      <c r="X799" s="154"/>
      <c r="Y799" s="154"/>
      <c r="Z799" s="154"/>
    </row>
    <row r="800" spans="1:26" ht="12" customHeight="1">
      <c r="A800" s="220"/>
      <c r="B800" s="154"/>
      <c r="C800" s="154"/>
      <c r="D800" s="154"/>
      <c r="E800" s="154"/>
      <c r="F800" s="154"/>
      <c r="G800" s="154"/>
      <c r="H800" s="154"/>
      <c r="I800" s="154"/>
      <c r="J800" s="217"/>
      <c r="K800" s="218"/>
      <c r="L800" s="154"/>
      <c r="M800" s="154"/>
      <c r="N800" s="154"/>
      <c r="O800" s="154"/>
      <c r="P800" s="154"/>
      <c r="Q800" s="154"/>
      <c r="R800" s="154"/>
      <c r="S800" s="154"/>
      <c r="T800" s="154"/>
      <c r="U800" s="154"/>
      <c r="V800" s="154"/>
      <c r="W800" s="154"/>
      <c r="X800" s="154"/>
      <c r="Y800" s="154"/>
      <c r="Z800" s="154"/>
    </row>
    <row r="801" spans="1:26" ht="12" customHeight="1">
      <c r="A801" s="220"/>
      <c r="B801" s="154"/>
      <c r="C801" s="154"/>
      <c r="D801" s="154"/>
      <c r="E801" s="154"/>
      <c r="F801" s="154"/>
      <c r="G801" s="154"/>
      <c r="H801" s="154"/>
      <c r="I801" s="154"/>
      <c r="J801" s="217"/>
      <c r="K801" s="218"/>
      <c r="L801" s="154"/>
      <c r="M801" s="154"/>
      <c r="N801" s="154"/>
      <c r="O801" s="154"/>
      <c r="P801" s="154"/>
      <c r="Q801" s="154"/>
      <c r="R801" s="154"/>
      <c r="S801" s="154"/>
      <c r="T801" s="154"/>
      <c r="U801" s="154"/>
      <c r="V801" s="154"/>
      <c r="W801" s="154"/>
      <c r="X801" s="154"/>
      <c r="Y801" s="154"/>
      <c r="Z801" s="154"/>
    </row>
    <row r="802" spans="1:26" ht="12" customHeight="1">
      <c r="A802" s="220"/>
      <c r="B802" s="154"/>
      <c r="C802" s="154"/>
      <c r="D802" s="154"/>
      <c r="E802" s="154"/>
      <c r="F802" s="154"/>
      <c r="G802" s="154"/>
      <c r="H802" s="154"/>
      <c r="I802" s="154"/>
      <c r="J802" s="217"/>
      <c r="K802" s="218"/>
      <c r="L802" s="154"/>
      <c r="M802" s="154"/>
      <c r="N802" s="154"/>
      <c r="O802" s="154"/>
      <c r="P802" s="154"/>
      <c r="Q802" s="154"/>
      <c r="R802" s="154"/>
      <c r="S802" s="154"/>
      <c r="T802" s="154"/>
      <c r="U802" s="154"/>
      <c r="V802" s="154"/>
      <c r="W802" s="154"/>
      <c r="X802" s="154"/>
      <c r="Y802" s="154"/>
      <c r="Z802" s="154"/>
    </row>
    <row r="803" spans="1:26" ht="12" customHeight="1">
      <c r="A803" s="220"/>
      <c r="B803" s="154"/>
      <c r="C803" s="154"/>
      <c r="D803" s="154"/>
      <c r="E803" s="154"/>
      <c r="F803" s="154"/>
      <c r="G803" s="154"/>
      <c r="H803" s="154"/>
      <c r="I803" s="154"/>
      <c r="J803" s="217"/>
      <c r="K803" s="218"/>
      <c r="L803" s="154"/>
      <c r="M803" s="154"/>
      <c r="N803" s="154"/>
      <c r="O803" s="154"/>
      <c r="P803" s="154"/>
      <c r="Q803" s="154"/>
      <c r="R803" s="154"/>
      <c r="S803" s="154"/>
      <c r="T803" s="154"/>
      <c r="U803" s="154"/>
      <c r="V803" s="154"/>
      <c r="W803" s="154"/>
      <c r="X803" s="154"/>
      <c r="Y803" s="154"/>
      <c r="Z803" s="154"/>
    </row>
    <row r="804" spans="1:26" ht="12" customHeight="1">
      <c r="A804" s="220"/>
      <c r="B804" s="154"/>
      <c r="C804" s="154"/>
      <c r="D804" s="154"/>
      <c r="E804" s="154"/>
      <c r="F804" s="154"/>
      <c r="G804" s="154"/>
      <c r="H804" s="154"/>
      <c r="I804" s="154"/>
      <c r="J804" s="217"/>
      <c r="K804" s="218"/>
      <c r="L804" s="154"/>
      <c r="M804" s="154"/>
      <c r="N804" s="154"/>
      <c r="O804" s="154"/>
      <c r="P804" s="154"/>
      <c r="Q804" s="154"/>
      <c r="R804" s="154"/>
      <c r="S804" s="154"/>
      <c r="T804" s="154"/>
      <c r="U804" s="154"/>
      <c r="V804" s="154"/>
      <c r="W804" s="154"/>
      <c r="X804" s="154"/>
      <c r="Y804" s="154"/>
      <c r="Z804" s="154"/>
    </row>
    <row r="805" spans="1:26" ht="12" customHeight="1">
      <c r="A805" s="220"/>
      <c r="B805" s="154"/>
      <c r="C805" s="154"/>
      <c r="D805" s="154"/>
      <c r="E805" s="154"/>
      <c r="F805" s="154"/>
      <c r="G805" s="154"/>
      <c r="H805" s="154"/>
      <c r="I805" s="154"/>
      <c r="J805" s="217"/>
      <c r="K805" s="218"/>
      <c r="L805" s="154"/>
      <c r="M805" s="154"/>
      <c r="N805" s="154"/>
      <c r="O805" s="154"/>
      <c r="P805" s="154"/>
      <c r="Q805" s="154"/>
      <c r="R805" s="154"/>
      <c r="S805" s="154"/>
      <c r="T805" s="154"/>
      <c r="U805" s="154"/>
      <c r="V805" s="154"/>
      <c r="W805" s="154"/>
      <c r="X805" s="154"/>
      <c r="Y805" s="154"/>
      <c r="Z805" s="154"/>
    </row>
    <row r="806" spans="1:26" ht="12" customHeight="1">
      <c r="A806" s="220"/>
      <c r="B806" s="154"/>
      <c r="C806" s="154"/>
      <c r="D806" s="154"/>
      <c r="E806" s="154"/>
      <c r="F806" s="154"/>
      <c r="G806" s="154"/>
      <c r="H806" s="154"/>
      <c r="I806" s="154"/>
      <c r="J806" s="217"/>
      <c r="K806" s="218"/>
      <c r="L806" s="154"/>
      <c r="M806" s="154"/>
      <c r="N806" s="154"/>
      <c r="O806" s="154"/>
      <c r="P806" s="154"/>
      <c r="Q806" s="154"/>
      <c r="R806" s="154"/>
      <c r="S806" s="154"/>
      <c r="T806" s="154"/>
      <c r="U806" s="154"/>
      <c r="V806" s="154"/>
      <c r="W806" s="154"/>
      <c r="X806" s="154"/>
      <c r="Y806" s="154"/>
      <c r="Z806" s="154"/>
    </row>
    <row r="807" spans="1:26" ht="12" customHeight="1">
      <c r="A807" s="220"/>
      <c r="B807" s="154"/>
      <c r="C807" s="154"/>
      <c r="D807" s="154"/>
      <c r="E807" s="154"/>
      <c r="F807" s="154"/>
      <c r="G807" s="154"/>
      <c r="H807" s="154"/>
      <c r="I807" s="154"/>
      <c r="J807" s="217"/>
      <c r="K807" s="218"/>
      <c r="L807" s="154"/>
      <c r="M807" s="154"/>
      <c r="N807" s="154"/>
      <c r="O807" s="154"/>
      <c r="P807" s="154"/>
      <c r="Q807" s="154"/>
      <c r="R807" s="154"/>
      <c r="S807" s="154"/>
      <c r="T807" s="154"/>
      <c r="U807" s="154"/>
      <c r="V807" s="154"/>
      <c r="W807" s="154"/>
      <c r="X807" s="154"/>
      <c r="Y807" s="154"/>
      <c r="Z807" s="154"/>
    </row>
    <row r="808" spans="1:26" ht="12" customHeight="1">
      <c r="A808" s="220"/>
      <c r="B808" s="154"/>
      <c r="C808" s="154"/>
      <c r="D808" s="154"/>
      <c r="E808" s="154"/>
      <c r="F808" s="154"/>
      <c r="G808" s="154"/>
      <c r="H808" s="154"/>
      <c r="I808" s="154"/>
      <c r="J808" s="217"/>
      <c r="K808" s="218"/>
      <c r="L808" s="154"/>
      <c r="M808" s="154"/>
      <c r="N808" s="154"/>
      <c r="O808" s="154"/>
      <c r="P808" s="154"/>
      <c r="Q808" s="154"/>
      <c r="R808" s="154"/>
      <c r="S808" s="154"/>
      <c r="T808" s="154"/>
      <c r="U808" s="154"/>
      <c r="V808" s="154"/>
      <c r="W808" s="154"/>
      <c r="X808" s="154"/>
      <c r="Y808" s="154"/>
      <c r="Z808" s="154"/>
    </row>
    <row r="809" spans="1:26" ht="12" customHeight="1">
      <c r="A809" s="220"/>
      <c r="B809" s="154"/>
      <c r="C809" s="154"/>
      <c r="D809" s="154"/>
      <c r="E809" s="154"/>
      <c r="F809" s="154"/>
      <c r="G809" s="154"/>
      <c r="H809" s="154"/>
      <c r="I809" s="154"/>
      <c r="J809" s="217"/>
      <c r="K809" s="218"/>
      <c r="L809" s="154"/>
      <c r="M809" s="154"/>
      <c r="N809" s="154"/>
      <c r="O809" s="154"/>
      <c r="P809" s="154"/>
      <c r="Q809" s="154"/>
      <c r="R809" s="154"/>
      <c r="S809" s="154"/>
      <c r="T809" s="154"/>
      <c r="U809" s="154"/>
      <c r="V809" s="154"/>
      <c r="W809" s="154"/>
      <c r="X809" s="154"/>
      <c r="Y809" s="154"/>
      <c r="Z809" s="154"/>
    </row>
    <row r="810" spans="1:26" ht="12" customHeight="1">
      <c r="A810" s="220"/>
      <c r="B810" s="154"/>
      <c r="C810" s="154"/>
      <c r="D810" s="154"/>
      <c r="E810" s="154"/>
      <c r="F810" s="154"/>
      <c r="G810" s="154"/>
      <c r="H810" s="154"/>
      <c r="I810" s="154"/>
      <c r="J810" s="217"/>
      <c r="K810" s="218"/>
      <c r="L810" s="154"/>
      <c r="M810" s="154"/>
      <c r="N810" s="154"/>
      <c r="O810" s="154"/>
      <c r="P810" s="154"/>
      <c r="Q810" s="154"/>
      <c r="R810" s="154"/>
      <c r="S810" s="154"/>
      <c r="T810" s="154"/>
      <c r="U810" s="154"/>
      <c r="V810" s="154"/>
      <c r="W810" s="154"/>
      <c r="X810" s="154"/>
      <c r="Y810" s="154"/>
      <c r="Z810" s="154"/>
    </row>
    <row r="811" spans="1:26" ht="12" customHeight="1">
      <c r="A811" s="220"/>
      <c r="B811" s="154"/>
      <c r="C811" s="154"/>
      <c r="D811" s="154"/>
      <c r="E811" s="154"/>
      <c r="F811" s="154"/>
      <c r="G811" s="154"/>
      <c r="H811" s="154"/>
      <c r="I811" s="154"/>
      <c r="J811" s="217"/>
      <c r="K811" s="218"/>
      <c r="L811" s="154"/>
      <c r="M811" s="154"/>
      <c r="N811" s="154"/>
      <c r="O811" s="154"/>
      <c r="P811" s="154"/>
      <c r="Q811" s="154"/>
      <c r="R811" s="154"/>
      <c r="S811" s="154"/>
      <c r="T811" s="154"/>
      <c r="U811" s="154"/>
      <c r="V811" s="154"/>
      <c r="W811" s="154"/>
      <c r="X811" s="154"/>
      <c r="Y811" s="154"/>
      <c r="Z811" s="154"/>
    </row>
    <row r="812" spans="1:26" ht="12" customHeight="1">
      <c r="A812" s="220"/>
      <c r="B812" s="154"/>
      <c r="C812" s="154"/>
      <c r="D812" s="154"/>
      <c r="E812" s="154"/>
      <c r="F812" s="154"/>
      <c r="G812" s="154"/>
      <c r="H812" s="154"/>
      <c r="I812" s="154"/>
      <c r="J812" s="217"/>
      <c r="K812" s="218"/>
      <c r="L812" s="154"/>
      <c r="M812" s="154"/>
      <c r="N812" s="154"/>
      <c r="O812" s="154"/>
      <c r="P812" s="154"/>
      <c r="Q812" s="154"/>
      <c r="R812" s="154"/>
      <c r="S812" s="154"/>
      <c r="T812" s="154"/>
      <c r="U812" s="154"/>
      <c r="V812" s="154"/>
      <c r="W812" s="154"/>
      <c r="X812" s="154"/>
      <c r="Y812" s="154"/>
      <c r="Z812" s="154"/>
    </row>
    <row r="813" spans="1:26" ht="12" customHeight="1">
      <c r="A813" s="220"/>
      <c r="B813" s="154"/>
      <c r="C813" s="154"/>
      <c r="D813" s="154"/>
      <c r="E813" s="154"/>
      <c r="F813" s="154"/>
      <c r="G813" s="154"/>
      <c r="H813" s="154"/>
      <c r="I813" s="154"/>
      <c r="J813" s="217"/>
      <c r="K813" s="218"/>
      <c r="L813" s="154"/>
      <c r="M813" s="154"/>
      <c r="N813" s="154"/>
      <c r="O813" s="154"/>
      <c r="P813" s="154"/>
      <c r="Q813" s="154"/>
      <c r="R813" s="154"/>
      <c r="S813" s="154"/>
      <c r="T813" s="154"/>
      <c r="U813" s="154"/>
      <c r="V813" s="154"/>
      <c r="W813" s="154"/>
      <c r="X813" s="154"/>
      <c r="Y813" s="154"/>
      <c r="Z813" s="154"/>
    </row>
    <row r="814" spans="1:26" ht="12" customHeight="1">
      <c r="A814" s="220"/>
      <c r="B814" s="154"/>
      <c r="C814" s="154"/>
      <c r="D814" s="154"/>
      <c r="E814" s="154"/>
      <c r="F814" s="154"/>
      <c r="G814" s="154"/>
      <c r="H814" s="154"/>
      <c r="I814" s="154"/>
      <c r="J814" s="217"/>
      <c r="K814" s="218"/>
      <c r="L814" s="154"/>
      <c r="M814" s="154"/>
      <c r="N814" s="154"/>
      <c r="O814" s="154"/>
      <c r="P814" s="154"/>
      <c r="Q814" s="154"/>
      <c r="R814" s="154"/>
      <c r="S814" s="154"/>
      <c r="T814" s="154"/>
      <c r="U814" s="154"/>
      <c r="V814" s="154"/>
      <c r="W814" s="154"/>
      <c r="X814" s="154"/>
      <c r="Y814" s="154"/>
      <c r="Z814" s="154"/>
    </row>
    <row r="815" spans="1:26" ht="12" customHeight="1">
      <c r="A815" s="220"/>
      <c r="B815" s="154"/>
      <c r="C815" s="154"/>
      <c r="D815" s="154"/>
      <c r="E815" s="154"/>
      <c r="F815" s="154"/>
      <c r="G815" s="154"/>
      <c r="H815" s="154"/>
      <c r="I815" s="154"/>
      <c r="J815" s="217"/>
      <c r="K815" s="218"/>
      <c r="L815" s="154"/>
      <c r="M815" s="154"/>
      <c r="N815" s="154"/>
      <c r="O815" s="154"/>
      <c r="P815" s="154"/>
      <c r="Q815" s="154"/>
      <c r="R815" s="154"/>
      <c r="S815" s="154"/>
      <c r="T815" s="154"/>
      <c r="U815" s="154"/>
      <c r="V815" s="154"/>
      <c r="W815" s="154"/>
      <c r="X815" s="154"/>
      <c r="Y815" s="154"/>
      <c r="Z815" s="154"/>
    </row>
    <row r="816" spans="1:26" ht="12" customHeight="1">
      <c r="A816" s="220"/>
      <c r="B816" s="154"/>
      <c r="C816" s="154"/>
      <c r="D816" s="154"/>
      <c r="E816" s="154"/>
      <c r="F816" s="154"/>
      <c r="G816" s="154"/>
      <c r="H816" s="154"/>
      <c r="I816" s="154"/>
      <c r="J816" s="217"/>
      <c r="K816" s="218"/>
      <c r="L816" s="154"/>
      <c r="M816" s="154"/>
      <c r="N816" s="154"/>
      <c r="O816" s="154"/>
      <c r="P816" s="154"/>
      <c r="Q816" s="154"/>
      <c r="R816" s="154"/>
      <c r="S816" s="154"/>
      <c r="T816" s="154"/>
      <c r="U816" s="154"/>
      <c r="V816" s="154"/>
      <c r="W816" s="154"/>
      <c r="X816" s="154"/>
      <c r="Y816" s="154"/>
      <c r="Z816" s="154"/>
    </row>
    <row r="817" spans="1:26" ht="12" customHeight="1">
      <c r="A817" s="220"/>
      <c r="B817" s="154"/>
      <c r="C817" s="154"/>
      <c r="D817" s="154"/>
      <c r="E817" s="154"/>
      <c r="F817" s="154"/>
      <c r="G817" s="154"/>
      <c r="H817" s="154"/>
      <c r="I817" s="154"/>
      <c r="J817" s="217"/>
      <c r="K817" s="218"/>
      <c r="L817" s="154"/>
      <c r="M817" s="154"/>
      <c r="N817" s="154"/>
      <c r="O817" s="154"/>
      <c r="P817" s="154"/>
      <c r="Q817" s="154"/>
      <c r="R817" s="154"/>
      <c r="S817" s="154"/>
      <c r="T817" s="154"/>
      <c r="U817" s="154"/>
      <c r="V817" s="154"/>
      <c r="W817" s="154"/>
      <c r="X817" s="154"/>
      <c r="Y817" s="154"/>
      <c r="Z817" s="154"/>
    </row>
    <row r="818" spans="1:26" ht="12" customHeight="1">
      <c r="A818" s="220"/>
      <c r="B818" s="154"/>
      <c r="C818" s="154"/>
      <c r="D818" s="154"/>
      <c r="E818" s="154"/>
      <c r="F818" s="154"/>
      <c r="G818" s="154"/>
      <c r="H818" s="154"/>
      <c r="I818" s="154"/>
      <c r="J818" s="217"/>
      <c r="K818" s="218"/>
      <c r="L818" s="154"/>
      <c r="M818" s="154"/>
      <c r="N818" s="154"/>
      <c r="O818" s="154"/>
      <c r="P818" s="154"/>
      <c r="Q818" s="154"/>
      <c r="R818" s="154"/>
      <c r="S818" s="154"/>
      <c r="T818" s="154"/>
      <c r="U818" s="154"/>
      <c r="V818" s="154"/>
      <c r="W818" s="154"/>
      <c r="X818" s="154"/>
      <c r="Y818" s="154"/>
      <c r="Z818" s="154"/>
    </row>
    <row r="819" spans="1:26" ht="12" customHeight="1">
      <c r="A819" s="220"/>
      <c r="B819" s="154"/>
      <c r="C819" s="154"/>
      <c r="D819" s="154"/>
      <c r="E819" s="154"/>
      <c r="F819" s="154"/>
      <c r="G819" s="154"/>
      <c r="H819" s="154"/>
      <c r="I819" s="154"/>
      <c r="J819" s="217"/>
      <c r="K819" s="218"/>
      <c r="L819" s="154"/>
      <c r="M819" s="154"/>
      <c r="N819" s="154"/>
      <c r="O819" s="154"/>
      <c r="P819" s="154"/>
      <c r="Q819" s="154"/>
      <c r="R819" s="154"/>
      <c r="S819" s="154"/>
      <c r="T819" s="154"/>
      <c r="U819" s="154"/>
      <c r="V819" s="154"/>
      <c r="W819" s="154"/>
      <c r="X819" s="154"/>
      <c r="Y819" s="154"/>
      <c r="Z819" s="154"/>
    </row>
    <row r="820" spans="1:26" ht="12" customHeight="1">
      <c r="A820" s="220"/>
      <c r="B820" s="154"/>
      <c r="C820" s="154"/>
      <c r="D820" s="154"/>
      <c r="E820" s="154"/>
      <c r="F820" s="154"/>
      <c r="G820" s="154"/>
      <c r="H820" s="154"/>
      <c r="I820" s="154"/>
      <c r="J820" s="217"/>
      <c r="K820" s="218"/>
      <c r="L820" s="154"/>
      <c r="M820" s="154"/>
      <c r="N820" s="154"/>
      <c r="O820" s="154"/>
      <c r="P820" s="154"/>
      <c r="Q820" s="154"/>
      <c r="R820" s="154"/>
      <c r="S820" s="154"/>
      <c r="T820" s="154"/>
      <c r="U820" s="154"/>
      <c r="V820" s="154"/>
      <c r="W820" s="154"/>
      <c r="X820" s="154"/>
      <c r="Y820" s="154"/>
      <c r="Z820" s="154"/>
    </row>
    <row r="821" spans="1:26" ht="12" customHeight="1">
      <c r="A821" s="220"/>
      <c r="B821" s="154"/>
      <c r="C821" s="154"/>
      <c r="D821" s="154"/>
      <c r="E821" s="154"/>
      <c r="F821" s="154"/>
      <c r="G821" s="154"/>
      <c r="H821" s="154"/>
      <c r="I821" s="154"/>
      <c r="J821" s="217"/>
      <c r="K821" s="218"/>
      <c r="L821" s="154"/>
      <c r="M821" s="154"/>
      <c r="N821" s="154"/>
      <c r="O821" s="154"/>
      <c r="P821" s="154"/>
      <c r="Q821" s="154"/>
      <c r="R821" s="154"/>
      <c r="S821" s="154"/>
      <c r="T821" s="154"/>
      <c r="U821" s="154"/>
      <c r="V821" s="154"/>
      <c r="W821" s="154"/>
      <c r="X821" s="154"/>
      <c r="Y821" s="154"/>
      <c r="Z821" s="154"/>
    </row>
    <row r="822" spans="1:26" ht="12" customHeight="1">
      <c r="A822" s="220"/>
      <c r="B822" s="154"/>
      <c r="C822" s="154"/>
      <c r="D822" s="154"/>
      <c r="E822" s="154"/>
      <c r="F822" s="154"/>
      <c r="G822" s="154"/>
      <c r="H822" s="154"/>
      <c r="I822" s="154"/>
      <c r="J822" s="217"/>
      <c r="K822" s="218"/>
      <c r="L822" s="154"/>
      <c r="M822" s="154"/>
      <c r="N822" s="154"/>
      <c r="O822" s="154"/>
      <c r="P822" s="154"/>
      <c r="Q822" s="154"/>
      <c r="R822" s="154"/>
      <c r="S822" s="154"/>
      <c r="T822" s="154"/>
      <c r="U822" s="154"/>
      <c r="V822" s="154"/>
      <c r="W822" s="154"/>
      <c r="X822" s="154"/>
      <c r="Y822" s="154"/>
      <c r="Z822" s="154"/>
    </row>
    <row r="823" spans="1:26" ht="12" customHeight="1">
      <c r="A823" s="220"/>
      <c r="B823" s="154"/>
      <c r="C823" s="154"/>
      <c r="D823" s="154"/>
      <c r="E823" s="154"/>
      <c r="F823" s="154"/>
      <c r="G823" s="154"/>
      <c r="H823" s="154"/>
      <c r="I823" s="154"/>
      <c r="J823" s="217"/>
      <c r="K823" s="218"/>
      <c r="L823" s="154"/>
      <c r="M823" s="154"/>
      <c r="N823" s="154"/>
      <c r="O823" s="154"/>
      <c r="P823" s="154"/>
      <c r="Q823" s="154"/>
      <c r="R823" s="154"/>
      <c r="S823" s="154"/>
      <c r="T823" s="154"/>
      <c r="U823" s="154"/>
      <c r="V823" s="154"/>
      <c r="W823" s="154"/>
      <c r="X823" s="154"/>
      <c r="Y823" s="154"/>
      <c r="Z823" s="154"/>
    </row>
    <row r="824" spans="1:26" ht="12" customHeight="1">
      <c r="A824" s="220"/>
      <c r="B824" s="154"/>
      <c r="C824" s="154"/>
      <c r="D824" s="154"/>
      <c r="E824" s="154"/>
      <c r="F824" s="154"/>
      <c r="G824" s="154"/>
      <c r="H824" s="154"/>
      <c r="I824" s="154"/>
      <c r="J824" s="217"/>
      <c r="K824" s="218"/>
      <c r="L824" s="154"/>
      <c r="M824" s="154"/>
      <c r="N824" s="154"/>
      <c r="O824" s="154"/>
      <c r="P824" s="154"/>
      <c r="Q824" s="154"/>
      <c r="R824" s="154"/>
      <c r="S824" s="154"/>
      <c r="T824" s="154"/>
      <c r="U824" s="154"/>
      <c r="V824" s="154"/>
      <c r="W824" s="154"/>
      <c r="X824" s="154"/>
      <c r="Y824" s="154"/>
      <c r="Z824" s="154"/>
    </row>
    <row r="825" spans="1:26" ht="12" customHeight="1">
      <c r="A825" s="220"/>
      <c r="B825" s="154"/>
      <c r="C825" s="154"/>
      <c r="D825" s="154"/>
      <c r="E825" s="154"/>
      <c r="F825" s="154"/>
      <c r="G825" s="154"/>
      <c r="H825" s="154"/>
      <c r="I825" s="154"/>
      <c r="J825" s="217"/>
      <c r="K825" s="218"/>
      <c r="L825" s="154"/>
      <c r="M825" s="154"/>
      <c r="N825" s="154"/>
      <c r="O825" s="154"/>
      <c r="P825" s="154"/>
      <c r="Q825" s="154"/>
      <c r="R825" s="154"/>
      <c r="S825" s="154"/>
      <c r="T825" s="154"/>
      <c r="U825" s="154"/>
      <c r="V825" s="154"/>
      <c r="W825" s="154"/>
      <c r="X825" s="154"/>
      <c r="Y825" s="154"/>
      <c r="Z825" s="154"/>
    </row>
    <row r="826" spans="1:26" ht="12" customHeight="1">
      <c r="A826" s="220"/>
      <c r="B826" s="154"/>
      <c r="C826" s="154"/>
      <c r="D826" s="154"/>
      <c r="E826" s="154"/>
      <c r="F826" s="154"/>
      <c r="G826" s="154"/>
      <c r="H826" s="154"/>
      <c r="I826" s="154"/>
      <c r="J826" s="217"/>
      <c r="K826" s="218"/>
      <c r="L826" s="154"/>
      <c r="M826" s="154"/>
      <c r="N826" s="154"/>
      <c r="O826" s="154"/>
      <c r="P826" s="154"/>
      <c r="Q826" s="154"/>
      <c r="R826" s="154"/>
      <c r="S826" s="154"/>
      <c r="T826" s="154"/>
      <c r="U826" s="154"/>
      <c r="V826" s="154"/>
      <c r="W826" s="154"/>
      <c r="X826" s="154"/>
      <c r="Y826" s="154"/>
      <c r="Z826" s="154"/>
    </row>
    <row r="827" spans="1:26" ht="12" customHeight="1">
      <c r="A827" s="220"/>
      <c r="B827" s="154"/>
      <c r="C827" s="154"/>
      <c r="D827" s="154"/>
      <c r="E827" s="154"/>
      <c r="F827" s="154"/>
      <c r="G827" s="154"/>
      <c r="H827" s="154"/>
      <c r="I827" s="154"/>
      <c r="J827" s="217"/>
      <c r="K827" s="218"/>
      <c r="L827" s="154"/>
      <c r="M827" s="154"/>
      <c r="N827" s="154"/>
      <c r="O827" s="154"/>
      <c r="P827" s="154"/>
      <c r="Q827" s="154"/>
      <c r="R827" s="154"/>
      <c r="S827" s="154"/>
      <c r="T827" s="154"/>
      <c r="U827" s="154"/>
      <c r="V827" s="154"/>
      <c r="W827" s="154"/>
      <c r="X827" s="154"/>
      <c r="Y827" s="154"/>
      <c r="Z827" s="154"/>
    </row>
    <row r="828" spans="1:26" ht="12" customHeight="1">
      <c r="A828" s="220"/>
      <c r="B828" s="154"/>
      <c r="C828" s="154"/>
      <c r="D828" s="154"/>
      <c r="E828" s="154"/>
      <c r="F828" s="154"/>
      <c r="G828" s="154"/>
      <c r="H828" s="154"/>
      <c r="I828" s="154"/>
      <c r="J828" s="217"/>
      <c r="K828" s="218"/>
      <c r="L828" s="154"/>
      <c r="M828" s="154"/>
      <c r="N828" s="154"/>
      <c r="O828" s="154"/>
      <c r="P828" s="154"/>
      <c r="Q828" s="154"/>
      <c r="R828" s="154"/>
      <c r="S828" s="154"/>
      <c r="T828" s="154"/>
      <c r="U828" s="154"/>
      <c r="V828" s="154"/>
      <c r="W828" s="154"/>
      <c r="X828" s="154"/>
      <c r="Y828" s="154"/>
      <c r="Z828" s="154"/>
    </row>
    <row r="829" spans="1:26" ht="12" customHeight="1">
      <c r="A829" s="220"/>
      <c r="B829" s="154"/>
      <c r="C829" s="154"/>
      <c r="D829" s="154"/>
      <c r="E829" s="154"/>
      <c r="F829" s="154"/>
      <c r="G829" s="154"/>
      <c r="H829" s="154"/>
      <c r="I829" s="154"/>
      <c r="J829" s="217"/>
      <c r="K829" s="218"/>
      <c r="L829" s="154"/>
      <c r="M829" s="154"/>
      <c r="N829" s="154"/>
      <c r="O829" s="154"/>
      <c r="P829" s="154"/>
      <c r="Q829" s="154"/>
      <c r="R829" s="154"/>
      <c r="S829" s="154"/>
      <c r="T829" s="154"/>
      <c r="U829" s="154"/>
      <c r="V829" s="154"/>
      <c r="W829" s="154"/>
      <c r="X829" s="154"/>
      <c r="Y829" s="154"/>
      <c r="Z829" s="154"/>
    </row>
    <row r="830" spans="1:26" ht="12" customHeight="1">
      <c r="A830" s="220"/>
      <c r="B830" s="154"/>
      <c r="C830" s="154"/>
      <c r="D830" s="154"/>
      <c r="E830" s="154"/>
      <c r="F830" s="154"/>
      <c r="G830" s="154"/>
      <c r="H830" s="154"/>
      <c r="I830" s="154"/>
      <c r="J830" s="217"/>
      <c r="K830" s="218"/>
      <c r="L830" s="154"/>
      <c r="M830" s="154"/>
      <c r="N830" s="154"/>
      <c r="O830" s="154"/>
      <c r="P830" s="154"/>
      <c r="Q830" s="154"/>
      <c r="R830" s="154"/>
      <c r="S830" s="154"/>
      <c r="T830" s="154"/>
      <c r="U830" s="154"/>
      <c r="V830" s="154"/>
      <c r="W830" s="154"/>
      <c r="X830" s="154"/>
      <c r="Y830" s="154"/>
      <c r="Z830" s="154"/>
    </row>
    <row r="831" spans="1:26" ht="12" customHeight="1">
      <c r="A831" s="220"/>
      <c r="B831" s="154"/>
      <c r="C831" s="154"/>
      <c r="D831" s="154"/>
      <c r="E831" s="154"/>
      <c r="F831" s="154"/>
      <c r="G831" s="154"/>
      <c r="H831" s="154"/>
      <c r="I831" s="154"/>
      <c r="J831" s="217"/>
      <c r="K831" s="218"/>
      <c r="L831" s="154"/>
      <c r="M831" s="154"/>
      <c r="N831" s="154"/>
      <c r="O831" s="154"/>
      <c r="P831" s="154"/>
      <c r="Q831" s="154"/>
      <c r="R831" s="154"/>
      <c r="S831" s="154"/>
      <c r="T831" s="154"/>
      <c r="U831" s="154"/>
      <c r="V831" s="154"/>
      <c r="W831" s="154"/>
      <c r="X831" s="154"/>
      <c r="Y831" s="154"/>
      <c r="Z831" s="154"/>
    </row>
    <row r="832" spans="1:26" ht="12" customHeight="1">
      <c r="A832" s="220"/>
      <c r="B832" s="154"/>
      <c r="C832" s="154"/>
      <c r="D832" s="154"/>
      <c r="E832" s="154"/>
      <c r="F832" s="154"/>
      <c r="G832" s="154"/>
      <c r="H832" s="154"/>
      <c r="I832" s="154"/>
      <c r="J832" s="217"/>
      <c r="K832" s="218"/>
      <c r="L832" s="154"/>
      <c r="M832" s="154"/>
      <c r="N832" s="154"/>
      <c r="O832" s="154"/>
      <c r="P832" s="154"/>
      <c r="Q832" s="154"/>
      <c r="R832" s="154"/>
      <c r="S832" s="154"/>
      <c r="T832" s="154"/>
      <c r="U832" s="154"/>
      <c r="V832" s="154"/>
      <c r="W832" s="154"/>
      <c r="X832" s="154"/>
      <c r="Y832" s="154"/>
      <c r="Z832" s="154"/>
    </row>
    <row r="833" spans="1:26" ht="12" customHeight="1">
      <c r="A833" s="220"/>
      <c r="B833" s="154"/>
      <c r="C833" s="154"/>
      <c r="D833" s="154"/>
      <c r="E833" s="154"/>
      <c r="F833" s="154"/>
      <c r="G833" s="154"/>
      <c r="H833" s="154"/>
      <c r="I833" s="154"/>
      <c r="J833" s="217"/>
      <c r="K833" s="218"/>
      <c r="L833" s="154"/>
      <c r="M833" s="154"/>
      <c r="N833" s="154"/>
      <c r="O833" s="154"/>
      <c r="P833" s="154"/>
      <c r="Q833" s="154"/>
      <c r="R833" s="154"/>
      <c r="S833" s="154"/>
      <c r="T833" s="154"/>
      <c r="U833" s="154"/>
      <c r="V833" s="154"/>
      <c r="W833" s="154"/>
      <c r="X833" s="154"/>
      <c r="Y833" s="154"/>
      <c r="Z833" s="154"/>
    </row>
    <row r="834" spans="1:26" ht="12" customHeight="1">
      <c r="A834" s="220"/>
      <c r="B834" s="154"/>
      <c r="C834" s="154"/>
      <c r="D834" s="154"/>
      <c r="E834" s="154"/>
      <c r="F834" s="154"/>
      <c r="G834" s="154"/>
      <c r="H834" s="154"/>
      <c r="I834" s="154"/>
      <c r="J834" s="217"/>
      <c r="K834" s="218"/>
      <c r="L834" s="154"/>
      <c r="M834" s="154"/>
      <c r="N834" s="154"/>
      <c r="O834" s="154"/>
      <c r="P834" s="154"/>
      <c r="Q834" s="154"/>
      <c r="R834" s="154"/>
      <c r="S834" s="154"/>
      <c r="T834" s="154"/>
      <c r="U834" s="154"/>
      <c r="V834" s="154"/>
      <c r="W834" s="154"/>
      <c r="X834" s="154"/>
      <c r="Y834" s="154"/>
      <c r="Z834" s="154"/>
    </row>
    <row r="835" spans="1:26" ht="12" customHeight="1">
      <c r="A835" s="220"/>
      <c r="B835" s="154"/>
      <c r="C835" s="154"/>
      <c r="D835" s="154"/>
      <c r="E835" s="154"/>
      <c r="F835" s="154"/>
      <c r="G835" s="154"/>
      <c r="H835" s="154"/>
      <c r="I835" s="154"/>
      <c r="J835" s="217"/>
      <c r="K835" s="218"/>
      <c r="L835" s="154"/>
      <c r="M835" s="154"/>
      <c r="N835" s="154"/>
      <c r="O835" s="154"/>
      <c r="P835" s="154"/>
      <c r="Q835" s="154"/>
      <c r="R835" s="154"/>
      <c r="S835" s="154"/>
      <c r="T835" s="154"/>
      <c r="U835" s="154"/>
      <c r="V835" s="154"/>
      <c r="W835" s="154"/>
      <c r="X835" s="154"/>
      <c r="Y835" s="154"/>
      <c r="Z835" s="154"/>
    </row>
    <row r="836" spans="1:26" ht="12" customHeight="1">
      <c r="A836" s="220"/>
      <c r="B836" s="154"/>
      <c r="C836" s="154"/>
      <c r="D836" s="154"/>
      <c r="E836" s="154"/>
      <c r="F836" s="154"/>
      <c r="G836" s="154"/>
      <c r="H836" s="154"/>
      <c r="I836" s="154"/>
      <c r="J836" s="217"/>
      <c r="K836" s="218"/>
      <c r="L836" s="154"/>
      <c r="M836" s="154"/>
      <c r="N836" s="154"/>
      <c r="O836" s="154"/>
      <c r="P836" s="154"/>
      <c r="Q836" s="154"/>
      <c r="R836" s="154"/>
      <c r="S836" s="154"/>
      <c r="T836" s="154"/>
      <c r="U836" s="154"/>
      <c r="V836" s="154"/>
      <c r="W836" s="154"/>
      <c r="X836" s="154"/>
      <c r="Y836" s="154"/>
      <c r="Z836" s="154"/>
    </row>
    <row r="837" spans="1:26" ht="12" customHeight="1">
      <c r="A837" s="220"/>
      <c r="B837" s="154"/>
      <c r="C837" s="154"/>
      <c r="D837" s="154"/>
      <c r="E837" s="154"/>
      <c r="F837" s="154"/>
      <c r="G837" s="154"/>
      <c r="H837" s="154"/>
      <c r="I837" s="154"/>
      <c r="J837" s="217"/>
      <c r="K837" s="218"/>
      <c r="L837" s="154"/>
      <c r="M837" s="154"/>
      <c r="N837" s="154"/>
      <c r="O837" s="154"/>
      <c r="P837" s="154"/>
      <c r="Q837" s="154"/>
      <c r="R837" s="154"/>
      <c r="S837" s="154"/>
      <c r="T837" s="154"/>
      <c r="U837" s="154"/>
      <c r="V837" s="154"/>
      <c r="W837" s="154"/>
      <c r="X837" s="154"/>
      <c r="Y837" s="154"/>
      <c r="Z837" s="154"/>
    </row>
    <row r="838" spans="1:26" ht="12" customHeight="1">
      <c r="A838" s="220"/>
      <c r="B838" s="154"/>
      <c r="C838" s="154"/>
      <c r="D838" s="154"/>
      <c r="E838" s="154"/>
      <c r="F838" s="154"/>
      <c r="G838" s="154"/>
      <c r="H838" s="154"/>
      <c r="I838" s="154"/>
      <c r="J838" s="217"/>
      <c r="K838" s="218"/>
      <c r="L838" s="154"/>
      <c r="M838" s="154"/>
      <c r="N838" s="154"/>
      <c r="O838" s="154"/>
      <c r="P838" s="154"/>
      <c r="Q838" s="154"/>
      <c r="R838" s="154"/>
      <c r="S838" s="154"/>
      <c r="T838" s="154"/>
      <c r="U838" s="154"/>
      <c r="V838" s="154"/>
      <c r="W838" s="154"/>
      <c r="X838" s="154"/>
      <c r="Y838" s="154"/>
      <c r="Z838" s="154"/>
    </row>
    <row r="839" spans="1:26" ht="12" customHeight="1">
      <c r="A839" s="220"/>
      <c r="B839" s="154"/>
      <c r="C839" s="154"/>
      <c r="D839" s="154"/>
      <c r="E839" s="154"/>
      <c r="F839" s="154"/>
      <c r="G839" s="154"/>
      <c r="H839" s="154"/>
      <c r="I839" s="154"/>
      <c r="J839" s="217"/>
      <c r="K839" s="218"/>
      <c r="L839" s="154"/>
      <c r="M839" s="154"/>
      <c r="N839" s="154"/>
      <c r="O839" s="154"/>
      <c r="P839" s="154"/>
      <c r="Q839" s="154"/>
      <c r="R839" s="154"/>
      <c r="S839" s="154"/>
      <c r="T839" s="154"/>
      <c r="U839" s="154"/>
      <c r="V839" s="154"/>
      <c r="W839" s="154"/>
      <c r="X839" s="154"/>
      <c r="Y839" s="154"/>
      <c r="Z839" s="154"/>
    </row>
    <row r="840" spans="1:26" ht="12" customHeight="1">
      <c r="A840" s="220"/>
      <c r="B840" s="154"/>
      <c r="C840" s="154"/>
      <c r="D840" s="154"/>
      <c r="E840" s="154"/>
      <c r="F840" s="154"/>
      <c r="G840" s="154"/>
      <c r="H840" s="154"/>
      <c r="I840" s="154"/>
      <c r="J840" s="217"/>
      <c r="K840" s="218"/>
      <c r="L840" s="154"/>
      <c r="M840" s="154"/>
      <c r="N840" s="154"/>
      <c r="O840" s="154"/>
      <c r="P840" s="154"/>
      <c r="Q840" s="154"/>
      <c r="R840" s="154"/>
      <c r="S840" s="154"/>
      <c r="T840" s="154"/>
      <c r="U840" s="154"/>
      <c r="V840" s="154"/>
      <c r="W840" s="154"/>
      <c r="X840" s="154"/>
      <c r="Y840" s="154"/>
      <c r="Z840" s="154"/>
    </row>
    <row r="841" spans="1:26" ht="12" customHeight="1">
      <c r="A841" s="220"/>
      <c r="B841" s="154"/>
      <c r="C841" s="154"/>
      <c r="D841" s="154"/>
      <c r="E841" s="154"/>
      <c r="F841" s="154"/>
      <c r="G841" s="154"/>
      <c r="H841" s="154"/>
      <c r="I841" s="154"/>
      <c r="J841" s="217"/>
      <c r="K841" s="218"/>
      <c r="L841" s="154"/>
      <c r="M841" s="154"/>
      <c r="N841" s="154"/>
      <c r="O841" s="154"/>
      <c r="P841" s="154"/>
      <c r="Q841" s="154"/>
      <c r="R841" s="154"/>
      <c r="S841" s="154"/>
      <c r="T841" s="154"/>
      <c r="U841" s="154"/>
      <c r="V841" s="154"/>
      <c r="W841" s="154"/>
      <c r="X841" s="154"/>
      <c r="Y841" s="154"/>
      <c r="Z841" s="154"/>
    </row>
    <row r="842" spans="1:26" ht="12" customHeight="1">
      <c r="A842" s="220"/>
      <c r="B842" s="154"/>
      <c r="C842" s="154"/>
      <c r="D842" s="154"/>
      <c r="E842" s="154"/>
      <c r="F842" s="154"/>
      <c r="G842" s="154"/>
      <c r="H842" s="154"/>
      <c r="I842" s="154"/>
      <c r="J842" s="217"/>
      <c r="K842" s="218"/>
      <c r="L842" s="154"/>
      <c r="M842" s="154"/>
      <c r="N842" s="154"/>
      <c r="O842" s="154"/>
      <c r="P842" s="154"/>
      <c r="Q842" s="154"/>
      <c r="R842" s="154"/>
      <c r="S842" s="154"/>
      <c r="T842" s="154"/>
      <c r="U842" s="154"/>
      <c r="V842" s="154"/>
      <c r="W842" s="154"/>
      <c r="X842" s="154"/>
      <c r="Y842" s="154"/>
      <c r="Z842" s="154"/>
    </row>
    <row r="843" spans="1:26" ht="12" customHeight="1">
      <c r="A843" s="220"/>
      <c r="B843" s="154"/>
      <c r="C843" s="154"/>
      <c r="D843" s="154"/>
      <c r="E843" s="154"/>
      <c r="F843" s="154"/>
      <c r="G843" s="154"/>
      <c r="H843" s="154"/>
      <c r="I843" s="154"/>
      <c r="J843" s="217"/>
      <c r="K843" s="218"/>
      <c r="L843" s="154"/>
      <c r="M843" s="154"/>
      <c r="N843" s="154"/>
      <c r="O843" s="154"/>
      <c r="P843" s="154"/>
      <c r="Q843" s="154"/>
      <c r="R843" s="154"/>
      <c r="S843" s="154"/>
      <c r="T843" s="154"/>
      <c r="U843" s="154"/>
      <c r="V843" s="154"/>
      <c r="W843" s="154"/>
      <c r="X843" s="154"/>
      <c r="Y843" s="154"/>
      <c r="Z843" s="154"/>
    </row>
    <row r="844" spans="1:26" ht="12" customHeight="1">
      <c r="A844" s="220"/>
      <c r="B844" s="154"/>
      <c r="C844" s="154"/>
      <c r="D844" s="154"/>
      <c r="E844" s="154"/>
      <c r="F844" s="154"/>
      <c r="G844" s="154"/>
      <c r="H844" s="154"/>
      <c r="I844" s="154"/>
      <c r="J844" s="217"/>
      <c r="K844" s="218"/>
      <c r="L844" s="154"/>
      <c r="M844" s="154"/>
      <c r="N844" s="154"/>
      <c r="O844" s="154"/>
      <c r="P844" s="154"/>
      <c r="Q844" s="154"/>
      <c r="R844" s="154"/>
      <c r="S844" s="154"/>
      <c r="T844" s="154"/>
      <c r="U844" s="154"/>
      <c r="V844" s="154"/>
      <c r="W844" s="154"/>
      <c r="X844" s="154"/>
      <c r="Y844" s="154"/>
      <c r="Z844" s="154"/>
    </row>
    <row r="845" spans="1:26" ht="12" customHeight="1">
      <c r="A845" s="220"/>
      <c r="B845" s="154"/>
      <c r="C845" s="154"/>
      <c r="D845" s="154"/>
      <c r="E845" s="154"/>
      <c r="F845" s="154"/>
      <c r="G845" s="154"/>
      <c r="H845" s="154"/>
      <c r="I845" s="154"/>
      <c r="J845" s="217"/>
      <c r="K845" s="218"/>
      <c r="L845" s="154"/>
      <c r="M845" s="154"/>
      <c r="N845" s="154"/>
      <c r="O845" s="154"/>
      <c r="P845" s="154"/>
      <c r="Q845" s="154"/>
      <c r="R845" s="154"/>
      <c r="S845" s="154"/>
      <c r="T845" s="154"/>
      <c r="U845" s="154"/>
      <c r="V845" s="154"/>
      <c r="W845" s="154"/>
      <c r="X845" s="154"/>
      <c r="Y845" s="154"/>
      <c r="Z845" s="154"/>
    </row>
    <row r="846" spans="1:26" ht="12" customHeight="1">
      <c r="A846" s="220"/>
      <c r="B846" s="154"/>
      <c r="C846" s="154"/>
      <c r="D846" s="154"/>
      <c r="E846" s="154"/>
      <c r="F846" s="154"/>
      <c r="G846" s="154"/>
      <c r="H846" s="154"/>
      <c r="I846" s="154"/>
      <c r="J846" s="217"/>
      <c r="K846" s="218"/>
      <c r="L846" s="154"/>
      <c r="M846" s="154"/>
      <c r="N846" s="154"/>
      <c r="O846" s="154"/>
      <c r="P846" s="154"/>
      <c r="Q846" s="154"/>
      <c r="R846" s="154"/>
      <c r="S846" s="154"/>
      <c r="T846" s="154"/>
      <c r="U846" s="154"/>
      <c r="V846" s="154"/>
      <c r="W846" s="154"/>
      <c r="X846" s="154"/>
      <c r="Y846" s="154"/>
      <c r="Z846" s="154"/>
    </row>
    <row r="847" spans="1:26" ht="12" customHeight="1">
      <c r="A847" s="220"/>
      <c r="B847" s="154"/>
      <c r="C847" s="154"/>
      <c r="D847" s="154"/>
      <c r="E847" s="154"/>
      <c r="F847" s="154"/>
      <c r="G847" s="154"/>
      <c r="H847" s="154"/>
      <c r="I847" s="154"/>
      <c r="J847" s="217"/>
      <c r="K847" s="218"/>
      <c r="L847" s="154"/>
      <c r="M847" s="154"/>
      <c r="N847" s="154"/>
      <c r="O847" s="154"/>
      <c r="P847" s="154"/>
      <c r="Q847" s="154"/>
      <c r="R847" s="154"/>
      <c r="S847" s="154"/>
      <c r="T847" s="154"/>
      <c r="U847" s="154"/>
      <c r="V847" s="154"/>
      <c r="W847" s="154"/>
      <c r="X847" s="154"/>
      <c r="Y847" s="154"/>
      <c r="Z847" s="154"/>
    </row>
    <row r="848" spans="1:26" ht="12" customHeight="1">
      <c r="A848" s="220"/>
      <c r="B848" s="154"/>
      <c r="C848" s="154"/>
      <c r="D848" s="154"/>
      <c r="E848" s="154"/>
      <c r="F848" s="154"/>
      <c r="G848" s="154"/>
      <c r="H848" s="154"/>
      <c r="I848" s="154"/>
      <c r="J848" s="217"/>
      <c r="K848" s="218"/>
      <c r="L848" s="154"/>
      <c r="M848" s="154"/>
      <c r="N848" s="154"/>
      <c r="O848" s="154"/>
      <c r="P848" s="154"/>
      <c r="Q848" s="154"/>
      <c r="R848" s="154"/>
      <c r="S848" s="154"/>
      <c r="T848" s="154"/>
      <c r="U848" s="154"/>
      <c r="V848" s="154"/>
      <c r="W848" s="154"/>
      <c r="X848" s="154"/>
      <c r="Y848" s="154"/>
      <c r="Z848" s="154"/>
    </row>
    <row r="849" spans="1:26" ht="12" customHeight="1">
      <c r="A849" s="220"/>
      <c r="B849" s="154"/>
      <c r="C849" s="154"/>
      <c r="D849" s="154"/>
      <c r="E849" s="154"/>
      <c r="F849" s="154"/>
      <c r="G849" s="154"/>
      <c r="H849" s="154"/>
      <c r="I849" s="154"/>
      <c r="J849" s="217"/>
      <c r="K849" s="218"/>
      <c r="L849" s="154"/>
      <c r="M849" s="154"/>
      <c r="N849" s="154"/>
      <c r="O849" s="154"/>
      <c r="P849" s="154"/>
      <c r="Q849" s="154"/>
      <c r="R849" s="154"/>
      <c r="S849" s="154"/>
      <c r="T849" s="154"/>
      <c r="U849" s="154"/>
      <c r="V849" s="154"/>
      <c r="W849" s="154"/>
      <c r="X849" s="154"/>
      <c r="Y849" s="154"/>
      <c r="Z849" s="154"/>
    </row>
    <row r="850" spans="1:26" ht="12" customHeight="1">
      <c r="A850" s="220"/>
      <c r="B850" s="154"/>
      <c r="C850" s="154"/>
      <c r="D850" s="154"/>
      <c r="E850" s="154"/>
      <c r="F850" s="154"/>
      <c r="G850" s="154"/>
      <c r="H850" s="154"/>
      <c r="I850" s="154"/>
      <c r="J850" s="217"/>
      <c r="K850" s="218"/>
      <c r="L850" s="154"/>
      <c r="M850" s="154"/>
      <c r="N850" s="154"/>
      <c r="O850" s="154"/>
      <c r="P850" s="154"/>
      <c r="Q850" s="154"/>
      <c r="R850" s="154"/>
      <c r="S850" s="154"/>
      <c r="T850" s="154"/>
      <c r="U850" s="154"/>
      <c r="V850" s="154"/>
      <c r="W850" s="154"/>
      <c r="X850" s="154"/>
      <c r="Y850" s="154"/>
      <c r="Z850" s="154"/>
    </row>
    <row r="851" spans="1:26" ht="12" customHeight="1">
      <c r="A851" s="220"/>
      <c r="B851" s="154"/>
      <c r="C851" s="154"/>
      <c r="D851" s="154"/>
      <c r="E851" s="154"/>
      <c r="F851" s="154"/>
      <c r="G851" s="154"/>
      <c r="H851" s="154"/>
      <c r="I851" s="154"/>
      <c r="J851" s="217"/>
      <c r="K851" s="218"/>
      <c r="L851" s="154"/>
      <c r="M851" s="154"/>
      <c r="N851" s="154"/>
      <c r="O851" s="154"/>
      <c r="P851" s="154"/>
      <c r="Q851" s="154"/>
      <c r="R851" s="154"/>
      <c r="S851" s="154"/>
      <c r="T851" s="154"/>
      <c r="U851" s="154"/>
      <c r="V851" s="154"/>
      <c r="W851" s="154"/>
      <c r="X851" s="154"/>
      <c r="Y851" s="154"/>
      <c r="Z851" s="154"/>
    </row>
    <row r="852" spans="1:26" ht="12" customHeight="1">
      <c r="A852" s="220"/>
      <c r="B852" s="154"/>
      <c r="C852" s="154"/>
      <c r="D852" s="154"/>
      <c r="E852" s="154"/>
      <c r="F852" s="154"/>
      <c r="G852" s="154"/>
      <c r="H852" s="154"/>
      <c r="I852" s="154"/>
      <c r="J852" s="217"/>
      <c r="K852" s="218"/>
      <c r="L852" s="154"/>
      <c r="M852" s="154"/>
      <c r="N852" s="154"/>
      <c r="O852" s="154"/>
      <c r="P852" s="154"/>
      <c r="Q852" s="154"/>
      <c r="R852" s="154"/>
      <c r="S852" s="154"/>
      <c r="T852" s="154"/>
      <c r="U852" s="154"/>
      <c r="V852" s="154"/>
      <c r="W852" s="154"/>
      <c r="X852" s="154"/>
      <c r="Y852" s="154"/>
      <c r="Z852" s="154"/>
    </row>
    <row r="853" spans="1:26" ht="12" customHeight="1">
      <c r="A853" s="220"/>
      <c r="B853" s="154"/>
      <c r="C853" s="154"/>
      <c r="D853" s="154"/>
      <c r="E853" s="154"/>
      <c r="F853" s="154"/>
      <c r="G853" s="154"/>
      <c r="H853" s="154"/>
      <c r="I853" s="154"/>
      <c r="J853" s="217"/>
      <c r="K853" s="218"/>
      <c r="L853" s="154"/>
      <c r="M853" s="154"/>
      <c r="N853" s="154"/>
      <c r="O853" s="154"/>
      <c r="P853" s="154"/>
      <c r="Q853" s="154"/>
      <c r="R853" s="154"/>
      <c r="S853" s="154"/>
      <c r="T853" s="154"/>
      <c r="U853" s="154"/>
      <c r="V853" s="154"/>
      <c r="W853" s="154"/>
      <c r="X853" s="154"/>
      <c r="Y853" s="154"/>
      <c r="Z853" s="154"/>
    </row>
    <row r="854" spans="1:26" ht="12" customHeight="1">
      <c r="A854" s="220"/>
      <c r="B854" s="154"/>
      <c r="C854" s="154"/>
      <c r="D854" s="154"/>
      <c r="E854" s="154"/>
      <c r="F854" s="154"/>
      <c r="G854" s="154"/>
      <c r="H854" s="154"/>
      <c r="I854" s="154"/>
      <c r="J854" s="217"/>
      <c r="K854" s="218"/>
      <c r="L854" s="154"/>
      <c r="M854" s="154"/>
      <c r="N854" s="154"/>
      <c r="O854" s="154"/>
      <c r="P854" s="154"/>
      <c r="Q854" s="154"/>
      <c r="R854" s="154"/>
      <c r="S854" s="154"/>
      <c r="T854" s="154"/>
      <c r="U854" s="154"/>
      <c r="V854" s="154"/>
      <c r="W854" s="154"/>
      <c r="X854" s="154"/>
      <c r="Y854" s="154"/>
      <c r="Z854" s="154"/>
    </row>
    <row r="855" spans="1:26" ht="12" customHeight="1">
      <c r="A855" s="220"/>
      <c r="B855" s="154"/>
      <c r="C855" s="154"/>
      <c r="D855" s="154"/>
      <c r="E855" s="154"/>
      <c r="F855" s="154"/>
      <c r="G855" s="154"/>
      <c r="H855" s="154"/>
      <c r="I855" s="154"/>
      <c r="J855" s="217"/>
      <c r="K855" s="218"/>
      <c r="L855" s="154"/>
      <c r="M855" s="154"/>
      <c r="N855" s="154"/>
      <c r="O855" s="154"/>
      <c r="P855" s="154"/>
      <c r="Q855" s="154"/>
      <c r="R855" s="154"/>
      <c r="S855" s="154"/>
      <c r="T855" s="154"/>
      <c r="U855" s="154"/>
      <c r="V855" s="154"/>
      <c r="W855" s="154"/>
      <c r="X855" s="154"/>
      <c r="Y855" s="154"/>
      <c r="Z855" s="154"/>
    </row>
    <row r="856" spans="1:26" ht="12" customHeight="1">
      <c r="A856" s="220"/>
      <c r="B856" s="154"/>
      <c r="C856" s="154"/>
      <c r="D856" s="154"/>
      <c r="E856" s="154"/>
      <c r="F856" s="154"/>
      <c r="G856" s="154"/>
      <c r="H856" s="154"/>
      <c r="I856" s="154"/>
      <c r="J856" s="217"/>
      <c r="K856" s="218"/>
      <c r="L856" s="154"/>
      <c r="M856" s="154"/>
      <c r="N856" s="154"/>
      <c r="O856" s="154"/>
      <c r="P856" s="154"/>
      <c r="Q856" s="154"/>
      <c r="R856" s="154"/>
      <c r="S856" s="154"/>
      <c r="T856" s="154"/>
      <c r="U856" s="154"/>
      <c r="V856" s="154"/>
      <c r="W856" s="154"/>
      <c r="X856" s="154"/>
      <c r="Y856" s="154"/>
      <c r="Z856" s="154"/>
    </row>
    <row r="857" spans="1:26" ht="12" customHeight="1">
      <c r="A857" s="220"/>
      <c r="B857" s="154"/>
      <c r="C857" s="154"/>
      <c r="D857" s="154"/>
      <c r="E857" s="154"/>
      <c r="F857" s="154"/>
      <c r="G857" s="154"/>
      <c r="H857" s="154"/>
      <c r="I857" s="154"/>
      <c r="J857" s="217"/>
      <c r="K857" s="218"/>
      <c r="L857" s="154"/>
      <c r="M857" s="154"/>
      <c r="N857" s="154"/>
      <c r="O857" s="154"/>
      <c r="P857" s="154"/>
      <c r="Q857" s="154"/>
      <c r="R857" s="154"/>
      <c r="S857" s="154"/>
      <c r="T857" s="154"/>
      <c r="U857" s="154"/>
      <c r="V857" s="154"/>
      <c r="W857" s="154"/>
      <c r="X857" s="154"/>
      <c r="Y857" s="154"/>
      <c r="Z857" s="154"/>
    </row>
    <row r="858" spans="1:26" ht="12" customHeight="1">
      <c r="A858" s="220"/>
      <c r="B858" s="154"/>
      <c r="C858" s="154"/>
      <c r="D858" s="154"/>
      <c r="E858" s="154"/>
      <c r="F858" s="154"/>
      <c r="G858" s="154"/>
      <c r="H858" s="154"/>
      <c r="I858" s="154"/>
      <c r="J858" s="217"/>
      <c r="K858" s="218"/>
      <c r="L858" s="154"/>
      <c r="M858" s="154"/>
      <c r="N858" s="154"/>
      <c r="O858" s="154"/>
      <c r="P858" s="154"/>
      <c r="Q858" s="154"/>
      <c r="R858" s="154"/>
      <c r="S858" s="154"/>
      <c r="T858" s="154"/>
      <c r="U858" s="154"/>
      <c r="V858" s="154"/>
      <c r="W858" s="154"/>
      <c r="X858" s="154"/>
      <c r="Y858" s="154"/>
      <c r="Z858" s="154"/>
    </row>
    <row r="859" spans="1:26" ht="12" customHeight="1">
      <c r="A859" s="220"/>
      <c r="B859" s="154"/>
      <c r="C859" s="154"/>
      <c r="D859" s="154"/>
      <c r="E859" s="154"/>
      <c r="F859" s="154"/>
      <c r="G859" s="154"/>
      <c r="H859" s="154"/>
      <c r="I859" s="154"/>
      <c r="J859" s="217"/>
      <c r="K859" s="218"/>
      <c r="L859" s="154"/>
      <c r="M859" s="154"/>
      <c r="N859" s="154"/>
      <c r="O859" s="154"/>
      <c r="P859" s="154"/>
      <c r="Q859" s="154"/>
      <c r="R859" s="154"/>
      <c r="S859" s="154"/>
      <c r="T859" s="154"/>
      <c r="U859" s="154"/>
      <c r="V859" s="154"/>
      <c r="W859" s="154"/>
      <c r="X859" s="154"/>
      <c r="Y859" s="154"/>
      <c r="Z859" s="154"/>
    </row>
    <row r="860" spans="1:26" ht="12" customHeight="1">
      <c r="A860" s="220"/>
      <c r="B860" s="154"/>
      <c r="C860" s="154"/>
      <c r="D860" s="154"/>
      <c r="E860" s="154"/>
      <c r="F860" s="154"/>
      <c r="G860" s="154"/>
      <c r="H860" s="154"/>
      <c r="I860" s="154"/>
      <c r="J860" s="217"/>
      <c r="K860" s="218"/>
      <c r="L860" s="154"/>
      <c r="M860" s="154"/>
      <c r="N860" s="154"/>
      <c r="O860" s="154"/>
      <c r="P860" s="154"/>
      <c r="Q860" s="154"/>
      <c r="R860" s="154"/>
      <c r="S860" s="154"/>
      <c r="T860" s="154"/>
      <c r="U860" s="154"/>
      <c r="V860" s="154"/>
      <c r="W860" s="154"/>
      <c r="X860" s="154"/>
      <c r="Y860" s="154"/>
      <c r="Z860" s="154"/>
    </row>
    <row r="861" spans="1:26" ht="12" customHeight="1">
      <c r="A861" s="220"/>
      <c r="B861" s="154"/>
      <c r="C861" s="154"/>
      <c r="D861" s="154"/>
      <c r="E861" s="154"/>
      <c r="F861" s="154"/>
      <c r="G861" s="154"/>
      <c r="H861" s="154"/>
      <c r="I861" s="154"/>
      <c r="J861" s="217"/>
      <c r="K861" s="218"/>
      <c r="L861" s="154"/>
      <c r="M861" s="154"/>
      <c r="N861" s="154"/>
      <c r="O861" s="154"/>
      <c r="P861" s="154"/>
      <c r="Q861" s="154"/>
      <c r="R861" s="154"/>
      <c r="S861" s="154"/>
      <c r="T861" s="154"/>
      <c r="U861" s="154"/>
      <c r="V861" s="154"/>
      <c r="W861" s="154"/>
      <c r="X861" s="154"/>
      <c r="Y861" s="154"/>
      <c r="Z861" s="154"/>
    </row>
    <row r="862" spans="1:26" ht="12" customHeight="1">
      <c r="A862" s="220"/>
      <c r="B862" s="154"/>
      <c r="C862" s="154"/>
      <c r="D862" s="154"/>
      <c r="E862" s="154"/>
      <c r="F862" s="154"/>
      <c r="G862" s="154"/>
      <c r="H862" s="154"/>
      <c r="I862" s="154"/>
      <c r="J862" s="217"/>
      <c r="K862" s="218"/>
      <c r="L862" s="154"/>
      <c r="M862" s="154"/>
      <c r="N862" s="154"/>
      <c r="O862" s="154"/>
      <c r="P862" s="154"/>
      <c r="Q862" s="154"/>
      <c r="R862" s="154"/>
      <c r="S862" s="154"/>
      <c r="T862" s="154"/>
      <c r="U862" s="154"/>
      <c r="V862" s="154"/>
      <c r="W862" s="154"/>
      <c r="X862" s="154"/>
      <c r="Y862" s="154"/>
      <c r="Z862" s="154"/>
    </row>
    <row r="863" spans="1:26" ht="12" customHeight="1">
      <c r="A863" s="220"/>
      <c r="B863" s="154"/>
      <c r="C863" s="154"/>
      <c r="D863" s="154"/>
      <c r="E863" s="154"/>
      <c r="F863" s="154"/>
      <c r="G863" s="154"/>
      <c r="H863" s="154"/>
      <c r="I863" s="154"/>
      <c r="J863" s="217"/>
      <c r="K863" s="218"/>
      <c r="L863" s="154"/>
      <c r="M863" s="154"/>
      <c r="N863" s="154"/>
      <c r="O863" s="154"/>
      <c r="P863" s="154"/>
      <c r="Q863" s="154"/>
      <c r="R863" s="154"/>
      <c r="S863" s="154"/>
      <c r="T863" s="154"/>
      <c r="U863" s="154"/>
      <c r="V863" s="154"/>
      <c r="W863" s="154"/>
      <c r="X863" s="154"/>
      <c r="Y863" s="154"/>
      <c r="Z863" s="154"/>
    </row>
    <row r="864" spans="1:26" ht="12" customHeight="1">
      <c r="A864" s="220"/>
      <c r="B864" s="154"/>
      <c r="C864" s="154"/>
      <c r="D864" s="154"/>
      <c r="E864" s="154"/>
      <c r="F864" s="154"/>
      <c r="G864" s="154"/>
      <c r="H864" s="154"/>
      <c r="I864" s="154"/>
      <c r="J864" s="217"/>
      <c r="K864" s="218"/>
      <c r="L864" s="154"/>
      <c r="M864" s="154"/>
      <c r="N864" s="154"/>
      <c r="O864" s="154"/>
      <c r="P864" s="154"/>
      <c r="Q864" s="154"/>
      <c r="R864" s="154"/>
      <c r="S864" s="154"/>
      <c r="T864" s="154"/>
      <c r="U864" s="154"/>
      <c r="V864" s="154"/>
      <c r="W864" s="154"/>
      <c r="X864" s="154"/>
      <c r="Y864" s="154"/>
      <c r="Z864" s="154"/>
    </row>
    <row r="865" spans="1:26" ht="12" customHeight="1">
      <c r="A865" s="220"/>
      <c r="B865" s="154"/>
      <c r="C865" s="154"/>
      <c r="D865" s="154"/>
      <c r="E865" s="154"/>
      <c r="F865" s="154"/>
      <c r="G865" s="154"/>
      <c r="H865" s="154"/>
      <c r="I865" s="154"/>
      <c r="J865" s="217"/>
      <c r="K865" s="218"/>
      <c r="L865" s="154"/>
      <c r="M865" s="154"/>
      <c r="N865" s="154"/>
      <c r="O865" s="154"/>
      <c r="P865" s="154"/>
      <c r="Q865" s="154"/>
      <c r="R865" s="154"/>
      <c r="S865" s="154"/>
      <c r="T865" s="154"/>
      <c r="U865" s="154"/>
      <c r="V865" s="154"/>
      <c r="W865" s="154"/>
      <c r="X865" s="154"/>
      <c r="Y865" s="154"/>
      <c r="Z865" s="154"/>
    </row>
    <row r="866" spans="1:26" ht="12" customHeight="1">
      <c r="A866" s="220"/>
      <c r="B866" s="154"/>
      <c r="C866" s="154"/>
      <c r="D866" s="154"/>
      <c r="E866" s="154"/>
      <c r="F866" s="154"/>
      <c r="G866" s="154"/>
      <c r="H866" s="154"/>
      <c r="I866" s="154"/>
      <c r="J866" s="217"/>
      <c r="K866" s="218"/>
      <c r="L866" s="154"/>
      <c r="M866" s="154"/>
      <c r="N866" s="154"/>
      <c r="O866" s="154"/>
      <c r="P866" s="154"/>
      <c r="Q866" s="154"/>
      <c r="R866" s="154"/>
      <c r="S866" s="154"/>
      <c r="T866" s="154"/>
      <c r="U866" s="154"/>
      <c r="V866" s="154"/>
      <c r="W866" s="154"/>
      <c r="X866" s="154"/>
      <c r="Y866" s="154"/>
      <c r="Z866" s="154"/>
    </row>
    <row r="867" spans="1:26" ht="12" customHeight="1">
      <c r="A867" s="220"/>
      <c r="B867" s="154"/>
      <c r="C867" s="154"/>
      <c r="D867" s="154"/>
      <c r="E867" s="154"/>
      <c r="F867" s="154"/>
      <c r="G867" s="154"/>
      <c r="H867" s="154"/>
      <c r="I867" s="154"/>
      <c r="J867" s="217"/>
      <c r="K867" s="218"/>
      <c r="L867" s="154"/>
      <c r="M867" s="154"/>
      <c r="N867" s="154"/>
      <c r="O867" s="154"/>
      <c r="P867" s="154"/>
      <c r="Q867" s="154"/>
      <c r="R867" s="154"/>
      <c r="S867" s="154"/>
      <c r="T867" s="154"/>
      <c r="U867" s="154"/>
      <c r="V867" s="154"/>
      <c r="W867" s="154"/>
      <c r="X867" s="154"/>
      <c r="Y867" s="154"/>
      <c r="Z867" s="154"/>
    </row>
    <row r="868" spans="1:26" ht="12" customHeight="1">
      <c r="A868" s="220"/>
      <c r="B868" s="154"/>
      <c r="C868" s="154"/>
      <c r="D868" s="154"/>
      <c r="E868" s="154"/>
      <c r="F868" s="154"/>
      <c r="G868" s="154"/>
      <c r="H868" s="154"/>
      <c r="I868" s="154"/>
      <c r="J868" s="217"/>
      <c r="K868" s="218"/>
      <c r="L868" s="154"/>
      <c r="M868" s="154"/>
      <c r="N868" s="154"/>
      <c r="O868" s="154"/>
      <c r="P868" s="154"/>
      <c r="Q868" s="154"/>
      <c r="R868" s="154"/>
      <c r="S868" s="154"/>
      <c r="T868" s="154"/>
      <c r="U868" s="154"/>
      <c r="V868" s="154"/>
      <c r="W868" s="154"/>
      <c r="X868" s="154"/>
      <c r="Y868" s="154"/>
      <c r="Z868" s="154"/>
    </row>
    <row r="869" spans="1:26" ht="12" customHeight="1">
      <c r="A869" s="220"/>
      <c r="B869" s="154"/>
      <c r="C869" s="154"/>
      <c r="D869" s="154"/>
      <c r="E869" s="154"/>
      <c r="F869" s="154"/>
      <c r="G869" s="154"/>
      <c r="H869" s="154"/>
      <c r="I869" s="154"/>
      <c r="J869" s="217"/>
      <c r="K869" s="218"/>
      <c r="L869" s="154"/>
      <c r="M869" s="154"/>
      <c r="N869" s="154"/>
      <c r="O869" s="154"/>
      <c r="P869" s="154"/>
      <c r="Q869" s="154"/>
      <c r="R869" s="154"/>
      <c r="S869" s="154"/>
      <c r="T869" s="154"/>
      <c r="U869" s="154"/>
      <c r="V869" s="154"/>
      <c r="W869" s="154"/>
      <c r="X869" s="154"/>
      <c r="Y869" s="154"/>
      <c r="Z869" s="154"/>
    </row>
    <row r="870" spans="1:26" ht="12" customHeight="1">
      <c r="A870" s="220"/>
      <c r="B870" s="154"/>
      <c r="C870" s="154"/>
      <c r="D870" s="154"/>
      <c r="E870" s="154"/>
      <c r="F870" s="154"/>
      <c r="G870" s="154"/>
      <c r="H870" s="154"/>
      <c r="I870" s="154"/>
      <c r="J870" s="217"/>
      <c r="K870" s="218"/>
      <c r="L870" s="154"/>
      <c r="M870" s="154"/>
      <c r="N870" s="154"/>
      <c r="O870" s="154"/>
      <c r="P870" s="154"/>
      <c r="Q870" s="154"/>
      <c r="R870" s="154"/>
      <c r="S870" s="154"/>
      <c r="T870" s="154"/>
      <c r="U870" s="154"/>
      <c r="V870" s="154"/>
      <c r="W870" s="154"/>
      <c r="X870" s="154"/>
      <c r="Y870" s="154"/>
      <c r="Z870" s="154"/>
    </row>
    <row r="871" spans="1:26" ht="12" customHeight="1">
      <c r="A871" s="220"/>
      <c r="B871" s="154"/>
      <c r="C871" s="154"/>
      <c r="D871" s="154"/>
      <c r="E871" s="154"/>
      <c r="F871" s="154"/>
      <c r="G871" s="154"/>
      <c r="H871" s="154"/>
      <c r="I871" s="154"/>
      <c r="J871" s="217"/>
      <c r="K871" s="218"/>
      <c r="L871" s="154"/>
      <c r="M871" s="154"/>
      <c r="N871" s="154"/>
      <c r="O871" s="154"/>
      <c r="P871" s="154"/>
      <c r="Q871" s="154"/>
      <c r="R871" s="154"/>
      <c r="S871" s="154"/>
      <c r="T871" s="154"/>
      <c r="U871" s="154"/>
      <c r="V871" s="154"/>
      <c r="W871" s="154"/>
      <c r="X871" s="154"/>
      <c r="Y871" s="154"/>
      <c r="Z871" s="154"/>
    </row>
    <row r="872" spans="1:26" ht="12" customHeight="1">
      <c r="A872" s="220"/>
      <c r="B872" s="154"/>
      <c r="C872" s="154"/>
      <c r="D872" s="154"/>
      <c r="E872" s="154"/>
      <c r="F872" s="154"/>
      <c r="G872" s="154"/>
      <c r="H872" s="154"/>
      <c r="I872" s="154"/>
      <c r="J872" s="217"/>
      <c r="K872" s="218"/>
      <c r="L872" s="154"/>
      <c r="M872" s="154"/>
      <c r="N872" s="154"/>
      <c r="O872" s="154"/>
      <c r="P872" s="154"/>
      <c r="Q872" s="154"/>
      <c r="R872" s="154"/>
      <c r="S872" s="154"/>
      <c r="T872" s="154"/>
      <c r="U872" s="154"/>
      <c r="V872" s="154"/>
      <c r="W872" s="154"/>
      <c r="X872" s="154"/>
      <c r="Y872" s="154"/>
      <c r="Z872" s="154"/>
    </row>
    <row r="873" spans="1:26" ht="12" customHeight="1">
      <c r="A873" s="220"/>
      <c r="B873" s="154"/>
      <c r="C873" s="154"/>
      <c r="D873" s="154"/>
      <c r="E873" s="154"/>
      <c r="F873" s="154"/>
      <c r="G873" s="154"/>
      <c r="H873" s="154"/>
      <c r="I873" s="154"/>
      <c r="J873" s="217"/>
      <c r="K873" s="218"/>
      <c r="L873" s="154"/>
      <c r="M873" s="154"/>
      <c r="N873" s="154"/>
      <c r="O873" s="154"/>
      <c r="P873" s="154"/>
      <c r="Q873" s="154"/>
      <c r="R873" s="154"/>
      <c r="S873" s="154"/>
      <c r="T873" s="154"/>
      <c r="U873" s="154"/>
      <c r="V873" s="154"/>
      <c r="W873" s="154"/>
      <c r="X873" s="154"/>
      <c r="Y873" s="154"/>
      <c r="Z873" s="154"/>
    </row>
    <row r="874" spans="1:26" ht="12" customHeight="1">
      <c r="A874" s="220"/>
      <c r="B874" s="154"/>
      <c r="C874" s="154"/>
      <c r="D874" s="154"/>
      <c r="E874" s="154"/>
      <c r="F874" s="154"/>
      <c r="G874" s="154"/>
      <c r="H874" s="154"/>
      <c r="I874" s="154"/>
      <c r="J874" s="217"/>
      <c r="K874" s="218"/>
      <c r="L874" s="154"/>
      <c r="M874" s="154"/>
      <c r="N874" s="154"/>
      <c r="O874" s="154"/>
      <c r="P874" s="154"/>
      <c r="Q874" s="154"/>
      <c r="R874" s="154"/>
      <c r="S874" s="154"/>
      <c r="T874" s="154"/>
      <c r="U874" s="154"/>
      <c r="V874" s="154"/>
      <c r="W874" s="154"/>
      <c r="X874" s="154"/>
      <c r="Y874" s="154"/>
      <c r="Z874" s="154"/>
    </row>
    <row r="875" spans="1:26" ht="12" customHeight="1">
      <c r="A875" s="220"/>
      <c r="B875" s="154"/>
      <c r="C875" s="154"/>
      <c r="D875" s="154"/>
      <c r="E875" s="154"/>
      <c r="F875" s="154"/>
      <c r="G875" s="154"/>
      <c r="H875" s="154"/>
      <c r="I875" s="154"/>
      <c r="J875" s="217"/>
      <c r="K875" s="218"/>
      <c r="L875" s="154"/>
      <c r="M875" s="154"/>
      <c r="N875" s="154"/>
      <c r="O875" s="154"/>
      <c r="P875" s="154"/>
      <c r="Q875" s="154"/>
      <c r="R875" s="154"/>
      <c r="S875" s="154"/>
      <c r="T875" s="154"/>
      <c r="U875" s="154"/>
      <c r="V875" s="154"/>
      <c r="W875" s="154"/>
      <c r="X875" s="154"/>
      <c r="Y875" s="154"/>
      <c r="Z875" s="154"/>
    </row>
    <row r="876" spans="1:26" ht="12" customHeight="1">
      <c r="A876" s="220"/>
      <c r="B876" s="154"/>
      <c r="C876" s="154"/>
      <c r="D876" s="154"/>
      <c r="E876" s="154"/>
      <c r="F876" s="154"/>
      <c r="G876" s="154"/>
      <c r="H876" s="154"/>
      <c r="I876" s="154"/>
      <c r="J876" s="217"/>
      <c r="K876" s="218"/>
      <c r="L876" s="154"/>
      <c r="M876" s="154"/>
      <c r="N876" s="154"/>
      <c r="O876" s="154"/>
      <c r="P876" s="154"/>
      <c r="Q876" s="154"/>
      <c r="R876" s="154"/>
      <c r="S876" s="154"/>
      <c r="T876" s="154"/>
      <c r="U876" s="154"/>
      <c r="V876" s="154"/>
      <c r="W876" s="154"/>
      <c r="X876" s="154"/>
      <c r="Y876" s="154"/>
      <c r="Z876" s="154"/>
    </row>
    <row r="877" spans="1:26" ht="12" customHeight="1">
      <c r="A877" s="220"/>
      <c r="B877" s="154"/>
      <c r="C877" s="154"/>
      <c r="D877" s="154"/>
      <c r="E877" s="154"/>
      <c r="F877" s="154"/>
      <c r="G877" s="154"/>
      <c r="H877" s="154"/>
      <c r="I877" s="154"/>
      <c r="J877" s="217"/>
      <c r="K877" s="218"/>
      <c r="L877" s="154"/>
      <c r="M877" s="154"/>
      <c r="N877" s="154"/>
      <c r="O877" s="154"/>
      <c r="P877" s="154"/>
      <c r="Q877" s="154"/>
      <c r="R877" s="154"/>
      <c r="S877" s="154"/>
      <c r="T877" s="154"/>
      <c r="U877" s="154"/>
      <c r="V877" s="154"/>
      <c r="W877" s="154"/>
      <c r="X877" s="154"/>
      <c r="Y877" s="154"/>
      <c r="Z877" s="154"/>
    </row>
    <row r="878" spans="1:26" ht="12" customHeight="1">
      <c r="A878" s="220"/>
      <c r="B878" s="154"/>
      <c r="C878" s="154"/>
      <c r="D878" s="154"/>
      <c r="E878" s="154"/>
      <c r="F878" s="154"/>
      <c r="G878" s="154"/>
      <c r="H878" s="154"/>
      <c r="I878" s="154"/>
      <c r="J878" s="217"/>
      <c r="K878" s="218"/>
      <c r="L878" s="154"/>
      <c r="M878" s="154"/>
      <c r="N878" s="154"/>
      <c r="O878" s="154"/>
      <c r="P878" s="154"/>
      <c r="Q878" s="154"/>
      <c r="R878" s="154"/>
      <c r="S878" s="154"/>
      <c r="T878" s="154"/>
      <c r="U878" s="154"/>
      <c r="V878" s="154"/>
      <c r="W878" s="154"/>
      <c r="X878" s="154"/>
      <c r="Y878" s="154"/>
      <c r="Z878" s="154"/>
    </row>
    <row r="879" spans="1:26" ht="12" customHeight="1">
      <c r="A879" s="220"/>
      <c r="B879" s="154"/>
      <c r="C879" s="154"/>
      <c r="D879" s="154"/>
      <c r="E879" s="154"/>
      <c r="F879" s="154"/>
      <c r="G879" s="154"/>
      <c r="H879" s="154"/>
      <c r="I879" s="154"/>
      <c r="J879" s="217"/>
      <c r="K879" s="218"/>
      <c r="L879" s="154"/>
      <c r="M879" s="154"/>
      <c r="N879" s="154"/>
      <c r="O879" s="154"/>
      <c r="P879" s="154"/>
      <c r="Q879" s="154"/>
      <c r="R879" s="154"/>
      <c r="S879" s="154"/>
      <c r="T879" s="154"/>
      <c r="U879" s="154"/>
      <c r="V879" s="154"/>
      <c r="W879" s="154"/>
      <c r="X879" s="154"/>
      <c r="Y879" s="154"/>
      <c r="Z879" s="154"/>
    </row>
    <row r="880" spans="1:26" ht="12" customHeight="1">
      <c r="A880" s="220"/>
      <c r="B880" s="154"/>
      <c r="C880" s="154"/>
      <c r="D880" s="154"/>
      <c r="E880" s="154"/>
      <c r="F880" s="154"/>
      <c r="G880" s="154"/>
      <c r="H880" s="154"/>
      <c r="I880" s="154"/>
      <c r="J880" s="217"/>
      <c r="K880" s="218"/>
      <c r="L880" s="154"/>
      <c r="M880" s="154"/>
      <c r="N880" s="154"/>
      <c r="O880" s="154"/>
      <c r="P880" s="154"/>
      <c r="Q880" s="154"/>
      <c r="R880" s="154"/>
      <c r="S880" s="154"/>
      <c r="T880" s="154"/>
      <c r="U880" s="154"/>
      <c r="V880" s="154"/>
      <c r="W880" s="154"/>
      <c r="X880" s="154"/>
      <c r="Y880" s="154"/>
      <c r="Z880" s="154"/>
    </row>
    <row r="881" spans="1:26" ht="12" customHeight="1">
      <c r="A881" s="220"/>
      <c r="B881" s="154"/>
      <c r="C881" s="154"/>
      <c r="D881" s="154"/>
      <c r="E881" s="154"/>
      <c r="F881" s="154"/>
      <c r="G881" s="154"/>
      <c r="H881" s="154"/>
      <c r="I881" s="154"/>
      <c r="J881" s="217"/>
      <c r="K881" s="218"/>
      <c r="L881" s="154"/>
      <c r="M881" s="154"/>
      <c r="N881" s="154"/>
      <c r="O881" s="154"/>
      <c r="P881" s="154"/>
      <c r="Q881" s="154"/>
      <c r="R881" s="154"/>
      <c r="S881" s="154"/>
      <c r="T881" s="154"/>
      <c r="U881" s="154"/>
      <c r="V881" s="154"/>
      <c r="W881" s="154"/>
      <c r="X881" s="154"/>
      <c r="Y881" s="154"/>
      <c r="Z881" s="154"/>
    </row>
    <row r="882" spans="1:26" ht="12" customHeight="1">
      <c r="A882" s="220"/>
      <c r="B882" s="154"/>
      <c r="C882" s="154"/>
      <c r="D882" s="154"/>
      <c r="E882" s="154"/>
      <c r="F882" s="154"/>
      <c r="G882" s="154"/>
      <c r="H882" s="154"/>
      <c r="I882" s="154"/>
      <c r="J882" s="217"/>
      <c r="K882" s="218"/>
      <c r="L882" s="154"/>
      <c r="M882" s="154"/>
      <c r="N882" s="154"/>
      <c r="O882" s="154"/>
      <c r="P882" s="154"/>
      <c r="Q882" s="154"/>
      <c r="R882" s="154"/>
      <c r="S882" s="154"/>
      <c r="T882" s="154"/>
      <c r="U882" s="154"/>
      <c r="V882" s="154"/>
      <c r="W882" s="154"/>
      <c r="X882" s="154"/>
      <c r="Y882" s="154"/>
      <c r="Z882" s="154"/>
    </row>
    <row r="883" spans="1:26" ht="12" customHeight="1">
      <c r="A883" s="220"/>
      <c r="B883" s="154"/>
      <c r="C883" s="154"/>
      <c r="D883" s="154"/>
      <c r="E883" s="154"/>
      <c r="F883" s="154"/>
      <c r="G883" s="154"/>
      <c r="H883" s="154"/>
      <c r="I883" s="154"/>
      <c r="J883" s="217"/>
      <c r="K883" s="218"/>
      <c r="L883" s="154"/>
      <c r="M883" s="154"/>
      <c r="N883" s="154"/>
      <c r="O883" s="154"/>
      <c r="P883" s="154"/>
      <c r="Q883" s="154"/>
      <c r="R883" s="154"/>
      <c r="S883" s="154"/>
      <c r="T883" s="154"/>
      <c r="U883" s="154"/>
      <c r="V883" s="154"/>
      <c r="W883" s="154"/>
      <c r="X883" s="154"/>
      <c r="Y883" s="154"/>
      <c r="Z883" s="154"/>
    </row>
    <row r="884" spans="1:26" ht="12" customHeight="1">
      <c r="A884" s="220"/>
      <c r="B884" s="154"/>
      <c r="C884" s="154"/>
      <c r="D884" s="154"/>
      <c r="E884" s="154"/>
      <c r="F884" s="154"/>
      <c r="G884" s="154"/>
      <c r="H884" s="154"/>
      <c r="I884" s="154"/>
      <c r="J884" s="217"/>
      <c r="K884" s="218"/>
      <c r="L884" s="154"/>
      <c r="M884" s="154"/>
      <c r="N884" s="154"/>
      <c r="O884" s="154"/>
      <c r="P884" s="154"/>
      <c r="Q884" s="154"/>
      <c r="R884" s="154"/>
      <c r="S884" s="154"/>
      <c r="T884" s="154"/>
      <c r="U884" s="154"/>
      <c r="V884" s="154"/>
      <c r="W884" s="154"/>
      <c r="X884" s="154"/>
      <c r="Y884" s="154"/>
      <c r="Z884" s="154"/>
    </row>
    <row r="885" spans="1:26" ht="12" customHeight="1">
      <c r="A885" s="220"/>
      <c r="B885" s="154"/>
      <c r="C885" s="154"/>
      <c r="D885" s="154"/>
      <c r="E885" s="154"/>
      <c r="F885" s="154"/>
      <c r="G885" s="154"/>
      <c r="H885" s="154"/>
      <c r="I885" s="154"/>
      <c r="J885" s="217"/>
      <c r="K885" s="218"/>
      <c r="L885" s="154"/>
      <c r="M885" s="154"/>
      <c r="N885" s="154"/>
      <c r="O885" s="154"/>
      <c r="P885" s="154"/>
      <c r="Q885" s="154"/>
      <c r="R885" s="154"/>
      <c r="S885" s="154"/>
      <c r="T885" s="154"/>
      <c r="U885" s="154"/>
      <c r="V885" s="154"/>
      <c r="W885" s="154"/>
      <c r="X885" s="154"/>
      <c r="Y885" s="154"/>
      <c r="Z885" s="154"/>
    </row>
    <row r="886" spans="1:26" ht="12" customHeight="1">
      <c r="A886" s="220"/>
      <c r="B886" s="154"/>
      <c r="C886" s="154"/>
      <c r="D886" s="154"/>
      <c r="E886" s="154"/>
      <c r="F886" s="154"/>
      <c r="G886" s="154"/>
      <c r="H886" s="154"/>
      <c r="I886" s="154"/>
      <c r="J886" s="217"/>
      <c r="K886" s="218"/>
      <c r="L886" s="154"/>
      <c r="M886" s="154"/>
      <c r="N886" s="154"/>
      <c r="O886" s="154"/>
      <c r="P886" s="154"/>
      <c r="Q886" s="154"/>
      <c r="R886" s="154"/>
      <c r="S886" s="154"/>
      <c r="T886" s="154"/>
      <c r="U886" s="154"/>
      <c r="V886" s="154"/>
      <c r="W886" s="154"/>
      <c r="X886" s="154"/>
      <c r="Y886" s="154"/>
      <c r="Z886" s="154"/>
    </row>
    <row r="887" spans="1:26" ht="12" customHeight="1">
      <c r="A887" s="220"/>
      <c r="B887" s="154"/>
      <c r="C887" s="154"/>
      <c r="D887" s="154"/>
      <c r="E887" s="154"/>
      <c r="F887" s="154"/>
      <c r="G887" s="154"/>
      <c r="H887" s="154"/>
      <c r="I887" s="154"/>
      <c r="J887" s="217"/>
      <c r="K887" s="218"/>
      <c r="L887" s="154"/>
      <c r="M887" s="154"/>
      <c r="N887" s="154"/>
      <c r="O887" s="154"/>
      <c r="P887" s="154"/>
      <c r="Q887" s="154"/>
      <c r="R887" s="154"/>
      <c r="S887" s="154"/>
      <c r="T887" s="154"/>
      <c r="U887" s="154"/>
      <c r="V887" s="154"/>
      <c r="W887" s="154"/>
      <c r="X887" s="154"/>
      <c r="Y887" s="154"/>
      <c r="Z887" s="154"/>
    </row>
    <row r="888" spans="1:26" ht="12" customHeight="1">
      <c r="A888" s="220"/>
      <c r="B888" s="154"/>
      <c r="C888" s="154"/>
      <c r="D888" s="154"/>
      <c r="E888" s="154"/>
      <c r="F888" s="154"/>
      <c r="G888" s="154"/>
      <c r="H888" s="154"/>
      <c r="I888" s="154"/>
      <c r="J888" s="217"/>
      <c r="K888" s="218"/>
      <c r="L888" s="154"/>
      <c r="M888" s="154"/>
      <c r="N888" s="154"/>
      <c r="O888" s="154"/>
      <c r="P888" s="154"/>
      <c r="Q888" s="154"/>
      <c r="R888" s="154"/>
      <c r="S888" s="154"/>
      <c r="T888" s="154"/>
      <c r="U888" s="154"/>
      <c r="V888" s="154"/>
      <c r="W888" s="154"/>
      <c r="X888" s="154"/>
      <c r="Y888" s="154"/>
      <c r="Z888" s="154"/>
    </row>
    <row r="889" spans="1:26" ht="12" customHeight="1">
      <c r="A889" s="220"/>
      <c r="B889" s="154"/>
      <c r="C889" s="154"/>
      <c r="D889" s="154"/>
      <c r="E889" s="154"/>
      <c r="F889" s="154"/>
      <c r="G889" s="154"/>
      <c r="H889" s="154"/>
      <c r="I889" s="154"/>
      <c r="J889" s="217"/>
      <c r="K889" s="218"/>
      <c r="L889" s="154"/>
      <c r="M889" s="154"/>
      <c r="N889" s="154"/>
      <c r="O889" s="154"/>
      <c r="P889" s="154"/>
      <c r="Q889" s="154"/>
      <c r="R889" s="154"/>
      <c r="S889" s="154"/>
      <c r="T889" s="154"/>
      <c r="U889" s="154"/>
      <c r="V889" s="154"/>
      <c r="W889" s="154"/>
      <c r="X889" s="154"/>
      <c r="Y889" s="154"/>
      <c r="Z889" s="154"/>
    </row>
    <row r="890" spans="1:26" ht="12" customHeight="1">
      <c r="A890" s="220"/>
      <c r="B890" s="154"/>
      <c r="C890" s="154"/>
      <c r="D890" s="154"/>
      <c r="E890" s="154"/>
      <c r="F890" s="154"/>
      <c r="G890" s="154"/>
      <c r="H890" s="154"/>
      <c r="I890" s="154"/>
      <c r="J890" s="217"/>
      <c r="K890" s="218"/>
      <c r="L890" s="154"/>
      <c r="M890" s="154"/>
      <c r="N890" s="154"/>
      <c r="O890" s="154"/>
      <c r="P890" s="154"/>
      <c r="Q890" s="154"/>
      <c r="R890" s="154"/>
      <c r="S890" s="154"/>
      <c r="T890" s="154"/>
      <c r="U890" s="154"/>
      <c r="V890" s="154"/>
      <c r="W890" s="154"/>
      <c r="X890" s="154"/>
      <c r="Y890" s="154"/>
      <c r="Z890" s="154"/>
    </row>
    <row r="891" spans="1:26" ht="12" customHeight="1">
      <c r="A891" s="220"/>
      <c r="B891" s="154"/>
      <c r="C891" s="154"/>
      <c r="D891" s="154"/>
      <c r="E891" s="154"/>
      <c r="F891" s="154"/>
      <c r="G891" s="154"/>
      <c r="H891" s="154"/>
      <c r="I891" s="154"/>
      <c r="J891" s="217"/>
      <c r="K891" s="218"/>
      <c r="L891" s="154"/>
      <c r="M891" s="154"/>
      <c r="N891" s="154"/>
      <c r="O891" s="154"/>
      <c r="P891" s="154"/>
      <c r="Q891" s="154"/>
      <c r="R891" s="154"/>
      <c r="S891" s="154"/>
      <c r="T891" s="154"/>
      <c r="U891" s="154"/>
      <c r="V891" s="154"/>
      <c r="W891" s="154"/>
      <c r="X891" s="154"/>
      <c r="Y891" s="154"/>
      <c r="Z891" s="154"/>
    </row>
    <row r="892" spans="1:26" ht="12" customHeight="1">
      <c r="A892" s="220"/>
      <c r="B892" s="154"/>
      <c r="C892" s="154"/>
      <c r="D892" s="154"/>
      <c r="E892" s="154"/>
      <c r="F892" s="154"/>
      <c r="G892" s="154"/>
      <c r="H892" s="154"/>
      <c r="I892" s="154"/>
      <c r="J892" s="217"/>
      <c r="K892" s="218"/>
      <c r="L892" s="154"/>
      <c r="M892" s="154"/>
      <c r="N892" s="154"/>
      <c r="O892" s="154"/>
      <c r="P892" s="154"/>
      <c r="Q892" s="154"/>
      <c r="R892" s="154"/>
      <c r="S892" s="154"/>
      <c r="T892" s="154"/>
      <c r="U892" s="154"/>
      <c r="V892" s="154"/>
      <c r="W892" s="154"/>
      <c r="X892" s="154"/>
      <c r="Y892" s="154"/>
      <c r="Z892" s="154"/>
    </row>
    <row r="893" spans="1:26" ht="12" customHeight="1">
      <c r="A893" s="220"/>
      <c r="B893" s="154"/>
      <c r="C893" s="154"/>
      <c r="D893" s="154"/>
      <c r="E893" s="154"/>
      <c r="F893" s="154"/>
      <c r="G893" s="154"/>
      <c r="H893" s="154"/>
      <c r="I893" s="154"/>
      <c r="J893" s="217"/>
      <c r="K893" s="218"/>
      <c r="L893" s="154"/>
      <c r="M893" s="154"/>
      <c r="N893" s="154"/>
      <c r="O893" s="154"/>
      <c r="P893" s="154"/>
      <c r="Q893" s="154"/>
      <c r="R893" s="154"/>
      <c r="S893" s="154"/>
      <c r="T893" s="154"/>
      <c r="U893" s="154"/>
      <c r="V893" s="154"/>
      <c r="W893" s="154"/>
      <c r="X893" s="154"/>
      <c r="Y893" s="154"/>
      <c r="Z893" s="154"/>
    </row>
    <row r="894" spans="1:26" ht="12" customHeight="1">
      <c r="A894" s="220"/>
      <c r="B894" s="154"/>
      <c r="C894" s="154"/>
      <c r="D894" s="154"/>
      <c r="E894" s="154"/>
      <c r="F894" s="154"/>
      <c r="G894" s="154"/>
      <c r="H894" s="154"/>
      <c r="I894" s="154"/>
      <c r="J894" s="217"/>
      <c r="K894" s="218"/>
      <c r="L894" s="154"/>
      <c r="M894" s="154"/>
      <c r="N894" s="154"/>
      <c r="O894" s="154"/>
      <c r="P894" s="154"/>
      <c r="Q894" s="154"/>
      <c r="R894" s="154"/>
      <c r="S894" s="154"/>
      <c r="T894" s="154"/>
      <c r="U894" s="154"/>
      <c r="V894" s="154"/>
      <c r="W894" s="154"/>
      <c r="X894" s="154"/>
      <c r="Y894" s="154"/>
      <c r="Z894" s="154"/>
    </row>
    <row r="895" spans="1:26" ht="12" customHeight="1">
      <c r="A895" s="220"/>
      <c r="B895" s="154"/>
      <c r="C895" s="154"/>
      <c r="D895" s="154"/>
      <c r="E895" s="154"/>
      <c r="F895" s="154"/>
      <c r="G895" s="154"/>
      <c r="H895" s="154"/>
      <c r="I895" s="154"/>
      <c r="J895" s="217"/>
      <c r="K895" s="218"/>
      <c r="L895" s="154"/>
      <c r="M895" s="154"/>
      <c r="N895" s="154"/>
      <c r="O895" s="154"/>
      <c r="P895" s="154"/>
      <c r="Q895" s="154"/>
      <c r="R895" s="154"/>
      <c r="S895" s="154"/>
      <c r="T895" s="154"/>
      <c r="U895" s="154"/>
      <c r="V895" s="154"/>
      <c r="W895" s="154"/>
      <c r="X895" s="154"/>
      <c r="Y895" s="154"/>
      <c r="Z895" s="154"/>
    </row>
    <row r="896" spans="1:26" ht="12" customHeight="1">
      <c r="A896" s="220"/>
      <c r="B896" s="154"/>
      <c r="C896" s="154"/>
      <c r="D896" s="154"/>
      <c r="E896" s="154"/>
      <c r="F896" s="154"/>
      <c r="G896" s="154"/>
      <c r="H896" s="154"/>
      <c r="I896" s="154"/>
      <c r="J896" s="217"/>
      <c r="K896" s="218"/>
      <c r="L896" s="154"/>
      <c r="M896" s="154"/>
      <c r="N896" s="154"/>
      <c r="O896" s="154"/>
      <c r="P896" s="154"/>
      <c r="Q896" s="154"/>
      <c r="R896" s="154"/>
      <c r="S896" s="154"/>
      <c r="T896" s="154"/>
      <c r="U896" s="154"/>
      <c r="V896" s="154"/>
      <c r="W896" s="154"/>
      <c r="X896" s="154"/>
      <c r="Y896" s="154"/>
      <c r="Z896" s="154"/>
    </row>
    <row r="897" spans="1:26" ht="12" customHeight="1">
      <c r="A897" s="220"/>
      <c r="B897" s="154"/>
      <c r="C897" s="154"/>
      <c r="D897" s="154"/>
      <c r="E897" s="154"/>
      <c r="F897" s="154"/>
      <c r="G897" s="154"/>
      <c r="H897" s="154"/>
      <c r="I897" s="154"/>
      <c r="J897" s="217"/>
      <c r="K897" s="218"/>
      <c r="L897" s="154"/>
      <c r="M897" s="154"/>
      <c r="N897" s="154"/>
      <c r="O897" s="154"/>
      <c r="P897" s="154"/>
      <c r="Q897" s="154"/>
      <c r="R897" s="154"/>
      <c r="S897" s="154"/>
      <c r="T897" s="154"/>
      <c r="U897" s="154"/>
      <c r="V897" s="154"/>
      <c r="W897" s="154"/>
      <c r="X897" s="154"/>
      <c r="Y897" s="154"/>
      <c r="Z897" s="154"/>
    </row>
    <row r="898" spans="1:26" ht="12" customHeight="1">
      <c r="A898" s="220"/>
      <c r="B898" s="154"/>
      <c r="C898" s="154"/>
      <c r="D898" s="154"/>
      <c r="E898" s="154"/>
      <c r="F898" s="154"/>
      <c r="G898" s="154"/>
      <c r="H898" s="154"/>
      <c r="I898" s="154"/>
      <c r="J898" s="217"/>
      <c r="K898" s="218"/>
      <c r="L898" s="154"/>
      <c r="M898" s="154"/>
      <c r="N898" s="154"/>
      <c r="O898" s="154"/>
      <c r="P898" s="154"/>
      <c r="Q898" s="154"/>
      <c r="R898" s="154"/>
      <c r="S898" s="154"/>
      <c r="T898" s="154"/>
      <c r="U898" s="154"/>
      <c r="V898" s="154"/>
      <c r="W898" s="154"/>
      <c r="X898" s="154"/>
      <c r="Y898" s="154"/>
      <c r="Z898" s="154"/>
    </row>
    <row r="899" spans="1:26" ht="12" customHeight="1">
      <c r="A899" s="220"/>
      <c r="B899" s="154"/>
      <c r="C899" s="154"/>
      <c r="D899" s="154"/>
      <c r="E899" s="154"/>
      <c r="F899" s="154"/>
      <c r="G899" s="154"/>
      <c r="H899" s="154"/>
      <c r="I899" s="154"/>
      <c r="J899" s="217"/>
      <c r="K899" s="218"/>
      <c r="L899" s="154"/>
      <c r="M899" s="154"/>
      <c r="N899" s="154"/>
      <c r="O899" s="154"/>
      <c r="P899" s="154"/>
      <c r="Q899" s="154"/>
      <c r="R899" s="154"/>
      <c r="S899" s="154"/>
      <c r="T899" s="154"/>
      <c r="U899" s="154"/>
      <c r="V899" s="154"/>
      <c r="W899" s="154"/>
      <c r="X899" s="154"/>
      <c r="Y899" s="154"/>
      <c r="Z899" s="154"/>
    </row>
    <row r="900" spans="1:26" ht="12" customHeight="1">
      <c r="A900" s="220"/>
      <c r="B900" s="154"/>
      <c r="C900" s="154"/>
      <c r="D900" s="154"/>
      <c r="E900" s="154"/>
      <c r="F900" s="154"/>
      <c r="G900" s="154"/>
      <c r="H900" s="154"/>
      <c r="I900" s="154"/>
      <c r="J900" s="217"/>
      <c r="K900" s="218"/>
      <c r="L900" s="154"/>
      <c r="M900" s="154"/>
      <c r="N900" s="154"/>
      <c r="O900" s="154"/>
      <c r="P900" s="154"/>
      <c r="Q900" s="154"/>
      <c r="R900" s="154"/>
      <c r="S900" s="154"/>
      <c r="T900" s="154"/>
      <c r="U900" s="154"/>
      <c r="V900" s="154"/>
      <c r="W900" s="154"/>
      <c r="X900" s="154"/>
      <c r="Y900" s="154"/>
      <c r="Z900" s="154"/>
    </row>
    <row r="901" spans="1:26" ht="12" customHeight="1">
      <c r="A901" s="220"/>
      <c r="B901" s="154"/>
      <c r="C901" s="154"/>
      <c r="D901" s="154"/>
      <c r="E901" s="154"/>
      <c r="F901" s="154"/>
      <c r="G901" s="154"/>
      <c r="H901" s="154"/>
      <c r="I901" s="154"/>
      <c r="J901" s="217"/>
      <c r="K901" s="218"/>
      <c r="L901" s="154"/>
      <c r="M901" s="154"/>
      <c r="N901" s="154"/>
      <c r="O901" s="154"/>
      <c r="P901" s="154"/>
      <c r="Q901" s="154"/>
      <c r="R901" s="154"/>
      <c r="S901" s="154"/>
      <c r="T901" s="154"/>
      <c r="U901" s="154"/>
      <c r="V901" s="154"/>
      <c r="W901" s="154"/>
      <c r="X901" s="154"/>
      <c r="Y901" s="154"/>
      <c r="Z901" s="154"/>
    </row>
    <row r="902" spans="1:26" ht="12" customHeight="1">
      <c r="A902" s="220"/>
      <c r="B902" s="154"/>
      <c r="C902" s="154"/>
      <c r="D902" s="154"/>
      <c r="E902" s="154"/>
      <c r="F902" s="154"/>
      <c r="G902" s="154"/>
      <c r="H902" s="154"/>
      <c r="I902" s="154"/>
      <c r="J902" s="217"/>
      <c r="K902" s="218"/>
      <c r="L902" s="154"/>
      <c r="M902" s="154"/>
      <c r="N902" s="154"/>
      <c r="O902" s="154"/>
      <c r="P902" s="154"/>
      <c r="Q902" s="154"/>
      <c r="R902" s="154"/>
      <c r="S902" s="154"/>
      <c r="T902" s="154"/>
      <c r="U902" s="154"/>
      <c r="V902" s="154"/>
      <c r="W902" s="154"/>
      <c r="X902" s="154"/>
      <c r="Y902" s="154"/>
      <c r="Z902" s="154"/>
    </row>
    <row r="903" spans="1:26" ht="12" customHeight="1">
      <c r="A903" s="220"/>
      <c r="B903" s="154"/>
      <c r="C903" s="154"/>
      <c r="D903" s="154"/>
      <c r="E903" s="154"/>
      <c r="F903" s="154"/>
      <c r="G903" s="154"/>
      <c r="H903" s="154"/>
      <c r="I903" s="154"/>
      <c r="J903" s="217"/>
      <c r="K903" s="218"/>
      <c r="L903" s="154"/>
      <c r="M903" s="154"/>
      <c r="N903" s="154"/>
      <c r="O903" s="154"/>
      <c r="P903" s="154"/>
      <c r="Q903" s="154"/>
      <c r="R903" s="154"/>
      <c r="S903" s="154"/>
      <c r="T903" s="154"/>
      <c r="U903" s="154"/>
      <c r="V903" s="154"/>
      <c r="W903" s="154"/>
      <c r="X903" s="154"/>
      <c r="Y903" s="154"/>
      <c r="Z903" s="154"/>
    </row>
    <row r="904" spans="1:26" ht="12" customHeight="1">
      <c r="A904" s="220"/>
      <c r="B904" s="154"/>
      <c r="C904" s="154"/>
      <c r="D904" s="154"/>
      <c r="E904" s="154"/>
      <c r="F904" s="154"/>
      <c r="G904" s="154"/>
      <c r="H904" s="154"/>
      <c r="I904" s="154"/>
      <c r="J904" s="217"/>
      <c r="K904" s="218"/>
      <c r="L904" s="154"/>
      <c r="M904" s="154"/>
      <c r="N904" s="154"/>
      <c r="O904" s="154"/>
      <c r="P904" s="154"/>
      <c r="Q904" s="154"/>
      <c r="R904" s="154"/>
      <c r="S904" s="154"/>
      <c r="T904" s="154"/>
      <c r="U904" s="154"/>
      <c r="V904" s="154"/>
      <c r="W904" s="154"/>
      <c r="X904" s="154"/>
      <c r="Y904" s="154"/>
      <c r="Z904" s="154"/>
    </row>
    <row r="905" spans="1:26" ht="12" customHeight="1">
      <c r="A905" s="220"/>
      <c r="B905" s="154"/>
      <c r="C905" s="154"/>
      <c r="D905" s="154"/>
      <c r="E905" s="154"/>
      <c r="F905" s="154"/>
      <c r="G905" s="154"/>
      <c r="H905" s="154"/>
      <c r="I905" s="154"/>
      <c r="J905" s="217"/>
      <c r="K905" s="218"/>
      <c r="L905" s="154"/>
      <c r="M905" s="154"/>
      <c r="N905" s="154"/>
      <c r="O905" s="154"/>
      <c r="P905" s="154"/>
      <c r="Q905" s="154"/>
      <c r="R905" s="154"/>
      <c r="S905" s="154"/>
      <c r="T905" s="154"/>
      <c r="U905" s="154"/>
      <c r="V905" s="154"/>
      <c r="W905" s="154"/>
      <c r="X905" s="154"/>
      <c r="Y905" s="154"/>
      <c r="Z905" s="154"/>
    </row>
    <row r="906" spans="1:26" ht="12" customHeight="1">
      <c r="A906" s="220"/>
      <c r="B906" s="154"/>
      <c r="C906" s="154"/>
      <c r="D906" s="154"/>
      <c r="E906" s="154"/>
      <c r="F906" s="154"/>
      <c r="G906" s="154"/>
      <c r="H906" s="154"/>
      <c r="I906" s="154"/>
      <c r="J906" s="217"/>
      <c r="K906" s="218"/>
      <c r="L906" s="154"/>
      <c r="M906" s="154"/>
      <c r="N906" s="154"/>
      <c r="O906" s="154"/>
      <c r="P906" s="154"/>
      <c r="Q906" s="154"/>
      <c r="R906" s="154"/>
      <c r="S906" s="154"/>
      <c r="T906" s="154"/>
      <c r="U906" s="154"/>
      <c r="V906" s="154"/>
      <c r="W906" s="154"/>
      <c r="X906" s="154"/>
      <c r="Y906" s="154"/>
      <c r="Z906" s="154"/>
    </row>
    <row r="907" spans="1:26" ht="12" customHeight="1">
      <c r="A907" s="220"/>
      <c r="B907" s="154"/>
      <c r="C907" s="154"/>
      <c r="D907" s="154"/>
      <c r="E907" s="154"/>
      <c r="F907" s="154"/>
      <c r="G907" s="154"/>
      <c r="H907" s="154"/>
      <c r="I907" s="154"/>
      <c r="J907" s="217"/>
      <c r="K907" s="218"/>
      <c r="L907" s="154"/>
      <c r="M907" s="154"/>
      <c r="N907" s="154"/>
      <c r="O907" s="154"/>
      <c r="P907" s="154"/>
      <c r="Q907" s="154"/>
      <c r="R907" s="154"/>
      <c r="S907" s="154"/>
      <c r="T907" s="154"/>
      <c r="U907" s="154"/>
      <c r="V907" s="154"/>
      <c r="W907" s="154"/>
      <c r="X907" s="154"/>
      <c r="Y907" s="154"/>
      <c r="Z907" s="154"/>
    </row>
    <row r="908" spans="1:26" ht="12" customHeight="1">
      <c r="A908" s="220"/>
      <c r="B908" s="154"/>
      <c r="C908" s="154"/>
      <c r="D908" s="154"/>
      <c r="E908" s="154"/>
      <c r="F908" s="154"/>
      <c r="G908" s="154"/>
      <c r="H908" s="154"/>
      <c r="I908" s="154"/>
      <c r="J908" s="217"/>
      <c r="K908" s="218"/>
      <c r="L908" s="154"/>
      <c r="M908" s="154"/>
      <c r="N908" s="154"/>
      <c r="O908" s="154"/>
      <c r="P908" s="154"/>
      <c r="Q908" s="154"/>
      <c r="R908" s="154"/>
      <c r="S908" s="154"/>
      <c r="T908" s="154"/>
      <c r="U908" s="154"/>
      <c r="V908" s="154"/>
      <c r="W908" s="154"/>
      <c r="X908" s="154"/>
      <c r="Y908" s="154"/>
      <c r="Z908" s="154"/>
    </row>
    <row r="909" spans="1:26" ht="12" customHeight="1">
      <c r="A909" s="220"/>
      <c r="B909" s="154"/>
      <c r="C909" s="154"/>
      <c r="D909" s="154"/>
      <c r="E909" s="154"/>
      <c r="F909" s="154"/>
      <c r="G909" s="154"/>
      <c r="H909" s="154"/>
      <c r="I909" s="154"/>
      <c r="J909" s="217"/>
      <c r="K909" s="218"/>
      <c r="L909" s="154"/>
      <c r="M909" s="154"/>
      <c r="N909" s="154"/>
      <c r="O909" s="154"/>
      <c r="P909" s="154"/>
      <c r="Q909" s="154"/>
      <c r="R909" s="154"/>
      <c r="S909" s="154"/>
      <c r="T909" s="154"/>
      <c r="U909" s="154"/>
      <c r="V909" s="154"/>
      <c r="W909" s="154"/>
      <c r="X909" s="154"/>
      <c r="Y909" s="154"/>
      <c r="Z909" s="154"/>
    </row>
    <row r="910" spans="1:26" ht="12" customHeight="1">
      <c r="A910" s="220"/>
      <c r="B910" s="154"/>
      <c r="C910" s="154"/>
      <c r="D910" s="154"/>
      <c r="E910" s="154"/>
      <c r="F910" s="154"/>
      <c r="G910" s="154"/>
      <c r="H910" s="154"/>
      <c r="I910" s="154"/>
      <c r="J910" s="217"/>
      <c r="K910" s="218"/>
      <c r="L910" s="154"/>
      <c r="M910" s="154"/>
      <c r="N910" s="154"/>
      <c r="O910" s="154"/>
      <c r="P910" s="154"/>
      <c r="Q910" s="154"/>
      <c r="R910" s="154"/>
      <c r="S910" s="154"/>
      <c r="T910" s="154"/>
      <c r="U910" s="154"/>
      <c r="V910" s="154"/>
      <c r="W910" s="154"/>
      <c r="X910" s="154"/>
      <c r="Y910" s="154"/>
      <c r="Z910" s="154"/>
    </row>
    <row r="911" spans="1:26" ht="12" customHeight="1">
      <c r="A911" s="220"/>
      <c r="B911" s="154"/>
      <c r="C911" s="154"/>
      <c r="D911" s="154"/>
      <c r="E911" s="154"/>
      <c r="F911" s="154"/>
      <c r="G911" s="154"/>
      <c r="H911" s="154"/>
      <c r="I911" s="154"/>
      <c r="J911" s="217"/>
      <c r="K911" s="218"/>
      <c r="L911" s="154"/>
      <c r="M911" s="154"/>
      <c r="N911" s="154"/>
      <c r="O911" s="154"/>
      <c r="P911" s="154"/>
      <c r="Q911" s="154"/>
      <c r="R911" s="154"/>
      <c r="S911" s="154"/>
      <c r="T911" s="154"/>
      <c r="U911" s="154"/>
      <c r="V911" s="154"/>
      <c r="W911" s="154"/>
      <c r="X911" s="154"/>
      <c r="Y911" s="154"/>
      <c r="Z911" s="154"/>
    </row>
    <row r="912" spans="1:26" ht="12" customHeight="1">
      <c r="A912" s="220"/>
      <c r="B912" s="154"/>
      <c r="C912" s="154"/>
      <c r="D912" s="154"/>
      <c r="E912" s="154"/>
      <c r="F912" s="154"/>
      <c r="G912" s="154"/>
      <c r="H912" s="154"/>
      <c r="I912" s="154"/>
      <c r="J912" s="217"/>
      <c r="K912" s="218"/>
      <c r="L912" s="154"/>
      <c r="M912" s="154"/>
      <c r="N912" s="154"/>
      <c r="O912" s="154"/>
      <c r="P912" s="154"/>
      <c r="Q912" s="154"/>
      <c r="R912" s="154"/>
      <c r="S912" s="154"/>
      <c r="T912" s="154"/>
      <c r="U912" s="154"/>
      <c r="V912" s="154"/>
      <c r="W912" s="154"/>
      <c r="X912" s="154"/>
      <c r="Y912" s="154"/>
      <c r="Z912" s="154"/>
    </row>
    <row r="913" spans="1:26" ht="12" customHeight="1">
      <c r="A913" s="220"/>
      <c r="B913" s="154"/>
      <c r="C913" s="154"/>
      <c r="D913" s="154"/>
      <c r="E913" s="154"/>
      <c r="F913" s="154"/>
      <c r="G913" s="154"/>
      <c r="H913" s="154"/>
      <c r="I913" s="154"/>
      <c r="J913" s="217"/>
      <c r="K913" s="218"/>
      <c r="L913" s="154"/>
      <c r="M913" s="154"/>
      <c r="N913" s="154"/>
      <c r="O913" s="154"/>
      <c r="P913" s="154"/>
      <c r="Q913" s="154"/>
      <c r="R913" s="154"/>
      <c r="S913" s="154"/>
      <c r="T913" s="154"/>
      <c r="U913" s="154"/>
      <c r="V913" s="154"/>
      <c r="W913" s="154"/>
      <c r="X913" s="154"/>
      <c r="Y913" s="154"/>
      <c r="Z913" s="154"/>
    </row>
    <row r="914" spans="1:26" ht="12" customHeight="1">
      <c r="A914" s="220"/>
      <c r="B914" s="154"/>
      <c r="C914" s="154"/>
      <c r="D914" s="154"/>
      <c r="E914" s="154"/>
      <c r="F914" s="154"/>
      <c r="G914" s="154"/>
      <c r="H914" s="154"/>
      <c r="I914" s="154"/>
      <c r="J914" s="217"/>
      <c r="K914" s="218"/>
      <c r="L914" s="154"/>
      <c r="M914" s="154"/>
      <c r="N914" s="154"/>
      <c r="O914" s="154"/>
      <c r="P914" s="154"/>
      <c r="Q914" s="154"/>
      <c r="R914" s="154"/>
      <c r="S914" s="154"/>
      <c r="T914" s="154"/>
      <c r="U914" s="154"/>
      <c r="V914" s="154"/>
      <c r="W914" s="154"/>
      <c r="X914" s="154"/>
      <c r="Y914" s="154"/>
      <c r="Z914" s="154"/>
    </row>
    <row r="915" spans="1:26" ht="12" customHeight="1">
      <c r="A915" s="220"/>
      <c r="B915" s="154"/>
      <c r="C915" s="154"/>
      <c r="D915" s="154"/>
      <c r="E915" s="154"/>
      <c r="F915" s="154"/>
      <c r="G915" s="154"/>
      <c r="H915" s="154"/>
      <c r="I915" s="154"/>
      <c r="J915" s="217"/>
      <c r="K915" s="218"/>
      <c r="L915" s="154"/>
      <c r="M915" s="154"/>
      <c r="N915" s="154"/>
      <c r="O915" s="154"/>
      <c r="P915" s="154"/>
      <c r="Q915" s="154"/>
      <c r="R915" s="154"/>
      <c r="S915" s="154"/>
      <c r="T915" s="154"/>
      <c r="U915" s="154"/>
      <c r="V915" s="154"/>
      <c r="W915" s="154"/>
      <c r="X915" s="154"/>
      <c r="Y915" s="154"/>
      <c r="Z915" s="154"/>
    </row>
    <row r="916" spans="1:26" ht="12" customHeight="1">
      <c r="A916" s="220"/>
      <c r="B916" s="154"/>
      <c r="C916" s="154"/>
      <c r="D916" s="154"/>
      <c r="E916" s="154"/>
      <c r="F916" s="154"/>
      <c r="G916" s="154"/>
      <c r="H916" s="154"/>
      <c r="I916" s="154"/>
      <c r="J916" s="217"/>
      <c r="K916" s="218"/>
      <c r="L916" s="154"/>
      <c r="M916" s="154"/>
      <c r="N916" s="154"/>
      <c r="O916" s="154"/>
      <c r="P916" s="154"/>
      <c r="Q916" s="154"/>
      <c r="R916" s="154"/>
      <c r="S916" s="154"/>
      <c r="T916" s="154"/>
      <c r="U916" s="154"/>
      <c r="V916" s="154"/>
      <c r="W916" s="154"/>
      <c r="X916" s="154"/>
      <c r="Y916" s="154"/>
      <c r="Z916" s="154"/>
    </row>
    <row r="917" spans="1:26" ht="12" customHeight="1">
      <c r="A917" s="220"/>
      <c r="B917" s="154"/>
      <c r="C917" s="154"/>
      <c r="D917" s="154"/>
      <c r="E917" s="154"/>
      <c r="F917" s="154"/>
      <c r="G917" s="154"/>
      <c r="H917" s="154"/>
      <c r="I917" s="154"/>
      <c r="J917" s="217"/>
      <c r="K917" s="218"/>
      <c r="L917" s="154"/>
      <c r="M917" s="154"/>
      <c r="N917" s="154"/>
      <c r="O917" s="154"/>
      <c r="P917" s="154"/>
      <c r="Q917" s="154"/>
      <c r="R917" s="154"/>
      <c r="S917" s="154"/>
      <c r="T917" s="154"/>
      <c r="U917" s="154"/>
      <c r="V917" s="154"/>
      <c r="W917" s="154"/>
      <c r="X917" s="154"/>
      <c r="Y917" s="154"/>
      <c r="Z917" s="154"/>
    </row>
    <row r="918" spans="1:26" ht="12" customHeight="1">
      <c r="A918" s="220"/>
      <c r="B918" s="154"/>
      <c r="C918" s="154"/>
      <c r="D918" s="154"/>
      <c r="E918" s="154"/>
      <c r="F918" s="154"/>
      <c r="G918" s="154"/>
      <c r="H918" s="154"/>
      <c r="I918" s="154"/>
      <c r="J918" s="217"/>
      <c r="K918" s="218"/>
      <c r="L918" s="154"/>
      <c r="M918" s="154"/>
      <c r="N918" s="154"/>
      <c r="O918" s="154"/>
      <c r="P918" s="154"/>
      <c r="Q918" s="154"/>
      <c r="R918" s="154"/>
      <c r="S918" s="154"/>
      <c r="T918" s="154"/>
      <c r="U918" s="154"/>
      <c r="V918" s="154"/>
      <c r="W918" s="154"/>
      <c r="X918" s="154"/>
      <c r="Y918" s="154"/>
      <c r="Z918" s="154"/>
    </row>
    <row r="919" spans="1:26" ht="12" customHeight="1">
      <c r="A919" s="220"/>
      <c r="B919" s="154"/>
      <c r="C919" s="154"/>
      <c r="D919" s="154"/>
      <c r="E919" s="154"/>
      <c r="F919" s="154"/>
      <c r="G919" s="154"/>
      <c r="H919" s="154"/>
      <c r="I919" s="154"/>
      <c r="J919" s="217"/>
      <c r="K919" s="218"/>
      <c r="L919" s="154"/>
      <c r="M919" s="154"/>
      <c r="N919" s="154"/>
      <c r="O919" s="154"/>
      <c r="P919" s="154"/>
      <c r="Q919" s="154"/>
      <c r="R919" s="154"/>
      <c r="S919" s="154"/>
      <c r="T919" s="154"/>
      <c r="U919" s="154"/>
      <c r="V919" s="154"/>
      <c r="W919" s="154"/>
      <c r="X919" s="154"/>
      <c r="Y919" s="154"/>
      <c r="Z919" s="154"/>
    </row>
    <row r="920" spans="1:26" ht="12" customHeight="1">
      <c r="A920" s="220"/>
      <c r="B920" s="154"/>
      <c r="C920" s="154"/>
      <c r="D920" s="154"/>
      <c r="E920" s="154"/>
      <c r="F920" s="154"/>
      <c r="G920" s="154"/>
      <c r="H920" s="154"/>
      <c r="I920" s="154"/>
      <c r="J920" s="217"/>
      <c r="K920" s="218"/>
      <c r="L920" s="154"/>
      <c r="M920" s="154"/>
      <c r="N920" s="154"/>
      <c r="O920" s="154"/>
      <c r="P920" s="154"/>
      <c r="Q920" s="154"/>
      <c r="R920" s="154"/>
      <c r="S920" s="154"/>
      <c r="T920" s="154"/>
      <c r="U920" s="154"/>
      <c r="V920" s="154"/>
      <c r="W920" s="154"/>
      <c r="X920" s="154"/>
      <c r="Y920" s="154"/>
      <c r="Z920" s="154"/>
    </row>
    <row r="921" spans="1:26" ht="12" customHeight="1">
      <c r="A921" s="220"/>
      <c r="B921" s="154"/>
      <c r="C921" s="154"/>
      <c r="D921" s="154"/>
      <c r="E921" s="154"/>
      <c r="F921" s="154"/>
      <c r="G921" s="154"/>
      <c r="H921" s="154"/>
      <c r="I921" s="154"/>
      <c r="J921" s="217"/>
      <c r="K921" s="218"/>
      <c r="L921" s="154"/>
      <c r="M921" s="154"/>
      <c r="N921" s="154"/>
      <c r="O921" s="154"/>
      <c r="P921" s="154"/>
      <c r="Q921" s="154"/>
      <c r="R921" s="154"/>
      <c r="S921" s="154"/>
      <c r="T921" s="154"/>
      <c r="U921" s="154"/>
      <c r="V921" s="154"/>
      <c r="W921" s="154"/>
      <c r="X921" s="154"/>
      <c r="Y921" s="154"/>
      <c r="Z921" s="154"/>
    </row>
    <row r="922" spans="1:26" ht="12" customHeight="1">
      <c r="A922" s="220"/>
      <c r="B922" s="154"/>
      <c r="C922" s="154"/>
      <c r="D922" s="154"/>
      <c r="E922" s="154"/>
      <c r="F922" s="154"/>
      <c r="G922" s="154"/>
      <c r="H922" s="154"/>
      <c r="I922" s="154"/>
      <c r="J922" s="217"/>
      <c r="K922" s="218"/>
      <c r="L922" s="154"/>
      <c r="M922" s="154"/>
      <c r="N922" s="154"/>
      <c r="O922" s="154"/>
      <c r="P922" s="154"/>
      <c r="Q922" s="154"/>
      <c r="R922" s="154"/>
      <c r="S922" s="154"/>
      <c r="T922" s="154"/>
      <c r="U922" s="154"/>
      <c r="V922" s="154"/>
      <c r="W922" s="154"/>
      <c r="X922" s="154"/>
      <c r="Y922" s="154"/>
      <c r="Z922" s="154"/>
    </row>
    <row r="923" spans="1:26" ht="12" customHeight="1">
      <c r="A923" s="220"/>
      <c r="B923" s="154"/>
      <c r="C923" s="154"/>
      <c r="D923" s="154"/>
      <c r="E923" s="154"/>
      <c r="F923" s="154"/>
      <c r="G923" s="154"/>
      <c r="H923" s="154"/>
      <c r="I923" s="154"/>
      <c r="J923" s="217"/>
      <c r="K923" s="218"/>
      <c r="L923" s="154"/>
      <c r="M923" s="154"/>
      <c r="N923" s="154"/>
      <c r="O923" s="154"/>
      <c r="P923" s="154"/>
      <c r="Q923" s="154"/>
      <c r="R923" s="154"/>
      <c r="S923" s="154"/>
      <c r="T923" s="154"/>
      <c r="U923" s="154"/>
      <c r="V923" s="154"/>
      <c r="W923" s="154"/>
      <c r="X923" s="154"/>
      <c r="Y923" s="154"/>
      <c r="Z923" s="154"/>
    </row>
    <row r="924" spans="1:26" ht="12" customHeight="1">
      <c r="A924" s="220"/>
      <c r="B924" s="154"/>
      <c r="C924" s="154"/>
      <c r="D924" s="154"/>
      <c r="E924" s="154"/>
      <c r="F924" s="154"/>
      <c r="G924" s="154"/>
      <c r="H924" s="154"/>
      <c r="I924" s="154"/>
      <c r="J924" s="217"/>
      <c r="K924" s="218"/>
      <c r="L924" s="154"/>
      <c r="M924" s="154"/>
      <c r="N924" s="154"/>
      <c r="O924" s="154"/>
      <c r="P924" s="154"/>
      <c r="Q924" s="154"/>
      <c r="R924" s="154"/>
      <c r="S924" s="154"/>
      <c r="T924" s="154"/>
      <c r="U924" s="154"/>
      <c r="V924" s="154"/>
      <c r="W924" s="154"/>
      <c r="X924" s="154"/>
      <c r="Y924" s="154"/>
      <c r="Z924" s="154"/>
    </row>
    <row r="925" spans="1:26" ht="12" customHeight="1">
      <c r="A925" s="220"/>
      <c r="B925" s="154"/>
      <c r="C925" s="154"/>
      <c r="D925" s="154"/>
      <c r="E925" s="154"/>
      <c r="F925" s="154"/>
      <c r="G925" s="154"/>
      <c r="H925" s="154"/>
      <c r="I925" s="154"/>
      <c r="J925" s="217"/>
      <c r="K925" s="218"/>
      <c r="L925" s="154"/>
      <c r="M925" s="154"/>
      <c r="N925" s="154"/>
      <c r="O925" s="154"/>
      <c r="P925" s="154"/>
      <c r="Q925" s="154"/>
      <c r="R925" s="154"/>
      <c r="S925" s="154"/>
      <c r="T925" s="154"/>
      <c r="U925" s="154"/>
      <c r="V925" s="154"/>
      <c r="W925" s="154"/>
      <c r="X925" s="154"/>
      <c r="Y925" s="154"/>
      <c r="Z925" s="154"/>
    </row>
    <row r="926" spans="1:26" ht="12" customHeight="1">
      <c r="A926" s="220"/>
      <c r="B926" s="154"/>
      <c r="C926" s="154"/>
      <c r="D926" s="154"/>
      <c r="E926" s="154"/>
      <c r="F926" s="154"/>
      <c r="G926" s="154"/>
      <c r="H926" s="154"/>
      <c r="I926" s="154"/>
      <c r="J926" s="217"/>
      <c r="K926" s="218"/>
      <c r="L926" s="154"/>
      <c r="M926" s="154"/>
      <c r="N926" s="154"/>
      <c r="O926" s="154"/>
      <c r="P926" s="154"/>
      <c r="Q926" s="154"/>
      <c r="R926" s="154"/>
      <c r="S926" s="154"/>
      <c r="T926" s="154"/>
      <c r="U926" s="154"/>
      <c r="V926" s="154"/>
      <c r="W926" s="154"/>
      <c r="X926" s="154"/>
      <c r="Y926" s="154"/>
      <c r="Z926" s="154"/>
    </row>
    <row r="927" spans="1:26" ht="12" customHeight="1">
      <c r="A927" s="220"/>
      <c r="B927" s="154"/>
      <c r="C927" s="154"/>
      <c r="D927" s="154"/>
      <c r="E927" s="154"/>
      <c r="F927" s="154"/>
      <c r="G927" s="154"/>
      <c r="H927" s="154"/>
      <c r="I927" s="154"/>
      <c r="J927" s="217"/>
      <c r="K927" s="218"/>
      <c r="L927" s="154"/>
      <c r="M927" s="154"/>
      <c r="N927" s="154"/>
      <c r="O927" s="154"/>
      <c r="P927" s="154"/>
      <c r="Q927" s="154"/>
      <c r="R927" s="154"/>
      <c r="S927" s="154"/>
      <c r="T927" s="154"/>
      <c r="U927" s="154"/>
      <c r="V927" s="154"/>
      <c r="W927" s="154"/>
      <c r="X927" s="154"/>
      <c r="Y927" s="154"/>
      <c r="Z927" s="154"/>
    </row>
    <row r="928" spans="1:26" ht="12" customHeight="1">
      <c r="A928" s="220"/>
      <c r="B928" s="154"/>
      <c r="C928" s="154"/>
      <c r="D928" s="154"/>
      <c r="E928" s="154"/>
      <c r="F928" s="154"/>
      <c r="G928" s="154"/>
      <c r="H928" s="154"/>
      <c r="I928" s="154"/>
      <c r="J928" s="217"/>
      <c r="K928" s="218"/>
      <c r="L928" s="154"/>
      <c r="M928" s="154"/>
      <c r="N928" s="154"/>
      <c r="O928" s="154"/>
      <c r="P928" s="154"/>
      <c r="Q928" s="154"/>
      <c r="R928" s="154"/>
      <c r="S928" s="154"/>
      <c r="T928" s="154"/>
      <c r="U928" s="154"/>
      <c r="V928" s="154"/>
      <c r="W928" s="154"/>
      <c r="X928" s="154"/>
      <c r="Y928" s="154"/>
      <c r="Z928" s="154"/>
    </row>
    <row r="929" spans="1:26" ht="12" customHeight="1">
      <c r="A929" s="220"/>
      <c r="B929" s="154"/>
      <c r="C929" s="154"/>
      <c r="D929" s="154"/>
      <c r="E929" s="154"/>
      <c r="F929" s="154"/>
      <c r="G929" s="154"/>
      <c r="H929" s="154"/>
      <c r="I929" s="154"/>
      <c r="J929" s="217"/>
      <c r="K929" s="218"/>
      <c r="L929" s="154"/>
      <c r="M929" s="154"/>
      <c r="N929" s="154"/>
      <c r="O929" s="154"/>
      <c r="P929" s="154"/>
      <c r="Q929" s="154"/>
      <c r="R929" s="154"/>
      <c r="S929" s="154"/>
      <c r="T929" s="154"/>
      <c r="U929" s="154"/>
      <c r="V929" s="154"/>
      <c r="W929" s="154"/>
      <c r="X929" s="154"/>
      <c r="Y929" s="154"/>
      <c r="Z929" s="154"/>
    </row>
    <row r="930" spans="1:26" ht="12" customHeight="1">
      <c r="A930" s="220"/>
      <c r="B930" s="154"/>
      <c r="C930" s="154"/>
      <c r="D930" s="154"/>
      <c r="E930" s="154"/>
      <c r="F930" s="154"/>
      <c r="G930" s="154"/>
      <c r="H930" s="154"/>
      <c r="I930" s="154"/>
      <c r="J930" s="217"/>
      <c r="K930" s="218"/>
      <c r="L930" s="154"/>
      <c r="M930" s="154"/>
      <c r="N930" s="154"/>
      <c r="O930" s="154"/>
      <c r="P930" s="154"/>
      <c r="Q930" s="154"/>
      <c r="R930" s="154"/>
      <c r="S930" s="154"/>
      <c r="T930" s="154"/>
      <c r="U930" s="154"/>
      <c r="V930" s="154"/>
      <c r="W930" s="154"/>
      <c r="X930" s="154"/>
      <c r="Y930" s="154"/>
      <c r="Z930" s="154"/>
    </row>
    <row r="931" spans="1:26" ht="12" customHeight="1">
      <c r="A931" s="220"/>
      <c r="B931" s="154"/>
      <c r="C931" s="154"/>
      <c r="D931" s="154"/>
      <c r="E931" s="154"/>
      <c r="F931" s="154"/>
      <c r="G931" s="154"/>
      <c r="H931" s="154"/>
      <c r="I931" s="154"/>
      <c r="J931" s="217"/>
      <c r="K931" s="218"/>
      <c r="L931" s="154"/>
      <c r="M931" s="154"/>
      <c r="N931" s="154"/>
      <c r="O931" s="154"/>
      <c r="P931" s="154"/>
      <c r="Q931" s="154"/>
      <c r="R931" s="154"/>
      <c r="S931" s="154"/>
      <c r="T931" s="154"/>
      <c r="U931" s="154"/>
      <c r="V931" s="154"/>
      <c r="W931" s="154"/>
      <c r="X931" s="154"/>
      <c r="Y931" s="154"/>
      <c r="Z931" s="154"/>
    </row>
    <row r="932" spans="1:26" ht="12" customHeight="1">
      <c r="A932" s="220"/>
      <c r="B932" s="154"/>
      <c r="C932" s="154"/>
      <c r="D932" s="154"/>
      <c r="E932" s="154"/>
      <c r="F932" s="154"/>
      <c r="G932" s="154"/>
      <c r="H932" s="154"/>
      <c r="I932" s="154"/>
      <c r="J932" s="217"/>
      <c r="K932" s="218"/>
      <c r="L932" s="154"/>
      <c r="M932" s="154"/>
      <c r="N932" s="154"/>
      <c r="O932" s="154"/>
      <c r="P932" s="154"/>
      <c r="Q932" s="154"/>
      <c r="R932" s="154"/>
      <c r="S932" s="154"/>
      <c r="T932" s="154"/>
      <c r="U932" s="154"/>
      <c r="V932" s="154"/>
      <c r="W932" s="154"/>
      <c r="X932" s="154"/>
      <c r="Y932" s="154"/>
      <c r="Z932" s="154"/>
    </row>
    <row r="933" spans="1:26" ht="12" customHeight="1">
      <c r="A933" s="220"/>
      <c r="B933" s="154"/>
      <c r="C933" s="154"/>
      <c r="D933" s="154"/>
      <c r="E933" s="154"/>
      <c r="F933" s="154"/>
      <c r="G933" s="154"/>
      <c r="H933" s="154"/>
      <c r="I933" s="154"/>
      <c r="J933" s="217"/>
      <c r="K933" s="218"/>
      <c r="L933" s="154"/>
      <c r="M933" s="154"/>
      <c r="N933" s="154"/>
      <c r="O933" s="154"/>
      <c r="P933" s="154"/>
      <c r="Q933" s="154"/>
      <c r="R933" s="154"/>
      <c r="S933" s="154"/>
      <c r="T933" s="154"/>
      <c r="U933" s="154"/>
      <c r="V933" s="154"/>
      <c r="W933" s="154"/>
      <c r="X933" s="154"/>
      <c r="Y933" s="154"/>
      <c r="Z933" s="154"/>
    </row>
    <row r="934" spans="1:26" ht="12" customHeight="1">
      <c r="A934" s="220"/>
      <c r="B934" s="154"/>
      <c r="C934" s="154"/>
      <c r="D934" s="154"/>
      <c r="E934" s="154"/>
      <c r="F934" s="154"/>
      <c r="G934" s="154"/>
      <c r="H934" s="154"/>
      <c r="I934" s="154"/>
      <c r="J934" s="217"/>
      <c r="K934" s="218"/>
      <c r="L934" s="154"/>
      <c r="M934" s="154"/>
      <c r="N934" s="154"/>
      <c r="O934" s="154"/>
      <c r="P934" s="154"/>
      <c r="Q934" s="154"/>
      <c r="R934" s="154"/>
      <c r="S934" s="154"/>
      <c r="T934" s="154"/>
      <c r="U934" s="154"/>
      <c r="V934" s="154"/>
      <c r="W934" s="154"/>
      <c r="X934" s="154"/>
      <c r="Y934" s="154"/>
      <c r="Z934" s="154"/>
    </row>
    <row r="935" spans="1:26" ht="12" customHeight="1">
      <c r="A935" s="220"/>
      <c r="B935" s="154"/>
      <c r="C935" s="154"/>
      <c r="D935" s="154"/>
      <c r="E935" s="154"/>
      <c r="F935" s="154"/>
      <c r="G935" s="154"/>
      <c r="H935" s="154"/>
      <c r="I935" s="154"/>
      <c r="J935" s="217"/>
      <c r="K935" s="218"/>
      <c r="L935" s="154"/>
      <c r="M935" s="154"/>
      <c r="N935" s="154"/>
      <c r="O935" s="154"/>
      <c r="P935" s="154"/>
      <c r="Q935" s="154"/>
      <c r="R935" s="154"/>
      <c r="S935" s="154"/>
      <c r="T935" s="154"/>
      <c r="U935" s="154"/>
      <c r="V935" s="154"/>
      <c r="W935" s="154"/>
      <c r="X935" s="154"/>
      <c r="Y935" s="154"/>
      <c r="Z935" s="154"/>
    </row>
    <row r="936" spans="1:26" ht="12" customHeight="1">
      <c r="A936" s="220"/>
      <c r="B936" s="154"/>
      <c r="C936" s="154"/>
      <c r="D936" s="154"/>
      <c r="E936" s="154"/>
      <c r="F936" s="154"/>
      <c r="G936" s="154"/>
      <c r="H936" s="154"/>
      <c r="I936" s="154"/>
      <c r="J936" s="217"/>
      <c r="K936" s="218"/>
      <c r="L936" s="154"/>
      <c r="M936" s="154"/>
      <c r="N936" s="154"/>
      <c r="O936" s="154"/>
      <c r="P936" s="154"/>
      <c r="Q936" s="154"/>
      <c r="R936" s="154"/>
      <c r="S936" s="154"/>
      <c r="T936" s="154"/>
      <c r="U936" s="154"/>
      <c r="V936" s="154"/>
      <c r="W936" s="154"/>
      <c r="X936" s="154"/>
      <c r="Y936" s="154"/>
      <c r="Z936" s="154"/>
    </row>
    <row r="937" spans="1:26" ht="12" customHeight="1">
      <c r="A937" s="220"/>
      <c r="B937" s="154"/>
      <c r="C937" s="154"/>
      <c r="D937" s="154"/>
      <c r="E937" s="154"/>
      <c r="F937" s="154"/>
      <c r="G937" s="154"/>
      <c r="H937" s="154"/>
      <c r="I937" s="154"/>
      <c r="J937" s="217"/>
      <c r="K937" s="218"/>
      <c r="L937" s="154"/>
      <c r="M937" s="154"/>
      <c r="N937" s="154"/>
      <c r="O937" s="154"/>
      <c r="P937" s="154"/>
      <c r="Q937" s="154"/>
      <c r="R937" s="154"/>
      <c r="S937" s="154"/>
      <c r="T937" s="154"/>
      <c r="U937" s="154"/>
      <c r="V937" s="154"/>
      <c r="W937" s="154"/>
      <c r="X937" s="154"/>
      <c r="Y937" s="154"/>
      <c r="Z937" s="154"/>
    </row>
    <row r="938" spans="1:26" ht="12" customHeight="1">
      <c r="A938" s="220"/>
      <c r="B938" s="154"/>
      <c r="C938" s="154"/>
      <c r="D938" s="154"/>
      <c r="E938" s="154"/>
      <c r="F938" s="154"/>
      <c r="G938" s="154"/>
      <c r="H938" s="154"/>
      <c r="I938" s="154"/>
      <c r="J938" s="217"/>
      <c r="K938" s="218"/>
      <c r="L938" s="154"/>
      <c r="M938" s="154"/>
      <c r="N938" s="154"/>
      <c r="O938" s="154"/>
      <c r="P938" s="154"/>
      <c r="Q938" s="154"/>
      <c r="R938" s="154"/>
      <c r="S938" s="154"/>
      <c r="T938" s="154"/>
      <c r="U938" s="154"/>
      <c r="V938" s="154"/>
      <c r="W938" s="154"/>
      <c r="X938" s="154"/>
      <c r="Y938" s="154"/>
      <c r="Z938" s="154"/>
    </row>
    <row r="939" spans="1:26" ht="12" customHeight="1">
      <c r="A939" s="220"/>
      <c r="B939" s="154"/>
      <c r="C939" s="154"/>
      <c r="D939" s="154"/>
      <c r="E939" s="154"/>
      <c r="F939" s="154"/>
      <c r="G939" s="154"/>
      <c r="H939" s="154"/>
      <c r="I939" s="154"/>
      <c r="J939" s="217"/>
      <c r="K939" s="218"/>
      <c r="L939" s="154"/>
      <c r="M939" s="154"/>
      <c r="N939" s="154"/>
      <c r="O939" s="154"/>
      <c r="P939" s="154"/>
      <c r="Q939" s="154"/>
      <c r="R939" s="154"/>
      <c r="S939" s="154"/>
      <c r="T939" s="154"/>
      <c r="U939" s="154"/>
      <c r="V939" s="154"/>
      <c r="W939" s="154"/>
      <c r="X939" s="154"/>
      <c r="Y939" s="154"/>
      <c r="Z939" s="154"/>
    </row>
    <row r="940" spans="1:26" ht="12" customHeight="1">
      <c r="A940" s="220"/>
      <c r="B940" s="154"/>
      <c r="C940" s="154"/>
      <c r="D940" s="154"/>
      <c r="E940" s="154"/>
      <c r="F940" s="154"/>
      <c r="G940" s="154"/>
      <c r="H940" s="154"/>
      <c r="I940" s="154"/>
      <c r="J940" s="217"/>
      <c r="K940" s="218"/>
      <c r="L940" s="154"/>
      <c r="M940" s="154"/>
      <c r="N940" s="154"/>
      <c r="O940" s="154"/>
      <c r="P940" s="154"/>
      <c r="Q940" s="154"/>
      <c r="R940" s="154"/>
      <c r="S940" s="154"/>
      <c r="T940" s="154"/>
      <c r="U940" s="154"/>
      <c r="V940" s="154"/>
      <c r="W940" s="154"/>
      <c r="X940" s="154"/>
      <c r="Y940" s="154"/>
      <c r="Z940" s="154"/>
    </row>
    <row r="941" spans="1:26" ht="12" customHeight="1">
      <c r="A941" s="220"/>
      <c r="B941" s="154"/>
      <c r="C941" s="154"/>
      <c r="D941" s="154"/>
      <c r="E941" s="154"/>
      <c r="F941" s="154"/>
      <c r="G941" s="154"/>
      <c r="H941" s="154"/>
      <c r="I941" s="154"/>
      <c r="J941" s="217"/>
      <c r="K941" s="218"/>
      <c r="L941" s="154"/>
      <c r="M941" s="154"/>
      <c r="N941" s="154"/>
      <c r="O941" s="154"/>
      <c r="P941" s="154"/>
      <c r="Q941" s="154"/>
      <c r="R941" s="154"/>
      <c r="S941" s="154"/>
      <c r="T941" s="154"/>
      <c r="U941" s="154"/>
      <c r="V941" s="154"/>
      <c r="W941" s="154"/>
      <c r="X941" s="154"/>
      <c r="Y941" s="154"/>
      <c r="Z941" s="154"/>
    </row>
    <row r="942" spans="1:26" ht="12" customHeight="1">
      <c r="A942" s="220"/>
      <c r="B942" s="154"/>
      <c r="C942" s="154"/>
      <c r="D942" s="154"/>
      <c r="E942" s="154"/>
      <c r="F942" s="154"/>
      <c r="G942" s="154"/>
      <c r="H942" s="154"/>
      <c r="I942" s="154"/>
      <c r="J942" s="217"/>
      <c r="K942" s="218"/>
      <c r="L942" s="154"/>
      <c r="M942" s="154"/>
      <c r="N942" s="154"/>
      <c r="O942" s="154"/>
      <c r="P942" s="154"/>
      <c r="Q942" s="154"/>
      <c r="R942" s="154"/>
      <c r="S942" s="154"/>
      <c r="T942" s="154"/>
      <c r="U942" s="154"/>
      <c r="V942" s="154"/>
      <c r="W942" s="154"/>
      <c r="X942" s="154"/>
      <c r="Y942" s="154"/>
      <c r="Z942" s="154"/>
    </row>
    <row r="943" spans="1:26" ht="12" customHeight="1">
      <c r="A943" s="220"/>
      <c r="B943" s="154"/>
      <c r="C943" s="154"/>
      <c r="D943" s="154"/>
      <c r="E943" s="154"/>
      <c r="F943" s="154"/>
      <c r="G943" s="154"/>
      <c r="H943" s="154"/>
      <c r="I943" s="154"/>
      <c r="J943" s="217"/>
      <c r="K943" s="218"/>
      <c r="L943" s="154"/>
      <c r="M943" s="154"/>
      <c r="N943" s="154"/>
      <c r="O943" s="154"/>
      <c r="P943" s="154"/>
      <c r="Q943" s="154"/>
      <c r="R943" s="154"/>
      <c r="S943" s="154"/>
      <c r="T943" s="154"/>
      <c r="U943" s="154"/>
      <c r="V943" s="154"/>
      <c r="W943" s="154"/>
      <c r="X943" s="154"/>
      <c r="Y943" s="154"/>
      <c r="Z943" s="154"/>
    </row>
    <row r="944" spans="1:26" ht="12" customHeight="1">
      <c r="A944" s="220"/>
      <c r="B944" s="154"/>
      <c r="C944" s="154"/>
      <c r="D944" s="154"/>
      <c r="E944" s="154"/>
      <c r="F944" s="154"/>
      <c r="G944" s="154"/>
      <c r="H944" s="154"/>
      <c r="I944" s="154"/>
      <c r="J944" s="217"/>
      <c r="K944" s="218"/>
      <c r="L944" s="154"/>
      <c r="M944" s="154"/>
      <c r="N944" s="154"/>
      <c r="O944" s="154"/>
      <c r="P944" s="154"/>
      <c r="Q944" s="154"/>
      <c r="R944" s="154"/>
      <c r="S944" s="154"/>
      <c r="T944" s="154"/>
      <c r="U944" s="154"/>
      <c r="V944" s="154"/>
      <c r="W944" s="154"/>
      <c r="X944" s="154"/>
      <c r="Y944" s="154"/>
      <c r="Z944" s="154"/>
    </row>
    <row r="945" spans="1:26" ht="12" customHeight="1">
      <c r="A945" s="220"/>
      <c r="B945" s="154"/>
      <c r="C945" s="154"/>
      <c r="D945" s="154"/>
      <c r="E945" s="154"/>
      <c r="F945" s="154"/>
      <c r="G945" s="154"/>
      <c r="H945" s="154"/>
      <c r="I945" s="154"/>
      <c r="J945" s="217"/>
      <c r="K945" s="218"/>
      <c r="L945" s="154"/>
      <c r="M945" s="154"/>
      <c r="N945" s="154"/>
      <c r="O945" s="154"/>
      <c r="P945" s="154"/>
      <c r="Q945" s="154"/>
      <c r="R945" s="154"/>
      <c r="S945" s="154"/>
      <c r="T945" s="154"/>
      <c r="U945" s="154"/>
      <c r="V945" s="154"/>
      <c r="W945" s="154"/>
      <c r="X945" s="154"/>
      <c r="Y945" s="154"/>
      <c r="Z945" s="154"/>
    </row>
    <row r="946" spans="1:26" ht="12" customHeight="1">
      <c r="A946" s="220"/>
      <c r="B946" s="154"/>
      <c r="C946" s="154"/>
      <c r="D946" s="154"/>
      <c r="E946" s="154"/>
      <c r="F946" s="154"/>
      <c r="G946" s="154"/>
      <c r="H946" s="154"/>
      <c r="I946" s="154"/>
      <c r="J946" s="217"/>
      <c r="K946" s="218"/>
      <c r="L946" s="154"/>
      <c r="M946" s="154"/>
      <c r="N946" s="154"/>
      <c r="O946" s="154"/>
      <c r="P946" s="154"/>
      <c r="Q946" s="154"/>
      <c r="R946" s="154"/>
      <c r="S946" s="154"/>
      <c r="T946" s="154"/>
      <c r="U946" s="154"/>
      <c r="V946" s="154"/>
      <c r="W946" s="154"/>
      <c r="X946" s="154"/>
      <c r="Y946" s="154"/>
      <c r="Z946" s="154"/>
    </row>
    <row r="947" spans="1:26" ht="12" customHeight="1">
      <c r="A947" s="220"/>
      <c r="B947" s="154"/>
      <c r="C947" s="154"/>
      <c r="D947" s="154"/>
      <c r="E947" s="154"/>
      <c r="F947" s="154"/>
      <c r="G947" s="154"/>
      <c r="H947" s="154"/>
      <c r="I947" s="154"/>
      <c r="J947" s="217"/>
      <c r="K947" s="218"/>
      <c r="L947" s="154"/>
      <c r="M947" s="154"/>
      <c r="N947" s="154"/>
      <c r="O947" s="154"/>
      <c r="P947" s="154"/>
      <c r="Q947" s="154"/>
      <c r="R947" s="154"/>
      <c r="S947" s="154"/>
      <c r="T947" s="154"/>
      <c r="U947" s="154"/>
      <c r="V947" s="154"/>
      <c r="W947" s="154"/>
      <c r="X947" s="154"/>
      <c r="Y947" s="154"/>
      <c r="Z947" s="154"/>
    </row>
    <row r="948" spans="1:26" ht="12" customHeight="1">
      <c r="A948" s="220"/>
      <c r="B948" s="154"/>
      <c r="C948" s="154"/>
      <c r="D948" s="154"/>
      <c r="E948" s="154"/>
      <c r="F948" s="154"/>
      <c r="G948" s="154"/>
      <c r="H948" s="154"/>
      <c r="I948" s="154"/>
      <c r="J948" s="217"/>
      <c r="K948" s="218"/>
      <c r="L948" s="154"/>
      <c r="M948" s="154"/>
      <c r="N948" s="154"/>
      <c r="O948" s="154"/>
      <c r="P948" s="154"/>
      <c r="Q948" s="154"/>
      <c r="R948" s="154"/>
      <c r="S948" s="154"/>
      <c r="T948" s="154"/>
      <c r="U948" s="154"/>
      <c r="V948" s="154"/>
      <c r="W948" s="154"/>
      <c r="X948" s="154"/>
      <c r="Y948" s="154"/>
      <c r="Z948" s="154"/>
    </row>
    <row r="949" spans="1:26" ht="12" customHeight="1">
      <c r="A949" s="220"/>
      <c r="B949" s="154"/>
      <c r="C949" s="154"/>
      <c r="D949" s="154"/>
      <c r="E949" s="154"/>
      <c r="F949" s="154"/>
      <c r="G949" s="154"/>
      <c r="H949" s="154"/>
      <c r="I949" s="154"/>
      <c r="J949" s="217"/>
      <c r="K949" s="218"/>
      <c r="L949" s="154"/>
      <c r="M949" s="154"/>
      <c r="N949" s="154"/>
      <c r="O949" s="154"/>
      <c r="P949" s="154"/>
      <c r="Q949" s="154"/>
      <c r="R949" s="154"/>
      <c r="S949" s="154"/>
      <c r="T949" s="154"/>
      <c r="U949" s="154"/>
      <c r="V949" s="154"/>
      <c r="W949" s="154"/>
      <c r="X949" s="154"/>
      <c r="Y949" s="154"/>
      <c r="Z949" s="154"/>
    </row>
    <row r="950" spans="1:26" ht="12" customHeight="1">
      <c r="A950" s="220"/>
      <c r="B950" s="154"/>
      <c r="C950" s="154"/>
      <c r="D950" s="154"/>
      <c r="E950" s="154"/>
      <c r="F950" s="154"/>
      <c r="G950" s="154"/>
      <c r="H950" s="154"/>
      <c r="I950" s="154"/>
      <c r="J950" s="217"/>
      <c r="K950" s="218"/>
      <c r="L950" s="154"/>
      <c r="M950" s="154"/>
      <c r="N950" s="154"/>
      <c r="O950" s="154"/>
      <c r="P950" s="154"/>
      <c r="Q950" s="154"/>
      <c r="R950" s="154"/>
      <c r="S950" s="154"/>
      <c r="T950" s="154"/>
      <c r="U950" s="154"/>
      <c r="V950" s="154"/>
      <c r="W950" s="154"/>
      <c r="X950" s="154"/>
      <c r="Y950" s="154"/>
      <c r="Z950" s="154"/>
    </row>
    <row r="951" spans="1:26" ht="12" customHeight="1">
      <c r="A951" s="220"/>
      <c r="B951" s="154"/>
      <c r="C951" s="154"/>
      <c r="D951" s="154"/>
      <c r="E951" s="154"/>
      <c r="F951" s="154"/>
      <c r="G951" s="154"/>
      <c r="H951" s="154"/>
      <c r="I951" s="154"/>
      <c r="J951" s="217"/>
      <c r="K951" s="218"/>
      <c r="L951" s="154"/>
      <c r="M951" s="154"/>
      <c r="N951" s="154"/>
      <c r="O951" s="154"/>
      <c r="P951" s="154"/>
      <c r="Q951" s="154"/>
      <c r="R951" s="154"/>
      <c r="S951" s="154"/>
      <c r="T951" s="154"/>
      <c r="U951" s="154"/>
      <c r="V951" s="154"/>
      <c r="W951" s="154"/>
      <c r="X951" s="154"/>
      <c r="Y951" s="154"/>
      <c r="Z951" s="154"/>
    </row>
    <row r="952" spans="1:26" ht="12" customHeight="1">
      <c r="A952" s="220"/>
      <c r="B952" s="154"/>
      <c r="C952" s="154"/>
      <c r="D952" s="154"/>
      <c r="E952" s="154"/>
      <c r="F952" s="154"/>
      <c r="G952" s="154"/>
      <c r="H952" s="154"/>
      <c r="I952" s="154"/>
      <c r="J952" s="217"/>
      <c r="K952" s="218"/>
      <c r="L952" s="154"/>
      <c r="M952" s="154"/>
      <c r="N952" s="154"/>
      <c r="O952" s="154"/>
      <c r="P952" s="154"/>
      <c r="Q952" s="154"/>
      <c r="R952" s="154"/>
      <c r="S952" s="154"/>
      <c r="T952" s="154"/>
      <c r="U952" s="154"/>
      <c r="V952" s="154"/>
      <c r="W952" s="154"/>
      <c r="X952" s="154"/>
      <c r="Y952" s="154"/>
      <c r="Z952" s="154"/>
    </row>
    <row r="953" spans="1:26" ht="12" customHeight="1">
      <c r="A953" s="220"/>
      <c r="B953" s="154"/>
      <c r="C953" s="154"/>
      <c r="D953" s="154"/>
      <c r="E953" s="154"/>
      <c r="F953" s="154"/>
      <c r="G953" s="154"/>
      <c r="H953" s="154"/>
      <c r="I953" s="154"/>
      <c r="J953" s="217"/>
      <c r="K953" s="218"/>
      <c r="L953" s="154"/>
      <c r="M953" s="154"/>
      <c r="N953" s="154"/>
      <c r="O953" s="154"/>
      <c r="P953" s="154"/>
      <c r="Q953" s="154"/>
      <c r="R953" s="154"/>
      <c r="S953" s="154"/>
      <c r="T953" s="154"/>
      <c r="U953" s="154"/>
      <c r="V953" s="154"/>
      <c r="W953" s="154"/>
      <c r="X953" s="154"/>
      <c r="Y953" s="154"/>
      <c r="Z953" s="154"/>
    </row>
    <row r="954" spans="1:26" ht="12" customHeight="1">
      <c r="A954" s="220"/>
      <c r="B954" s="154"/>
      <c r="C954" s="154"/>
      <c r="D954" s="154"/>
      <c r="E954" s="154"/>
      <c r="F954" s="154"/>
      <c r="G954" s="154"/>
      <c r="H954" s="154"/>
      <c r="I954" s="154"/>
      <c r="J954" s="217"/>
      <c r="K954" s="218"/>
      <c r="L954" s="154"/>
      <c r="M954" s="154"/>
      <c r="N954" s="154"/>
      <c r="O954" s="154"/>
      <c r="P954" s="154"/>
      <c r="Q954" s="154"/>
      <c r="R954" s="154"/>
      <c r="S954" s="154"/>
      <c r="T954" s="154"/>
      <c r="U954" s="154"/>
      <c r="V954" s="154"/>
      <c r="W954" s="154"/>
      <c r="X954" s="154"/>
      <c r="Y954" s="154"/>
      <c r="Z954" s="154"/>
    </row>
    <row r="955" spans="1:26" ht="12" customHeight="1">
      <c r="A955" s="220"/>
      <c r="B955" s="154"/>
      <c r="C955" s="154"/>
      <c r="D955" s="154"/>
      <c r="E955" s="154"/>
      <c r="F955" s="154"/>
      <c r="G955" s="154"/>
      <c r="H955" s="154"/>
      <c r="I955" s="154"/>
      <c r="J955" s="217"/>
      <c r="K955" s="218"/>
      <c r="L955" s="154"/>
      <c r="M955" s="154"/>
      <c r="N955" s="154"/>
      <c r="O955" s="154"/>
      <c r="P955" s="154"/>
      <c r="Q955" s="154"/>
      <c r="R955" s="154"/>
      <c r="S955" s="154"/>
      <c r="T955" s="154"/>
      <c r="U955" s="154"/>
      <c r="V955" s="154"/>
      <c r="W955" s="154"/>
      <c r="X955" s="154"/>
      <c r="Y955" s="154"/>
      <c r="Z955" s="154"/>
    </row>
    <row r="956" spans="1:26" ht="12" customHeight="1">
      <c r="A956" s="220"/>
      <c r="B956" s="154"/>
      <c r="C956" s="154"/>
      <c r="D956" s="154"/>
      <c r="E956" s="154"/>
      <c r="F956" s="154"/>
      <c r="G956" s="154"/>
      <c r="H956" s="154"/>
      <c r="I956" s="154"/>
      <c r="J956" s="217"/>
      <c r="K956" s="218"/>
      <c r="L956" s="154"/>
      <c r="M956" s="154"/>
      <c r="N956" s="154"/>
      <c r="O956" s="154"/>
      <c r="P956" s="154"/>
      <c r="Q956" s="154"/>
      <c r="R956" s="154"/>
      <c r="S956" s="154"/>
      <c r="T956" s="154"/>
      <c r="U956" s="154"/>
      <c r="V956" s="154"/>
      <c r="W956" s="154"/>
      <c r="X956" s="154"/>
      <c r="Y956" s="154"/>
      <c r="Z956" s="154"/>
    </row>
    <row r="957" spans="1:26" ht="12" customHeight="1">
      <c r="A957" s="220"/>
      <c r="B957" s="154"/>
      <c r="C957" s="154"/>
      <c r="D957" s="154"/>
      <c r="E957" s="154"/>
      <c r="F957" s="154"/>
      <c r="G957" s="154"/>
      <c r="H957" s="154"/>
      <c r="I957" s="154"/>
      <c r="J957" s="217"/>
      <c r="K957" s="218"/>
      <c r="L957" s="154"/>
      <c r="M957" s="154"/>
      <c r="N957" s="154"/>
      <c r="O957" s="154"/>
      <c r="P957" s="154"/>
      <c r="Q957" s="154"/>
      <c r="R957" s="154"/>
      <c r="S957" s="154"/>
      <c r="T957" s="154"/>
      <c r="U957" s="154"/>
      <c r="V957" s="154"/>
      <c r="W957" s="154"/>
      <c r="X957" s="154"/>
      <c r="Y957" s="154"/>
      <c r="Z957" s="154"/>
    </row>
    <row r="958" spans="1:26" ht="12" customHeight="1">
      <c r="A958" s="220"/>
      <c r="B958" s="154"/>
      <c r="C958" s="154"/>
      <c r="D958" s="154"/>
      <c r="E958" s="154"/>
      <c r="F958" s="154"/>
      <c r="G958" s="154"/>
      <c r="H958" s="154"/>
      <c r="I958" s="154"/>
      <c r="J958" s="217"/>
      <c r="K958" s="218"/>
      <c r="L958" s="154"/>
      <c r="M958" s="154"/>
      <c r="N958" s="154"/>
      <c r="O958" s="154"/>
      <c r="P958" s="154"/>
      <c r="Q958" s="154"/>
      <c r="R958" s="154"/>
      <c r="S958" s="154"/>
      <c r="T958" s="154"/>
      <c r="U958" s="154"/>
      <c r="V958" s="154"/>
      <c r="W958" s="154"/>
      <c r="X958" s="154"/>
      <c r="Y958" s="154"/>
      <c r="Z958" s="154"/>
    </row>
    <row r="959" spans="1:26" ht="12" customHeight="1">
      <c r="A959" s="220"/>
      <c r="B959" s="154"/>
      <c r="C959" s="154"/>
      <c r="D959" s="154"/>
      <c r="E959" s="154"/>
      <c r="F959" s="154"/>
      <c r="G959" s="154"/>
      <c r="H959" s="154"/>
      <c r="I959" s="154"/>
      <c r="J959" s="217"/>
      <c r="K959" s="218"/>
      <c r="L959" s="154"/>
      <c r="M959" s="154"/>
      <c r="N959" s="154"/>
      <c r="O959" s="154"/>
      <c r="P959" s="154"/>
      <c r="Q959" s="154"/>
      <c r="R959" s="154"/>
      <c r="S959" s="154"/>
      <c r="T959" s="154"/>
      <c r="U959" s="154"/>
      <c r="V959" s="154"/>
      <c r="W959" s="154"/>
      <c r="X959" s="154"/>
      <c r="Y959" s="154"/>
      <c r="Z959" s="154"/>
    </row>
    <row r="960" spans="1:26" ht="12" customHeight="1">
      <c r="A960" s="220"/>
      <c r="B960" s="154"/>
      <c r="C960" s="154"/>
      <c r="D960" s="154"/>
      <c r="E960" s="154"/>
      <c r="F960" s="154"/>
      <c r="G960" s="154"/>
      <c r="H960" s="154"/>
      <c r="I960" s="154"/>
      <c r="J960" s="217"/>
      <c r="K960" s="218"/>
      <c r="L960" s="154"/>
      <c r="M960" s="154"/>
      <c r="N960" s="154"/>
      <c r="O960" s="154"/>
      <c r="P960" s="154"/>
      <c r="Q960" s="154"/>
      <c r="R960" s="154"/>
      <c r="S960" s="154"/>
      <c r="T960" s="154"/>
      <c r="U960" s="154"/>
      <c r="V960" s="154"/>
      <c r="W960" s="154"/>
      <c r="X960" s="154"/>
      <c r="Y960" s="154"/>
      <c r="Z960" s="154"/>
    </row>
    <row r="961" spans="1:26" ht="12" customHeight="1">
      <c r="A961" s="220"/>
      <c r="B961" s="154"/>
      <c r="C961" s="154"/>
      <c r="D961" s="154"/>
      <c r="E961" s="154"/>
      <c r="F961" s="154"/>
      <c r="G961" s="154"/>
      <c r="H961" s="154"/>
      <c r="I961" s="154"/>
      <c r="J961" s="217"/>
      <c r="K961" s="218"/>
      <c r="L961" s="154"/>
      <c r="M961" s="154"/>
      <c r="N961" s="154"/>
      <c r="O961" s="154"/>
      <c r="P961" s="154"/>
      <c r="Q961" s="154"/>
      <c r="R961" s="154"/>
      <c r="S961" s="154"/>
      <c r="T961" s="154"/>
      <c r="U961" s="154"/>
      <c r="V961" s="154"/>
      <c r="W961" s="154"/>
      <c r="X961" s="154"/>
      <c r="Y961" s="154"/>
      <c r="Z961" s="154"/>
    </row>
    <row r="962" spans="1:26" ht="12" customHeight="1">
      <c r="A962" s="220"/>
      <c r="B962" s="154"/>
      <c r="C962" s="154"/>
      <c r="D962" s="154"/>
      <c r="E962" s="154"/>
      <c r="F962" s="154"/>
      <c r="G962" s="154"/>
      <c r="H962" s="154"/>
      <c r="I962" s="154"/>
      <c r="J962" s="217"/>
      <c r="K962" s="218"/>
      <c r="L962" s="154"/>
      <c r="M962" s="154"/>
      <c r="N962" s="154"/>
      <c r="O962" s="154"/>
      <c r="P962" s="154"/>
      <c r="Q962" s="154"/>
      <c r="R962" s="154"/>
      <c r="S962" s="154"/>
      <c r="T962" s="154"/>
      <c r="U962" s="154"/>
      <c r="V962" s="154"/>
      <c r="W962" s="154"/>
      <c r="X962" s="154"/>
      <c r="Y962" s="154"/>
      <c r="Z962" s="154"/>
    </row>
    <row r="963" spans="1:26" ht="12" customHeight="1">
      <c r="A963" s="220"/>
      <c r="B963" s="154"/>
      <c r="C963" s="154"/>
      <c r="D963" s="154"/>
      <c r="E963" s="154"/>
      <c r="F963" s="154"/>
      <c r="G963" s="154"/>
      <c r="H963" s="154"/>
      <c r="I963" s="154"/>
      <c r="J963" s="217"/>
      <c r="K963" s="218"/>
      <c r="L963" s="154"/>
      <c r="M963" s="154"/>
      <c r="N963" s="154"/>
      <c r="O963" s="154"/>
      <c r="P963" s="154"/>
      <c r="Q963" s="154"/>
      <c r="R963" s="154"/>
      <c r="S963" s="154"/>
      <c r="T963" s="154"/>
      <c r="U963" s="154"/>
      <c r="V963" s="154"/>
      <c r="W963" s="154"/>
      <c r="X963" s="154"/>
      <c r="Y963" s="154"/>
      <c r="Z963" s="154"/>
    </row>
    <row r="964" spans="1:26" ht="12" customHeight="1">
      <c r="A964" s="220"/>
      <c r="B964" s="154"/>
      <c r="C964" s="154"/>
      <c r="D964" s="154"/>
      <c r="E964" s="154"/>
      <c r="F964" s="154"/>
      <c r="G964" s="154"/>
      <c r="H964" s="154"/>
      <c r="I964" s="154"/>
      <c r="J964" s="217"/>
      <c r="K964" s="218"/>
      <c r="L964" s="154"/>
      <c r="M964" s="154"/>
      <c r="N964" s="154"/>
      <c r="O964" s="154"/>
      <c r="P964" s="154"/>
      <c r="Q964" s="154"/>
      <c r="R964" s="154"/>
      <c r="S964" s="154"/>
      <c r="T964" s="154"/>
      <c r="U964" s="154"/>
      <c r="V964" s="154"/>
      <c r="W964" s="154"/>
      <c r="X964" s="154"/>
      <c r="Y964" s="154"/>
      <c r="Z964" s="154"/>
    </row>
    <row r="965" spans="1:26" ht="12" customHeight="1">
      <c r="A965" s="220"/>
      <c r="B965" s="154"/>
      <c r="C965" s="154"/>
      <c r="D965" s="154"/>
      <c r="E965" s="154"/>
      <c r="F965" s="154"/>
      <c r="G965" s="154"/>
      <c r="H965" s="154"/>
      <c r="I965" s="154"/>
      <c r="J965" s="217"/>
      <c r="K965" s="218"/>
      <c r="L965" s="154"/>
      <c r="M965" s="154"/>
      <c r="N965" s="154"/>
      <c r="O965" s="154"/>
      <c r="P965" s="154"/>
      <c r="Q965" s="154"/>
      <c r="R965" s="154"/>
      <c r="S965" s="154"/>
      <c r="T965" s="154"/>
      <c r="U965" s="154"/>
      <c r="V965" s="154"/>
      <c r="W965" s="154"/>
      <c r="X965" s="154"/>
      <c r="Y965" s="154"/>
      <c r="Z965" s="154"/>
    </row>
    <row r="966" spans="1:26" ht="12" customHeight="1">
      <c r="A966" s="220"/>
      <c r="B966" s="154"/>
      <c r="C966" s="154"/>
      <c r="D966" s="154"/>
      <c r="E966" s="154"/>
      <c r="F966" s="154"/>
      <c r="G966" s="154"/>
      <c r="H966" s="154"/>
      <c r="I966" s="154"/>
      <c r="J966" s="217"/>
      <c r="K966" s="218"/>
      <c r="L966" s="154"/>
      <c r="M966" s="154"/>
      <c r="N966" s="154"/>
      <c r="O966" s="154"/>
      <c r="P966" s="154"/>
      <c r="Q966" s="154"/>
      <c r="R966" s="154"/>
      <c r="S966" s="154"/>
      <c r="T966" s="154"/>
      <c r="U966" s="154"/>
      <c r="V966" s="154"/>
      <c r="W966" s="154"/>
      <c r="X966" s="154"/>
      <c r="Y966" s="154"/>
      <c r="Z966" s="154"/>
    </row>
    <row r="967" spans="1:26" ht="12" customHeight="1">
      <c r="A967" s="220"/>
      <c r="B967" s="154"/>
      <c r="C967" s="154"/>
      <c r="D967" s="154"/>
      <c r="E967" s="154"/>
      <c r="F967" s="154"/>
      <c r="G967" s="154"/>
      <c r="H967" s="154"/>
      <c r="I967" s="154"/>
      <c r="J967" s="217"/>
      <c r="K967" s="218"/>
      <c r="L967" s="154"/>
      <c r="M967" s="154"/>
      <c r="N967" s="154"/>
      <c r="O967" s="154"/>
      <c r="P967" s="154"/>
      <c r="Q967" s="154"/>
      <c r="R967" s="154"/>
      <c r="S967" s="154"/>
      <c r="T967" s="154"/>
      <c r="U967" s="154"/>
      <c r="V967" s="154"/>
      <c r="W967" s="154"/>
      <c r="X967" s="154"/>
      <c r="Y967" s="154"/>
      <c r="Z967" s="154"/>
    </row>
    <row r="968" spans="1:26" ht="12" customHeight="1">
      <c r="A968" s="220"/>
      <c r="B968" s="154"/>
      <c r="C968" s="154"/>
      <c r="D968" s="154"/>
      <c r="E968" s="154"/>
      <c r="F968" s="154"/>
      <c r="G968" s="154"/>
      <c r="H968" s="154"/>
      <c r="I968" s="154"/>
      <c r="J968" s="217"/>
      <c r="K968" s="218"/>
      <c r="L968" s="154"/>
      <c r="M968" s="154"/>
      <c r="N968" s="154"/>
      <c r="O968" s="154"/>
      <c r="P968" s="154"/>
      <c r="Q968" s="154"/>
      <c r="R968" s="154"/>
      <c r="S968" s="154"/>
      <c r="T968" s="154"/>
      <c r="U968" s="154"/>
      <c r="V968" s="154"/>
      <c r="W968" s="154"/>
      <c r="X968" s="154"/>
      <c r="Y968" s="154"/>
      <c r="Z968" s="154"/>
    </row>
    <row r="969" spans="1:26" ht="12" customHeight="1">
      <c r="A969" s="220"/>
      <c r="B969" s="154"/>
      <c r="C969" s="154"/>
      <c r="D969" s="154"/>
      <c r="E969" s="154"/>
      <c r="F969" s="154"/>
      <c r="G969" s="154"/>
      <c r="H969" s="154"/>
      <c r="I969" s="154"/>
      <c r="J969" s="217"/>
      <c r="K969" s="218"/>
      <c r="L969" s="154"/>
      <c r="M969" s="154"/>
      <c r="N969" s="154"/>
      <c r="O969" s="154"/>
      <c r="P969" s="154"/>
      <c r="Q969" s="154"/>
      <c r="R969" s="154"/>
      <c r="S969" s="154"/>
      <c r="T969" s="154"/>
      <c r="U969" s="154"/>
      <c r="V969" s="154"/>
      <c r="W969" s="154"/>
      <c r="X969" s="154"/>
      <c r="Y969" s="154"/>
      <c r="Z969" s="154"/>
    </row>
    <row r="970" spans="1:26" ht="12" customHeight="1">
      <c r="A970" s="220"/>
      <c r="B970" s="154"/>
      <c r="C970" s="154"/>
      <c r="D970" s="154"/>
      <c r="E970" s="154"/>
      <c r="F970" s="154"/>
      <c r="G970" s="154"/>
      <c r="H970" s="154"/>
      <c r="I970" s="154"/>
      <c r="J970" s="217"/>
      <c r="K970" s="218"/>
      <c r="L970" s="154"/>
      <c r="M970" s="154"/>
      <c r="N970" s="154"/>
      <c r="O970" s="154"/>
      <c r="P970" s="154"/>
      <c r="Q970" s="154"/>
      <c r="R970" s="154"/>
      <c r="S970" s="154"/>
      <c r="T970" s="154"/>
      <c r="U970" s="154"/>
      <c r="V970" s="154"/>
      <c r="W970" s="154"/>
      <c r="X970" s="154"/>
      <c r="Y970" s="154"/>
      <c r="Z970" s="154"/>
    </row>
    <row r="971" spans="1:26" ht="12" customHeight="1">
      <c r="A971" s="220"/>
      <c r="B971" s="154"/>
      <c r="C971" s="154"/>
      <c r="D971" s="154"/>
      <c r="E971" s="154"/>
      <c r="F971" s="154"/>
      <c r="G971" s="154"/>
      <c r="H971" s="154"/>
      <c r="I971" s="154"/>
      <c r="J971" s="217"/>
      <c r="K971" s="218"/>
      <c r="L971" s="154"/>
      <c r="M971" s="154"/>
      <c r="N971" s="154"/>
      <c r="O971" s="154"/>
      <c r="P971" s="154"/>
      <c r="Q971" s="154"/>
      <c r="R971" s="154"/>
      <c r="S971" s="154"/>
      <c r="T971" s="154"/>
      <c r="U971" s="154"/>
      <c r="V971" s="154"/>
      <c r="W971" s="154"/>
      <c r="X971" s="154"/>
      <c r="Y971" s="154"/>
      <c r="Z971" s="154"/>
    </row>
    <row r="972" spans="1:26" ht="12" customHeight="1">
      <c r="A972" s="220"/>
      <c r="B972" s="154"/>
      <c r="C972" s="154"/>
      <c r="D972" s="154"/>
      <c r="E972" s="154"/>
      <c r="F972" s="154"/>
      <c r="G972" s="154"/>
      <c r="H972" s="154"/>
      <c r="I972" s="154"/>
      <c r="J972" s="217"/>
      <c r="K972" s="218"/>
      <c r="L972" s="154"/>
      <c r="M972" s="154"/>
      <c r="N972" s="154"/>
      <c r="O972" s="154"/>
      <c r="P972" s="154"/>
      <c r="Q972" s="154"/>
      <c r="R972" s="154"/>
      <c r="S972" s="154"/>
      <c r="T972" s="154"/>
      <c r="U972" s="154"/>
      <c r="V972" s="154"/>
      <c r="W972" s="154"/>
      <c r="X972" s="154"/>
      <c r="Y972" s="154"/>
      <c r="Z972" s="154"/>
    </row>
    <row r="973" spans="1:26" ht="12" customHeight="1">
      <c r="A973" s="220"/>
      <c r="B973" s="154"/>
      <c r="C973" s="154"/>
      <c r="D973" s="154"/>
      <c r="E973" s="154"/>
      <c r="F973" s="154"/>
      <c r="G973" s="154"/>
      <c r="H973" s="154"/>
      <c r="I973" s="154"/>
      <c r="J973" s="217"/>
      <c r="K973" s="218"/>
      <c r="L973" s="154"/>
      <c r="M973" s="154"/>
      <c r="N973" s="154"/>
      <c r="O973" s="154"/>
      <c r="P973" s="154"/>
      <c r="Q973" s="154"/>
      <c r="R973" s="154"/>
      <c r="S973" s="154"/>
      <c r="T973" s="154"/>
      <c r="U973" s="154"/>
      <c r="V973" s="154"/>
      <c r="W973" s="154"/>
      <c r="X973" s="154"/>
      <c r="Y973" s="154"/>
      <c r="Z973" s="154"/>
    </row>
    <row r="974" spans="1:26" ht="12" customHeight="1">
      <c r="A974" s="220"/>
      <c r="B974" s="154"/>
      <c r="C974" s="154"/>
      <c r="D974" s="154"/>
      <c r="E974" s="154"/>
      <c r="F974" s="154"/>
      <c r="G974" s="154"/>
      <c r="H974" s="154"/>
      <c r="I974" s="154"/>
      <c r="J974" s="217"/>
      <c r="K974" s="218"/>
      <c r="L974" s="154"/>
      <c r="M974" s="154"/>
      <c r="N974" s="154"/>
      <c r="O974" s="154"/>
      <c r="P974" s="154"/>
      <c r="Q974" s="154"/>
      <c r="R974" s="154"/>
      <c r="S974" s="154"/>
      <c r="T974" s="154"/>
      <c r="U974" s="154"/>
      <c r="V974" s="154"/>
      <c r="W974" s="154"/>
      <c r="X974" s="154"/>
      <c r="Y974" s="154"/>
      <c r="Z974" s="154"/>
    </row>
    <row r="975" spans="1:26" ht="12" customHeight="1">
      <c r="A975" s="220"/>
      <c r="B975" s="154"/>
      <c r="C975" s="154"/>
      <c r="D975" s="154"/>
      <c r="E975" s="154"/>
      <c r="F975" s="154"/>
      <c r="G975" s="154"/>
      <c r="H975" s="154"/>
      <c r="I975" s="154"/>
      <c r="J975" s="217"/>
      <c r="K975" s="218"/>
      <c r="L975" s="154"/>
      <c r="M975" s="154"/>
      <c r="N975" s="154"/>
      <c r="O975" s="154"/>
      <c r="P975" s="154"/>
      <c r="Q975" s="154"/>
      <c r="R975" s="154"/>
      <c r="S975" s="154"/>
      <c r="T975" s="154"/>
      <c r="U975" s="154"/>
      <c r="V975" s="154"/>
      <c r="W975" s="154"/>
      <c r="X975" s="154"/>
      <c r="Y975" s="154"/>
      <c r="Z975" s="154"/>
    </row>
    <row r="976" spans="1:26" ht="12" customHeight="1">
      <c r="A976" s="220"/>
      <c r="B976" s="154"/>
      <c r="C976" s="154"/>
      <c r="D976" s="154"/>
      <c r="E976" s="154"/>
      <c r="F976" s="154"/>
      <c r="G976" s="154"/>
      <c r="H976" s="154"/>
      <c r="I976" s="154"/>
      <c r="J976" s="217"/>
      <c r="K976" s="218"/>
      <c r="L976" s="154"/>
      <c r="M976" s="154"/>
      <c r="N976" s="154"/>
      <c r="O976" s="154"/>
      <c r="P976" s="154"/>
      <c r="Q976" s="154"/>
      <c r="R976" s="154"/>
      <c r="S976" s="154"/>
      <c r="T976" s="154"/>
      <c r="U976" s="154"/>
      <c r="V976" s="154"/>
      <c r="W976" s="154"/>
      <c r="X976" s="154"/>
      <c r="Y976" s="154"/>
      <c r="Z976" s="154"/>
    </row>
    <row r="977" spans="1:26" ht="12" customHeight="1">
      <c r="A977" s="220"/>
      <c r="B977" s="154"/>
      <c r="C977" s="154"/>
      <c r="D977" s="154"/>
      <c r="E977" s="154"/>
      <c r="F977" s="154"/>
      <c r="G977" s="154"/>
      <c r="H977" s="154"/>
      <c r="I977" s="154"/>
      <c r="J977" s="217"/>
      <c r="K977" s="218"/>
      <c r="L977" s="154"/>
      <c r="M977" s="154"/>
      <c r="N977" s="154"/>
      <c r="O977" s="154"/>
      <c r="P977" s="154"/>
      <c r="Q977" s="154"/>
      <c r="R977" s="154"/>
      <c r="S977" s="154"/>
      <c r="T977" s="154"/>
      <c r="U977" s="154"/>
      <c r="V977" s="154"/>
      <c r="W977" s="154"/>
      <c r="X977" s="154"/>
      <c r="Y977" s="154"/>
      <c r="Z977" s="154"/>
    </row>
    <row r="978" spans="1:26" ht="12" customHeight="1">
      <c r="A978" s="220"/>
      <c r="B978" s="154"/>
      <c r="C978" s="154"/>
      <c r="D978" s="154"/>
      <c r="E978" s="154"/>
      <c r="F978" s="154"/>
      <c r="G978" s="154"/>
      <c r="H978" s="154"/>
      <c r="I978" s="154"/>
      <c r="J978" s="217"/>
      <c r="K978" s="218"/>
      <c r="L978" s="154"/>
      <c r="M978" s="154"/>
      <c r="N978" s="154"/>
      <c r="O978" s="154"/>
      <c r="P978" s="154"/>
      <c r="Q978" s="154"/>
      <c r="R978" s="154"/>
      <c r="S978" s="154"/>
      <c r="T978" s="154"/>
      <c r="U978" s="154"/>
      <c r="V978" s="154"/>
      <c r="W978" s="154"/>
      <c r="X978" s="154"/>
      <c r="Y978" s="154"/>
      <c r="Z978" s="154"/>
    </row>
    <row r="979" spans="1:26" ht="12" customHeight="1">
      <c r="A979" s="220"/>
      <c r="B979" s="154"/>
      <c r="C979" s="154"/>
      <c r="D979" s="154"/>
      <c r="E979" s="154"/>
      <c r="F979" s="154"/>
      <c r="G979" s="154"/>
      <c r="H979" s="154"/>
      <c r="I979" s="154"/>
      <c r="J979" s="217"/>
      <c r="K979" s="218"/>
      <c r="L979" s="154"/>
      <c r="M979" s="154"/>
      <c r="N979" s="154"/>
      <c r="O979" s="154"/>
      <c r="P979" s="154"/>
      <c r="Q979" s="154"/>
      <c r="R979" s="154"/>
      <c r="S979" s="154"/>
      <c r="T979" s="154"/>
      <c r="U979" s="154"/>
      <c r="V979" s="154"/>
      <c r="W979" s="154"/>
      <c r="X979" s="154"/>
      <c r="Y979" s="154"/>
      <c r="Z979" s="154"/>
    </row>
    <row r="980" spans="1:26" ht="12" customHeight="1">
      <c r="A980" s="220"/>
      <c r="B980" s="154"/>
      <c r="C980" s="154"/>
      <c r="D980" s="154"/>
      <c r="E980" s="154"/>
      <c r="F980" s="154"/>
      <c r="G980" s="154"/>
      <c r="H980" s="154"/>
      <c r="I980" s="154"/>
      <c r="J980" s="217"/>
      <c r="K980" s="218"/>
      <c r="L980" s="154"/>
      <c r="M980" s="154"/>
      <c r="N980" s="154"/>
      <c r="O980" s="154"/>
      <c r="P980" s="154"/>
      <c r="Q980" s="154"/>
      <c r="R980" s="154"/>
      <c r="S980" s="154"/>
      <c r="T980" s="154"/>
      <c r="U980" s="154"/>
      <c r="V980" s="154"/>
      <c r="W980" s="154"/>
      <c r="X980" s="154"/>
      <c r="Y980" s="154"/>
      <c r="Z980" s="154"/>
    </row>
    <row r="981" spans="1:26" ht="12" customHeight="1">
      <c r="A981" s="220"/>
      <c r="B981" s="154"/>
      <c r="C981" s="154"/>
      <c r="D981" s="154"/>
      <c r="E981" s="154"/>
      <c r="F981" s="154"/>
      <c r="G981" s="154"/>
      <c r="H981" s="154"/>
      <c r="I981" s="154"/>
      <c r="J981" s="217"/>
      <c r="K981" s="218"/>
      <c r="L981" s="154"/>
      <c r="M981" s="154"/>
      <c r="N981" s="154"/>
      <c r="O981" s="154"/>
      <c r="P981" s="154"/>
      <c r="Q981" s="154"/>
      <c r="R981" s="154"/>
      <c r="S981" s="154"/>
      <c r="T981" s="154"/>
      <c r="U981" s="154"/>
      <c r="V981" s="154"/>
      <c r="W981" s="154"/>
      <c r="X981" s="154"/>
      <c r="Y981" s="154"/>
      <c r="Z981" s="154"/>
    </row>
    <row r="982" spans="1:26" ht="12" customHeight="1">
      <c r="A982" s="220"/>
      <c r="B982" s="154"/>
      <c r="C982" s="154"/>
      <c r="D982" s="154"/>
      <c r="E982" s="154"/>
      <c r="F982" s="154"/>
      <c r="G982" s="154"/>
      <c r="H982" s="154"/>
      <c r="I982" s="154"/>
      <c r="J982" s="217"/>
      <c r="K982" s="218"/>
      <c r="L982" s="154"/>
      <c r="M982" s="154"/>
      <c r="N982" s="154"/>
      <c r="O982" s="154"/>
      <c r="P982" s="154"/>
      <c r="Q982" s="154"/>
      <c r="R982" s="154"/>
      <c r="S982" s="154"/>
      <c r="T982" s="154"/>
      <c r="U982" s="154"/>
      <c r="V982" s="154"/>
      <c r="W982" s="154"/>
      <c r="X982" s="154"/>
      <c r="Y982" s="154"/>
      <c r="Z982" s="154"/>
    </row>
    <row r="983" spans="1:26" ht="12" customHeight="1">
      <c r="A983" s="220"/>
      <c r="B983" s="154"/>
      <c r="C983" s="154"/>
      <c r="D983" s="154"/>
      <c r="E983" s="154"/>
      <c r="F983" s="154"/>
      <c r="G983" s="154"/>
      <c r="H983" s="154"/>
      <c r="I983" s="154"/>
      <c r="J983" s="217"/>
      <c r="K983" s="218"/>
      <c r="L983" s="154"/>
      <c r="M983" s="154"/>
      <c r="N983" s="154"/>
      <c r="O983" s="154"/>
      <c r="P983" s="154"/>
      <c r="Q983" s="154"/>
      <c r="R983" s="154"/>
      <c r="S983" s="154"/>
      <c r="T983" s="154"/>
      <c r="U983" s="154"/>
      <c r="V983" s="154"/>
      <c r="W983" s="154"/>
      <c r="X983" s="154"/>
      <c r="Y983" s="154"/>
      <c r="Z983" s="154"/>
    </row>
    <row r="984" spans="1:26" ht="12" customHeight="1">
      <c r="A984" s="220"/>
      <c r="B984" s="154"/>
      <c r="C984" s="154"/>
      <c r="D984" s="154"/>
      <c r="E984" s="154"/>
      <c r="F984" s="154"/>
      <c r="G984" s="154"/>
      <c r="H984" s="154"/>
      <c r="I984" s="154"/>
      <c r="J984" s="217"/>
      <c r="K984" s="218"/>
      <c r="L984" s="154"/>
      <c r="M984" s="154"/>
      <c r="N984" s="154"/>
      <c r="O984" s="154"/>
      <c r="P984" s="154"/>
      <c r="Q984" s="154"/>
      <c r="R984" s="154"/>
      <c r="S984" s="154"/>
      <c r="T984" s="154"/>
      <c r="U984" s="154"/>
      <c r="V984" s="154"/>
      <c r="W984" s="154"/>
      <c r="X984" s="154"/>
      <c r="Y984" s="154"/>
      <c r="Z984" s="154"/>
    </row>
    <row r="985" spans="1:26" ht="12" customHeight="1">
      <c r="A985" s="220"/>
      <c r="B985" s="154"/>
      <c r="C985" s="154"/>
      <c r="D985" s="154"/>
      <c r="E985" s="154"/>
      <c r="F985" s="154"/>
      <c r="G985" s="154"/>
      <c r="H985" s="154"/>
      <c r="I985" s="154"/>
      <c r="J985" s="217"/>
      <c r="K985" s="218"/>
      <c r="L985" s="154"/>
      <c r="M985" s="154"/>
      <c r="N985" s="154"/>
      <c r="O985" s="154"/>
      <c r="P985" s="154"/>
      <c r="Q985" s="154"/>
      <c r="R985" s="154"/>
      <c r="S985" s="154"/>
      <c r="T985" s="154"/>
      <c r="U985" s="154"/>
      <c r="V985" s="154"/>
      <c r="W985" s="154"/>
      <c r="X985" s="154"/>
      <c r="Y985" s="154"/>
      <c r="Z985" s="154"/>
    </row>
    <row r="986" spans="1:26" ht="12" customHeight="1">
      <c r="A986" s="220"/>
      <c r="B986" s="154"/>
      <c r="C986" s="154"/>
      <c r="D986" s="154"/>
      <c r="E986" s="154"/>
      <c r="F986" s="154"/>
      <c r="G986" s="154"/>
      <c r="H986" s="154"/>
      <c r="I986" s="154"/>
      <c r="J986" s="217"/>
      <c r="K986" s="218"/>
      <c r="L986" s="154"/>
      <c r="M986" s="154"/>
      <c r="N986" s="154"/>
      <c r="O986" s="154"/>
      <c r="P986" s="154"/>
      <c r="Q986" s="154"/>
      <c r="R986" s="154"/>
      <c r="S986" s="154"/>
      <c r="T986" s="154"/>
      <c r="U986" s="154"/>
      <c r="V986" s="154"/>
      <c r="W986" s="154"/>
      <c r="X986" s="154"/>
      <c r="Y986" s="154"/>
      <c r="Z986" s="154"/>
    </row>
    <row r="987" spans="1:26" ht="12" customHeight="1">
      <c r="A987" s="220"/>
      <c r="B987" s="154"/>
      <c r="C987" s="154"/>
      <c r="D987" s="154"/>
      <c r="E987" s="154"/>
      <c r="F987" s="154"/>
      <c r="G987" s="154"/>
      <c r="H987" s="154"/>
      <c r="I987" s="154"/>
      <c r="J987" s="217"/>
      <c r="K987" s="218"/>
      <c r="L987" s="154"/>
      <c r="M987" s="154"/>
      <c r="N987" s="154"/>
      <c r="O987" s="154"/>
      <c r="P987" s="154"/>
      <c r="Q987" s="154"/>
      <c r="R987" s="154"/>
      <c r="S987" s="154"/>
      <c r="T987" s="154"/>
      <c r="U987" s="154"/>
      <c r="V987" s="154"/>
      <c r="W987" s="154"/>
      <c r="X987" s="154"/>
      <c r="Y987" s="154"/>
      <c r="Z987" s="154"/>
    </row>
    <row r="988" spans="1:26" ht="12" customHeight="1">
      <c r="A988" s="220"/>
      <c r="B988" s="154"/>
      <c r="C988" s="154"/>
      <c r="D988" s="154"/>
      <c r="E988" s="154"/>
      <c r="F988" s="154"/>
      <c r="G988" s="154"/>
      <c r="H988" s="154"/>
      <c r="I988" s="154"/>
      <c r="J988" s="217"/>
      <c r="K988" s="218"/>
      <c r="L988" s="154"/>
      <c r="M988" s="154"/>
      <c r="N988" s="154"/>
      <c r="O988" s="154"/>
      <c r="P988" s="154"/>
      <c r="Q988" s="154"/>
      <c r="R988" s="154"/>
      <c r="S988" s="154"/>
      <c r="T988" s="154"/>
      <c r="U988" s="154"/>
      <c r="V988" s="154"/>
      <c r="W988" s="154"/>
      <c r="X988" s="154"/>
      <c r="Y988" s="154"/>
      <c r="Z988" s="154"/>
    </row>
    <row r="989" spans="1:26" ht="12" customHeight="1">
      <c r="A989" s="220"/>
      <c r="B989" s="154"/>
      <c r="C989" s="154"/>
      <c r="D989" s="154"/>
      <c r="E989" s="154"/>
      <c r="F989" s="154"/>
      <c r="G989" s="154"/>
      <c r="H989" s="154"/>
      <c r="I989" s="154"/>
      <c r="J989" s="217"/>
      <c r="K989" s="218"/>
      <c r="L989" s="154"/>
      <c r="M989" s="154"/>
      <c r="N989" s="154"/>
      <c r="O989" s="154"/>
      <c r="P989" s="154"/>
      <c r="Q989" s="154"/>
      <c r="R989" s="154"/>
      <c r="S989" s="154"/>
      <c r="T989" s="154"/>
      <c r="U989" s="154"/>
      <c r="V989" s="154"/>
      <c r="W989" s="154"/>
      <c r="X989" s="154"/>
      <c r="Y989" s="154"/>
      <c r="Z989" s="154"/>
    </row>
    <row r="990" spans="1:26" ht="12" customHeight="1">
      <c r="A990" s="220"/>
      <c r="B990" s="154"/>
      <c r="C990" s="154"/>
      <c r="D990" s="154"/>
      <c r="E990" s="154"/>
      <c r="F990" s="154"/>
      <c r="G990" s="154"/>
      <c r="H990" s="154"/>
      <c r="I990" s="154"/>
      <c r="J990" s="217"/>
      <c r="K990" s="218"/>
      <c r="L990" s="154"/>
      <c r="M990" s="154"/>
      <c r="N990" s="154"/>
      <c r="O990" s="154"/>
      <c r="P990" s="154"/>
      <c r="Q990" s="154"/>
      <c r="R990" s="154"/>
      <c r="S990" s="154"/>
      <c r="T990" s="154"/>
      <c r="U990" s="154"/>
      <c r="V990" s="154"/>
      <c r="W990" s="154"/>
      <c r="X990" s="154"/>
      <c r="Y990" s="154"/>
      <c r="Z990" s="154"/>
    </row>
    <row r="991" spans="1:26" ht="12" customHeight="1">
      <c r="A991" s="220"/>
      <c r="B991" s="154"/>
      <c r="C991" s="154"/>
      <c r="D991" s="154"/>
      <c r="E991" s="154"/>
      <c r="F991" s="154"/>
      <c r="G991" s="154"/>
      <c r="H991" s="154"/>
      <c r="I991" s="154"/>
      <c r="J991" s="217"/>
      <c r="K991" s="218"/>
      <c r="L991" s="154"/>
      <c r="M991" s="154"/>
      <c r="N991" s="154"/>
      <c r="O991" s="154"/>
      <c r="P991" s="154"/>
      <c r="Q991" s="154"/>
      <c r="R991" s="154"/>
      <c r="S991" s="154"/>
      <c r="T991" s="154"/>
      <c r="U991" s="154"/>
      <c r="V991" s="154"/>
      <c r="W991" s="154"/>
      <c r="X991" s="154"/>
      <c r="Y991" s="154"/>
      <c r="Z991" s="154"/>
    </row>
    <row r="992" spans="1:26" ht="12" customHeight="1">
      <c r="A992" s="220"/>
      <c r="B992" s="154"/>
      <c r="C992" s="154"/>
      <c r="D992" s="154"/>
      <c r="E992" s="154"/>
      <c r="F992" s="154"/>
      <c r="G992" s="154"/>
      <c r="H992" s="154"/>
      <c r="I992" s="154"/>
      <c r="J992" s="217"/>
      <c r="K992" s="218"/>
      <c r="L992" s="154"/>
      <c r="M992" s="154"/>
      <c r="N992" s="154"/>
      <c r="O992" s="154"/>
      <c r="P992" s="154"/>
      <c r="Q992" s="154"/>
      <c r="R992" s="154"/>
      <c r="S992" s="154"/>
      <c r="T992" s="154"/>
      <c r="U992" s="154"/>
      <c r="V992" s="154"/>
      <c r="W992" s="154"/>
      <c r="X992" s="154"/>
      <c r="Y992" s="154"/>
      <c r="Z992" s="154"/>
    </row>
    <row r="993" spans="1:26" ht="12" customHeight="1">
      <c r="A993" s="220"/>
      <c r="B993" s="154"/>
      <c r="C993" s="154"/>
      <c r="D993" s="154"/>
      <c r="E993" s="154"/>
      <c r="F993" s="154"/>
      <c r="G993" s="154"/>
      <c r="H993" s="154"/>
      <c r="I993" s="154"/>
      <c r="J993" s="217"/>
      <c r="K993" s="218"/>
      <c r="L993" s="154"/>
      <c r="M993" s="154"/>
      <c r="N993" s="154"/>
      <c r="O993" s="154"/>
      <c r="P993" s="154"/>
      <c r="Q993" s="154"/>
      <c r="R993" s="154"/>
      <c r="S993" s="154"/>
      <c r="T993" s="154"/>
      <c r="U993" s="154"/>
      <c r="V993" s="154"/>
      <c r="W993" s="154"/>
      <c r="X993" s="154"/>
      <c r="Y993" s="154"/>
      <c r="Z993" s="154"/>
    </row>
    <row r="994" spans="1:26" ht="12" customHeight="1">
      <c r="A994" s="220"/>
      <c r="B994" s="154"/>
      <c r="C994" s="154"/>
      <c r="D994" s="154"/>
      <c r="E994" s="154"/>
      <c r="F994" s="154"/>
      <c r="G994" s="154"/>
      <c r="H994" s="154"/>
      <c r="I994" s="154"/>
      <c r="J994" s="217"/>
      <c r="K994" s="218"/>
      <c r="L994" s="154"/>
      <c r="M994" s="154"/>
      <c r="N994" s="154"/>
      <c r="O994" s="154"/>
      <c r="P994" s="154"/>
      <c r="Q994" s="154"/>
      <c r="R994" s="154"/>
      <c r="S994" s="154"/>
      <c r="T994" s="154"/>
      <c r="U994" s="154"/>
      <c r="V994" s="154"/>
      <c r="W994" s="154"/>
      <c r="X994" s="154"/>
      <c r="Y994" s="154"/>
      <c r="Z994" s="154"/>
    </row>
    <row r="995" spans="1:26" ht="12" customHeight="1">
      <c r="A995" s="220"/>
      <c r="B995" s="154"/>
      <c r="C995" s="154"/>
      <c r="D995" s="154"/>
      <c r="E995" s="154"/>
      <c r="F995" s="154"/>
      <c r="G995" s="154"/>
      <c r="H995" s="154"/>
      <c r="I995" s="154"/>
      <c r="J995" s="217"/>
      <c r="K995" s="218"/>
      <c r="L995" s="154"/>
      <c r="M995" s="154"/>
      <c r="N995" s="154"/>
      <c r="O995" s="154"/>
      <c r="P995" s="154"/>
      <c r="Q995" s="154"/>
      <c r="R995" s="154"/>
      <c r="S995" s="154"/>
      <c r="T995" s="154"/>
      <c r="U995" s="154"/>
      <c r="V995" s="154"/>
      <c r="W995" s="154"/>
      <c r="X995" s="154"/>
      <c r="Y995" s="154"/>
      <c r="Z995" s="154"/>
    </row>
    <row r="996" spans="1:26" ht="12" customHeight="1">
      <c r="A996" s="220"/>
      <c r="B996" s="154"/>
      <c r="C996" s="154"/>
      <c r="D996" s="154"/>
      <c r="E996" s="154"/>
      <c r="F996" s="154"/>
      <c r="G996" s="154"/>
      <c r="H996" s="154"/>
      <c r="I996" s="154"/>
      <c r="J996" s="217"/>
      <c r="K996" s="218"/>
      <c r="L996" s="154"/>
      <c r="M996" s="154"/>
      <c r="N996" s="154"/>
      <c r="O996" s="154"/>
      <c r="P996" s="154"/>
      <c r="Q996" s="154"/>
      <c r="R996" s="154"/>
      <c r="S996" s="154"/>
      <c r="T996" s="154"/>
      <c r="U996" s="154"/>
      <c r="V996" s="154"/>
      <c r="W996" s="154"/>
      <c r="X996" s="154"/>
      <c r="Y996" s="154"/>
      <c r="Z996" s="154"/>
    </row>
    <row r="997" spans="1:26" ht="12" customHeight="1">
      <c r="A997" s="220"/>
      <c r="B997" s="154"/>
      <c r="C997" s="154"/>
      <c r="D997" s="154"/>
      <c r="E997" s="154"/>
      <c r="F997" s="154"/>
      <c r="G997" s="154"/>
      <c r="H997" s="154"/>
      <c r="I997" s="154"/>
      <c r="J997" s="217"/>
      <c r="K997" s="218"/>
      <c r="L997" s="154"/>
      <c r="M997" s="154"/>
      <c r="N997" s="154"/>
      <c r="O997" s="154"/>
      <c r="P997" s="154"/>
      <c r="Q997" s="154"/>
      <c r="R997" s="154"/>
      <c r="S997" s="154"/>
      <c r="T997" s="154"/>
      <c r="U997" s="154"/>
      <c r="V997" s="154"/>
      <c r="W997" s="154"/>
      <c r="X997" s="154"/>
      <c r="Y997" s="154"/>
      <c r="Z997" s="154"/>
    </row>
    <row r="998" spans="1:26" ht="12" customHeight="1">
      <c r="A998" s="220"/>
      <c r="B998" s="154"/>
      <c r="C998" s="154"/>
      <c r="D998" s="154"/>
      <c r="E998" s="154"/>
      <c r="F998" s="154"/>
      <c r="G998" s="154"/>
      <c r="H998" s="154"/>
      <c r="I998" s="154"/>
      <c r="J998" s="217"/>
      <c r="K998" s="218"/>
      <c r="L998" s="154"/>
      <c r="M998" s="154"/>
      <c r="N998" s="154"/>
      <c r="O998" s="154"/>
      <c r="P998" s="154"/>
      <c r="Q998" s="154"/>
      <c r="R998" s="154"/>
      <c r="S998" s="154"/>
      <c r="T998" s="154"/>
      <c r="U998" s="154"/>
      <c r="V998" s="154"/>
      <c r="W998" s="154"/>
      <c r="X998" s="154"/>
      <c r="Y998" s="154"/>
      <c r="Z998" s="154"/>
    </row>
    <row r="999" spans="1:26" ht="12" customHeight="1">
      <c r="A999" s="220"/>
      <c r="B999" s="154"/>
      <c r="C999" s="154"/>
      <c r="D999" s="154"/>
      <c r="E999" s="154"/>
      <c r="F999" s="154"/>
      <c r="G999" s="154"/>
      <c r="H999" s="154"/>
      <c r="I999" s="154"/>
      <c r="J999" s="217"/>
      <c r="K999" s="218"/>
      <c r="L999" s="154"/>
      <c r="M999" s="154"/>
      <c r="N999" s="154"/>
      <c r="O999" s="154"/>
      <c r="P999" s="154"/>
      <c r="Q999" s="154"/>
      <c r="R999" s="154"/>
      <c r="S999" s="154"/>
      <c r="T999" s="154"/>
      <c r="U999" s="154"/>
      <c r="V999" s="154"/>
      <c r="W999" s="154"/>
      <c r="X999" s="154"/>
      <c r="Y999" s="154"/>
      <c r="Z999" s="154"/>
    </row>
    <row r="1000" spans="1:26" ht="12" customHeight="1">
      <c r="A1000" s="220"/>
      <c r="B1000" s="154"/>
      <c r="C1000" s="154"/>
      <c r="D1000" s="154"/>
      <c r="E1000" s="154"/>
      <c r="F1000" s="154"/>
      <c r="G1000" s="154"/>
      <c r="H1000" s="154"/>
      <c r="I1000" s="154"/>
      <c r="J1000" s="217"/>
      <c r="K1000" s="218"/>
      <c r="L1000" s="154"/>
      <c r="M1000" s="154"/>
      <c r="N1000" s="154"/>
      <c r="O1000" s="154"/>
      <c r="P1000" s="154"/>
      <c r="Q1000" s="154"/>
      <c r="R1000" s="154"/>
      <c r="S1000" s="154"/>
      <c r="T1000" s="154"/>
      <c r="U1000" s="154"/>
      <c r="V1000" s="154"/>
      <c r="W1000" s="154"/>
      <c r="X1000" s="154"/>
      <c r="Y1000" s="154"/>
      <c r="Z1000" s="154"/>
    </row>
  </sheetData>
  <mergeCells count="4">
    <mergeCell ref="A1:J1"/>
    <mergeCell ref="D124:I126"/>
    <mergeCell ref="A139:C139"/>
    <mergeCell ref="A140:C140"/>
  </mergeCells>
  <conditionalFormatting sqref="B3:B105">
    <cfRule type="cellIs" dxfId="21" priority="1"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3" stopIfTrue="1" operator="notEqual">
      <formula>$I3+$J3</formula>
    </cfRule>
  </conditionalFormatting>
  <printOptions horizontalCentered="1"/>
  <pageMargins left="0.25" right="0.25" top="0.5" bottom="0.5" header="0" footer="0"/>
  <pageSetup orientation="portrait"/>
  <headerFooter>
    <oddFooter>&amp;C&amp;P&amp;R&amp;A</oddFooter>
  </headerFooter>
  <rowBreaks count="1" manualBreakCount="1">
    <brk id="7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G1000"/>
  <sheetViews>
    <sheetView showGridLines="0" workbookViewId="0"/>
  </sheetViews>
  <sheetFormatPr defaultColWidth="12.6328125" defaultRowHeight="15" customHeight="1"/>
  <cols>
    <col min="1" max="8" width="2.7265625" customWidth="1"/>
    <col min="9" max="9" width="7.7265625" customWidth="1"/>
    <col min="10" max="13" width="2.7265625" customWidth="1"/>
    <col min="14" max="14" width="4.7265625" customWidth="1"/>
    <col min="15" max="19" width="2.7265625" customWidth="1"/>
    <col min="20" max="20" width="3.7265625" customWidth="1"/>
    <col min="21" max="37" width="2.7265625" customWidth="1"/>
    <col min="38" max="38" width="3" customWidth="1"/>
    <col min="39" max="45" width="2.7265625" customWidth="1"/>
    <col min="46" max="46" width="4.7265625" customWidth="1"/>
    <col min="47" max="51" width="2.7265625" customWidth="1"/>
    <col min="52" max="52" width="3.6328125" customWidth="1"/>
    <col min="53" max="53" width="2.7265625" customWidth="1"/>
    <col min="54" max="54" width="4.36328125" customWidth="1"/>
    <col min="55" max="64" width="2.7265625" customWidth="1"/>
    <col min="65" max="65" width="10.36328125" hidden="1" customWidth="1"/>
    <col min="66" max="68" width="5.6328125" customWidth="1"/>
    <col min="69" max="69" width="8" customWidth="1"/>
    <col min="70" max="70" width="6" customWidth="1"/>
    <col min="71" max="71" width="6.08984375" customWidth="1"/>
    <col min="72" max="76" width="5.6328125" customWidth="1"/>
    <col min="77" max="77" width="6.08984375" customWidth="1"/>
    <col min="78" max="78" width="5.6328125" customWidth="1"/>
    <col min="79" max="85" width="2.7265625" customWidth="1"/>
  </cols>
  <sheetData>
    <row r="1" spans="1:85" ht="15.75" customHeight="1">
      <c r="A1" s="1328" t="s">
        <v>1299</v>
      </c>
      <c r="B1" s="1200"/>
      <c r="C1" s="1200"/>
      <c r="D1" s="1200"/>
      <c r="E1" s="1200"/>
      <c r="F1" s="1200"/>
      <c r="G1" s="1200"/>
      <c r="H1" s="1200"/>
      <c r="I1" s="1200"/>
      <c r="J1" s="1200"/>
      <c r="K1" s="1200"/>
      <c r="L1" s="1200"/>
      <c r="M1" s="1200"/>
      <c r="N1" s="1200"/>
      <c r="O1" s="1200"/>
      <c r="P1" s="1200"/>
      <c r="Q1" s="1200"/>
      <c r="R1" s="1200"/>
      <c r="S1" s="1200"/>
      <c r="T1" s="1200"/>
      <c r="U1" s="1200"/>
      <c r="V1" s="1200"/>
      <c r="W1" s="1200"/>
      <c r="X1" s="1200"/>
      <c r="Y1" s="1200"/>
      <c r="Z1" s="1200"/>
      <c r="AA1" s="1200"/>
      <c r="AB1" s="1200"/>
      <c r="AC1" s="1200"/>
      <c r="AD1" s="1200"/>
      <c r="AE1" s="1200"/>
      <c r="AF1" s="1200"/>
      <c r="AG1" s="1200"/>
      <c r="AH1" s="1200"/>
      <c r="AI1" s="1200"/>
      <c r="AJ1" s="1200"/>
      <c r="AK1" s="1200"/>
      <c r="AL1" s="1200"/>
      <c r="AM1" s="1200"/>
      <c r="AN1" s="1200"/>
      <c r="AO1" s="1200"/>
      <c r="AP1" s="1200"/>
      <c r="AQ1" s="1200"/>
      <c r="AR1" s="1200"/>
      <c r="AS1" s="1200"/>
      <c r="AT1" s="1200"/>
      <c r="AU1" s="1200"/>
      <c r="AV1" s="1200"/>
      <c r="AW1" s="1200"/>
      <c r="AX1" s="1200"/>
      <c r="AY1" s="1200"/>
      <c r="AZ1" s="1200"/>
      <c r="BA1" s="1200"/>
      <c r="BB1" s="1200"/>
      <c r="BC1" s="1200"/>
      <c r="BD1" s="1200"/>
      <c r="BE1" s="1201"/>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row>
    <row r="2" spans="1:85" ht="15.75" customHeight="1">
      <c r="A2" s="1329" t="s">
        <v>1301</v>
      </c>
      <c r="B2" s="1118"/>
      <c r="C2" s="1118"/>
      <c r="D2" s="1118"/>
      <c r="E2" s="1118"/>
      <c r="F2" s="1118"/>
      <c r="G2" s="1118"/>
      <c r="H2" s="1118"/>
      <c r="I2" s="1118"/>
      <c r="J2" s="1118"/>
      <c r="K2" s="1118"/>
      <c r="L2" s="1118"/>
      <c r="M2" s="1118"/>
      <c r="N2" s="1118"/>
      <c r="O2" s="1118"/>
      <c r="P2" s="1118"/>
      <c r="Q2" s="1118"/>
      <c r="R2" s="1118"/>
      <c r="S2" s="1118"/>
      <c r="T2" s="1118"/>
      <c r="U2" s="1118"/>
      <c r="V2" s="1118"/>
      <c r="W2" s="1118"/>
      <c r="X2" s="1118"/>
      <c r="Y2" s="1118"/>
      <c r="Z2" s="1118"/>
      <c r="AA2" s="1118"/>
      <c r="AB2" s="1118"/>
      <c r="AC2" s="1118"/>
      <c r="AD2" s="1118"/>
      <c r="AE2" s="1118"/>
      <c r="AF2" s="1118"/>
      <c r="AG2" s="1118"/>
      <c r="AH2" s="1118"/>
      <c r="AI2" s="1118"/>
      <c r="AJ2" s="1118"/>
      <c r="AK2" s="1118"/>
      <c r="AL2" s="1118"/>
      <c r="AM2" s="1118"/>
      <c r="AN2" s="1118"/>
      <c r="AO2" s="1118"/>
      <c r="AP2" s="1118"/>
      <c r="AQ2" s="1118"/>
      <c r="AR2" s="1118"/>
      <c r="AS2" s="1118"/>
      <c r="AT2" s="1118"/>
      <c r="AU2" s="1118"/>
      <c r="AV2" s="1118"/>
      <c r="AW2" s="1118"/>
      <c r="AX2" s="1118"/>
      <c r="AY2" s="1118"/>
      <c r="AZ2" s="1118"/>
      <c r="BA2" s="1118"/>
      <c r="BB2" s="1118"/>
      <c r="BC2" s="1118"/>
      <c r="BD2" s="1118"/>
      <c r="BE2" s="1238"/>
      <c r="BF2" s="240"/>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row>
    <row r="3" spans="1:85" ht="15.75" customHeight="1">
      <c r="A3" s="241"/>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1195" t="s">
        <v>1302</v>
      </c>
      <c r="AY3" s="921"/>
      <c r="AZ3" s="921"/>
      <c r="BA3" s="943"/>
      <c r="BB3" s="1195" t="s">
        <v>1303</v>
      </c>
      <c r="BC3" s="921"/>
      <c r="BD3" s="921"/>
      <c r="BE3" s="943"/>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row>
    <row r="4" spans="1:85" ht="15.75" customHeight="1">
      <c r="A4" s="241"/>
      <c r="B4" s="243" t="s">
        <v>113</v>
      </c>
      <c r="C4" s="243"/>
      <c r="D4" s="243"/>
      <c r="E4" s="243"/>
      <c r="F4" s="243"/>
      <c r="G4" s="242"/>
      <c r="H4" s="242"/>
      <c r="I4" s="242"/>
      <c r="J4" s="242"/>
      <c r="K4" s="242"/>
      <c r="L4" s="1330" t="str">
        <f>IF(Application!H18="","",Application!H18)</f>
        <v>SD 427 - Normal Heights/North Park/Linda Vista</v>
      </c>
      <c r="M4" s="1231"/>
      <c r="N4" s="1231"/>
      <c r="O4" s="1231"/>
      <c r="P4" s="1231"/>
      <c r="Q4" s="1231"/>
      <c r="R4" s="1231"/>
      <c r="S4" s="1231"/>
      <c r="T4" s="1231"/>
      <c r="U4" s="1231"/>
      <c r="V4" s="1231"/>
      <c r="W4" s="1231"/>
      <c r="X4" s="1231"/>
      <c r="Y4" s="1231"/>
      <c r="Z4" s="1231"/>
      <c r="AA4" s="1231"/>
      <c r="AB4" s="1231"/>
      <c r="AC4" s="1232"/>
      <c r="AD4" s="242"/>
      <c r="AE4" s="242"/>
      <c r="AF4" s="1319" t="s">
        <v>1304</v>
      </c>
      <c r="AG4" s="921"/>
      <c r="AH4" s="921"/>
      <c r="AI4" s="921"/>
      <c r="AJ4" s="921"/>
      <c r="AK4" s="921"/>
      <c r="AL4" s="921"/>
      <c r="AM4" s="921"/>
      <c r="AN4" s="921"/>
      <c r="AO4" s="943"/>
      <c r="AP4" s="1320"/>
      <c r="AQ4" s="921"/>
      <c r="AR4" s="921"/>
      <c r="AS4" s="921"/>
      <c r="AT4" s="921"/>
      <c r="AU4" s="943"/>
      <c r="AV4" s="242"/>
      <c r="AW4" s="242"/>
      <c r="AX4" s="1331" t="s">
        <v>1305</v>
      </c>
      <c r="AY4" s="921"/>
      <c r="AZ4" s="921"/>
      <c r="BA4" s="943"/>
      <c r="BB4" s="1332" t="e">
        <f t="array" aca="1" ref="BB4" ca="1">ROUNDDOWN(SUM(IF((B19:I27&gt;0)*(B19:I27&lt;=30%),J19:O27,0))/J29,2)</f>
        <v>#NAME?</v>
      </c>
      <c r="BC4" s="921"/>
      <c r="BD4" s="921"/>
      <c r="BE4" s="943"/>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row>
    <row r="5" spans="1:85" ht="15.75" customHeight="1">
      <c r="A5" s="241"/>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1319" t="s">
        <v>1310</v>
      </c>
      <c r="AG5" s="921"/>
      <c r="AH5" s="921"/>
      <c r="AI5" s="921"/>
      <c r="AJ5" s="921"/>
      <c r="AK5" s="921"/>
      <c r="AL5" s="921"/>
      <c r="AM5" s="921"/>
      <c r="AN5" s="921"/>
      <c r="AO5" s="943"/>
      <c r="AP5" s="1320"/>
      <c r="AQ5" s="921"/>
      <c r="AR5" s="921"/>
      <c r="AS5" s="921"/>
      <c r="AT5" s="921"/>
      <c r="AU5" s="943"/>
      <c r="AV5" s="242"/>
      <c r="AW5" s="242"/>
      <c r="AX5" s="1331" t="s">
        <v>1312</v>
      </c>
      <c r="AY5" s="921"/>
      <c r="AZ5" s="921"/>
      <c r="BA5" s="943"/>
      <c r="BB5" s="1332" t="e">
        <f t="array" aca="1" ref="BB5" ca="1">ROUNDDOWN(SUM(IF((B19:I27&gt;0%)*(B19:I27&lt;=50%),J19:O27,0))/J29,2)</f>
        <v>#NAME?</v>
      </c>
      <c r="BC5" s="921"/>
      <c r="BD5" s="921"/>
      <c r="BE5" s="943"/>
      <c r="BF5" s="239"/>
      <c r="BG5" s="239"/>
      <c r="BH5" s="239"/>
      <c r="BI5" s="239"/>
      <c r="BJ5" s="239"/>
      <c r="BK5" s="239"/>
      <c r="BL5" s="239"/>
      <c r="BM5" s="239"/>
      <c r="BN5" s="239"/>
      <c r="BO5" s="239"/>
      <c r="BP5" s="239"/>
      <c r="BQ5" s="239"/>
      <c r="BR5" s="239"/>
      <c r="BS5" s="239"/>
      <c r="BT5" s="239"/>
      <c r="BU5" s="239"/>
      <c r="BV5" s="239"/>
      <c r="BW5" s="239"/>
      <c r="BX5" s="239"/>
      <c r="BY5" s="239"/>
      <c r="BZ5" s="239"/>
      <c r="CA5" s="239"/>
      <c r="CB5" s="239"/>
      <c r="CC5" s="239"/>
      <c r="CD5" s="239"/>
      <c r="CE5" s="239"/>
      <c r="CF5" s="239"/>
      <c r="CG5" s="239"/>
    </row>
    <row r="6" spans="1:85" ht="15.75" customHeight="1">
      <c r="A6" s="241"/>
      <c r="B6" s="243" t="s">
        <v>1314</v>
      </c>
      <c r="C6" s="242"/>
      <c r="D6" s="242"/>
      <c r="E6" s="242"/>
      <c r="F6" s="242"/>
      <c r="G6" s="242"/>
      <c r="H6" s="242"/>
      <c r="I6" s="242"/>
      <c r="J6" s="242"/>
      <c r="K6" s="242"/>
      <c r="L6" s="1330" t="str">
        <f>IF(Application!H16="","",Application!H16)</f>
        <v xml:space="preserve">427 SD Housing, LP </v>
      </c>
      <c r="M6" s="1231"/>
      <c r="N6" s="1231"/>
      <c r="O6" s="1231"/>
      <c r="P6" s="1231"/>
      <c r="Q6" s="1231"/>
      <c r="R6" s="1231"/>
      <c r="S6" s="1231"/>
      <c r="T6" s="1231"/>
      <c r="U6" s="1231"/>
      <c r="V6" s="1231"/>
      <c r="W6" s="1231"/>
      <c r="X6" s="1231"/>
      <c r="Y6" s="1231"/>
      <c r="Z6" s="1231"/>
      <c r="AA6" s="1231"/>
      <c r="AB6" s="1231"/>
      <c r="AC6" s="1232"/>
      <c r="AD6" s="242"/>
      <c r="AE6" s="242"/>
      <c r="AF6" s="1319" t="s">
        <v>1318</v>
      </c>
      <c r="AG6" s="921"/>
      <c r="AH6" s="921"/>
      <c r="AI6" s="921"/>
      <c r="AJ6" s="921"/>
      <c r="AK6" s="921"/>
      <c r="AL6" s="921"/>
      <c r="AM6" s="921"/>
      <c r="AN6" s="921"/>
      <c r="AO6" s="943"/>
      <c r="AP6" s="1326"/>
      <c r="AQ6" s="921"/>
      <c r="AR6" s="921"/>
      <c r="AS6" s="921"/>
      <c r="AT6" s="921"/>
      <c r="AU6" s="943"/>
      <c r="AV6" s="242"/>
      <c r="AW6" s="242"/>
      <c r="AX6" s="1331" t="s">
        <v>1320</v>
      </c>
      <c r="AY6" s="921"/>
      <c r="AZ6" s="921"/>
      <c r="BA6" s="943"/>
      <c r="BB6" s="1332" t="e">
        <f t="array" aca="1" ref="BB6" ca="1">ROUNDDOWN(SUM(IF((B19:I27&gt;60%)*(B19:I27&lt;=80%),J19:O27,0))/J29,2)</f>
        <v>#NAME?</v>
      </c>
      <c r="BC6" s="921"/>
      <c r="BD6" s="921"/>
      <c r="BE6" s="943"/>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row>
    <row r="7" spans="1:85" ht="15.75" customHeight="1">
      <c r="A7" s="241"/>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1319" t="s">
        <v>1322</v>
      </c>
      <c r="AG7" s="921"/>
      <c r="AH7" s="921"/>
      <c r="AI7" s="921"/>
      <c r="AJ7" s="921"/>
      <c r="AK7" s="921"/>
      <c r="AL7" s="921"/>
      <c r="AM7" s="921"/>
      <c r="AN7" s="921"/>
      <c r="AO7" s="943"/>
      <c r="AP7" s="1326"/>
      <c r="AQ7" s="921"/>
      <c r="AR7" s="921"/>
      <c r="AS7" s="921"/>
      <c r="AT7" s="921"/>
      <c r="AU7" s="943"/>
      <c r="AV7" s="242"/>
      <c r="AW7" s="242"/>
      <c r="AX7" s="242"/>
      <c r="AY7" s="242"/>
      <c r="AZ7" s="242"/>
      <c r="BA7" s="242"/>
      <c r="BB7" s="242"/>
      <c r="BC7" s="242"/>
      <c r="BD7" s="242"/>
      <c r="BE7" s="254"/>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row>
    <row r="8" spans="1:85" ht="15.75" customHeight="1">
      <c r="A8" s="241"/>
      <c r="B8" s="243" t="s">
        <v>1323</v>
      </c>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1327" t="str">
        <f>Application!T197</f>
        <v>Yes</v>
      </c>
      <c r="AC8" s="1231"/>
      <c r="AD8" s="1232"/>
      <c r="AE8" s="242"/>
      <c r="AF8" s="1319" t="s">
        <v>1324</v>
      </c>
      <c r="AG8" s="921"/>
      <c r="AH8" s="921"/>
      <c r="AI8" s="921"/>
      <c r="AJ8" s="921"/>
      <c r="AK8" s="921"/>
      <c r="AL8" s="921"/>
      <c r="AM8" s="921"/>
      <c r="AN8" s="921"/>
      <c r="AO8" s="943"/>
      <c r="AP8" s="1326" t="s">
        <v>435</v>
      </c>
      <c r="AQ8" s="921"/>
      <c r="AR8" s="921"/>
      <c r="AS8" s="921"/>
      <c r="AT8" s="921"/>
      <c r="AU8" s="943"/>
      <c r="AV8" s="242"/>
      <c r="AW8" s="242"/>
      <c r="AX8" s="242"/>
      <c r="AY8" s="242"/>
      <c r="AZ8" s="242"/>
      <c r="BA8" s="242"/>
      <c r="BB8" s="242"/>
      <c r="BC8" s="242"/>
      <c r="BD8" s="242"/>
      <c r="BE8" s="254"/>
      <c r="BF8" s="239"/>
      <c r="BG8" s="239"/>
      <c r="BH8" s="239"/>
      <c r="BI8" s="239"/>
      <c r="BJ8" s="239"/>
      <c r="BK8" s="239"/>
      <c r="BL8" s="239"/>
      <c r="BM8" s="255" t="s">
        <v>1326</v>
      </c>
      <c r="BN8" s="239"/>
      <c r="BO8" s="239"/>
      <c r="BP8" s="239"/>
      <c r="BQ8" s="239"/>
      <c r="BR8" s="239"/>
      <c r="BS8" s="239"/>
      <c r="BT8" s="239"/>
      <c r="BU8" s="239"/>
      <c r="BV8" s="239"/>
      <c r="BW8" s="239"/>
      <c r="BX8" s="239"/>
      <c r="BY8" s="239"/>
      <c r="BZ8" s="239"/>
      <c r="CA8" s="239"/>
      <c r="CB8" s="239"/>
      <c r="CC8" s="239"/>
      <c r="CD8" s="239"/>
      <c r="CE8" s="239"/>
      <c r="CF8" s="239"/>
      <c r="CG8" s="239"/>
    </row>
    <row r="9" spans="1:85" ht="15.75" customHeight="1">
      <c r="A9" s="242"/>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1319" t="s">
        <v>1328</v>
      </c>
      <c r="AG9" s="921"/>
      <c r="AH9" s="921"/>
      <c r="AI9" s="921"/>
      <c r="AJ9" s="921"/>
      <c r="AK9" s="921"/>
      <c r="AL9" s="921"/>
      <c r="AM9" s="921"/>
      <c r="AN9" s="921"/>
      <c r="AO9" s="943"/>
      <c r="AP9" s="1320"/>
      <c r="AQ9" s="921"/>
      <c r="AR9" s="921"/>
      <c r="AS9" s="921"/>
      <c r="AT9" s="921"/>
      <c r="AU9" s="943"/>
      <c r="AV9" s="242"/>
      <c r="AW9" s="242"/>
      <c r="AX9" s="242"/>
      <c r="AY9" s="242"/>
      <c r="AZ9" s="242"/>
      <c r="BA9" s="242"/>
      <c r="BB9" s="242"/>
      <c r="BC9" s="242"/>
      <c r="BD9" s="242"/>
      <c r="BE9" s="254"/>
      <c r="BF9" s="239"/>
      <c r="BG9" s="239"/>
      <c r="BH9" s="239"/>
      <c r="BI9" s="239"/>
      <c r="BJ9" s="239"/>
      <c r="BK9" s="239"/>
      <c r="BL9" s="239"/>
      <c r="BM9" s="256" t="s">
        <v>1329</v>
      </c>
      <c r="BN9" s="239"/>
      <c r="BO9" s="239"/>
      <c r="BP9" s="239"/>
      <c r="BQ9" s="239"/>
      <c r="BR9" s="239"/>
      <c r="BS9" s="239"/>
      <c r="BT9" s="239"/>
      <c r="BU9" s="239"/>
      <c r="BV9" s="239"/>
      <c r="BW9" s="239"/>
      <c r="BX9" s="239"/>
      <c r="BY9" s="239"/>
      <c r="BZ9" s="239"/>
      <c r="CA9" s="239"/>
      <c r="CB9" s="239"/>
      <c r="CC9" s="239"/>
      <c r="CD9" s="239"/>
      <c r="CE9" s="239"/>
      <c r="CF9" s="239"/>
      <c r="CG9" s="239"/>
    </row>
    <row r="10" spans="1:85" ht="15.75" customHeight="1">
      <c r="A10" s="241"/>
      <c r="B10" s="243" t="s">
        <v>1332</v>
      </c>
      <c r="C10" s="243"/>
      <c r="D10" s="243"/>
      <c r="E10" s="243"/>
      <c r="F10" s="243"/>
      <c r="G10" s="243"/>
      <c r="H10" s="243"/>
      <c r="I10" s="243"/>
      <c r="J10" s="243"/>
      <c r="K10" s="243"/>
      <c r="L10" s="243"/>
      <c r="M10" s="242"/>
      <c r="N10" s="1283">
        <f>Application!AO635</f>
        <v>28416244</v>
      </c>
      <c r="O10" s="921"/>
      <c r="P10" s="921"/>
      <c r="Q10" s="921"/>
      <c r="R10" s="921"/>
      <c r="S10" s="921"/>
      <c r="T10" s="943"/>
      <c r="U10" s="242"/>
      <c r="V10" s="242"/>
      <c r="W10" s="242"/>
      <c r="X10" s="257"/>
      <c r="Y10" s="257"/>
      <c r="Z10" s="257"/>
      <c r="AA10" s="257"/>
      <c r="AB10" s="257"/>
      <c r="AC10" s="257"/>
      <c r="AD10" s="257"/>
      <c r="AE10" s="257"/>
      <c r="AF10" s="1319" t="s">
        <v>1334</v>
      </c>
      <c r="AG10" s="921"/>
      <c r="AH10" s="921"/>
      <c r="AI10" s="921"/>
      <c r="AJ10" s="921"/>
      <c r="AK10" s="921"/>
      <c r="AL10" s="921"/>
      <c r="AM10" s="921"/>
      <c r="AN10" s="921"/>
      <c r="AO10" s="943"/>
      <c r="AP10" s="1320"/>
      <c r="AQ10" s="921"/>
      <c r="AR10" s="921"/>
      <c r="AS10" s="921"/>
      <c r="AT10" s="921"/>
      <c r="AU10" s="943"/>
      <c r="AV10" s="257"/>
      <c r="AW10" s="257"/>
      <c r="AX10" s="242"/>
      <c r="AY10" s="242"/>
      <c r="AZ10" s="242"/>
      <c r="BA10" s="242"/>
      <c r="BB10" s="242"/>
      <c r="BC10" s="242"/>
      <c r="BD10" s="242"/>
      <c r="BE10" s="254"/>
      <c r="BF10" s="239"/>
      <c r="BG10" s="239"/>
      <c r="BH10" s="239"/>
      <c r="BI10" s="239"/>
      <c r="BJ10" s="239"/>
      <c r="BK10" s="239"/>
      <c r="BL10" s="239"/>
      <c r="BM10" s="256" t="s">
        <v>1336</v>
      </c>
      <c r="BN10" s="239"/>
      <c r="BO10" s="239"/>
      <c r="BP10" s="239"/>
      <c r="BQ10" s="239"/>
      <c r="BR10" s="239"/>
      <c r="BS10" s="239"/>
      <c r="BT10" s="239"/>
      <c r="BU10" s="239"/>
      <c r="BV10" s="239"/>
      <c r="BW10" s="239"/>
      <c r="BX10" s="239"/>
      <c r="BY10" s="239"/>
      <c r="BZ10" s="239"/>
      <c r="CA10" s="239"/>
      <c r="CB10" s="239"/>
      <c r="CC10" s="239"/>
      <c r="CD10" s="239"/>
      <c r="CE10" s="239"/>
      <c r="CF10" s="239"/>
      <c r="CG10" s="239"/>
    </row>
    <row r="11" spans="1:85" ht="15.75" customHeight="1">
      <c r="A11" s="241"/>
      <c r="B11" s="243" t="s">
        <v>1337</v>
      </c>
      <c r="C11" s="243"/>
      <c r="D11" s="243"/>
      <c r="E11" s="243"/>
      <c r="F11" s="243"/>
      <c r="G11" s="243"/>
      <c r="H11" s="243"/>
      <c r="I11" s="243"/>
      <c r="J11" s="243"/>
      <c r="K11" s="243"/>
      <c r="L11" s="243"/>
      <c r="M11" s="242"/>
      <c r="N11" s="1283">
        <f>Application!AA941</f>
        <v>0</v>
      </c>
      <c r="O11" s="921"/>
      <c r="P11" s="921"/>
      <c r="Q11" s="921"/>
      <c r="R11" s="921"/>
      <c r="S11" s="921"/>
      <c r="T11" s="943"/>
      <c r="U11" s="242"/>
      <c r="V11" s="242"/>
      <c r="W11" s="242"/>
      <c r="X11" s="257"/>
      <c r="Y11" s="257"/>
      <c r="Z11" s="257"/>
      <c r="AA11" s="257"/>
      <c r="AB11" s="257"/>
      <c r="AC11" s="257"/>
      <c r="AD11" s="257"/>
      <c r="AE11" s="257"/>
      <c r="AF11" s="1319" t="s">
        <v>1338</v>
      </c>
      <c r="AG11" s="921"/>
      <c r="AH11" s="921"/>
      <c r="AI11" s="921"/>
      <c r="AJ11" s="921"/>
      <c r="AK11" s="921"/>
      <c r="AL11" s="921"/>
      <c r="AM11" s="921"/>
      <c r="AN11" s="921"/>
      <c r="AO11" s="943"/>
      <c r="AP11" s="1320"/>
      <c r="AQ11" s="921"/>
      <c r="AR11" s="921"/>
      <c r="AS11" s="921"/>
      <c r="AT11" s="921"/>
      <c r="AU11" s="943"/>
      <c r="AV11" s="257"/>
      <c r="AW11" s="257"/>
      <c r="AX11" s="242"/>
      <c r="AY11" s="242"/>
      <c r="AZ11" s="242"/>
      <c r="BA11" s="242"/>
      <c r="BB11" s="242"/>
      <c r="BC11" s="242"/>
      <c r="BD11" s="242"/>
      <c r="BE11" s="254"/>
      <c r="BF11" s="239"/>
      <c r="BG11" s="239"/>
      <c r="BH11" s="239"/>
      <c r="BI11" s="239"/>
      <c r="BJ11" s="239"/>
      <c r="BK11" s="239"/>
      <c r="BL11" s="239"/>
      <c r="BM11" s="256" t="s">
        <v>435</v>
      </c>
      <c r="BN11" s="239"/>
      <c r="BO11" s="239"/>
      <c r="BP11" s="239"/>
      <c r="BQ11" s="239"/>
      <c r="BR11" s="239"/>
      <c r="BS11" s="239"/>
      <c r="BT11" s="239"/>
      <c r="BU11" s="239"/>
      <c r="BV11" s="239"/>
      <c r="BW11" s="239"/>
      <c r="BX11" s="239"/>
      <c r="BY11" s="239"/>
      <c r="BZ11" s="239"/>
      <c r="CA11" s="239"/>
      <c r="CB11" s="239"/>
      <c r="CC11" s="239"/>
      <c r="CD11" s="239"/>
      <c r="CE11" s="239"/>
      <c r="CF11" s="239"/>
      <c r="CG11" s="239"/>
    </row>
    <row r="12" spans="1:85" ht="15.75" customHeight="1">
      <c r="A12" s="242"/>
      <c r="B12" s="242"/>
      <c r="C12" s="242"/>
      <c r="D12" s="242"/>
      <c r="E12" s="242"/>
      <c r="F12" s="242"/>
      <c r="G12" s="242"/>
      <c r="H12" s="242"/>
      <c r="I12" s="242"/>
      <c r="J12" s="242"/>
      <c r="K12" s="242"/>
      <c r="L12" s="242"/>
      <c r="M12" s="242"/>
      <c r="N12" s="242"/>
      <c r="O12" s="242"/>
      <c r="P12" s="242"/>
      <c r="Q12" s="242"/>
      <c r="R12" s="242"/>
      <c r="S12" s="242"/>
      <c r="T12" s="242"/>
      <c r="U12" s="242"/>
      <c r="V12" s="242"/>
      <c r="W12" s="242"/>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7"/>
      <c r="AV12" s="242"/>
      <c r="AW12" s="242"/>
      <c r="AX12" s="242"/>
      <c r="AY12" s="242"/>
      <c r="AZ12" s="242"/>
      <c r="BA12" s="242"/>
      <c r="BB12" s="242"/>
      <c r="BC12" s="242"/>
      <c r="BD12" s="242"/>
      <c r="BE12" s="258"/>
      <c r="BF12" s="239"/>
      <c r="BG12" s="239"/>
      <c r="BH12" s="239"/>
      <c r="BI12" s="239"/>
      <c r="BJ12" s="239"/>
      <c r="BK12" s="239"/>
      <c r="BL12" s="239"/>
      <c r="BM12" s="256" t="s">
        <v>1340</v>
      </c>
      <c r="BN12" s="239"/>
      <c r="BO12" s="239"/>
      <c r="BP12" s="239"/>
      <c r="BQ12" s="239"/>
      <c r="BR12" s="239"/>
      <c r="BS12" s="239"/>
      <c r="BT12" s="239"/>
      <c r="BU12" s="239"/>
      <c r="BV12" s="239"/>
      <c r="BW12" s="239"/>
      <c r="BX12" s="239"/>
      <c r="BY12" s="239"/>
      <c r="BZ12" s="239"/>
      <c r="CA12" s="239"/>
      <c r="CB12" s="239"/>
      <c r="CC12" s="239"/>
      <c r="CD12" s="239"/>
      <c r="CE12" s="239"/>
      <c r="CF12" s="239"/>
      <c r="CG12" s="239"/>
    </row>
    <row r="13" spans="1:85" ht="15.75" customHeight="1">
      <c r="A13" s="242"/>
      <c r="B13" s="1321" t="s">
        <v>1341</v>
      </c>
      <c r="C13" s="1231"/>
      <c r="D13" s="1231"/>
      <c r="E13" s="1231"/>
      <c r="F13" s="1231"/>
      <c r="G13" s="1231"/>
      <c r="H13" s="1231"/>
      <c r="I13" s="1231"/>
      <c r="J13" s="1231"/>
      <c r="K13" s="1231"/>
      <c r="L13" s="1231"/>
      <c r="M13" s="1231"/>
      <c r="N13" s="1231"/>
      <c r="O13" s="1231"/>
      <c r="P13" s="1232"/>
      <c r="Q13" s="1248" t="s">
        <v>460</v>
      </c>
      <c r="R13" s="1231"/>
      <c r="S13" s="1231"/>
      <c r="T13" s="1232"/>
      <c r="U13" s="257"/>
      <c r="V13" s="242"/>
      <c r="W13" s="242"/>
      <c r="X13" s="242"/>
      <c r="Y13" s="242"/>
      <c r="Z13" s="242"/>
      <c r="AA13" s="1322" t="s">
        <v>1344</v>
      </c>
      <c r="AB13" s="921"/>
      <c r="AC13" s="921"/>
      <c r="AD13" s="921"/>
      <c r="AE13" s="921"/>
      <c r="AF13" s="921"/>
      <c r="AG13" s="921"/>
      <c r="AH13" s="921"/>
      <c r="AI13" s="921"/>
      <c r="AJ13" s="921"/>
      <c r="AK13" s="921"/>
      <c r="AL13" s="921"/>
      <c r="AM13" s="921"/>
      <c r="AN13" s="943"/>
      <c r="AO13" s="1323">
        <f>Application!W481</f>
        <v>19</v>
      </c>
      <c r="AP13" s="921"/>
      <c r="AQ13" s="921"/>
      <c r="AR13" s="921"/>
      <c r="AS13" s="943"/>
      <c r="AT13" s="257"/>
      <c r="AU13" s="257"/>
      <c r="AV13" s="257"/>
      <c r="AW13" s="257"/>
      <c r="AX13" s="257"/>
      <c r="AY13" s="257"/>
      <c r="AZ13" s="257"/>
      <c r="BA13" s="257"/>
      <c r="BB13" s="257"/>
      <c r="BC13" s="257"/>
      <c r="BD13" s="257"/>
      <c r="BE13" s="258"/>
      <c r="BF13" s="239"/>
      <c r="BG13" s="239"/>
      <c r="BH13" s="239"/>
      <c r="BI13" s="239"/>
      <c r="BJ13" s="239"/>
      <c r="BK13" s="239"/>
      <c r="BL13" s="239"/>
      <c r="BM13" s="256" t="s">
        <v>1349</v>
      </c>
      <c r="BN13" s="239"/>
      <c r="BO13" s="239"/>
      <c r="BP13" s="239"/>
      <c r="BQ13" s="239"/>
      <c r="BR13" s="239"/>
      <c r="BS13" s="239"/>
      <c r="BT13" s="239"/>
      <c r="BU13" s="239"/>
      <c r="BV13" s="239"/>
      <c r="BW13" s="239"/>
      <c r="BX13" s="239"/>
      <c r="BY13" s="239"/>
      <c r="BZ13" s="239"/>
      <c r="CA13" s="239"/>
      <c r="CB13" s="239"/>
      <c r="CC13" s="239"/>
      <c r="CD13" s="239"/>
      <c r="CE13" s="239"/>
      <c r="CF13" s="239"/>
      <c r="CG13" s="239"/>
    </row>
    <row r="14" spans="1:85" ht="15.75" customHeight="1">
      <c r="A14" s="242"/>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1324" t="s">
        <v>1351</v>
      </c>
      <c r="AB14" s="921"/>
      <c r="AC14" s="921"/>
      <c r="AD14" s="921"/>
      <c r="AE14" s="921"/>
      <c r="AF14" s="921"/>
      <c r="AG14" s="921"/>
      <c r="AH14" s="921"/>
      <c r="AI14" s="921"/>
      <c r="AJ14" s="921"/>
      <c r="AK14" s="921"/>
      <c r="AL14" s="921"/>
      <c r="AM14" s="921"/>
      <c r="AN14" s="943"/>
      <c r="AO14" s="1325"/>
      <c r="AP14" s="921"/>
      <c r="AQ14" s="921"/>
      <c r="AR14" s="921"/>
      <c r="AS14" s="943"/>
      <c r="AT14" s="257"/>
      <c r="AU14" s="257"/>
      <c r="AV14" s="257"/>
      <c r="AW14" s="257"/>
      <c r="AX14" s="257"/>
      <c r="AY14" s="257"/>
      <c r="AZ14" s="257"/>
      <c r="BA14" s="257"/>
      <c r="BB14" s="257"/>
      <c r="BC14" s="257"/>
      <c r="BD14" s="257"/>
      <c r="BE14" s="258"/>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row>
    <row r="15" spans="1:85" ht="15.75" customHeight="1">
      <c r="A15" s="242"/>
      <c r="B15" s="1345" t="s">
        <v>1356</v>
      </c>
      <c r="C15" s="1231"/>
      <c r="D15" s="1231"/>
      <c r="E15" s="1231"/>
      <c r="F15" s="1231"/>
      <c r="G15" s="1231"/>
      <c r="H15" s="1231"/>
      <c r="I15" s="1231"/>
      <c r="J15" s="1231"/>
      <c r="K15" s="1231"/>
      <c r="L15" s="1231"/>
      <c r="M15" s="1231"/>
      <c r="N15" s="1231"/>
      <c r="O15" s="1231"/>
      <c r="P15" s="1231"/>
      <c r="Q15" s="1231"/>
      <c r="R15" s="1275"/>
      <c r="S15" s="1346" t="str">
        <f>IF(Application!AB215="","",Application!AB215)</f>
        <v/>
      </c>
      <c r="T15" s="1231"/>
      <c r="U15" s="1231"/>
      <c r="V15" s="1231"/>
      <c r="W15" s="1232"/>
      <c r="X15" s="257"/>
      <c r="Y15" s="242"/>
      <c r="Z15" s="242"/>
      <c r="AA15" s="1322" t="s">
        <v>1358</v>
      </c>
      <c r="AB15" s="921"/>
      <c r="AC15" s="921"/>
      <c r="AD15" s="921"/>
      <c r="AE15" s="921"/>
      <c r="AF15" s="921"/>
      <c r="AG15" s="921"/>
      <c r="AH15" s="921"/>
      <c r="AI15" s="921"/>
      <c r="AJ15" s="921"/>
      <c r="AK15" s="921"/>
      <c r="AL15" s="921"/>
      <c r="AM15" s="921"/>
      <c r="AN15" s="943"/>
      <c r="AO15" s="1325"/>
      <c r="AP15" s="921"/>
      <c r="AQ15" s="921"/>
      <c r="AR15" s="921"/>
      <c r="AS15" s="943"/>
      <c r="AT15" s="257"/>
      <c r="AU15" s="257"/>
      <c r="AV15" s="257"/>
      <c r="AW15" s="257"/>
      <c r="AX15" s="257"/>
      <c r="AY15" s="257"/>
      <c r="AZ15" s="257"/>
      <c r="BA15" s="257"/>
      <c r="BB15" s="257"/>
      <c r="BC15" s="257"/>
      <c r="BD15" s="257"/>
      <c r="BE15" s="258"/>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row>
    <row r="16" spans="1:85" ht="15.75" customHeight="1">
      <c r="A16" s="241"/>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58"/>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row>
    <row r="17" spans="1:85" ht="15.75" customHeight="1">
      <c r="A17" s="242"/>
      <c r="B17" s="1191" t="s">
        <v>1361</v>
      </c>
      <c r="C17" s="1177"/>
      <c r="D17" s="1177"/>
      <c r="E17" s="1177"/>
      <c r="F17" s="1177"/>
      <c r="G17" s="1177"/>
      <c r="H17" s="1177"/>
      <c r="I17" s="1177"/>
      <c r="J17" s="1177"/>
      <c r="K17" s="1177"/>
      <c r="L17" s="1177"/>
      <c r="M17" s="1177"/>
      <c r="N17" s="1177"/>
      <c r="O17" s="1177"/>
      <c r="P17" s="1177"/>
      <c r="Q17" s="1177"/>
      <c r="R17" s="1177"/>
      <c r="S17" s="1177"/>
      <c r="T17" s="1177"/>
      <c r="U17" s="1177"/>
      <c r="V17" s="1177"/>
      <c r="W17" s="1177"/>
      <c r="X17" s="1177"/>
      <c r="Y17" s="1177"/>
      <c r="Z17" s="1177"/>
      <c r="AA17" s="1177"/>
      <c r="AB17" s="1177"/>
      <c r="AC17" s="1177"/>
      <c r="AD17" s="1177"/>
      <c r="AE17" s="1177"/>
      <c r="AF17" s="1177"/>
      <c r="AG17" s="1177"/>
      <c r="AH17" s="1177"/>
      <c r="AI17" s="1177"/>
      <c r="AJ17" s="1177"/>
      <c r="AK17" s="1177"/>
      <c r="AL17" s="1177"/>
      <c r="AM17" s="1177"/>
      <c r="AN17" s="1177"/>
      <c r="AO17" s="1177"/>
      <c r="AP17" s="1177"/>
      <c r="AQ17" s="1177"/>
      <c r="AR17" s="1177"/>
      <c r="AS17" s="1177"/>
      <c r="AT17" s="1177"/>
      <c r="AU17" s="1177"/>
      <c r="AV17" s="1177"/>
      <c r="AW17" s="1177"/>
      <c r="AX17" s="1177"/>
      <c r="AY17" s="1178"/>
      <c r="AZ17" s="242"/>
      <c r="BA17" s="242"/>
      <c r="BB17" s="242"/>
      <c r="BC17" s="242"/>
      <c r="BD17" s="242"/>
      <c r="BE17" s="258"/>
      <c r="BF17" s="240"/>
      <c r="BG17" s="239"/>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row>
    <row r="18" spans="1:85" ht="15.75" customHeight="1">
      <c r="A18" s="242"/>
      <c r="B18" s="1347" t="s">
        <v>1363</v>
      </c>
      <c r="C18" s="1272"/>
      <c r="D18" s="1272"/>
      <c r="E18" s="1272"/>
      <c r="F18" s="1272"/>
      <c r="G18" s="1272"/>
      <c r="H18" s="1272"/>
      <c r="I18" s="1348"/>
      <c r="J18" s="1213" t="s">
        <v>1365</v>
      </c>
      <c r="K18" s="921"/>
      <c r="L18" s="921"/>
      <c r="M18" s="921"/>
      <c r="N18" s="921"/>
      <c r="O18" s="943"/>
      <c r="P18" s="1213" t="s">
        <v>882</v>
      </c>
      <c r="Q18" s="921"/>
      <c r="R18" s="921"/>
      <c r="S18" s="921"/>
      <c r="T18" s="921"/>
      <c r="U18" s="943"/>
      <c r="V18" s="1213" t="s">
        <v>883</v>
      </c>
      <c r="W18" s="921"/>
      <c r="X18" s="921"/>
      <c r="Y18" s="921"/>
      <c r="Z18" s="921"/>
      <c r="AA18" s="943"/>
      <c r="AB18" s="1213" t="s">
        <v>884</v>
      </c>
      <c r="AC18" s="921"/>
      <c r="AD18" s="921"/>
      <c r="AE18" s="921"/>
      <c r="AF18" s="921"/>
      <c r="AG18" s="943"/>
      <c r="AH18" s="1213" t="s">
        <v>885</v>
      </c>
      <c r="AI18" s="921"/>
      <c r="AJ18" s="921"/>
      <c r="AK18" s="921"/>
      <c r="AL18" s="921"/>
      <c r="AM18" s="943"/>
      <c r="AN18" s="1213" t="s">
        <v>886</v>
      </c>
      <c r="AO18" s="921"/>
      <c r="AP18" s="921"/>
      <c r="AQ18" s="921"/>
      <c r="AR18" s="921"/>
      <c r="AS18" s="943"/>
      <c r="AT18" s="1213" t="s">
        <v>1370</v>
      </c>
      <c r="AU18" s="921"/>
      <c r="AV18" s="921"/>
      <c r="AW18" s="921"/>
      <c r="AX18" s="921"/>
      <c r="AY18" s="1149"/>
      <c r="AZ18" s="242"/>
      <c r="BA18" s="242"/>
      <c r="BB18" s="242"/>
      <c r="BC18" s="242"/>
      <c r="BD18" s="242"/>
      <c r="BE18" s="258"/>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row>
    <row r="19" spans="1:85" ht="15.75" customHeight="1">
      <c r="A19" s="242"/>
      <c r="B19" s="1317">
        <v>0.3</v>
      </c>
      <c r="C19" s="921"/>
      <c r="D19" s="921"/>
      <c r="E19" s="921"/>
      <c r="F19" s="921"/>
      <c r="G19" s="921"/>
      <c r="H19" s="921"/>
      <c r="I19" s="943"/>
      <c r="J19" s="1318">
        <f t="shared" ref="J19:J24" si="0">SUM(P19:AS19)</f>
        <v>26</v>
      </c>
      <c r="K19" s="921"/>
      <c r="L19" s="921"/>
      <c r="M19" s="921"/>
      <c r="N19" s="921"/>
      <c r="O19" s="943"/>
      <c r="P19" s="1318">
        <f t="array" ref="P19">SUMPRODUCT((Application!$B$726:$B$758 = 'CalHFA Addendum'!P$18)*(Application!$AC$726:$AC$758 = 'CalHFA Addendum'!$B19),Application!$G$726:$G$758)</f>
        <v>0</v>
      </c>
      <c r="Q19" s="921"/>
      <c r="R19" s="921"/>
      <c r="S19" s="921"/>
      <c r="T19" s="921"/>
      <c r="U19" s="943"/>
      <c r="V19" s="1318">
        <f t="array" ref="V19">SUMPRODUCT((Application!$B$726:$B$758 = 'CalHFA Addendum'!V$18)*(Application!$AC$726:$AC$758 = 'CalHFA Addendum'!$B19),Application!$G$726:$G$758)</f>
        <v>12</v>
      </c>
      <c r="W19" s="921"/>
      <c r="X19" s="921"/>
      <c r="Y19" s="921"/>
      <c r="Z19" s="921"/>
      <c r="AA19" s="943"/>
      <c r="AB19" s="1318">
        <f t="array" ref="AB19">SUMPRODUCT((Application!$B$726:$B$758 = 'CalHFA Addendum'!AB$18)*(Application!$AC$726:$AC$758 = 'CalHFA Addendum'!$B19),Application!$G$726:$G$758)</f>
        <v>8</v>
      </c>
      <c r="AC19" s="921"/>
      <c r="AD19" s="921"/>
      <c r="AE19" s="921"/>
      <c r="AF19" s="921"/>
      <c r="AG19" s="943"/>
      <c r="AH19" s="1318">
        <f t="array" ref="AH19">SUMPRODUCT((Application!$B$726:$B$758 = 'CalHFA Addendum'!AH$18)*(Application!$AC$726:$AC$758 = 'CalHFA Addendum'!$B19),Application!$G$726:$G$758)</f>
        <v>6</v>
      </c>
      <c r="AI19" s="921"/>
      <c r="AJ19" s="921"/>
      <c r="AK19" s="921"/>
      <c r="AL19" s="921"/>
      <c r="AM19" s="943"/>
      <c r="AN19" s="1318">
        <f t="array" ref="AN19">SUMPRODUCT((Application!$B$726:$B$758 = 'CalHFA Addendum'!AN$18)*(Application!$AC$726:$AC$758 = 'CalHFA Addendum'!$B19),Application!$G$726:$G$758)</f>
        <v>0</v>
      </c>
      <c r="AO19" s="921"/>
      <c r="AP19" s="921"/>
      <c r="AQ19" s="921"/>
      <c r="AR19" s="921"/>
      <c r="AS19" s="943"/>
      <c r="AT19" s="1316" t="e">
        <f t="shared" ref="AT19:AT29" ca="1" si="1">J19/$J$29</f>
        <v>#NAME?</v>
      </c>
      <c r="AU19" s="921"/>
      <c r="AV19" s="921"/>
      <c r="AW19" s="921"/>
      <c r="AX19" s="921"/>
      <c r="AY19" s="1149"/>
      <c r="AZ19" s="259"/>
      <c r="BA19" s="242"/>
      <c r="BB19" s="242"/>
      <c r="BC19" s="242"/>
      <c r="BD19" s="242"/>
      <c r="BE19" s="258"/>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row>
    <row r="20" spans="1:85" ht="15" customHeight="1">
      <c r="A20" s="242"/>
      <c r="B20" s="1317">
        <v>0.4</v>
      </c>
      <c r="C20" s="921"/>
      <c r="D20" s="921"/>
      <c r="E20" s="921"/>
      <c r="F20" s="921"/>
      <c r="G20" s="921"/>
      <c r="H20" s="921"/>
      <c r="I20" s="943"/>
      <c r="J20" s="1318">
        <f t="shared" si="0"/>
        <v>0</v>
      </c>
      <c r="K20" s="921"/>
      <c r="L20" s="921"/>
      <c r="M20" s="921"/>
      <c r="N20" s="921"/>
      <c r="O20" s="943"/>
      <c r="P20" s="1318">
        <f t="array" ref="P20">SUMPRODUCT((Application!$B$726:$B$758 = 'CalHFA Addendum'!P$18)*(Application!$AC$726:$AC$758 = 'CalHFA Addendum'!$B20),Application!$G$726:$G$758)</f>
        <v>0</v>
      </c>
      <c r="Q20" s="921"/>
      <c r="R20" s="921"/>
      <c r="S20" s="921"/>
      <c r="T20" s="921"/>
      <c r="U20" s="943"/>
      <c r="V20" s="1318">
        <f t="array" ref="V20">SUMPRODUCT((Application!$B$726:$B$758 = 'CalHFA Addendum'!V$18)*(Application!$AC$726:$AC$758 = 'CalHFA Addendum'!$B20),Application!$G$726:$G$758)</f>
        <v>0</v>
      </c>
      <c r="W20" s="921"/>
      <c r="X20" s="921"/>
      <c r="Y20" s="921"/>
      <c r="Z20" s="921"/>
      <c r="AA20" s="943"/>
      <c r="AB20" s="1318">
        <f t="array" ref="AB20">SUMPRODUCT((Application!$B$726:$B$758 = 'CalHFA Addendum'!AB$18)*(Application!$AC$726:$AC$758 = 'CalHFA Addendum'!$B20),Application!$G$726:$G$758)</f>
        <v>0</v>
      </c>
      <c r="AC20" s="921"/>
      <c r="AD20" s="921"/>
      <c r="AE20" s="921"/>
      <c r="AF20" s="921"/>
      <c r="AG20" s="943"/>
      <c r="AH20" s="1318">
        <f t="array" ref="AH20">SUMPRODUCT((Application!$B$726:$B$758 = 'CalHFA Addendum'!AH$18)*(Application!$AC$726:$AC$758 = 'CalHFA Addendum'!$B20),Application!$G$726:$G$758)</f>
        <v>0</v>
      </c>
      <c r="AI20" s="921"/>
      <c r="AJ20" s="921"/>
      <c r="AK20" s="921"/>
      <c r="AL20" s="921"/>
      <c r="AM20" s="943"/>
      <c r="AN20" s="1318">
        <f t="array" ref="AN20">SUMPRODUCT((Application!$B$726:$B$758 = 'CalHFA Addendum'!AN$18)*(Application!$AC$726:$AC$758 = 'CalHFA Addendum'!$B20),Application!$G$726:$G$758)</f>
        <v>0</v>
      </c>
      <c r="AO20" s="921"/>
      <c r="AP20" s="921"/>
      <c r="AQ20" s="921"/>
      <c r="AR20" s="921"/>
      <c r="AS20" s="943"/>
      <c r="AT20" s="1316" t="e">
        <f t="shared" ca="1" si="1"/>
        <v>#NAME?</v>
      </c>
      <c r="AU20" s="921"/>
      <c r="AV20" s="921"/>
      <c r="AW20" s="921"/>
      <c r="AX20" s="921"/>
      <c r="AY20" s="1149"/>
      <c r="AZ20" s="242"/>
      <c r="BA20" s="242"/>
      <c r="BB20" s="242"/>
      <c r="BC20" s="242"/>
      <c r="BD20" s="242"/>
      <c r="BE20" s="258"/>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row>
    <row r="21" spans="1:85" ht="15.75" customHeight="1">
      <c r="A21" s="242"/>
      <c r="B21" s="1317">
        <v>0.5</v>
      </c>
      <c r="C21" s="921"/>
      <c r="D21" s="921"/>
      <c r="E21" s="921"/>
      <c r="F21" s="921"/>
      <c r="G21" s="921"/>
      <c r="H21" s="921"/>
      <c r="I21" s="943"/>
      <c r="J21" s="1318">
        <f t="shared" si="0"/>
        <v>26</v>
      </c>
      <c r="K21" s="921"/>
      <c r="L21" s="921"/>
      <c r="M21" s="921"/>
      <c r="N21" s="921"/>
      <c r="O21" s="943"/>
      <c r="P21" s="1318">
        <f t="array" ref="P21">SUMPRODUCT((Application!$B$726:$B$758 = 'CalHFA Addendum'!P$18)*(Application!$AC$726:$AC$758 = 'CalHFA Addendum'!$B21),Application!$G$726:$G$758)</f>
        <v>0</v>
      </c>
      <c r="Q21" s="921"/>
      <c r="R21" s="921"/>
      <c r="S21" s="921"/>
      <c r="T21" s="921"/>
      <c r="U21" s="943"/>
      <c r="V21" s="1318">
        <f t="array" ref="V21">SUMPRODUCT((Application!$B$726:$B$758 = 'CalHFA Addendum'!V$18)*(Application!$AC$726:$AC$758 = 'CalHFA Addendum'!$B21),Application!$G$726:$G$758)</f>
        <v>12</v>
      </c>
      <c r="W21" s="921"/>
      <c r="X21" s="921"/>
      <c r="Y21" s="921"/>
      <c r="Z21" s="921"/>
      <c r="AA21" s="943"/>
      <c r="AB21" s="1318">
        <f t="array" ref="AB21">SUMPRODUCT((Application!$B$726:$B$758 = 'CalHFA Addendum'!AB$18)*(Application!$AC$726:$AC$758 = 'CalHFA Addendum'!$B21),Application!$G$726:$G$758)</f>
        <v>8</v>
      </c>
      <c r="AC21" s="921"/>
      <c r="AD21" s="921"/>
      <c r="AE21" s="921"/>
      <c r="AF21" s="921"/>
      <c r="AG21" s="943"/>
      <c r="AH21" s="1318">
        <f t="array" ref="AH21">SUMPRODUCT((Application!$B$726:$B$758 = 'CalHFA Addendum'!AH$18)*(Application!$AC$726:$AC$758 = 'CalHFA Addendum'!$B21),Application!$G$726:$G$758)</f>
        <v>6</v>
      </c>
      <c r="AI21" s="921"/>
      <c r="AJ21" s="921"/>
      <c r="AK21" s="921"/>
      <c r="AL21" s="921"/>
      <c r="AM21" s="943"/>
      <c r="AN21" s="1318">
        <f t="array" ref="AN21">SUMPRODUCT((Application!$B$726:$B$758 = 'CalHFA Addendum'!AN$18)*(Application!$AC$726:$AC$758 = 'CalHFA Addendum'!$B21),Application!$G$726:$G$758)</f>
        <v>0</v>
      </c>
      <c r="AO21" s="921"/>
      <c r="AP21" s="921"/>
      <c r="AQ21" s="921"/>
      <c r="AR21" s="921"/>
      <c r="AS21" s="943"/>
      <c r="AT21" s="1316" t="e">
        <f t="shared" ca="1" si="1"/>
        <v>#NAME?</v>
      </c>
      <c r="AU21" s="921"/>
      <c r="AV21" s="921"/>
      <c r="AW21" s="921"/>
      <c r="AX21" s="921"/>
      <c r="AY21" s="1149"/>
      <c r="AZ21" s="242"/>
      <c r="BA21" s="242"/>
      <c r="BB21" s="242"/>
      <c r="BC21" s="242"/>
      <c r="BD21" s="242"/>
      <c r="BE21" s="258"/>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row>
    <row r="22" spans="1:85" ht="15.75" customHeight="1">
      <c r="A22" s="242"/>
      <c r="B22" s="1317">
        <v>0.6</v>
      </c>
      <c r="C22" s="921"/>
      <c r="D22" s="921"/>
      <c r="E22" s="921"/>
      <c r="F22" s="921"/>
      <c r="G22" s="921"/>
      <c r="H22" s="921"/>
      <c r="I22" s="943"/>
      <c r="J22" s="1318">
        <f t="shared" si="0"/>
        <v>180</v>
      </c>
      <c r="K22" s="921"/>
      <c r="L22" s="921"/>
      <c r="M22" s="921"/>
      <c r="N22" s="921"/>
      <c r="O22" s="943"/>
      <c r="P22" s="1318">
        <f t="array" ref="P22">SUMPRODUCT((Application!$B$726:$B$758 = 'CalHFA Addendum'!P$18)*(Application!$AC$726:$AC$758 = 'CalHFA Addendum'!$B22),Application!$G$726:$G$758)</f>
        <v>0</v>
      </c>
      <c r="Q22" s="921"/>
      <c r="R22" s="921"/>
      <c r="S22" s="921"/>
      <c r="T22" s="921"/>
      <c r="U22" s="943"/>
      <c r="V22" s="1318">
        <f t="array" ref="V22">SUMPRODUCT((Application!$B$726:$B$758 = 'CalHFA Addendum'!V$18)*(Application!$AC$726:$AC$758 = 'CalHFA Addendum'!$B22),Application!$G$726:$G$758)</f>
        <v>95</v>
      </c>
      <c r="W22" s="921"/>
      <c r="X22" s="921"/>
      <c r="Y22" s="921"/>
      <c r="Z22" s="921"/>
      <c r="AA22" s="943"/>
      <c r="AB22" s="1318">
        <f t="array" ref="AB22">SUMPRODUCT((Application!$B$726:$B$758 = 'CalHFA Addendum'!AB$18)*(Application!$AC$726:$AC$758 = 'CalHFA Addendum'!$B22),Application!$G$726:$G$758)</f>
        <v>52</v>
      </c>
      <c r="AC22" s="921"/>
      <c r="AD22" s="921"/>
      <c r="AE22" s="921"/>
      <c r="AF22" s="921"/>
      <c r="AG22" s="943"/>
      <c r="AH22" s="1318">
        <f t="array" ref="AH22">SUMPRODUCT((Application!$B$726:$B$758 = 'CalHFA Addendum'!AH$18)*(Application!$AC$726:$AC$758 = 'CalHFA Addendum'!$B22),Application!$G$726:$G$758)</f>
        <v>33</v>
      </c>
      <c r="AI22" s="921"/>
      <c r="AJ22" s="921"/>
      <c r="AK22" s="921"/>
      <c r="AL22" s="921"/>
      <c r="AM22" s="943"/>
      <c r="AN22" s="1318">
        <f t="array" ref="AN22">SUMPRODUCT((Application!$B$726:$B$758 = 'CalHFA Addendum'!AN$18)*(Application!$AC$726:$AC$758 = 'CalHFA Addendum'!$B22),Application!$G$726:$G$758)</f>
        <v>0</v>
      </c>
      <c r="AO22" s="921"/>
      <c r="AP22" s="921"/>
      <c r="AQ22" s="921"/>
      <c r="AR22" s="921"/>
      <c r="AS22" s="943"/>
      <c r="AT22" s="1316" t="e">
        <f t="shared" ca="1" si="1"/>
        <v>#NAME?</v>
      </c>
      <c r="AU22" s="921"/>
      <c r="AV22" s="921"/>
      <c r="AW22" s="921"/>
      <c r="AX22" s="921"/>
      <c r="AY22" s="1149"/>
      <c r="AZ22" s="242"/>
      <c r="BA22" s="242"/>
      <c r="BB22" s="242"/>
      <c r="BC22" s="242"/>
      <c r="BD22" s="242"/>
      <c r="BE22" s="258"/>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row>
    <row r="23" spans="1:85" ht="15.75" customHeight="1">
      <c r="A23" s="242"/>
      <c r="B23" s="1317">
        <v>0.7</v>
      </c>
      <c r="C23" s="921"/>
      <c r="D23" s="921"/>
      <c r="E23" s="921"/>
      <c r="F23" s="921"/>
      <c r="G23" s="921"/>
      <c r="H23" s="921"/>
      <c r="I23" s="943"/>
      <c r="J23" s="1318">
        <f t="shared" si="0"/>
        <v>0</v>
      </c>
      <c r="K23" s="921"/>
      <c r="L23" s="921"/>
      <c r="M23" s="921"/>
      <c r="N23" s="921"/>
      <c r="O23" s="943"/>
      <c r="P23" s="1318">
        <f t="array" ref="P23">SUMPRODUCT((Application!$B$726:$B$758 = 'CalHFA Addendum'!P$18)*(Application!$AC$726:$AC$758 = 'CalHFA Addendum'!$B23),Application!$G$726:$G$758)</f>
        <v>0</v>
      </c>
      <c r="Q23" s="921"/>
      <c r="R23" s="921"/>
      <c r="S23" s="921"/>
      <c r="T23" s="921"/>
      <c r="U23" s="943"/>
      <c r="V23" s="1318">
        <f t="array" ref="V23">SUMPRODUCT((Application!$B$726:$B$758 = 'CalHFA Addendum'!V$18)*(Application!$AC$726:$AC$758 = 'CalHFA Addendum'!$B23),Application!$G$726:$G$758)</f>
        <v>0</v>
      </c>
      <c r="W23" s="921"/>
      <c r="X23" s="921"/>
      <c r="Y23" s="921"/>
      <c r="Z23" s="921"/>
      <c r="AA23" s="943"/>
      <c r="AB23" s="1318">
        <f t="array" ref="AB23">SUMPRODUCT((Application!$B$726:$B$758 = 'CalHFA Addendum'!AB$18)*(Application!$AC$726:$AC$758 = 'CalHFA Addendum'!$B23),Application!$G$726:$G$758)</f>
        <v>0</v>
      </c>
      <c r="AC23" s="921"/>
      <c r="AD23" s="921"/>
      <c r="AE23" s="921"/>
      <c r="AF23" s="921"/>
      <c r="AG23" s="943"/>
      <c r="AH23" s="1318">
        <f t="array" ref="AH23">SUMPRODUCT((Application!$B$726:$B$758 = 'CalHFA Addendum'!AH$18)*(Application!$AC$726:$AC$758 = 'CalHFA Addendum'!$B23),Application!$G$726:$G$758)</f>
        <v>0</v>
      </c>
      <c r="AI23" s="921"/>
      <c r="AJ23" s="921"/>
      <c r="AK23" s="921"/>
      <c r="AL23" s="921"/>
      <c r="AM23" s="943"/>
      <c r="AN23" s="1318">
        <f t="array" ref="AN23">SUMPRODUCT((Application!$B$726:$B$758 = 'CalHFA Addendum'!AN$18)*(Application!$AC$726:$AC$758 = 'CalHFA Addendum'!$B23),Application!$G$726:$G$758)</f>
        <v>0</v>
      </c>
      <c r="AO23" s="921"/>
      <c r="AP23" s="921"/>
      <c r="AQ23" s="921"/>
      <c r="AR23" s="921"/>
      <c r="AS23" s="943"/>
      <c r="AT23" s="1316" t="e">
        <f t="shared" ca="1" si="1"/>
        <v>#NAME?</v>
      </c>
      <c r="AU23" s="921"/>
      <c r="AV23" s="921"/>
      <c r="AW23" s="921"/>
      <c r="AX23" s="921"/>
      <c r="AY23" s="1149"/>
      <c r="AZ23" s="242"/>
      <c r="BA23" s="242"/>
      <c r="BB23" s="242"/>
      <c r="BC23" s="242"/>
      <c r="BD23" s="242"/>
      <c r="BE23" s="258"/>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row>
    <row r="24" spans="1:85" ht="15.75" customHeight="1">
      <c r="A24" s="242"/>
      <c r="B24" s="1317">
        <v>0.8</v>
      </c>
      <c r="C24" s="921"/>
      <c r="D24" s="921"/>
      <c r="E24" s="921"/>
      <c r="F24" s="921"/>
      <c r="G24" s="921"/>
      <c r="H24" s="921"/>
      <c r="I24" s="943"/>
      <c r="J24" s="1318">
        <f t="shared" si="0"/>
        <v>0</v>
      </c>
      <c r="K24" s="921"/>
      <c r="L24" s="921"/>
      <c r="M24" s="921"/>
      <c r="N24" s="921"/>
      <c r="O24" s="943"/>
      <c r="P24" s="1318">
        <f t="array" ref="P24">SUMPRODUCT((Application!$B$726:$B$758 = 'CalHFA Addendum'!P$18)*(Application!$AC$726:$AC$758 = 'CalHFA Addendum'!$B24),Application!$G$726:$G$758)</f>
        <v>0</v>
      </c>
      <c r="Q24" s="921"/>
      <c r="R24" s="921"/>
      <c r="S24" s="921"/>
      <c r="T24" s="921"/>
      <c r="U24" s="943"/>
      <c r="V24" s="1318">
        <f t="array" ref="V24">SUMPRODUCT((Application!$B$726:$B$758 = 'CalHFA Addendum'!V$18)*(Application!$AC$726:$AC$758 = 'CalHFA Addendum'!$B24),Application!$G$726:$G$758)</f>
        <v>0</v>
      </c>
      <c r="W24" s="921"/>
      <c r="X24" s="921"/>
      <c r="Y24" s="921"/>
      <c r="Z24" s="921"/>
      <c r="AA24" s="943"/>
      <c r="AB24" s="1318">
        <f t="array" ref="AB24">SUMPRODUCT((Application!$B$726:$B$758 = 'CalHFA Addendum'!AB$18)*(Application!$AC$726:$AC$758 = 'CalHFA Addendum'!$B24),Application!$G$726:$G$758)</f>
        <v>0</v>
      </c>
      <c r="AC24" s="921"/>
      <c r="AD24" s="921"/>
      <c r="AE24" s="921"/>
      <c r="AF24" s="921"/>
      <c r="AG24" s="943"/>
      <c r="AH24" s="1318">
        <f t="array" ref="AH24">SUMPRODUCT((Application!$B$726:$B$758 = 'CalHFA Addendum'!AH$18)*(Application!$AC$726:$AC$758 = 'CalHFA Addendum'!$B24),Application!$G$726:$G$758)</f>
        <v>0</v>
      </c>
      <c r="AI24" s="921"/>
      <c r="AJ24" s="921"/>
      <c r="AK24" s="921"/>
      <c r="AL24" s="921"/>
      <c r="AM24" s="943"/>
      <c r="AN24" s="1318">
        <f t="array" ref="AN24">SUMPRODUCT((Application!$B$726:$B$758 = 'CalHFA Addendum'!AN$18)*(Application!$AC$726:$AC$758 = 'CalHFA Addendum'!$B24),Application!$G$726:$G$758)</f>
        <v>0</v>
      </c>
      <c r="AO24" s="921"/>
      <c r="AP24" s="921"/>
      <c r="AQ24" s="921"/>
      <c r="AR24" s="921"/>
      <c r="AS24" s="943"/>
      <c r="AT24" s="1316" t="e">
        <f t="shared" ca="1" si="1"/>
        <v>#NAME?</v>
      </c>
      <c r="AU24" s="921"/>
      <c r="AV24" s="921"/>
      <c r="AW24" s="921"/>
      <c r="AX24" s="921"/>
      <c r="AY24" s="1149"/>
      <c r="AZ24" s="242"/>
      <c r="BA24" s="242"/>
      <c r="BB24" s="242"/>
      <c r="BC24" s="242"/>
      <c r="BD24" s="242"/>
      <c r="BE24" s="258"/>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row>
    <row r="25" spans="1:85" ht="15.75" customHeight="1">
      <c r="A25" s="242"/>
      <c r="B25" s="1317">
        <v>0.9</v>
      </c>
      <c r="C25" s="921"/>
      <c r="D25" s="921"/>
      <c r="E25" s="921"/>
      <c r="F25" s="921"/>
      <c r="G25" s="921"/>
      <c r="H25" s="921"/>
      <c r="I25" s="943"/>
      <c r="J25" s="1151"/>
      <c r="K25" s="921"/>
      <c r="L25" s="921"/>
      <c r="M25" s="921"/>
      <c r="N25" s="921"/>
      <c r="O25" s="943"/>
      <c r="P25" s="1151"/>
      <c r="Q25" s="921"/>
      <c r="R25" s="921"/>
      <c r="S25" s="921"/>
      <c r="T25" s="921"/>
      <c r="U25" s="943"/>
      <c r="V25" s="1151"/>
      <c r="W25" s="921"/>
      <c r="X25" s="921"/>
      <c r="Y25" s="921"/>
      <c r="Z25" s="921"/>
      <c r="AA25" s="943"/>
      <c r="AB25" s="1151"/>
      <c r="AC25" s="921"/>
      <c r="AD25" s="921"/>
      <c r="AE25" s="921"/>
      <c r="AF25" s="921"/>
      <c r="AG25" s="943"/>
      <c r="AH25" s="1151"/>
      <c r="AI25" s="921"/>
      <c r="AJ25" s="921"/>
      <c r="AK25" s="921"/>
      <c r="AL25" s="921"/>
      <c r="AM25" s="943"/>
      <c r="AN25" s="1151"/>
      <c r="AO25" s="921"/>
      <c r="AP25" s="921"/>
      <c r="AQ25" s="921"/>
      <c r="AR25" s="921"/>
      <c r="AS25" s="943"/>
      <c r="AT25" s="1316" t="e">
        <f t="shared" ca="1" si="1"/>
        <v>#NAME?</v>
      </c>
      <c r="AU25" s="921"/>
      <c r="AV25" s="921"/>
      <c r="AW25" s="921"/>
      <c r="AX25" s="921"/>
      <c r="AY25" s="1149"/>
      <c r="AZ25" s="242"/>
      <c r="BA25" s="242"/>
      <c r="BB25" s="242"/>
      <c r="BC25" s="242"/>
      <c r="BD25" s="242"/>
      <c r="BE25" s="258"/>
      <c r="BF25" s="239"/>
      <c r="BG25" s="239"/>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row>
    <row r="26" spans="1:85" ht="15.75" customHeight="1">
      <c r="A26" s="242"/>
      <c r="B26" s="1317">
        <v>1</v>
      </c>
      <c r="C26" s="921"/>
      <c r="D26" s="921"/>
      <c r="E26" s="921"/>
      <c r="F26" s="921"/>
      <c r="G26" s="921"/>
      <c r="H26" s="921"/>
      <c r="I26" s="943"/>
      <c r="J26" s="1151"/>
      <c r="K26" s="921"/>
      <c r="L26" s="921"/>
      <c r="M26" s="921"/>
      <c r="N26" s="921"/>
      <c r="O26" s="943"/>
      <c r="P26" s="1151"/>
      <c r="Q26" s="921"/>
      <c r="R26" s="921"/>
      <c r="S26" s="921"/>
      <c r="T26" s="921"/>
      <c r="U26" s="943"/>
      <c r="V26" s="1151"/>
      <c r="W26" s="921"/>
      <c r="X26" s="921"/>
      <c r="Y26" s="921"/>
      <c r="Z26" s="921"/>
      <c r="AA26" s="943"/>
      <c r="AB26" s="1151"/>
      <c r="AC26" s="921"/>
      <c r="AD26" s="921"/>
      <c r="AE26" s="921"/>
      <c r="AF26" s="921"/>
      <c r="AG26" s="943"/>
      <c r="AH26" s="1151"/>
      <c r="AI26" s="921"/>
      <c r="AJ26" s="921"/>
      <c r="AK26" s="921"/>
      <c r="AL26" s="921"/>
      <c r="AM26" s="943"/>
      <c r="AN26" s="1151"/>
      <c r="AO26" s="921"/>
      <c r="AP26" s="921"/>
      <c r="AQ26" s="921"/>
      <c r="AR26" s="921"/>
      <c r="AS26" s="943"/>
      <c r="AT26" s="1316" t="e">
        <f t="shared" ca="1" si="1"/>
        <v>#NAME?</v>
      </c>
      <c r="AU26" s="921"/>
      <c r="AV26" s="921"/>
      <c r="AW26" s="921"/>
      <c r="AX26" s="921"/>
      <c r="AY26" s="1149"/>
      <c r="AZ26" s="242"/>
      <c r="BA26" s="242"/>
      <c r="BB26" s="242"/>
      <c r="BC26" s="242"/>
      <c r="BD26" s="242"/>
      <c r="BE26" s="258"/>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row>
    <row r="27" spans="1:85" ht="15.75" customHeight="1">
      <c r="A27" s="242"/>
      <c r="B27" s="1317">
        <v>1.2</v>
      </c>
      <c r="C27" s="921"/>
      <c r="D27" s="921"/>
      <c r="E27" s="921"/>
      <c r="F27" s="921"/>
      <c r="G27" s="921"/>
      <c r="H27" s="921"/>
      <c r="I27" s="943"/>
      <c r="J27" s="1151"/>
      <c r="K27" s="921"/>
      <c r="L27" s="921"/>
      <c r="M27" s="921"/>
      <c r="N27" s="921"/>
      <c r="O27" s="943"/>
      <c r="P27" s="1151"/>
      <c r="Q27" s="921"/>
      <c r="R27" s="921"/>
      <c r="S27" s="921"/>
      <c r="T27" s="921"/>
      <c r="U27" s="943"/>
      <c r="V27" s="1151"/>
      <c r="W27" s="921"/>
      <c r="X27" s="921"/>
      <c r="Y27" s="921"/>
      <c r="Z27" s="921"/>
      <c r="AA27" s="943"/>
      <c r="AB27" s="1151"/>
      <c r="AC27" s="921"/>
      <c r="AD27" s="921"/>
      <c r="AE27" s="921"/>
      <c r="AF27" s="921"/>
      <c r="AG27" s="943"/>
      <c r="AH27" s="1151"/>
      <c r="AI27" s="921"/>
      <c r="AJ27" s="921"/>
      <c r="AK27" s="921"/>
      <c r="AL27" s="921"/>
      <c r="AM27" s="943"/>
      <c r="AN27" s="1151"/>
      <c r="AO27" s="921"/>
      <c r="AP27" s="921"/>
      <c r="AQ27" s="921"/>
      <c r="AR27" s="921"/>
      <c r="AS27" s="943"/>
      <c r="AT27" s="1316" t="e">
        <f t="shared" ca="1" si="1"/>
        <v>#NAME?</v>
      </c>
      <c r="AU27" s="921"/>
      <c r="AV27" s="921"/>
      <c r="AW27" s="921"/>
      <c r="AX27" s="921"/>
      <c r="AY27" s="1149"/>
      <c r="AZ27" s="242"/>
      <c r="BA27" s="242"/>
      <c r="BB27" s="242"/>
      <c r="BC27" s="242"/>
      <c r="BD27" s="242"/>
      <c r="BE27" s="258"/>
      <c r="BF27" s="239"/>
      <c r="BG27" s="239"/>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row>
    <row r="28" spans="1:85" ht="15.75" customHeight="1">
      <c r="A28" s="242"/>
      <c r="B28" s="1335" t="s">
        <v>1420</v>
      </c>
      <c r="C28" s="1154"/>
      <c r="D28" s="1154"/>
      <c r="E28" s="1154"/>
      <c r="F28" s="1154"/>
      <c r="G28" s="1154"/>
      <c r="H28" s="1154"/>
      <c r="I28" s="1190"/>
      <c r="J28" s="1340" t="e">
        <f ca="1">SUM(P28:AS28)</f>
        <v>#NAME?</v>
      </c>
      <c r="K28" s="1154"/>
      <c r="L28" s="1154"/>
      <c r="M28" s="1154"/>
      <c r="N28" s="1154"/>
      <c r="O28" s="1190"/>
      <c r="P28" s="1340" t="e">
        <f ca="1">_xludf.IFNA(VLOOKUP(P$18,Application!$J$779:$S$782,6,FALSE), 0)</f>
        <v>#NAME?</v>
      </c>
      <c r="Q28" s="1154"/>
      <c r="R28" s="1154"/>
      <c r="S28" s="1154"/>
      <c r="T28" s="1154"/>
      <c r="U28" s="1190"/>
      <c r="V28" s="1340" t="e">
        <f ca="1">_xludf.IFNA(VLOOKUP(V$18,Application!$J$779:$S$782,6,FALSE), 0)</f>
        <v>#NAME?</v>
      </c>
      <c r="W28" s="1154"/>
      <c r="X28" s="1154"/>
      <c r="Y28" s="1154"/>
      <c r="Z28" s="1154"/>
      <c r="AA28" s="1190"/>
      <c r="AB28" s="1340" t="e">
        <f ca="1">_xludf.IFNA(VLOOKUP(AB$18,Application!$J$779:$S$782,6,FALSE), 0)</f>
        <v>#NAME?</v>
      </c>
      <c r="AC28" s="1154"/>
      <c r="AD28" s="1154"/>
      <c r="AE28" s="1154"/>
      <c r="AF28" s="1154"/>
      <c r="AG28" s="1190"/>
      <c r="AH28" s="1340" t="e">
        <f ca="1">_xludf.IFNA(VLOOKUP(AH$18,Application!$J$779:$S$782,6,FALSE), 0)</f>
        <v>#NAME?</v>
      </c>
      <c r="AI28" s="1154"/>
      <c r="AJ28" s="1154"/>
      <c r="AK28" s="1154"/>
      <c r="AL28" s="1154"/>
      <c r="AM28" s="1190"/>
      <c r="AN28" s="1340" t="e">
        <f ca="1">_xludf.IFNA(VLOOKUP(AN$18,Application!$J$779:$S$782,6,FALSE), 0)</f>
        <v>#NAME?</v>
      </c>
      <c r="AO28" s="1154"/>
      <c r="AP28" s="1154"/>
      <c r="AQ28" s="1154"/>
      <c r="AR28" s="1154"/>
      <c r="AS28" s="1190"/>
      <c r="AT28" s="1341" t="e">
        <f t="shared" ca="1" si="1"/>
        <v>#NAME?</v>
      </c>
      <c r="AU28" s="1154"/>
      <c r="AV28" s="1154"/>
      <c r="AW28" s="1154"/>
      <c r="AX28" s="1154"/>
      <c r="AY28" s="1155"/>
      <c r="AZ28" s="242"/>
      <c r="BA28" s="242"/>
      <c r="BB28" s="242"/>
      <c r="BC28" s="242"/>
      <c r="BD28" s="242"/>
      <c r="BE28" s="258"/>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row>
    <row r="29" spans="1:85" ht="15.75" customHeight="1">
      <c r="A29" s="242"/>
      <c r="B29" s="1344" t="s">
        <v>1365</v>
      </c>
      <c r="C29" s="1168"/>
      <c r="D29" s="1168"/>
      <c r="E29" s="1168"/>
      <c r="F29" s="1168"/>
      <c r="G29" s="1168"/>
      <c r="H29" s="1168"/>
      <c r="I29" s="1169"/>
      <c r="J29" s="1338" t="e">
        <f ca="1">SUM(J19:O28)</f>
        <v>#NAME?</v>
      </c>
      <c r="K29" s="1168"/>
      <c r="L29" s="1168"/>
      <c r="M29" s="1168"/>
      <c r="N29" s="1168"/>
      <c r="O29" s="1169"/>
      <c r="P29" s="1338" t="e">
        <f ca="1">SUM(P19:U28)</f>
        <v>#NAME?</v>
      </c>
      <c r="Q29" s="1168"/>
      <c r="R29" s="1168"/>
      <c r="S29" s="1168"/>
      <c r="T29" s="1168"/>
      <c r="U29" s="1169"/>
      <c r="V29" s="1338" t="e">
        <f ca="1">SUM(V19:AA28)</f>
        <v>#NAME?</v>
      </c>
      <c r="W29" s="1168"/>
      <c r="X29" s="1168"/>
      <c r="Y29" s="1168"/>
      <c r="Z29" s="1168"/>
      <c r="AA29" s="1169"/>
      <c r="AB29" s="1338" t="e">
        <f ca="1">SUM(AB19:AG28)</f>
        <v>#NAME?</v>
      </c>
      <c r="AC29" s="1168"/>
      <c r="AD29" s="1168"/>
      <c r="AE29" s="1168"/>
      <c r="AF29" s="1168"/>
      <c r="AG29" s="1169"/>
      <c r="AH29" s="1338" t="e">
        <f ca="1">SUM(AH19:AM28)</f>
        <v>#NAME?</v>
      </c>
      <c r="AI29" s="1168"/>
      <c r="AJ29" s="1168"/>
      <c r="AK29" s="1168"/>
      <c r="AL29" s="1168"/>
      <c r="AM29" s="1169"/>
      <c r="AN29" s="1338" t="e">
        <f ca="1">SUM(AN19:AS28)</f>
        <v>#NAME?</v>
      </c>
      <c r="AO29" s="1168"/>
      <c r="AP29" s="1168"/>
      <c r="AQ29" s="1168"/>
      <c r="AR29" s="1168"/>
      <c r="AS29" s="1169"/>
      <c r="AT29" s="1339" t="e">
        <f t="shared" ca="1" si="1"/>
        <v>#NAME?</v>
      </c>
      <c r="AU29" s="1168"/>
      <c r="AV29" s="1168"/>
      <c r="AW29" s="1168"/>
      <c r="AX29" s="1168"/>
      <c r="AY29" s="1171"/>
      <c r="AZ29" s="242"/>
      <c r="BA29" s="242"/>
      <c r="BB29" s="242"/>
      <c r="BC29" s="242"/>
      <c r="BD29" s="242"/>
      <c r="BE29" s="258"/>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row>
    <row r="30" spans="1:85" ht="15.75" customHeight="1">
      <c r="A30" s="241"/>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58"/>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row>
    <row r="31" spans="1:85" ht="15.75" customHeight="1">
      <c r="A31" s="242"/>
      <c r="B31" s="1321" t="s">
        <v>1425</v>
      </c>
      <c r="C31" s="1231"/>
      <c r="D31" s="1231"/>
      <c r="E31" s="1231"/>
      <c r="F31" s="1231"/>
      <c r="G31" s="1231"/>
      <c r="H31" s="1231"/>
      <c r="I31" s="1231"/>
      <c r="J31" s="1231"/>
      <c r="K31" s="1231"/>
      <c r="L31" s="1231"/>
      <c r="M31" s="1231"/>
      <c r="N31" s="1231"/>
      <c r="O31" s="1231"/>
      <c r="P31" s="1231"/>
      <c r="Q31" s="1231"/>
      <c r="R31" s="1231"/>
      <c r="S31" s="1231"/>
      <c r="T31" s="1231"/>
      <c r="U31" s="1231"/>
      <c r="V31" s="1231"/>
      <c r="W31" s="1231"/>
      <c r="X31" s="1231"/>
      <c r="Y31" s="1231"/>
      <c r="Z31" s="1231"/>
      <c r="AA31" s="1231"/>
      <c r="AB31" s="1231"/>
      <c r="AC31" s="1231"/>
      <c r="AD31" s="1231"/>
      <c r="AE31" s="1231"/>
      <c r="AF31" s="1231"/>
      <c r="AG31" s="1231"/>
      <c r="AH31" s="1231"/>
      <c r="AI31" s="1231"/>
      <c r="AJ31" s="1231"/>
      <c r="AK31" s="1231"/>
      <c r="AL31" s="1231"/>
      <c r="AM31" s="1231"/>
      <c r="AN31" s="1231"/>
      <c r="AO31" s="1231"/>
      <c r="AP31" s="1231"/>
      <c r="AQ31" s="1231"/>
      <c r="AR31" s="1231"/>
      <c r="AS31" s="1231"/>
      <c r="AT31" s="1231"/>
      <c r="AU31" s="1231"/>
      <c r="AV31" s="1231"/>
      <c r="AW31" s="1231"/>
      <c r="AX31" s="1231"/>
      <c r="AY31" s="1231"/>
      <c r="AZ31" s="1231"/>
      <c r="BA31" s="1231"/>
      <c r="BB31" s="1231"/>
      <c r="BC31" s="1231"/>
      <c r="BD31" s="1232"/>
      <c r="BE31" s="258"/>
      <c r="BF31" s="239"/>
      <c r="BG31" s="239"/>
      <c r="BH31" s="239"/>
      <c r="BI31" s="239"/>
      <c r="BJ31" s="239"/>
      <c r="BK31" s="239"/>
      <c r="BL31" s="239"/>
      <c r="BM31" s="239"/>
      <c r="BN31" s="239"/>
      <c r="BO31" s="239"/>
      <c r="BP31" s="239"/>
      <c r="BQ31" s="239"/>
      <c r="BR31" s="239"/>
      <c r="BS31" s="239"/>
      <c r="BT31" s="239"/>
      <c r="BU31" s="239"/>
      <c r="BV31" s="239"/>
      <c r="BW31" s="239"/>
      <c r="BX31" s="239"/>
      <c r="BY31" s="239"/>
      <c r="BZ31" s="239"/>
      <c r="CA31" s="239"/>
      <c r="CB31" s="239"/>
      <c r="CC31" s="239"/>
      <c r="CD31" s="239"/>
      <c r="CE31" s="239"/>
      <c r="CF31" s="239"/>
      <c r="CG31" s="239"/>
    </row>
    <row r="32" spans="1:85" ht="15.75" customHeight="1">
      <c r="A32" s="242"/>
      <c r="B32" s="1336" t="s">
        <v>1426</v>
      </c>
      <c r="C32" s="901"/>
      <c r="D32" s="901"/>
      <c r="E32" s="901"/>
      <c r="F32" s="901"/>
      <c r="G32" s="901"/>
      <c r="H32" s="901"/>
      <c r="I32" s="1234"/>
      <c r="J32" s="1337" t="s">
        <v>1427</v>
      </c>
      <c r="K32" s="901"/>
      <c r="L32" s="901"/>
      <c r="M32" s="1234"/>
      <c r="N32" s="1337" t="s">
        <v>1428</v>
      </c>
      <c r="O32" s="901"/>
      <c r="P32" s="901"/>
      <c r="Q32" s="1234"/>
      <c r="R32" s="1342" t="s">
        <v>1429</v>
      </c>
      <c r="S32" s="1231"/>
      <c r="T32" s="1231"/>
      <c r="U32" s="1231"/>
      <c r="V32" s="1231"/>
      <c r="W32" s="1231"/>
      <c r="X32" s="1231"/>
      <c r="Y32" s="1231"/>
      <c r="Z32" s="1231"/>
      <c r="AA32" s="1231"/>
      <c r="AB32" s="1231"/>
      <c r="AC32" s="1231"/>
      <c r="AD32" s="1231"/>
      <c r="AE32" s="1231"/>
      <c r="AF32" s="1231"/>
      <c r="AG32" s="1231"/>
      <c r="AH32" s="1231"/>
      <c r="AI32" s="1231"/>
      <c r="AJ32" s="1231"/>
      <c r="AK32" s="1231"/>
      <c r="AL32" s="1231"/>
      <c r="AM32" s="1231"/>
      <c r="AN32" s="1231"/>
      <c r="AO32" s="1231"/>
      <c r="AP32" s="1231"/>
      <c r="AQ32" s="1231"/>
      <c r="AR32" s="1231"/>
      <c r="AS32" s="1231"/>
      <c r="AT32" s="1231"/>
      <c r="AU32" s="1231"/>
      <c r="AV32" s="1231"/>
      <c r="AW32" s="1231"/>
      <c r="AX32" s="1231"/>
      <c r="AY32" s="1231"/>
      <c r="AZ32" s="1231"/>
      <c r="BA32" s="1231"/>
      <c r="BB32" s="1231"/>
      <c r="BC32" s="1231"/>
      <c r="BD32" s="1232"/>
      <c r="BE32" s="258"/>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row>
    <row r="33" spans="1:85" ht="15" customHeight="1">
      <c r="A33" s="242"/>
      <c r="B33" s="1160"/>
      <c r="C33" s="893"/>
      <c r="D33" s="893"/>
      <c r="E33" s="893"/>
      <c r="F33" s="893"/>
      <c r="G33" s="893"/>
      <c r="H33" s="893"/>
      <c r="I33" s="959"/>
      <c r="J33" s="958"/>
      <c r="K33" s="893"/>
      <c r="L33" s="893"/>
      <c r="M33" s="959"/>
      <c r="N33" s="958"/>
      <c r="O33" s="893"/>
      <c r="P33" s="893"/>
      <c r="Q33" s="959"/>
      <c r="R33" s="1343" t="s">
        <v>1433</v>
      </c>
      <c r="S33" s="1180"/>
      <c r="T33" s="1180"/>
      <c r="U33" s="1180"/>
      <c r="V33" s="1180"/>
      <c r="W33" s="1180"/>
      <c r="X33" s="1180"/>
      <c r="Y33" s="1180"/>
      <c r="Z33" s="1180"/>
      <c r="AA33" s="1180"/>
      <c r="AB33" s="1180"/>
      <c r="AC33" s="1180"/>
      <c r="AD33" s="1180"/>
      <c r="AE33" s="1180"/>
      <c r="AF33" s="1180"/>
      <c r="AG33" s="1180"/>
      <c r="AH33" s="1180"/>
      <c r="AI33" s="1180"/>
      <c r="AJ33" s="1180"/>
      <c r="AK33" s="1180"/>
      <c r="AL33" s="1180"/>
      <c r="AM33" s="1180"/>
      <c r="AN33" s="1180"/>
      <c r="AO33" s="1180"/>
      <c r="AP33" s="1180"/>
      <c r="AQ33" s="1180"/>
      <c r="AR33" s="1180"/>
      <c r="AS33" s="1180"/>
      <c r="AT33" s="1180"/>
      <c r="AU33" s="1180"/>
      <c r="AV33" s="1180"/>
      <c r="AW33" s="1180"/>
      <c r="AX33" s="1180"/>
      <c r="AY33" s="1180"/>
      <c r="AZ33" s="1180"/>
      <c r="BA33" s="1180"/>
      <c r="BB33" s="1180"/>
      <c r="BC33" s="1180"/>
      <c r="BD33" s="1184"/>
      <c r="BE33" s="258"/>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row>
    <row r="34" spans="1:85" ht="15.75" customHeight="1">
      <c r="A34" s="242"/>
      <c r="B34" s="1160"/>
      <c r="C34" s="893"/>
      <c r="D34" s="893"/>
      <c r="E34" s="893"/>
      <c r="F34" s="893"/>
      <c r="G34" s="893"/>
      <c r="H34" s="893"/>
      <c r="I34" s="959"/>
      <c r="J34" s="958"/>
      <c r="K34" s="893"/>
      <c r="L34" s="893"/>
      <c r="M34" s="959"/>
      <c r="N34" s="958"/>
      <c r="O34" s="893"/>
      <c r="P34" s="893"/>
      <c r="Q34" s="959"/>
      <c r="R34" s="1162"/>
      <c r="S34" s="1163"/>
      <c r="T34" s="1163"/>
      <c r="U34" s="1163"/>
      <c r="V34" s="1163"/>
      <c r="W34" s="1163"/>
      <c r="X34" s="1163"/>
      <c r="Y34" s="1163"/>
      <c r="Z34" s="1163"/>
      <c r="AA34" s="1163"/>
      <c r="AB34" s="1163"/>
      <c r="AC34" s="1163"/>
      <c r="AD34" s="1163"/>
      <c r="AE34" s="1163"/>
      <c r="AF34" s="1163"/>
      <c r="AG34" s="1163"/>
      <c r="AH34" s="1163"/>
      <c r="AI34" s="1163"/>
      <c r="AJ34" s="1163"/>
      <c r="AK34" s="1163"/>
      <c r="AL34" s="1163"/>
      <c r="AM34" s="1163"/>
      <c r="AN34" s="1163"/>
      <c r="AO34" s="1163"/>
      <c r="AP34" s="1163"/>
      <c r="AQ34" s="1163"/>
      <c r="AR34" s="1163"/>
      <c r="AS34" s="1163"/>
      <c r="AT34" s="1163"/>
      <c r="AU34" s="1163"/>
      <c r="AV34" s="1163"/>
      <c r="AW34" s="1163"/>
      <c r="AX34" s="1163"/>
      <c r="AY34" s="1163"/>
      <c r="AZ34" s="1163"/>
      <c r="BA34" s="1163"/>
      <c r="BB34" s="1163"/>
      <c r="BC34" s="1163"/>
      <c r="BD34" s="1164"/>
      <c r="BE34" s="258"/>
      <c r="BF34" s="239"/>
      <c r="BG34" s="239"/>
      <c r="BH34" s="239"/>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row>
    <row r="35" spans="1:85" ht="15.75" customHeight="1">
      <c r="A35" s="242"/>
      <c r="B35" s="1182"/>
      <c r="C35" s="961"/>
      <c r="D35" s="961"/>
      <c r="E35" s="961"/>
      <c r="F35" s="961"/>
      <c r="G35" s="961"/>
      <c r="H35" s="961"/>
      <c r="I35" s="962"/>
      <c r="J35" s="960"/>
      <c r="K35" s="961"/>
      <c r="L35" s="961"/>
      <c r="M35" s="962"/>
      <c r="N35" s="960"/>
      <c r="O35" s="961"/>
      <c r="P35" s="961"/>
      <c r="Q35" s="962"/>
      <c r="R35" s="1333">
        <v>0.3</v>
      </c>
      <c r="S35" s="968"/>
      <c r="T35" s="968"/>
      <c r="U35" s="980"/>
      <c r="V35" s="1333">
        <v>0.4</v>
      </c>
      <c r="W35" s="968"/>
      <c r="X35" s="968"/>
      <c r="Y35" s="980"/>
      <c r="Z35" s="1333">
        <v>0.5</v>
      </c>
      <c r="AA35" s="968"/>
      <c r="AB35" s="968"/>
      <c r="AC35" s="980"/>
      <c r="AD35" s="1333">
        <v>0.6</v>
      </c>
      <c r="AE35" s="968"/>
      <c r="AF35" s="968"/>
      <c r="AG35" s="980"/>
      <c r="AH35" s="1333">
        <v>0.7</v>
      </c>
      <c r="AI35" s="968"/>
      <c r="AJ35" s="968"/>
      <c r="AK35" s="980"/>
      <c r="AL35" s="1333">
        <v>0.8</v>
      </c>
      <c r="AM35" s="968"/>
      <c r="AN35" s="968"/>
      <c r="AO35" s="980"/>
      <c r="AP35" s="1333">
        <v>1.2</v>
      </c>
      <c r="AQ35" s="968"/>
      <c r="AR35" s="980"/>
      <c r="AS35" s="1334" t="s">
        <v>1439</v>
      </c>
      <c r="AT35" s="968"/>
      <c r="AU35" s="968"/>
      <c r="AV35" s="968"/>
      <c r="AW35" s="968"/>
      <c r="AX35" s="980"/>
      <c r="AY35" s="1334" t="s">
        <v>1441</v>
      </c>
      <c r="AZ35" s="968"/>
      <c r="BA35" s="968"/>
      <c r="BB35" s="968"/>
      <c r="BC35" s="968"/>
      <c r="BD35" s="1157"/>
      <c r="BE35" s="258"/>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row>
    <row r="36" spans="1:85" ht="15.75" customHeight="1">
      <c r="A36" s="242"/>
      <c r="B36" s="1188" t="s">
        <v>1442</v>
      </c>
      <c r="C36" s="921"/>
      <c r="D36" s="921"/>
      <c r="E36" s="921"/>
      <c r="F36" s="921"/>
      <c r="G36" s="921"/>
      <c r="H36" s="921"/>
      <c r="I36" s="943"/>
      <c r="J36" s="1315" t="s">
        <v>1444</v>
      </c>
      <c r="K36" s="921"/>
      <c r="L36" s="921"/>
      <c r="M36" s="943"/>
      <c r="N36" s="1315">
        <v>55</v>
      </c>
      <c r="O36" s="921"/>
      <c r="P36" s="921"/>
      <c r="Q36" s="943"/>
      <c r="R36" s="1313"/>
      <c r="S36" s="921"/>
      <c r="T36" s="921"/>
      <c r="U36" s="943"/>
      <c r="V36" s="1313"/>
      <c r="W36" s="921"/>
      <c r="X36" s="921"/>
      <c r="Y36" s="943"/>
      <c r="Z36" s="1313"/>
      <c r="AA36" s="921"/>
      <c r="AB36" s="921"/>
      <c r="AC36" s="943"/>
      <c r="AD36" s="1313"/>
      <c r="AE36" s="921"/>
      <c r="AF36" s="921"/>
      <c r="AG36" s="943"/>
      <c r="AH36" s="1313"/>
      <c r="AI36" s="921"/>
      <c r="AJ36" s="921"/>
      <c r="AK36" s="943"/>
      <c r="AL36" s="1313"/>
      <c r="AM36" s="921"/>
      <c r="AN36" s="921"/>
      <c r="AO36" s="943"/>
      <c r="AP36" s="1313"/>
      <c r="AQ36" s="921"/>
      <c r="AR36" s="943"/>
      <c r="AS36" s="1311">
        <f t="shared" ref="AS36:AS47" si="2">SUM(R36:AR36)</f>
        <v>0</v>
      </c>
      <c r="AT36" s="921"/>
      <c r="AU36" s="921"/>
      <c r="AV36" s="921"/>
      <c r="AW36" s="921"/>
      <c r="AX36" s="943"/>
      <c r="AY36" s="1314" t="e">
        <f t="shared" ref="AY36:AY47" ca="1" si="3">AS36/$J$29</f>
        <v>#NAME?</v>
      </c>
      <c r="AZ36" s="921"/>
      <c r="BA36" s="921"/>
      <c r="BB36" s="921"/>
      <c r="BC36" s="921"/>
      <c r="BD36" s="1149"/>
      <c r="BE36" s="258"/>
      <c r="BF36" s="239"/>
      <c r="BG36" s="239"/>
      <c r="BH36" s="239"/>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row>
    <row r="37" spans="1:85" ht="15.75" customHeight="1">
      <c r="A37" s="242"/>
      <c r="B37" s="1188" t="s">
        <v>1449</v>
      </c>
      <c r="C37" s="921"/>
      <c r="D37" s="921"/>
      <c r="E37" s="921"/>
      <c r="F37" s="921"/>
      <c r="G37" s="921"/>
      <c r="H37" s="921"/>
      <c r="I37" s="943"/>
      <c r="J37" s="1315" t="s">
        <v>1450</v>
      </c>
      <c r="K37" s="921"/>
      <c r="L37" s="921"/>
      <c r="M37" s="943"/>
      <c r="N37" s="1315">
        <v>55</v>
      </c>
      <c r="O37" s="921"/>
      <c r="P37" s="921"/>
      <c r="Q37" s="943"/>
      <c r="R37" s="1313"/>
      <c r="S37" s="921"/>
      <c r="T37" s="921"/>
      <c r="U37" s="943"/>
      <c r="V37" s="1313"/>
      <c r="W37" s="921"/>
      <c r="X37" s="921"/>
      <c r="Y37" s="943"/>
      <c r="Z37" s="1313"/>
      <c r="AA37" s="921"/>
      <c r="AB37" s="921"/>
      <c r="AC37" s="943"/>
      <c r="AD37" s="1313"/>
      <c r="AE37" s="921"/>
      <c r="AF37" s="921"/>
      <c r="AG37" s="943"/>
      <c r="AH37" s="1313"/>
      <c r="AI37" s="921"/>
      <c r="AJ37" s="921"/>
      <c r="AK37" s="943"/>
      <c r="AL37" s="1313"/>
      <c r="AM37" s="921"/>
      <c r="AN37" s="921"/>
      <c r="AO37" s="943"/>
      <c r="AP37" s="1313"/>
      <c r="AQ37" s="921"/>
      <c r="AR37" s="943"/>
      <c r="AS37" s="1311">
        <f t="shared" si="2"/>
        <v>0</v>
      </c>
      <c r="AT37" s="921"/>
      <c r="AU37" s="921"/>
      <c r="AV37" s="921"/>
      <c r="AW37" s="921"/>
      <c r="AX37" s="943"/>
      <c r="AY37" s="1314" t="e">
        <f t="shared" ca="1" si="3"/>
        <v>#NAME?</v>
      </c>
      <c r="AZ37" s="921"/>
      <c r="BA37" s="921"/>
      <c r="BB37" s="921"/>
      <c r="BC37" s="921"/>
      <c r="BD37" s="1149"/>
      <c r="BE37" s="258"/>
      <c r="BF37" s="239"/>
      <c r="BG37" s="239"/>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row>
    <row r="38" spans="1:85" ht="15.75" customHeight="1">
      <c r="A38" s="242"/>
      <c r="B38" s="1188" t="s">
        <v>1455</v>
      </c>
      <c r="C38" s="921"/>
      <c r="D38" s="921"/>
      <c r="E38" s="921"/>
      <c r="F38" s="921"/>
      <c r="G38" s="921"/>
      <c r="H38" s="921"/>
      <c r="I38" s="943"/>
      <c r="J38" s="1315" t="s">
        <v>1456</v>
      </c>
      <c r="K38" s="921"/>
      <c r="L38" s="921"/>
      <c r="M38" s="943"/>
      <c r="N38" s="1315">
        <v>55</v>
      </c>
      <c r="O38" s="921"/>
      <c r="P38" s="921"/>
      <c r="Q38" s="943"/>
      <c r="R38" s="1313"/>
      <c r="S38" s="921"/>
      <c r="T38" s="921"/>
      <c r="U38" s="943"/>
      <c r="V38" s="1313"/>
      <c r="W38" s="921"/>
      <c r="X38" s="921"/>
      <c r="Y38" s="943"/>
      <c r="Z38" s="1313"/>
      <c r="AA38" s="921"/>
      <c r="AB38" s="921"/>
      <c r="AC38" s="943"/>
      <c r="AD38" s="1313"/>
      <c r="AE38" s="921"/>
      <c r="AF38" s="921"/>
      <c r="AG38" s="943"/>
      <c r="AH38" s="1313"/>
      <c r="AI38" s="921"/>
      <c r="AJ38" s="921"/>
      <c r="AK38" s="943"/>
      <c r="AL38" s="1313"/>
      <c r="AM38" s="921"/>
      <c r="AN38" s="921"/>
      <c r="AO38" s="943"/>
      <c r="AP38" s="1313"/>
      <c r="AQ38" s="921"/>
      <c r="AR38" s="943"/>
      <c r="AS38" s="1311">
        <f t="shared" si="2"/>
        <v>0</v>
      </c>
      <c r="AT38" s="921"/>
      <c r="AU38" s="921"/>
      <c r="AV38" s="921"/>
      <c r="AW38" s="921"/>
      <c r="AX38" s="943"/>
      <c r="AY38" s="1314" t="e">
        <f t="shared" ca="1" si="3"/>
        <v>#NAME?</v>
      </c>
      <c r="AZ38" s="921"/>
      <c r="BA38" s="921"/>
      <c r="BB38" s="921"/>
      <c r="BC38" s="921"/>
      <c r="BD38" s="1149"/>
      <c r="BE38" s="258"/>
      <c r="BF38" s="239"/>
      <c r="BG38" s="239"/>
      <c r="BH38" s="239"/>
      <c r="BI38" s="239"/>
      <c r="BJ38" s="239"/>
      <c r="BK38" s="239"/>
      <c r="BL38" s="239"/>
      <c r="BM38" s="239"/>
      <c r="BN38" s="239"/>
      <c r="BO38" s="239"/>
      <c r="BP38" s="239"/>
      <c r="BQ38" s="239"/>
      <c r="BR38" s="239"/>
      <c r="BS38" s="239"/>
      <c r="BT38" s="239"/>
      <c r="BU38" s="239"/>
      <c r="BV38" s="239"/>
      <c r="BW38" s="239"/>
      <c r="BX38" s="239"/>
      <c r="BY38" s="239"/>
      <c r="BZ38" s="239"/>
      <c r="CA38" s="239"/>
      <c r="CB38" s="239"/>
      <c r="CC38" s="239"/>
      <c r="CD38" s="239"/>
      <c r="CE38" s="239"/>
      <c r="CF38" s="239"/>
      <c r="CG38" s="239"/>
    </row>
    <row r="39" spans="1:85" ht="15.75" customHeight="1">
      <c r="A39" s="242"/>
      <c r="B39" s="1188" t="s">
        <v>1462</v>
      </c>
      <c r="C39" s="921"/>
      <c r="D39" s="921"/>
      <c r="E39" s="921"/>
      <c r="F39" s="921"/>
      <c r="G39" s="921"/>
      <c r="H39" s="921"/>
      <c r="I39" s="943"/>
      <c r="J39" s="1315"/>
      <c r="K39" s="921"/>
      <c r="L39" s="921"/>
      <c r="M39" s="943"/>
      <c r="N39" s="1315"/>
      <c r="O39" s="921"/>
      <c r="P39" s="921"/>
      <c r="Q39" s="943"/>
      <c r="R39" s="1313"/>
      <c r="S39" s="921"/>
      <c r="T39" s="921"/>
      <c r="U39" s="943"/>
      <c r="V39" s="1313"/>
      <c r="W39" s="921"/>
      <c r="X39" s="921"/>
      <c r="Y39" s="943"/>
      <c r="Z39" s="1313"/>
      <c r="AA39" s="921"/>
      <c r="AB39" s="921"/>
      <c r="AC39" s="943"/>
      <c r="AD39" s="1313"/>
      <c r="AE39" s="921"/>
      <c r="AF39" s="921"/>
      <c r="AG39" s="943"/>
      <c r="AH39" s="1313"/>
      <c r="AI39" s="921"/>
      <c r="AJ39" s="921"/>
      <c r="AK39" s="943"/>
      <c r="AL39" s="1313"/>
      <c r="AM39" s="921"/>
      <c r="AN39" s="921"/>
      <c r="AO39" s="943"/>
      <c r="AP39" s="1313"/>
      <c r="AQ39" s="921"/>
      <c r="AR39" s="943"/>
      <c r="AS39" s="1311">
        <f t="shared" si="2"/>
        <v>0</v>
      </c>
      <c r="AT39" s="921"/>
      <c r="AU39" s="921"/>
      <c r="AV39" s="921"/>
      <c r="AW39" s="921"/>
      <c r="AX39" s="943"/>
      <c r="AY39" s="1314" t="e">
        <f t="shared" ca="1" si="3"/>
        <v>#NAME?</v>
      </c>
      <c r="AZ39" s="921"/>
      <c r="BA39" s="921"/>
      <c r="BB39" s="921"/>
      <c r="BC39" s="921"/>
      <c r="BD39" s="1149"/>
      <c r="BE39" s="258"/>
      <c r="BF39" s="239"/>
      <c r="BG39" s="239"/>
      <c r="BH39" s="239"/>
      <c r="BI39" s="239"/>
      <c r="BJ39" s="239"/>
      <c r="BK39" s="239"/>
      <c r="BL39" s="239"/>
      <c r="BM39" s="239"/>
      <c r="BN39" s="239"/>
      <c r="BO39" s="239"/>
      <c r="BP39" s="239"/>
      <c r="BQ39" s="239"/>
      <c r="BR39" s="239"/>
      <c r="BS39" s="239"/>
      <c r="BT39" s="239"/>
      <c r="BU39" s="239"/>
      <c r="BV39" s="239"/>
      <c r="BW39" s="239"/>
      <c r="BX39" s="239"/>
      <c r="BY39" s="239"/>
      <c r="BZ39" s="239"/>
      <c r="CA39" s="239"/>
      <c r="CB39" s="239"/>
      <c r="CC39" s="239"/>
      <c r="CD39" s="239"/>
      <c r="CE39" s="239"/>
      <c r="CF39" s="239"/>
      <c r="CG39" s="239"/>
    </row>
    <row r="40" spans="1:85" ht="15.75" customHeight="1">
      <c r="A40" s="242"/>
      <c r="B40" s="1188" t="s">
        <v>1462</v>
      </c>
      <c r="C40" s="921"/>
      <c r="D40" s="921"/>
      <c r="E40" s="921"/>
      <c r="F40" s="921"/>
      <c r="G40" s="921"/>
      <c r="H40" s="921"/>
      <c r="I40" s="943"/>
      <c r="J40" s="1315"/>
      <c r="K40" s="921"/>
      <c r="L40" s="921"/>
      <c r="M40" s="943"/>
      <c r="N40" s="1315"/>
      <c r="O40" s="921"/>
      <c r="P40" s="921"/>
      <c r="Q40" s="943"/>
      <c r="R40" s="1313"/>
      <c r="S40" s="921"/>
      <c r="T40" s="921"/>
      <c r="U40" s="943"/>
      <c r="V40" s="1313"/>
      <c r="W40" s="921"/>
      <c r="X40" s="921"/>
      <c r="Y40" s="943"/>
      <c r="Z40" s="1313"/>
      <c r="AA40" s="921"/>
      <c r="AB40" s="921"/>
      <c r="AC40" s="943"/>
      <c r="AD40" s="1313"/>
      <c r="AE40" s="921"/>
      <c r="AF40" s="921"/>
      <c r="AG40" s="943"/>
      <c r="AH40" s="1313"/>
      <c r="AI40" s="921"/>
      <c r="AJ40" s="921"/>
      <c r="AK40" s="943"/>
      <c r="AL40" s="1313"/>
      <c r="AM40" s="921"/>
      <c r="AN40" s="921"/>
      <c r="AO40" s="943"/>
      <c r="AP40" s="1313"/>
      <c r="AQ40" s="921"/>
      <c r="AR40" s="943"/>
      <c r="AS40" s="1311">
        <f t="shared" si="2"/>
        <v>0</v>
      </c>
      <c r="AT40" s="921"/>
      <c r="AU40" s="921"/>
      <c r="AV40" s="921"/>
      <c r="AW40" s="921"/>
      <c r="AX40" s="943"/>
      <c r="AY40" s="1314" t="e">
        <f t="shared" ca="1" si="3"/>
        <v>#NAME?</v>
      </c>
      <c r="AZ40" s="921"/>
      <c r="BA40" s="921"/>
      <c r="BB40" s="921"/>
      <c r="BC40" s="921"/>
      <c r="BD40" s="1149"/>
      <c r="BE40" s="258"/>
      <c r="BF40" s="239"/>
      <c r="BG40" s="239"/>
      <c r="BH40" s="239"/>
      <c r="BI40" s="239"/>
      <c r="BJ40" s="239"/>
      <c r="BK40" s="239"/>
      <c r="BL40" s="239"/>
      <c r="BM40" s="239"/>
      <c r="BN40" s="239"/>
      <c r="BO40" s="239"/>
      <c r="BP40" s="239"/>
      <c r="BQ40" s="239"/>
      <c r="BR40" s="239"/>
      <c r="BS40" s="239"/>
      <c r="BT40" s="239"/>
      <c r="BU40" s="239"/>
      <c r="BV40" s="239"/>
      <c r="BW40" s="239"/>
      <c r="BX40" s="239"/>
      <c r="BY40" s="239"/>
      <c r="BZ40" s="239"/>
      <c r="CA40" s="239"/>
      <c r="CB40" s="239"/>
      <c r="CC40" s="239"/>
      <c r="CD40" s="239"/>
      <c r="CE40" s="239"/>
      <c r="CF40" s="239"/>
      <c r="CG40" s="239"/>
    </row>
    <row r="41" spans="1:85" ht="15.75" customHeight="1">
      <c r="A41" s="242"/>
      <c r="B41" s="1188" t="s">
        <v>1468</v>
      </c>
      <c r="C41" s="921"/>
      <c r="D41" s="921"/>
      <c r="E41" s="921"/>
      <c r="F41" s="921"/>
      <c r="G41" s="921"/>
      <c r="H41" s="921"/>
      <c r="I41" s="943"/>
      <c r="J41" s="1315"/>
      <c r="K41" s="921"/>
      <c r="L41" s="921"/>
      <c r="M41" s="943"/>
      <c r="N41" s="1315"/>
      <c r="O41" s="921"/>
      <c r="P41" s="921"/>
      <c r="Q41" s="943"/>
      <c r="R41" s="1313"/>
      <c r="S41" s="921"/>
      <c r="T41" s="921"/>
      <c r="U41" s="943"/>
      <c r="V41" s="1313"/>
      <c r="W41" s="921"/>
      <c r="X41" s="921"/>
      <c r="Y41" s="943"/>
      <c r="Z41" s="1313"/>
      <c r="AA41" s="921"/>
      <c r="AB41" s="921"/>
      <c r="AC41" s="943"/>
      <c r="AD41" s="1313"/>
      <c r="AE41" s="921"/>
      <c r="AF41" s="921"/>
      <c r="AG41" s="943"/>
      <c r="AH41" s="1313"/>
      <c r="AI41" s="921"/>
      <c r="AJ41" s="921"/>
      <c r="AK41" s="943"/>
      <c r="AL41" s="1313"/>
      <c r="AM41" s="921"/>
      <c r="AN41" s="921"/>
      <c r="AO41" s="943"/>
      <c r="AP41" s="1313"/>
      <c r="AQ41" s="921"/>
      <c r="AR41" s="943"/>
      <c r="AS41" s="1311">
        <f t="shared" si="2"/>
        <v>0</v>
      </c>
      <c r="AT41" s="921"/>
      <c r="AU41" s="921"/>
      <c r="AV41" s="921"/>
      <c r="AW41" s="921"/>
      <c r="AX41" s="943"/>
      <c r="AY41" s="1314" t="e">
        <f t="shared" ca="1" si="3"/>
        <v>#NAME?</v>
      </c>
      <c r="AZ41" s="921"/>
      <c r="BA41" s="921"/>
      <c r="BB41" s="921"/>
      <c r="BC41" s="921"/>
      <c r="BD41" s="1149"/>
      <c r="BE41" s="258"/>
      <c r="BF41" s="239"/>
      <c r="BG41" s="239"/>
      <c r="BH41" s="239"/>
      <c r="BI41" s="239"/>
      <c r="BJ41" s="239"/>
      <c r="BK41" s="239"/>
      <c r="BL41" s="239"/>
      <c r="BM41" s="239"/>
      <c r="BN41" s="239"/>
      <c r="BO41" s="239"/>
      <c r="BP41" s="239"/>
      <c r="BQ41" s="239"/>
      <c r="BR41" s="239"/>
      <c r="BS41" s="239"/>
      <c r="BT41" s="239"/>
      <c r="BU41" s="239"/>
      <c r="BV41" s="239"/>
      <c r="BW41" s="239"/>
      <c r="BX41" s="239"/>
      <c r="BY41" s="239"/>
      <c r="BZ41" s="239"/>
      <c r="CA41" s="239"/>
      <c r="CB41" s="239"/>
      <c r="CC41" s="239"/>
      <c r="CD41" s="239"/>
      <c r="CE41" s="239"/>
      <c r="CF41" s="239"/>
      <c r="CG41" s="239"/>
    </row>
    <row r="42" spans="1:85" ht="15.75" customHeight="1">
      <c r="A42" s="242"/>
      <c r="B42" s="1188" t="s">
        <v>1468</v>
      </c>
      <c r="C42" s="921"/>
      <c r="D42" s="921"/>
      <c r="E42" s="921"/>
      <c r="F42" s="921"/>
      <c r="G42" s="921"/>
      <c r="H42" s="921"/>
      <c r="I42" s="943"/>
      <c r="J42" s="1315"/>
      <c r="K42" s="921"/>
      <c r="L42" s="921"/>
      <c r="M42" s="943"/>
      <c r="N42" s="1315"/>
      <c r="O42" s="921"/>
      <c r="P42" s="921"/>
      <c r="Q42" s="943"/>
      <c r="R42" s="1313"/>
      <c r="S42" s="921"/>
      <c r="T42" s="921"/>
      <c r="U42" s="943"/>
      <c r="V42" s="1313"/>
      <c r="W42" s="921"/>
      <c r="X42" s="921"/>
      <c r="Y42" s="943"/>
      <c r="Z42" s="1313"/>
      <c r="AA42" s="921"/>
      <c r="AB42" s="921"/>
      <c r="AC42" s="943"/>
      <c r="AD42" s="1313"/>
      <c r="AE42" s="921"/>
      <c r="AF42" s="921"/>
      <c r="AG42" s="943"/>
      <c r="AH42" s="1313"/>
      <c r="AI42" s="921"/>
      <c r="AJ42" s="921"/>
      <c r="AK42" s="943"/>
      <c r="AL42" s="1313"/>
      <c r="AM42" s="921"/>
      <c r="AN42" s="921"/>
      <c r="AO42" s="943"/>
      <c r="AP42" s="1313"/>
      <c r="AQ42" s="921"/>
      <c r="AR42" s="943"/>
      <c r="AS42" s="1311">
        <f t="shared" si="2"/>
        <v>0</v>
      </c>
      <c r="AT42" s="921"/>
      <c r="AU42" s="921"/>
      <c r="AV42" s="921"/>
      <c r="AW42" s="921"/>
      <c r="AX42" s="943"/>
      <c r="AY42" s="1314" t="e">
        <f t="shared" ca="1" si="3"/>
        <v>#NAME?</v>
      </c>
      <c r="AZ42" s="921"/>
      <c r="BA42" s="921"/>
      <c r="BB42" s="921"/>
      <c r="BC42" s="921"/>
      <c r="BD42" s="1149"/>
      <c r="BE42" s="258"/>
      <c r="BF42" s="239"/>
      <c r="BG42" s="239"/>
      <c r="BH42" s="239"/>
      <c r="BI42" s="239"/>
      <c r="BJ42" s="239"/>
      <c r="BK42" s="239"/>
      <c r="BL42" s="239"/>
      <c r="BM42" s="239"/>
      <c r="BN42" s="239"/>
      <c r="BO42" s="239"/>
      <c r="BP42" s="239"/>
      <c r="BQ42" s="239"/>
      <c r="BR42" s="239"/>
      <c r="BS42" s="239"/>
      <c r="BT42" s="239"/>
      <c r="BU42" s="239"/>
      <c r="BV42" s="239"/>
      <c r="BW42" s="239"/>
      <c r="BX42" s="239"/>
      <c r="BY42" s="239"/>
      <c r="BZ42" s="239"/>
      <c r="CA42" s="239"/>
      <c r="CB42" s="239"/>
      <c r="CC42" s="239"/>
      <c r="CD42" s="239"/>
      <c r="CE42" s="239"/>
      <c r="CF42" s="239"/>
      <c r="CG42" s="239"/>
    </row>
    <row r="43" spans="1:85" ht="15.75" customHeight="1">
      <c r="A43" s="242"/>
      <c r="B43" s="1188" t="s">
        <v>1479</v>
      </c>
      <c r="C43" s="921"/>
      <c r="D43" s="921"/>
      <c r="E43" s="921"/>
      <c r="F43" s="921"/>
      <c r="G43" s="921"/>
      <c r="H43" s="921"/>
      <c r="I43" s="943"/>
      <c r="J43" s="1315"/>
      <c r="K43" s="921"/>
      <c r="L43" s="921"/>
      <c r="M43" s="943"/>
      <c r="N43" s="1315"/>
      <c r="O43" s="921"/>
      <c r="P43" s="921"/>
      <c r="Q43" s="943"/>
      <c r="R43" s="1313"/>
      <c r="S43" s="921"/>
      <c r="T43" s="921"/>
      <c r="U43" s="943"/>
      <c r="V43" s="1313"/>
      <c r="W43" s="921"/>
      <c r="X43" s="921"/>
      <c r="Y43" s="943"/>
      <c r="Z43" s="1313"/>
      <c r="AA43" s="921"/>
      <c r="AB43" s="921"/>
      <c r="AC43" s="943"/>
      <c r="AD43" s="1313"/>
      <c r="AE43" s="921"/>
      <c r="AF43" s="921"/>
      <c r="AG43" s="943"/>
      <c r="AH43" s="1313"/>
      <c r="AI43" s="921"/>
      <c r="AJ43" s="921"/>
      <c r="AK43" s="943"/>
      <c r="AL43" s="1313"/>
      <c r="AM43" s="921"/>
      <c r="AN43" s="921"/>
      <c r="AO43" s="943"/>
      <c r="AP43" s="1313"/>
      <c r="AQ43" s="921"/>
      <c r="AR43" s="943"/>
      <c r="AS43" s="1311">
        <f t="shared" si="2"/>
        <v>0</v>
      </c>
      <c r="AT43" s="921"/>
      <c r="AU43" s="921"/>
      <c r="AV43" s="921"/>
      <c r="AW43" s="921"/>
      <c r="AX43" s="943"/>
      <c r="AY43" s="1314" t="e">
        <f t="shared" ca="1" si="3"/>
        <v>#NAME?</v>
      </c>
      <c r="AZ43" s="921"/>
      <c r="BA43" s="921"/>
      <c r="BB43" s="921"/>
      <c r="BC43" s="921"/>
      <c r="BD43" s="1149"/>
      <c r="BE43" s="258"/>
      <c r="BF43" s="239"/>
      <c r="BG43" s="239"/>
      <c r="BH43" s="239"/>
      <c r="BI43" s="239"/>
      <c r="BJ43" s="239"/>
      <c r="BK43" s="239"/>
      <c r="BL43" s="239"/>
      <c r="BM43" s="239"/>
      <c r="BN43" s="239"/>
      <c r="BO43" s="239"/>
      <c r="BP43" s="239"/>
      <c r="BQ43" s="239"/>
      <c r="BR43" s="239"/>
      <c r="BS43" s="239"/>
      <c r="BT43" s="239"/>
      <c r="BU43" s="239"/>
      <c r="BV43" s="239"/>
      <c r="BW43" s="239"/>
      <c r="BX43" s="239"/>
      <c r="BY43" s="239"/>
      <c r="BZ43" s="239"/>
      <c r="CA43" s="239"/>
      <c r="CB43" s="239"/>
      <c r="CC43" s="239"/>
      <c r="CD43" s="239"/>
      <c r="CE43" s="239"/>
      <c r="CF43" s="239"/>
      <c r="CG43" s="239"/>
    </row>
    <row r="44" spans="1:85" ht="15.75" customHeight="1">
      <c r="A44" s="242"/>
      <c r="B44" s="1188" t="s">
        <v>1481</v>
      </c>
      <c r="C44" s="921"/>
      <c r="D44" s="921"/>
      <c r="E44" s="921"/>
      <c r="F44" s="921"/>
      <c r="G44" s="921"/>
      <c r="H44" s="921"/>
      <c r="I44" s="943"/>
      <c r="J44" s="1315"/>
      <c r="K44" s="921"/>
      <c r="L44" s="921"/>
      <c r="M44" s="943"/>
      <c r="N44" s="1315"/>
      <c r="O44" s="921"/>
      <c r="P44" s="921"/>
      <c r="Q44" s="943"/>
      <c r="R44" s="1313"/>
      <c r="S44" s="921"/>
      <c r="T44" s="921"/>
      <c r="U44" s="943"/>
      <c r="V44" s="1313"/>
      <c r="W44" s="921"/>
      <c r="X44" s="921"/>
      <c r="Y44" s="943"/>
      <c r="Z44" s="1313"/>
      <c r="AA44" s="921"/>
      <c r="AB44" s="921"/>
      <c r="AC44" s="943"/>
      <c r="AD44" s="1313"/>
      <c r="AE44" s="921"/>
      <c r="AF44" s="921"/>
      <c r="AG44" s="943"/>
      <c r="AH44" s="1313"/>
      <c r="AI44" s="921"/>
      <c r="AJ44" s="921"/>
      <c r="AK44" s="943"/>
      <c r="AL44" s="1313"/>
      <c r="AM44" s="921"/>
      <c r="AN44" s="921"/>
      <c r="AO44" s="943"/>
      <c r="AP44" s="1313"/>
      <c r="AQ44" s="921"/>
      <c r="AR44" s="943"/>
      <c r="AS44" s="1311">
        <f t="shared" si="2"/>
        <v>0</v>
      </c>
      <c r="AT44" s="921"/>
      <c r="AU44" s="921"/>
      <c r="AV44" s="921"/>
      <c r="AW44" s="921"/>
      <c r="AX44" s="943"/>
      <c r="AY44" s="1314" t="e">
        <f t="shared" ca="1" si="3"/>
        <v>#NAME?</v>
      </c>
      <c r="AZ44" s="921"/>
      <c r="BA44" s="921"/>
      <c r="BB44" s="921"/>
      <c r="BC44" s="921"/>
      <c r="BD44" s="1149"/>
      <c r="BE44" s="258"/>
      <c r="BF44" s="239"/>
      <c r="BG44" s="239"/>
      <c r="BH44" s="239"/>
      <c r="BI44" s="239"/>
      <c r="BJ44" s="239"/>
      <c r="BK44" s="239"/>
      <c r="BL44" s="239"/>
      <c r="BM44" s="239"/>
      <c r="BN44" s="239"/>
      <c r="BO44" s="239"/>
      <c r="BP44" s="239"/>
      <c r="BQ44" s="239"/>
      <c r="BR44" s="239"/>
      <c r="BS44" s="239"/>
      <c r="BT44" s="239"/>
      <c r="BU44" s="239"/>
      <c r="BV44" s="239"/>
      <c r="BW44" s="239"/>
      <c r="BX44" s="239"/>
      <c r="BY44" s="239"/>
      <c r="BZ44" s="239"/>
      <c r="CA44" s="239"/>
      <c r="CB44" s="239"/>
      <c r="CC44" s="239"/>
      <c r="CD44" s="239"/>
      <c r="CE44" s="239"/>
      <c r="CF44" s="239"/>
      <c r="CG44" s="239"/>
    </row>
    <row r="45" spans="1:85" ht="15.75" customHeight="1">
      <c r="A45" s="242"/>
      <c r="B45" s="1188" t="s">
        <v>1482</v>
      </c>
      <c r="C45" s="921"/>
      <c r="D45" s="921"/>
      <c r="E45" s="921"/>
      <c r="F45" s="921"/>
      <c r="G45" s="921"/>
      <c r="H45" s="921"/>
      <c r="I45" s="943"/>
      <c r="J45" s="1315"/>
      <c r="K45" s="921"/>
      <c r="L45" s="921"/>
      <c r="M45" s="943"/>
      <c r="N45" s="1315"/>
      <c r="O45" s="921"/>
      <c r="P45" s="921"/>
      <c r="Q45" s="943"/>
      <c r="R45" s="1313"/>
      <c r="S45" s="921"/>
      <c r="T45" s="921"/>
      <c r="U45" s="943"/>
      <c r="V45" s="1313"/>
      <c r="W45" s="921"/>
      <c r="X45" s="921"/>
      <c r="Y45" s="943"/>
      <c r="Z45" s="1313"/>
      <c r="AA45" s="921"/>
      <c r="AB45" s="921"/>
      <c r="AC45" s="943"/>
      <c r="AD45" s="1313"/>
      <c r="AE45" s="921"/>
      <c r="AF45" s="921"/>
      <c r="AG45" s="943"/>
      <c r="AH45" s="1313"/>
      <c r="AI45" s="921"/>
      <c r="AJ45" s="921"/>
      <c r="AK45" s="943"/>
      <c r="AL45" s="1313"/>
      <c r="AM45" s="921"/>
      <c r="AN45" s="921"/>
      <c r="AO45" s="943"/>
      <c r="AP45" s="1313"/>
      <c r="AQ45" s="921"/>
      <c r="AR45" s="943"/>
      <c r="AS45" s="1311">
        <f t="shared" si="2"/>
        <v>0</v>
      </c>
      <c r="AT45" s="921"/>
      <c r="AU45" s="921"/>
      <c r="AV45" s="921"/>
      <c r="AW45" s="921"/>
      <c r="AX45" s="943"/>
      <c r="AY45" s="1314" t="e">
        <f t="shared" ca="1" si="3"/>
        <v>#NAME?</v>
      </c>
      <c r="AZ45" s="921"/>
      <c r="BA45" s="921"/>
      <c r="BB45" s="921"/>
      <c r="BC45" s="921"/>
      <c r="BD45" s="1149"/>
      <c r="BE45" s="258"/>
      <c r="BF45" s="239"/>
      <c r="BG45" s="239"/>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row>
    <row r="46" spans="1:85" ht="15.75" customHeight="1">
      <c r="A46" s="242"/>
      <c r="B46" s="1188" t="s">
        <v>1484</v>
      </c>
      <c r="C46" s="921"/>
      <c r="D46" s="921"/>
      <c r="E46" s="921"/>
      <c r="F46" s="921"/>
      <c r="G46" s="921"/>
      <c r="H46" s="921"/>
      <c r="I46" s="943"/>
      <c r="J46" s="1315"/>
      <c r="K46" s="921"/>
      <c r="L46" s="921"/>
      <c r="M46" s="943"/>
      <c r="N46" s="1315">
        <v>99</v>
      </c>
      <c r="O46" s="921"/>
      <c r="P46" s="921"/>
      <c r="Q46" s="943"/>
      <c r="R46" s="1313"/>
      <c r="S46" s="921"/>
      <c r="T46" s="921"/>
      <c r="U46" s="943"/>
      <c r="V46" s="1313"/>
      <c r="W46" s="921"/>
      <c r="X46" s="921"/>
      <c r="Y46" s="943"/>
      <c r="Z46" s="1313"/>
      <c r="AA46" s="921"/>
      <c r="AB46" s="921"/>
      <c r="AC46" s="943"/>
      <c r="AD46" s="1313"/>
      <c r="AE46" s="921"/>
      <c r="AF46" s="921"/>
      <c r="AG46" s="943"/>
      <c r="AH46" s="1313"/>
      <c r="AI46" s="921"/>
      <c r="AJ46" s="921"/>
      <c r="AK46" s="943"/>
      <c r="AL46" s="1313"/>
      <c r="AM46" s="921"/>
      <c r="AN46" s="921"/>
      <c r="AO46" s="943"/>
      <c r="AP46" s="1313"/>
      <c r="AQ46" s="921"/>
      <c r="AR46" s="943"/>
      <c r="AS46" s="1311">
        <f t="shared" si="2"/>
        <v>0</v>
      </c>
      <c r="AT46" s="921"/>
      <c r="AU46" s="921"/>
      <c r="AV46" s="921"/>
      <c r="AW46" s="921"/>
      <c r="AX46" s="943"/>
      <c r="AY46" s="1314" t="e">
        <f t="shared" ca="1" si="3"/>
        <v>#NAME?</v>
      </c>
      <c r="AZ46" s="921"/>
      <c r="BA46" s="921"/>
      <c r="BB46" s="921"/>
      <c r="BC46" s="921"/>
      <c r="BD46" s="1149"/>
      <c r="BE46" s="258"/>
      <c r="BF46" s="239"/>
      <c r="BG46" s="239"/>
      <c r="BH46" s="239"/>
      <c r="BI46" s="239"/>
      <c r="BJ46" s="239"/>
      <c r="BK46" s="239"/>
      <c r="BL46" s="239"/>
      <c r="BM46" s="239"/>
      <c r="BN46" s="239"/>
      <c r="BO46" s="239"/>
      <c r="BP46" s="239"/>
      <c r="BQ46" s="239"/>
      <c r="BR46" s="239"/>
      <c r="BS46" s="239"/>
      <c r="BT46" s="239"/>
      <c r="BU46" s="239"/>
      <c r="BV46" s="239"/>
      <c r="BW46" s="239"/>
      <c r="BX46" s="239"/>
      <c r="BY46" s="239"/>
      <c r="BZ46" s="239"/>
      <c r="CA46" s="239"/>
      <c r="CB46" s="239"/>
      <c r="CC46" s="239"/>
      <c r="CD46" s="239"/>
      <c r="CE46" s="239"/>
      <c r="CF46" s="239"/>
      <c r="CG46" s="239"/>
    </row>
    <row r="47" spans="1:85" ht="15.75" customHeight="1">
      <c r="A47" s="242"/>
      <c r="B47" s="1209" t="s">
        <v>808</v>
      </c>
      <c r="C47" s="1154"/>
      <c r="D47" s="1154"/>
      <c r="E47" s="1154"/>
      <c r="F47" s="1154"/>
      <c r="G47" s="1154"/>
      <c r="H47" s="1154"/>
      <c r="I47" s="1190"/>
      <c r="J47" s="1211"/>
      <c r="K47" s="1154"/>
      <c r="L47" s="1154"/>
      <c r="M47" s="1190"/>
      <c r="N47" s="1211"/>
      <c r="O47" s="1154"/>
      <c r="P47" s="1154"/>
      <c r="Q47" s="1190"/>
      <c r="R47" s="1212"/>
      <c r="S47" s="1154"/>
      <c r="T47" s="1154"/>
      <c r="U47" s="1190"/>
      <c r="V47" s="1212"/>
      <c r="W47" s="1154"/>
      <c r="X47" s="1154"/>
      <c r="Y47" s="1190"/>
      <c r="Z47" s="1212"/>
      <c r="AA47" s="1154"/>
      <c r="AB47" s="1154"/>
      <c r="AC47" s="1190"/>
      <c r="AD47" s="1212"/>
      <c r="AE47" s="1154"/>
      <c r="AF47" s="1154"/>
      <c r="AG47" s="1190"/>
      <c r="AH47" s="1212"/>
      <c r="AI47" s="1154"/>
      <c r="AJ47" s="1154"/>
      <c r="AK47" s="1190"/>
      <c r="AL47" s="1212"/>
      <c r="AM47" s="1154"/>
      <c r="AN47" s="1154"/>
      <c r="AO47" s="1190"/>
      <c r="AP47" s="1212"/>
      <c r="AQ47" s="1154"/>
      <c r="AR47" s="1190"/>
      <c r="AS47" s="1311">
        <f t="shared" si="2"/>
        <v>0</v>
      </c>
      <c r="AT47" s="921"/>
      <c r="AU47" s="921"/>
      <c r="AV47" s="921"/>
      <c r="AW47" s="921"/>
      <c r="AX47" s="943"/>
      <c r="AY47" s="1312" t="e">
        <f t="shared" ca="1" si="3"/>
        <v>#NAME?</v>
      </c>
      <c r="AZ47" s="1154"/>
      <c r="BA47" s="1154"/>
      <c r="BB47" s="1154"/>
      <c r="BC47" s="1154"/>
      <c r="BD47" s="1155"/>
      <c r="BE47" s="258"/>
      <c r="BF47" s="239"/>
      <c r="BG47" s="239"/>
      <c r="BH47" s="239"/>
      <c r="BI47" s="239"/>
      <c r="BJ47" s="239"/>
      <c r="BK47" s="239"/>
      <c r="BL47" s="239"/>
      <c r="BM47" s="239"/>
      <c r="BN47" s="239"/>
      <c r="BO47" s="239"/>
      <c r="BP47" s="239"/>
      <c r="BQ47" s="239"/>
      <c r="BR47" s="239"/>
      <c r="BS47" s="239"/>
      <c r="BT47" s="239"/>
      <c r="BU47" s="239"/>
      <c r="BV47" s="239"/>
      <c r="BW47" s="239"/>
      <c r="BX47" s="239"/>
      <c r="BY47" s="239"/>
      <c r="BZ47" s="239"/>
      <c r="CA47" s="239"/>
      <c r="CB47" s="239"/>
      <c r="CC47" s="239"/>
      <c r="CD47" s="239"/>
      <c r="CE47" s="239"/>
      <c r="CF47" s="239"/>
      <c r="CG47" s="239"/>
    </row>
    <row r="48" spans="1:85" ht="15.75" customHeight="1">
      <c r="A48" s="242"/>
      <c r="B48" s="262" t="s">
        <v>1494</v>
      </c>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58"/>
      <c r="BF48" s="240"/>
      <c r="BG48" s="239"/>
      <c r="BH48" s="239"/>
      <c r="BI48" s="239"/>
      <c r="BJ48" s="239"/>
      <c r="BK48" s="239"/>
      <c r="BL48" s="239"/>
      <c r="BM48" s="239"/>
      <c r="BN48" s="239"/>
      <c r="BO48" s="239"/>
      <c r="BP48" s="239"/>
      <c r="BQ48" s="239"/>
      <c r="BR48" s="239"/>
      <c r="BS48" s="239"/>
      <c r="BT48" s="239"/>
      <c r="BU48" s="239"/>
      <c r="BV48" s="239"/>
      <c r="BW48" s="239"/>
      <c r="BX48" s="239"/>
      <c r="BY48" s="239"/>
      <c r="BZ48" s="239"/>
      <c r="CA48" s="239"/>
      <c r="CB48" s="239"/>
      <c r="CC48" s="239"/>
      <c r="CD48" s="239"/>
      <c r="CE48" s="239"/>
      <c r="CF48" s="239"/>
      <c r="CG48" s="239"/>
    </row>
    <row r="49" spans="1:85" ht="15.75" customHeight="1">
      <c r="A49" s="242"/>
      <c r="B49" s="262" t="s">
        <v>1499</v>
      </c>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3"/>
      <c r="AQ49" s="243"/>
      <c r="AR49" s="243"/>
      <c r="AS49" s="243"/>
      <c r="AT49" s="243"/>
      <c r="AU49" s="243"/>
      <c r="AV49" s="243"/>
      <c r="AW49" s="243"/>
      <c r="AX49" s="242"/>
      <c r="AY49" s="242"/>
      <c r="AZ49" s="242"/>
      <c r="BA49" s="242"/>
      <c r="BB49" s="242"/>
      <c r="BC49" s="242"/>
      <c r="BD49" s="242"/>
      <c r="BE49" s="258"/>
      <c r="BF49" s="240"/>
      <c r="BG49" s="239"/>
      <c r="BH49" s="239"/>
      <c r="BI49" s="239"/>
      <c r="BJ49" s="239"/>
      <c r="BK49" s="239"/>
      <c r="BL49" s="239"/>
      <c r="BM49" s="239"/>
      <c r="BN49" s="239"/>
      <c r="BO49" s="239"/>
      <c r="BP49" s="239"/>
      <c r="BQ49" s="239"/>
      <c r="BR49" s="239"/>
      <c r="BS49" s="239"/>
      <c r="BT49" s="239"/>
      <c r="BU49" s="239"/>
      <c r="BV49" s="239"/>
      <c r="BW49" s="239"/>
      <c r="BX49" s="239"/>
      <c r="BY49" s="239"/>
      <c r="BZ49" s="239"/>
      <c r="CA49" s="239"/>
      <c r="CB49" s="239"/>
      <c r="CC49" s="239"/>
      <c r="CD49" s="239"/>
      <c r="CE49" s="239"/>
      <c r="CF49" s="239"/>
      <c r="CG49" s="239"/>
    </row>
    <row r="50" spans="1:85" ht="15.75" customHeight="1">
      <c r="A50" s="242"/>
      <c r="B50" s="1191" t="s">
        <v>1500</v>
      </c>
      <c r="C50" s="1177"/>
      <c r="D50" s="1177"/>
      <c r="E50" s="1177"/>
      <c r="F50" s="1177"/>
      <c r="G50" s="1177"/>
      <c r="H50" s="1177"/>
      <c r="I50" s="1177"/>
      <c r="J50" s="1177"/>
      <c r="K50" s="1177"/>
      <c r="L50" s="1177"/>
      <c r="M50" s="1177"/>
      <c r="N50" s="1177"/>
      <c r="O50" s="1177"/>
      <c r="P50" s="1177"/>
      <c r="Q50" s="1177"/>
      <c r="R50" s="1177"/>
      <c r="S50" s="1177"/>
      <c r="T50" s="1177"/>
      <c r="U50" s="1177"/>
      <c r="V50" s="1177"/>
      <c r="W50" s="1177"/>
      <c r="X50" s="1177"/>
      <c r="Y50" s="1177"/>
      <c r="Z50" s="1177"/>
      <c r="AA50" s="1177"/>
      <c r="AB50" s="1177"/>
      <c r="AC50" s="1177"/>
      <c r="AD50" s="1177"/>
      <c r="AE50" s="1177"/>
      <c r="AF50" s="1177"/>
      <c r="AG50" s="1177"/>
      <c r="AH50" s="1177"/>
      <c r="AI50" s="1177"/>
      <c r="AJ50" s="1177"/>
      <c r="AK50" s="1177"/>
      <c r="AL50" s="1177"/>
      <c r="AM50" s="1177"/>
      <c r="AN50" s="1177"/>
      <c r="AO50" s="1178"/>
      <c r="AP50" s="243"/>
      <c r="AQ50" s="243"/>
      <c r="AR50" s="243"/>
      <c r="AS50" s="243"/>
      <c r="AT50" s="243"/>
      <c r="AU50" s="243"/>
      <c r="AV50" s="243"/>
      <c r="AW50" s="243"/>
      <c r="AX50" s="242"/>
      <c r="AY50" s="242"/>
      <c r="AZ50" s="242"/>
      <c r="BA50" s="242"/>
      <c r="BB50" s="242"/>
      <c r="BC50" s="242"/>
      <c r="BD50" s="242"/>
      <c r="BE50" s="258"/>
      <c r="BF50" s="239"/>
      <c r="BG50" s="239"/>
      <c r="BH50" s="239"/>
      <c r="BI50" s="239"/>
      <c r="BJ50" s="239"/>
      <c r="BK50" s="239"/>
      <c r="BL50" s="239"/>
      <c r="BM50" s="239"/>
      <c r="BN50" s="239"/>
      <c r="BO50" s="239"/>
      <c r="BP50" s="239"/>
      <c r="BQ50" s="239"/>
      <c r="BR50" s="239"/>
      <c r="BS50" s="239"/>
      <c r="BT50" s="239"/>
      <c r="BU50" s="239"/>
      <c r="BV50" s="239"/>
      <c r="BW50" s="239"/>
      <c r="BX50" s="239"/>
      <c r="BY50" s="239"/>
      <c r="BZ50" s="239"/>
      <c r="CA50" s="239"/>
      <c r="CB50" s="239"/>
      <c r="CC50" s="239"/>
      <c r="CD50" s="239"/>
      <c r="CE50" s="239"/>
      <c r="CF50" s="239"/>
      <c r="CG50" s="239"/>
    </row>
    <row r="51" spans="1:85" ht="33.75" customHeight="1">
      <c r="A51" s="242"/>
      <c r="B51" s="1187" t="s">
        <v>1502</v>
      </c>
      <c r="C51" s="921"/>
      <c r="D51" s="921"/>
      <c r="E51" s="921"/>
      <c r="F51" s="921"/>
      <c r="G51" s="921"/>
      <c r="H51" s="921"/>
      <c r="I51" s="943"/>
      <c r="J51" s="1213" t="s">
        <v>1504</v>
      </c>
      <c r="K51" s="921"/>
      <c r="L51" s="921"/>
      <c r="M51" s="921"/>
      <c r="N51" s="921"/>
      <c r="O51" s="921"/>
      <c r="P51" s="921"/>
      <c r="Q51" s="943"/>
      <c r="R51" s="1214" t="s">
        <v>1505</v>
      </c>
      <c r="S51" s="921"/>
      <c r="T51" s="921"/>
      <c r="U51" s="921"/>
      <c r="V51" s="921"/>
      <c r="W51" s="921"/>
      <c r="X51" s="921"/>
      <c r="Y51" s="943"/>
      <c r="Z51" s="1214" t="s">
        <v>1507</v>
      </c>
      <c r="AA51" s="921"/>
      <c r="AB51" s="921"/>
      <c r="AC51" s="921"/>
      <c r="AD51" s="921"/>
      <c r="AE51" s="921"/>
      <c r="AF51" s="921"/>
      <c r="AG51" s="943"/>
      <c r="AH51" s="1214" t="s">
        <v>1508</v>
      </c>
      <c r="AI51" s="921"/>
      <c r="AJ51" s="921"/>
      <c r="AK51" s="921"/>
      <c r="AL51" s="921"/>
      <c r="AM51" s="921"/>
      <c r="AN51" s="921"/>
      <c r="AO51" s="1149"/>
      <c r="AP51" s="243"/>
      <c r="AQ51" s="243"/>
      <c r="AR51" s="243"/>
      <c r="AS51" s="243"/>
      <c r="AT51" s="243"/>
      <c r="AU51" s="243"/>
      <c r="AV51" s="243"/>
      <c r="AW51" s="243"/>
      <c r="AX51" s="259"/>
      <c r="AY51" s="242"/>
      <c r="AZ51" s="242"/>
      <c r="BA51" s="242"/>
      <c r="BB51" s="242"/>
      <c r="BC51" s="242"/>
      <c r="BD51" s="242"/>
      <c r="BE51" s="258"/>
      <c r="BF51" s="239"/>
      <c r="BG51" s="239"/>
      <c r="BH51" s="239"/>
      <c r="BI51" s="239"/>
      <c r="BJ51" s="239"/>
      <c r="BK51" s="239"/>
      <c r="BL51" s="239"/>
      <c r="BM51" s="239"/>
      <c r="BN51" s="239"/>
      <c r="BO51" s="239"/>
      <c r="BP51" s="239"/>
      <c r="BQ51" s="239"/>
      <c r="BR51" s="239"/>
      <c r="BS51" s="239"/>
      <c r="BT51" s="239"/>
      <c r="BU51" s="239"/>
      <c r="BV51" s="239"/>
      <c r="BW51" s="239"/>
      <c r="BX51" s="239"/>
      <c r="BY51" s="239"/>
      <c r="BZ51" s="239"/>
      <c r="CA51" s="239"/>
      <c r="CB51" s="239"/>
      <c r="CC51" s="239"/>
      <c r="CD51" s="239"/>
      <c r="CE51" s="239"/>
      <c r="CF51" s="239"/>
      <c r="CG51" s="239"/>
    </row>
    <row r="52" spans="1:85" ht="15.75" customHeight="1">
      <c r="A52" s="242"/>
      <c r="B52" s="1188" t="s">
        <v>1509</v>
      </c>
      <c r="C52" s="921"/>
      <c r="D52" s="921"/>
      <c r="E52" s="921"/>
      <c r="F52" s="921"/>
      <c r="G52" s="921"/>
      <c r="H52" s="921"/>
      <c r="I52" s="943"/>
      <c r="J52" s="1151">
        <v>0</v>
      </c>
      <c r="K52" s="921"/>
      <c r="L52" s="921"/>
      <c r="M52" s="921"/>
      <c r="N52" s="921"/>
      <c r="O52" s="921"/>
      <c r="P52" s="921"/>
      <c r="Q52" s="943"/>
      <c r="R52" s="1148">
        <v>0</v>
      </c>
      <c r="S52" s="921"/>
      <c r="T52" s="921"/>
      <c r="U52" s="921"/>
      <c r="V52" s="921"/>
      <c r="W52" s="921"/>
      <c r="X52" s="921"/>
      <c r="Y52" s="943"/>
      <c r="Z52" s="1206">
        <v>0</v>
      </c>
      <c r="AA52" s="921"/>
      <c r="AB52" s="921"/>
      <c r="AC52" s="921"/>
      <c r="AD52" s="921"/>
      <c r="AE52" s="921"/>
      <c r="AF52" s="921"/>
      <c r="AG52" s="943"/>
      <c r="AH52" s="1207"/>
      <c r="AI52" s="921"/>
      <c r="AJ52" s="921"/>
      <c r="AK52" s="921"/>
      <c r="AL52" s="921"/>
      <c r="AM52" s="921"/>
      <c r="AN52" s="921"/>
      <c r="AO52" s="1149"/>
      <c r="AP52" s="243"/>
      <c r="AQ52" s="243"/>
      <c r="AR52" s="243"/>
      <c r="AS52" s="243"/>
      <c r="AT52" s="243"/>
      <c r="AU52" s="243"/>
      <c r="AV52" s="243"/>
      <c r="AW52" s="243"/>
      <c r="AX52" s="259"/>
      <c r="AY52" s="242"/>
      <c r="AZ52" s="242"/>
      <c r="BA52" s="242"/>
      <c r="BB52" s="242"/>
      <c r="BC52" s="242"/>
      <c r="BD52" s="242"/>
      <c r="BE52" s="258"/>
      <c r="BF52" s="239"/>
      <c r="BG52" s="239"/>
      <c r="BH52" s="239"/>
      <c r="BI52" s="239"/>
      <c r="BJ52" s="239"/>
      <c r="BK52" s="239"/>
      <c r="BL52" s="239"/>
      <c r="BM52" s="239"/>
      <c r="BN52" s="239"/>
      <c r="BO52" s="239"/>
      <c r="BP52" s="239"/>
      <c r="BQ52" s="239"/>
      <c r="BR52" s="239"/>
      <c r="BS52" s="239"/>
      <c r="BT52" s="239"/>
      <c r="BU52" s="239"/>
      <c r="BV52" s="239"/>
      <c r="BW52" s="239"/>
      <c r="BX52" s="239"/>
      <c r="BY52" s="239"/>
      <c r="BZ52" s="239"/>
      <c r="CA52" s="239"/>
      <c r="CB52" s="239"/>
      <c r="CC52" s="239"/>
      <c r="CD52" s="239"/>
      <c r="CE52" s="239"/>
      <c r="CF52" s="239"/>
      <c r="CG52" s="239"/>
    </row>
    <row r="53" spans="1:85" ht="15.75" customHeight="1">
      <c r="A53" s="242"/>
      <c r="B53" s="1188" t="s">
        <v>1514</v>
      </c>
      <c r="C53" s="921"/>
      <c r="D53" s="921"/>
      <c r="E53" s="921"/>
      <c r="F53" s="921"/>
      <c r="G53" s="921"/>
      <c r="H53" s="921"/>
      <c r="I53" s="943"/>
      <c r="J53" s="1151">
        <v>0</v>
      </c>
      <c r="K53" s="921"/>
      <c r="L53" s="921"/>
      <c r="M53" s="921"/>
      <c r="N53" s="921"/>
      <c r="O53" s="921"/>
      <c r="P53" s="921"/>
      <c r="Q53" s="943"/>
      <c r="R53" s="1148">
        <v>0</v>
      </c>
      <c r="S53" s="921"/>
      <c r="T53" s="921"/>
      <c r="U53" s="921"/>
      <c r="V53" s="921"/>
      <c r="W53" s="921"/>
      <c r="X53" s="921"/>
      <c r="Y53" s="943"/>
      <c r="Z53" s="1206">
        <v>0</v>
      </c>
      <c r="AA53" s="921"/>
      <c r="AB53" s="921"/>
      <c r="AC53" s="921"/>
      <c r="AD53" s="921"/>
      <c r="AE53" s="921"/>
      <c r="AF53" s="921"/>
      <c r="AG53" s="943"/>
      <c r="AH53" s="1207"/>
      <c r="AI53" s="921"/>
      <c r="AJ53" s="921"/>
      <c r="AK53" s="921"/>
      <c r="AL53" s="921"/>
      <c r="AM53" s="921"/>
      <c r="AN53" s="921"/>
      <c r="AO53" s="1149"/>
      <c r="AP53" s="243"/>
      <c r="AQ53" s="243"/>
      <c r="AR53" s="243"/>
      <c r="AS53" s="243"/>
      <c r="AT53" s="243"/>
      <c r="AU53" s="243"/>
      <c r="AV53" s="243"/>
      <c r="AW53" s="243"/>
      <c r="AX53" s="242"/>
      <c r="AY53" s="242"/>
      <c r="AZ53" s="242"/>
      <c r="BA53" s="242"/>
      <c r="BB53" s="242"/>
      <c r="BC53" s="242"/>
      <c r="BD53" s="242"/>
      <c r="BE53" s="258"/>
      <c r="BF53" s="239"/>
      <c r="BG53" s="239"/>
      <c r="BH53" s="239"/>
      <c r="BI53" s="239"/>
      <c r="BJ53" s="239"/>
      <c r="BK53" s="239"/>
      <c r="BL53" s="239"/>
      <c r="BM53" s="239"/>
      <c r="BN53" s="239"/>
      <c r="BO53" s="239"/>
      <c r="BP53" s="239"/>
      <c r="BQ53" s="239"/>
      <c r="BR53" s="239"/>
      <c r="BS53" s="239"/>
      <c r="BT53" s="239"/>
      <c r="BU53" s="239"/>
      <c r="BV53" s="239"/>
      <c r="BW53" s="239"/>
      <c r="BX53" s="239"/>
      <c r="BY53" s="239"/>
      <c r="BZ53" s="239"/>
      <c r="CA53" s="239"/>
      <c r="CB53" s="239"/>
      <c r="CC53" s="239"/>
      <c r="CD53" s="239"/>
      <c r="CE53" s="239"/>
      <c r="CF53" s="239"/>
      <c r="CG53" s="239"/>
    </row>
    <row r="54" spans="1:85" ht="15.75" customHeight="1">
      <c r="A54" s="242"/>
      <c r="B54" s="1188"/>
      <c r="C54" s="921"/>
      <c r="D54" s="921"/>
      <c r="E54" s="921"/>
      <c r="F54" s="921"/>
      <c r="G54" s="921"/>
      <c r="H54" s="921"/>
      <c r="I54" s="943"/>
      <c r="J54" s="1151"/>
      <c r="K54" s="921"/>
      <c r="L54" s="921"/>
      <c r="M54" s="921"/>
      <c r="N54" s="921"/>
      <c r="O54" s="921"/>
      <c r="P54" s="921"/>
      <c r="Q54" s="943"/>
      <c r="R54" s="1148"/>
      <c r="S54" s="921"/>
      <c r="T54" s="921"/>
      <c r="U54" s="921"/>
      <c r="V54" s="921"/>
      <c r="W54" s="921"/>
      <c r="X54" s="921"/>
      <c r="Y54" s="943"/>
      <c r="Z54" s="1206"/>
      <c r="AA54" s="921"/>
      <c r="AB54" s="921"/>
      <c r="AC54" s="921"/>
      <c r="AD54" s="921"/>
      <c r="AE54" s="921"/>
      <c r="AF54" s="921"/>
      <c r="AG54" s="943"/>
      <c r="AH54" s="1207"/>
      <c r="AI54" s="921"/>
      <c r="AJ54" s="921"/>
      <c r="AK54" s="921"/>
      <c r="AL54" s="921"/>
      <c r="AM54" s="921"/>
      <c r="AN54" s="921"/>
      <c r="AO54" s="1149"/>
      <c r="AP54" s="243"/>
      <c r="AQ54" s="243"/>
      <c r="AR54" s="243"/>
      <c r="AS54" s="243"/>
      <c r="AT54" s="243"/>
      <c r="AU54" s="243"/>
      <c r="AV54" s="243"/>
      <c r="AW54" s="243"/>
      <c r="AX54" s="242"/>
      <c r="AY54" s="242"/>
      <c r="AZ54" s="242"/>
      <c r="BA54" s="242"/>
      <c r="BB54" s="242"/>
      <c r="BC54" s="242"/>
      <c r="BD54" s="242"/>
      <c r="BE54" s="258"/>
      <c r="BF54" s="239"/>
      <c r="BG54" s="239"/>
      <c r="BH54" s="239"/>
      <c r="BI54" s="239"/>
      <c r="BJ54" s="239"/>
      <c r="BK54" s="239"/>
      <c r="BL54" s="239"/>
      <c r="BM54" s="239"/>
      <c r="BN54" s="239"/>
      <c r="BO54" s="239"/>
      <c r="BP54" s="239"/>
      <c r="BQ54" s="239"/>
      <c r="BR54" s="239"/>
      <c r="BS54" s="239"/>
      <c r="BT54" s="239"/>
      <c r="BU54" s="239"/>
      <c r="BV54" s="239"/>
      <c r="BW54" s="239"/>
      <c r="BX54" s="239"/>
      <c r="BY54" s="239"/>
      <c r="BZ54" s="239"/>
      <c r="CA54" s="239"/>
      <c r="CB54" s="239"/>
      <c r="CC54" s="239"/>
      <c r="CD54" s="239"/>
      <c r="CE54" s="239"/>
      <c r="CF54" s="239"/>
      <c r="CG54" s="239"/>
    </row>
    <row r="55" spans="1:85" ht="15.75" customHeight="1">
      <c r="A55" s="242"/>
      <c r="B55" s="1188"/>
      <c r="C55" s="921"/>
      <c r="D55" s="921"/>
      <c r="E55" s="921"/>
      <c r="F55" s="921"/>
      <c r="G55" s="921"/>
      <c r="H55" s="921"/>
      <c r="I55" s="943"/>
      <c r="J55" s="1151"/>
      <c r="K55" s="921"/>
      <c r="L55" s="921"/>
      <c r="M55" s="921"/>
      <c r="N55" s="921"/>
      <c r="O55" s="921"/>
      <c r="P55" s="921"/>
      <c r="Q55" s="943"/>
      <c r="R55" s="1148"/>
      <c r="S55" s="921"/>
      <c r="T55" s="921"/>
      <c r="U55" s="921"/>
      <c r="V55" s="921"/>
      <c r="W55" s="921"/>
      <c r="X55" s="921"/>
      <c r="Y55" s="943"/>
      <c r="Z55" s="1206"/>
      <c r="AA55" s="921"/>
      <c r="AB55" s="921"/>
      <c r="AC55" s="921"/>
      <c r="AD55" s="921"/>
      <c r="AE55" s="921"/>
      <c r="AF55" s="921"/>
      <c r="AG55" s="943"/>
      <c r="AH55" s="1207"/>
      <c r="AI55" s="921"/>
      <c r="AJ55" s="921"/>
      <c r="AK55" s="921"/>
      <c r="AL55" s="921"/>
      <c r="AM55" s="921"/>
      <c r="AN55" s="921"/>
      <c r="AO55" s="1149"/>
      <c r="AP55" s="243"/>
      <c r="AQ55" s="243"/>
      <c r="AR55" s="243"/>
      <c r="AS55" s="243"/>
      <c r="AT55" s="243" t="s">
        <v>9</v>
      </c>
      <c r="AU55" s="243"/>
      <c r="AV55" s="243"/>
      <c r="AW55" s="243"/>
      <c r="AX55" s="242"/>
      <c r="AY55" s="242"/>
      <c r="AZ55" s="242"/>
      <c r="BA55" s="242"/>
      <c r="BB55" s="242"/>
      <c r="BC55" s="242"/>
      <c r="BD55" s="242"/>
      <c r="BE55" s="258"/>
      <c r="BF55" s="239"/>
      <c r="BG55" s="239"/>
      <c r="BH55" s="239"/>
      <c r="BI55" s="239"/>
      <c r="BJ55" s="239"/>
      <c r="BK55" s="239"/>
      <c r="BL55" s="239"/>
      <c r="BM55" s="239"/>
      <c r="BN55" s="239"/>
      <c r="BO55" s="239"/>
      <c r="BP55" s="239"/>
      <c r="BQ55" s="239"/>
      <c r="BR55" s="239"/>
      <c r="BS55" s="239"/>
      <c r="BT55" s="239"/>
      <c r="BU55" s="239"/>
      <c r="BV55" s="239"/>
      <c r="BW55" s="239"/>
      <c r="BX55" s="239"/>
      <c r="BY55" s="239"/>
      <c r="BZ55" s="239"/>
      <c r="CA55" s="239"/>
      <c r="CB55" s="239"/>
      <c r="CC55" s="239"/>
      <c r="CD55" s="239"/>
      <c r="CE55" s="239"/>
      <c r="CF55" s="239"/>
      <c r="CG55" s="239"/>
    </row>
    <row r="56" spans="1:85" ht="15.75" customHeight="1">
      <c r="A56" s="242"/>
      <c r="B56" s="1188"/>
      <c r="C56" s="921"/>
      <c r="D56" s="921"/>
      <c r="E56" s="921"/>
      <c r="F56" s="921"/>
      <c r="G56" s="921"/>
      <c r="H56" s="921"/>
      <c r="I56" s="943"/>
      <c r="J56" s="1151"/>
      <c r="K56" s="921"/>
      <c r="L56" s="921"/>
      <c r="M56" s="921"/>
      <c r="N56" s="921"/>
      <c r="O56" s="921"/>
      <c r="P56" s="921"/>
      <c r="Q56" s="943"/>
      <c r="R56" s="1148"/>
      <c r="S56" s="921"/>
      <c r="T56" s="921"/>
      <c r="U56" s="921"/>
      <c r="V56" s="921"/>
      <c r="W56" s="921"/>
      <c r="X56" s="921"/>
      <c r="Y56" s="943"/>
      <c r="Z56" s="1206"/>
      <c r="AA56" s="921"/>
      <c r="AB56" s="921"/>
      <c r="AC56" s="921"/>
      <c r="AD56" s="921"/>
      <c r="AE56" s="921"/>
      <c r="AF56" s="921"/>
      <c r="AG56" s="943"/>
      <c r="AH56" s="1207"/>
      <c r="AI56" s="921"/>
      <c r="AJ56" s="921"/>
      <c r="AK56" s="921"/>
      <c r="AL56" s="921"/>
      <c r="AM56" s="921"/>
      <c r="AN56" s="921"/>
      <c r="AO56" s="1149"/>
      <c r="AP56" s="243"/>
      <c r="AQ56" s="243"/>
      <c r="AR56" s="243"/>
      <c r="AS56" s="243"/>
      <c r="AT56" s="243"/>
      <c r="AU56" s="243"/>
      <c r="AV56" s="243"/>
      <c r="AW56" s="243"/>
      <c r="AX56" s="242"/>
      <c r="AY56" s="242"/>
      <c r="AZ56" s="242"/>
      <c r="BA56" s="242"/>
      <c r="BB56" s="242"/>
      <c r="BC56" s="242"/>
      <c r="BD56" s="242"/>
      <c r="BE56" s="258"/>
      <c r="BF56" s="239"/>
      <c r="BG56" s="239"/>
      <c r="BH56" s="239"/>
      <c r="BI56" s="239"/>
      <c r="BJ56" s="239"/>
      <c r="BK56" s="239"/>
      <c r="BL56" s="239"/>
      <c r="BM56" s="239"/>
      <c r="BN56" s="239"/>
      <c r="BO56" s="239"/>
      <c r="BP56" s="239"/>
      <c r="BQ56" s="239"/>
      <c r="BR56" s="239"/>
      <c r="BS56" s="239"/>
      <c r="BT56" s="239"/>
      <c r="BU56" s="239"/>
      <c r="BV56" s="239"/>
      <c r="BW56" s="239"/>
      <c r="BX56" s="239"/>
      <c r="BY56" s="239"/>
      <c r="BZ56" s="239"/>
      <c r="CA56" s="239"/>
      <c r="CB56" s="239"/>
      <c r="CC56" s="239"/>
      <c r="CD56" s="239"/>
      <c r="CE56" s="239"/>
      <c r="CF56" s="239"/>
      <c r="CG56" s="239"/>
    </row>
    <row r="57" spans="1:85" ht="15.75" customHeight="1">
      <c r="A57" s="243"/>
      <c r="B57" s="1198" t="s">
        <v>1365</v>
      </c>
      <c r="C57" s="1154"/>
      <c r="D57" s="1154"/>
      <c r="E57" s="1154"/>
      <c r="F57" s="1154"/>
      <c r="G57" s="1154"/>
      <c r="H57" s="1154"/>
      <c r="I57" s="1190"/>
      <c r="J57" s="1208"/>
      <c r="K57" s="1154"/>
      <c r="L57" s="1154"/>
      <c r="M57" s="1154"/>
      <c r="N57" s="1154"/>
      <c r="O57" s="1154"/>
      <c r="P57" s="1154"/>
      <c r="Q57" s="1190"/>
      <c r="R57" s="1215">
        <f>SUM(R52:Y56)</f>
        <v>0</v>
      </c>
      <c r="S57" s="1154"/>
      <c r="T57" s="1154"/>
      <c r="U57" s="1154"/>
      <c r="V57" s="1154"/>
      <c r="W57" s="1154"/>
      <c r="X57" s="1154"/>
      <c r="Y57" s="1190"/>
      <c r="Z57" s="1216">
        <f>SUM(Z52:AG56)</f>
        <v>0</v>
      </c>
      <c r="AA57" s="1154"/>
      <c r="AB57" s="1154"/>
      <c r="AC57" s="1154"/>
      <c r="AD57" s="1154"/>
      <c r="AE57" s="1154"/>
      <c r="AF57" s="1154"/>
      <c r="AG57" s="1190"/>
      <c r="AH57" s="1208"/>
      <c r="AI57" s="1154"/>
      <c r="AJ57" s="1154"/>
      <c r="AK57" s="1154"/>
      <c r="AL57" s="1154"/>
      <c r="AM57" s="1154"/>
      <c r="AN57" s="1154"/>
      <c r="AO57" s="1155"/>
      <c r="AP57" s="243"/>
      <c r="AQ57" s="243"/>
      <c r="AR57" s="243"/>
      <c r="AS57" s="243"/>
      <c r="AT57" s="243"/>
      <c r="AU57" s="243"/>
      <c r="AV57" s="243"/>
      <c r="AW57" s="243"/>
      <c r="AX57" s="243"/>
      <c r="AY57" s="243"/>
      <c r="AZ57" s="243"/>
      <c r="BA57" s="243"/>
      <c r="BB57" s="243"/>
      <c r="BC57" s="243"/>
      <c r="BD57" s="243"/>
      <c r="BE57" s="270"/>
      <c r="BF57" s="271"/>
      <c r="BG57" s="271"/>
      <c r="BH57" s="271"/>
      <c r="BI57" s="271"/>
      <c r="BJ57" s="271"/>
      <c r="BK57" s="271"/>
      <c r="BL57" s="271"/>
      <c r="BM57" s="271"/>
      <c r="BN57" s="271"/>
      <c r="BO57" s="271"/>
      <c r="BP57" s="271"/>
      <c r="BQ57" s="271"/>
      <c r="BR57" s="271"/>
      <c r="BS57" s="271"/>
      <c r="BT57" s="271"/>
      <c r="BU57" s="271"/>
      <c r="BV57" s="271"/>
      <c r="BW57" s="271"/>
      <c r="BX57" s="271"/>
      <c r="BY57" s="271"/>
      <c r="BZ57" s="271"/>
      <c r="CA57" s="271"/>
      <c r="CB57" s="271"/>
      <c r="CC57" s="271"/>
      <c r="CD57" s="271"/>
      <c r="CE57" s="271"/>
      <c r="CF57" s="271"/>
      <c r="CG57" s="271"/>
    </row>
    <row r="58" spans="1:85" ht="15.75" customHeight="1">
      <c r="A58" s="242"/>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58"/>
      <c r="BF58" s="239"/>
      <c r="BG58" s="239"/>
      <c r="BH58" s="239"/>
      <c r="BI58" s="239"/>
      <c r="BJ58" s="239"/>
      <c r="BK58" s="239"/>
      <c r="BL58" s="239"/>
      <c r="BM58" s="239"/>
      <c r="BN58" s="239"/>
      <c r="BO58" s="239"/>
      <c r="BP58" s="239"/>
      <c r="BQ58" s="239"/>
      <c r="BR58" s="239"/>
      <c r="BS58" s="239"/>
      <c r="BT58" s="239"/>
      <c r="BU58" s="239"/>
      <c r="BV58" s="239"/>
      <c r="BW58" s="239"/>
      <c r="BX58" s="239"/>
      <c r="BY58" s="239"/>
      <c r="BZ58" s="239"/>
      <c r="CA58" s="239"/>
      <c r="CB58" s="239"/>
      <c r="CC58" s="239"/>
      <c r="CD58" s="239"/>
      <c r="CE58" s="239"/>
      <c r="CF58" s="239"/>
      <c r="CG58" s="239"/>
    </row>
    <row r="59" spans="1:85" ht="15.75" customHeight="1">
      <c r="A59" s="242"/>
      <c r="B59" s="1199" t="s">
        <v>1502</v>
      </c>
      <c r="C59" s="1200"/>
      <c r="D59" s="1200"/>
      <c r="E59" s="1200"/>
      <c r="F59" s="1200"/>
      <c r="G59" s="1200"/>
      <c r="H59" s="1200"/>
      <c r="I59" s="1201"/>
      <c r="J59" s="1210" t="s">
        <v>1529</v>
      </c>
      <c r="K59" s="1177"/>
      <c r="L59" s="1177"/>
      <c r="M59" s="1177"/>
      <c r="N59" s="1177"/>
      <c r="O59" s="1177"/>
      <c r="P59" s="1177"/>
      <c r="Q59" s="1177"/>
      <c r="R59" s="1177"/>
      <c r="S59" s="1177"/>
      <c r="T59" s="1177"/>
      <c r="U59" s="1177"/>
      <c r="V59" s="1177"/>
      <c r="W59" s="1177"/>
      <c r="X59" s="1177"/>
      <c r="Y59" s="1177"/>
      <c r="Z59" s="1177"/>
      <c r="AA59" s="1177"/>
      <c r="AB59" s="1177"/>
      <c r="AC59" s="1177"/>
      <c r="AD59" s="1177"/>
      <c r="AE59" s="1177"/>
      <c r="AF59" s="1177"/>
      <c r="AG59" s="1177"/>
      <c r="AH59" s="1177"/>
      <c r="AI59" s="1177"/>
      <c r="AJ59" s="1177"/>
      <c r="AK59" s="1177"/>
      <c r="AL59" s="1177"/>
      <c r="AM59" s="1177"/>
      <c r="AN59" s="1177"/>
      <c r="AO59" s="1177"/>
      <c r="AP59" s="1177"/>
      <c r="AQ59" s="1177"/>
      <c r="AR59" s="1177"/>
      <c r="AS59" s="1177"/>
      <c r="AT59" s="1177"/>
      <c r="AU59" s="1177"/>
      <c r="AV59" s="1177"/>
      <c r="AW59" s="1178"/>
      <c r="AX59" s="242"/>
      <c r="AY59" s="242"/>
      <c r="AZ59" s="242"/>
      <c r="BA59" s="242"/>
      <c r="BB59" s="242"/>
      <c r="BC59" s="242"/>
      <c r="BD59" s="242"/>
      <c r="BE59" s="258"/>
      <c r="BF59" s="239"/>
      <c r="BG59" s="239"/>
      <c r="BH59" s="239"/>
      <c r="BI59" s="239"/>
      <c r="BJ59" s="239"/>
      <c r="BK59" s="239"/>
      <c r="BL59" s="239"/>
      <c r="BM59" s="239"/>
      <c r="BN59" s="239"/>
      <c r="BO59" s="239"/>
      <c r="BP59" s="239"/>
      <c r="BQ59" s="239"/>
      <c r="BR59" s="239"/>
      <c r="BS59" s="239"/>
      <c r="BT59" s="239"/>
      <c r="BU59" s="239"/>
      <c r="BV59" s="239"/>
      <c r="BW59" s="239"/>
      <c r="BX59" s="239"/>
      <c r="BY59" s="239"/>
      <c r="BZ59" s="239"/>
      <c r="CA59" s="239"/>
      <c r="CB59" s="239"/>
      <c r="CC59" s="239"/>
      <c r="CD59" s="239"/>
      <c r="CE59" s="239"/>
      <c r="CF59" s="239"/>
      <c r="CG59" s="239"/>
    </row>
    <row r="60" spans="1:85" ht="15.75" customHeight="1">
      <c r="A60" s="242"/>
      <c r="B60" s="1202" t="str">
        <f t="shared" ref="B60:B64" si="4">IF(B52="","",B52)</f>
        <v>Services Company 1</v>
      </c>
      <c r="C60" s="921"/>
      <c r="D60" s="921"/>
      <c r="E60" s="921"/>
      <c r="F60" s="921"/>
      <c r="G60" s="921"/>
      <c r="H60" s="921"/>
      <c r="I60" s="1149"/>
      <c r="J60" s="1204"/>
      <c r="K60" s="921"/>
      <c r="L60" s="921"/>
      <c r="M60" s="921"/>
      <c r="N60" s="921"/>
      <c r="O60" s="921"/>
      <c r="P60" s="921"/>
      <c r="Q60" s="921"/>
      <c r="R60" s="921"/>
      <c r="S60" s="921"/>
      <c r="T60" s="921"/>
      <c r="U60" s="921"/>
      <c r="V60" s="921"/>
      <c r="W60" s="921"/>
      <c r="X60" s="921"/>
      <c r="Y60" s="921"/>
      <c r="Z60" s="921"/>
      <c r="AA60" s="921"/>
      <c r="AB60" s="921"/>
      <c r="AC60" s="921"/>
      <c r="AD60" s="921"/>
      <c r="AE60" s="921"/>
      <c r="AF60" s="921"/>
      <c r="AG60" s="921"/>
      <c r="AH60" s="921"/>
      <c r="AI60" s="921"/>
      <c r="AJ60" s="921"/>
      <c r="AK60" s="921"/>
      <c r="AL60" s="921"/>
      <c r="AM60" s="921"/>
      <c r="AN60" s="921"/>
      <c r="AO60" s="921"/>
      <c r="AP60" s="921"/>
      <c r="AQ60" s="921"/>
      <c r="AR60" s="921"/>
      <c r="AS60" s="921"/>
      <c r="AT60" s="921"/>
      <c r="AU60" s="921"/>
      <c r="AV60" s="921"/>
      <c r="AW60" s="1149"/>
      <c r="AX60" s="242"/>
      <c r="AY60" s="242"/>
      <c r="AZ60" s="242"/>
      <c r="BA60" s="242"/>
      <c r="BB60" s="242"/>
      <c r="BC60" s="242"/>
      <c r="BD60" s="242"/>
      <c r="BE60" s="258"/>
      <c r="BF60" s="239"/>
      <c r="BG60" s="239"/>
      <c r="BH60" s="239"/>
      <c r="BI60" s="239"/>
      <c r="BJ60" s="239"/>
      <c r="BK60" s="239"/>
      <c r="BL60" s="239"/>
      <c r="BM60" s="239"/>
      <c r="BN60" s="239"/>
      <c r="BO60" s="239"/>
      <c r="BP60" s="239"/>
      <c r="BQ60" s="239"/>
      <c r="BR60" s="239"/>
      <c r="BS60" s="239"/>
      <c r="BT60" s="239"/>
      <c r="BU60" s="239"/>
      <c r="BV60" s="239"/>
      <c r="BW60" s="239"/>
      <c r="BX60" s="239"/>
      <c r="BY60" s="239"/>
      <c r="BZ60" s="239"/>
      <c r="CA60" s="239"/>
      <c r="CB60" s="239"/>
      <c r="CC60" s="239"/>
      <c r="CD60" s="239"/>
      <c r="CE60" s="239"/>
      <c r="CF60" s="239"/>
      <c r="CG60" s="239"/>
    </row>
    <row r="61" spans="1:85" ht="15.75" customHeight="1">
      <c r="A61" s="242"/>
      <c r="B61" s="1202" t="str">
        <f t="shared" si="4"/>
        <v>Services Company 2</v>
      </c>
      <c r="C61" s="921"/>
      <c r="D61" s="921"/>
      <c r="E61" s="921"/>
      <c r="F61" s="921"/>
      <c r="G61" s="921"/>
      <c r="H61" s="921"/>
      <c r="I61" s="1149"/>
      <c r="J61" s="1204"/>
      <c r="K61" s="921"/>
      <c r="L61" s="921"/>
      <c r="M61" s="921"/>
      <c r="N61" s="921"/>
      <c r="O61" s="921"/>
      <c r="P61" s="921"/>
      <c r="Q61" s="921"/>
      <c r="R61" s="921"/>
      <c r="S61" s="921"/>
      <c r="T61" s="921"/>
      <c r="U61" s="921"/>
      <c r="V61" s="921"/>
      <c r="W61" s="921"/>
      <c r="X61" s="921"/>
      <c r="Y61" s="921"/>
      <c r="Z61" s="921"/>
      <c r="AA61" s="921"/>
      <c r="AB61" s="921"/>
      <c r="AC61" s="921"/>
      <c r="AD61" s="921"/>
      <c r="AE61" s="921"/>
      <c r="AF61" s="921"/>
      <c r="AG61" s="921"/>
      <c r="AH61" s="921"/>
      <c r="AI61" s="921"/>
      <c r="AJ61" s="921"/>
      <c r="AK61" s="921"/>
      <c r="AL61" s="921"/>
      <c r="AM61" s="921"/>
      <c r="AN61" s="921"/>
      <c r="AO61" s="921"/>
      <c r="AP61" s="921"/>
      <c r="AQ61" s="921"/>
      <c r="AR61" s="921"/>
      <c r="AS61" s="921"/>
      <c r="AT61" s="921"/>
      <c r="AU61" s="921"/>
      <c r="AV61" s="921"/>
      <c r="AW61" s="1149"/>
      <c r="AX61" s="242"/>
      <c r="AY61" s="242"/>
      <c r="AZ61" s="242"/>
      <c r="BA61" s="242"/>
      <c r="BB61" s="242"/>
      <c r="BC61" s="242"/>
      <c r="BD61" s="242"/>
      <c r="BE61" s="258"/>
      <c r="BF61" s="239"/>
      <c r="BG61" s="239"/>
      <c r="BH61" s="239"/>
      <c r="BI61" s="239"/>
      <c r="BJ61" s="239"/>
      <c r="BK61" s="239"/>
      <c r="BL61" s="239"/>
      <c r="BM61" s="239"/>
      <c r="BN61" s="239"/>
      <c r="BO61" s="239"/>
      <c r="BP61" s="239"/>
      <c r="BQ61" s="239"/>
      <c r="BR61" s="239"/>
      <c r="BS61" s="239"/>
      <c r="BT61" s="239"/>
      <c r="BU61" s="239"/>
      <c r="BV61" s="239"/>
      <c r="BW61" s="239"/>
      <c r="BX61" s="239"/>
      <c r="BY61" s="239"/>
      <c r="BZ61" s="239"/>
      <c r="CA61" s="239"/>
      <c r="CB61" s="239"/>
      <c r="CC61" s="239"/>
      <c r="CD61" s="239"/>
      <c r="CE61" s="239"/>
      <c r="CF61" s="239"/>
      <c r="CG61" s="239"/>
    </row>
    <row r="62" spans="1:85" ht="15.75" customHeight="1">
      <c r="A62" s="242"/>
      <c r="B62" s="1202" t="str">
        <f t="shared" si="4"/>
        <v/>
      </c>
      <c r="C62" s="921"/>
      <c r="D62" s="921"/>
      <c r="E62" s="921"/>
      <c r="F62" s="921"/>
      <c r="G62" s="921"/>
      <c r="H62" s="921"/>
      <c r="I62" s="1149"/>
      <c r="J62" s="1204"/>
      <c r="K62" s="921"/>
      <c r="L62" s="921"/>
      <c r="M62" s="921"/>
      <c r="N62" s="921"/>
      <c r="O62" s="921"/>
      <c r="P62" s="921"/>
      <c r="Q62" s="921"/>
      <c r="R62" s="921"/>
      <c r="S62" s="921"/>
      <c r="T62" s="921"/>
      <c r="U62" s="921"/>
      <c r="V62" s="921"/>
      <c r="W62" s="921"/>
      <c r="X62" s="921"/>
      <c r="Y62" s="921"/>
      <c r="Z62" s="921"/>
      <c r="AA62" s="921"/>
      <c r="AB62" s="921"/>
      <c r="AC62" s="921"/>
      <c r="AD62" s="921"/>
      <c r="AE62" s="921"/>
      <c r="AF62" s="921"/>
      <c r="AG62" s="921"/>
      <c r="AH62" s="921"/>
      <c r="AI62" s="921"/>
      <c r="AJ62" s="921"/>
      <c r="AK62" s="921"/>
      <c r="AL62" s="921"/>
      <c r="AM62" s="921"/>
      <c r="AN62" s="921"/>
      <c r="AO62" s="921"/>
      <c r="AP62" s="921"/>
      <c r="AQ62" s="921"/>
      <c r="AR62" s="921"/>
      <c r="AS62" s="921"/>
      <c r="AT62" s="921"/>
      <c r="AU62" s="921"/>
      <c r="AV62" s="921"/>
      <c r="AW62" s="1149"/>
      <c r="AX62" s="242"/>
      <c r="AY62" s="242"/>
      <c r="AZ62" s="242"/>
      <c r="BA62" s="242"/>
      <c r="BB62" s="242"/>
      <c r="BC62" s="242"/>
      <c r="BD62" s="242"/>
      <c r="BE62" s="258"/>
      <c r="BF62" s="239"/>
      <c r="BG62" s="239"/>
      <c r="BH62" s="239"/>
      <c r="BI62" s="239"/>
      <c r="BJ62" s="239"/>
      <c r="BK62" s="239"/>
      <c r="BL62" s="239"/>
      <c r="BM62" s="239"/>
      <c r="BN62" s="239"/>
      <c r="BO62" s="239"/>
      <c r="BP62" s="239"/>
      <c r="BQ62" s="239"/>
      <c r="BR62" s="239"/>
      <c r="BS62" s="239"/>
      <c r="BT62" s="239"/>
      <c r="BU62" s="239"/>
      <c r="BV62" s="239"/>
      <c r="BW62" s="239"/>
      <c r="BX62" s="239"/>
      <c r="BY62" s="239"/>
      <c r="BZ62" s="239"/>
      <c r="CA62" s="239"/>
      <c r="CB62" s="239"/>
      <c r="CC62" s="239"/>
      <c r="CD62" s="239"/>
      <c r="CE62" s="239"/>
      <c r="CF62" s="239"/>
      <c r="CG62" s="239"/>
    </row>
    <row r="63" spans="1:85" ht="15.75" customHeight="1">
      <c r="A63" s="242"/>
      <c r="B63" s="1202" t="str">
        <f t="shared" si="4"/>
        <v/>
      </c>
      <c r="C63" s="921"/>
      <c r="D63" s="921"/>
      <c r="E63" s="921"/>
      <c r="F63" s="921"/>
      <c r="G63" s="921"/>
      <c r="H63" s="921"/>
      <c r="I63" s="1149"/>
      <c r="J63" s="1204"/>
      <c r="K63" s="921"/>
      <c r="L63" s="921"/>
      <c r="M63" s="921"/>
      <c r="N63" s="921"/>
      <c r="O63" s="921"/>
      <c r="P63" s="921"/>
      <c r="Q63" s="921"/>
      <c r="R63" s="921"/>
      <c r="S63" s="921"/>
      <c r="T63" s="921"/>
      <c r="U63" s="921"/>
      <c r="V63" s="921"/>
      <c r="W63" s="921"/>
      <c r="X63" s="921"/>
      <c r="Y63" s="921"/>
      <c r="Z63" s="921"/>
      <c r="AA63" s="921"/>
      <c r="AB63" s="921"/>
      <c r="AC63" s="921"/>
      <c r="AD63" s="921"/>
      <c r="AE63" s="921"/>
      <c r="AF63" s="921"/>
      <c r="AG63" s="921"/>
      <c r="AH63" s="921"/>
      <c r="AI63" s="921"/>
      <c r="AJ63" s="921"/>
      <c r="AK63" s="921"/>
      <c r="AL63" s="921"/>
      <c r="AM63" s="921"/>
      <c r="AN63" s="921"/>
      <c r="AO63" s="921"/>
      <c r="AP63" s="921"/>
      <c r="AQ63" s="921"/>
      <c r="AR63" s="921"/>
      <c r="AS63" s="921"/>
      <c r="AT63" s="921"/>
      <c r="AU63" s="921"/>
      <c r="AV63" s="921"/>
      <c r="AW63" s="1149"/>
      <c r="AX63" s="242"/>
      <c r="AY63" s="242"/>
      <c r="AZ63" s="242"/>
      <c r="BA63" s="242"/>
      <c r="BB63" s="242"/>
      <c r="BC63" s="242"/>
      <c r="BD63" s="242"/>
      <c r="BE63" s="258"/>
      <c r="BF63" s="239"/>
      <c r="BG63" s="239"/>
      <c r="BH63" s="239"/>
      <c r="BI63" s="239"/>
      <c r="BJ63" s="239"/>
      <c r="BK63" s="239"/>
      <c r="BL63" s="239"/>
      <c r="BM63" s="239"/>
      <c r="BN63" s="239"/>
      <c r="BO63" s="239"/>
      <c r="BP63" s="239"/>
      <c r="BQ63" s="239"/>
      <c r="BR63" s="239"/>
      <c r="BS63" s="239"/>
      <c r="BT63" s="239"/>
      <c r="BU63" s="239"/>
      <c r="BV63" s="239"/>
      <c r="BW63" s="239"/>
      <c r="BX63" s="239"/>
      <c r="BY63" s="239"/>
      <c r="BZ63" s="239"/>
      <c r="CA63" s="239"/>
      <c r="CB63" s="239"/>
      <c r="CC63" s="239"/>
      <c r="CD63" s="239"/>
      <c r="CE63" s="239"/>
      <c r="CF63" s="239"/>
      <c r="CG63" s="239"/>
    </row>
    <row r="64" spans="1:85" ht="15.75" customHeight="1">
      <c r="A64" s="242"/>
      <c r="B64" s="1203" t="str">
        <f t="shared" si="4"/>
        <v/>
      </c>
      <c r="C64" s="1154"/>
      <c r="D64" s="1154"/>
      <c r="E64" s="1154"/>
      <c r="F64" s="1154"/>
      <c r="G64" s="1154"/>
      <c r="H64" s="1154"/>
      <c r="I64" s="1155"/>
      <c r="J64" s="1205"/>
      <c r="K64" s="1154"/>
      <c r="L64" s="1154"/>
      <c r="M64" s="1154"/>
      <c r="N64" s="1154"/>
      <c r="O64" s="1154"/>
      <c r="P64" s="1154"/>
      <c r="Q64" s="1154"/>
      <c r="R64" s="1154"/>
      <c r="S64" s="1154"/>
      <c r="T64" s="1154"/>
      <c r="U64" s="1154"/>
      <c r="V64" s="1154"/>
      <c r="W64" s="1154"/>
      <c r="X64" s="1154"/>
      <c r="Y64" s="1154"/>
      <c r="Z64" s="1154"/>
      <c r="AA64" s="1154"/>
      <c r="AB64" s="1154"/>
      <c r="AC64" s="1154"/>
      <c r="AD64" s="1154"/>
      <c r="AE64" s="1154"/>
      <c r="AF64" s="1154"/>
      <c r="AG64" s="1154"/>
      <c r="AH64" s="1154"/>
      <c r="AI64" s="1154"/>
      <c r="AJ64" s="1154"/>
      <c r="AK64" s="1154"/>
      <c r="AL64" s="1154"/>
      <c r="AM64" s="1154"/>
      <c r="AN64" s="1154"/>
      <c r="AO64" s="1154"/>
      <c r="AP64" s="1154"/>
      <c r="AQ64" s="1154"/>
      <c r="AR64" s="1154"/>
      <c r="AS64" s="1154"/>
      <c r="AT64" s="1154"/>
      <c r="AU64" s="1154"/>
      <c r="AV64" s="1154"/>
      <c r="AW64" s="1155"/>
      <c r="AX64" s="242"/>
      <c r="AY64" s="242"/>
      <c r="AZ64" s="242"/>
      <c r="BA64" s="242"/>
      <c r="BB64" s="242"/>
      <c r="BC64" s="242"/>
      <c r="BD64" s="242"/>
      <c r="BE64" s="258"/>
      <c r="BF64" s="239"/>
      <c r="BG64" s="239"/>
      <c r="BH64" s="239"/>
      <c r="BI64" s="239"/>
      <c r="BJ64" s="239"/>
      <c r="BK64" s="239"/>
      <c r="BL64" s="239"/>
      <c r="BM64" s="239"/>
      <c r="BN64" s="239"/>
      <c r="BO64" s="239"/>
      <c r="BP64" s="239"/>
      <c r="BQ64" s="239"/>
      <c r="BR64" s="239"/>
      <c r="BS64" s="239"/>
      <c r="BT64" s="239"/>
      <c r="BU64" s="239"/>
      <c r="BV64" s="239"/>
      <c r="BW64" s="239"/>
      <c r="BX64" s="239"/>
      <c r="BY64" s="239"/>
      <c r="BZ64" s="239"/>
      <c r="CA64" s="239"/>
      <c r="CB64" s="239"/>
      <c r="CC64" s="239"/>
      <c r="CD64" s="239"/>
      <c r="CE64" s="239"/>
      <c r="CF64" s="239"/>
      <c r="CG64" s="239"/>
    </row>
    <row r="65" spans="1:85" ht="15.75" customHeight="1">
      <c r="A65" s="242"/>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58"/>
      <c r="BF65" s="239"/>
      <c r="BG65" s="239"/>
      <c r="BH65" s="239"/>
      <c r="BI65" s="239"/>
      <c r="BJ65" s="239"/>
      <c r="BK65" s="239"/>
      <c r="BL65" s="239"/>
      <c r="BM65" s="239"/>
      <c r="BN65" s="239"/>
      <c r="BO65" s="239"/>
      <c r="BP65" s="239"/>
      <c r="BQ65" s="239"/>
      <c r="BR65" s="239"/>
      <c r="BS65" s="239"/>
      <c r="BT65" s="239"/>
      <c r="BU65" s="239"/>
      <c r="BV65" s="239"/>
      <c r="BW65" s="239"/>
      <c r="BX65" s="239"/>
      <c r="BY65" s="239"/>
      <c r="BZ65" s="239"/>
      <c r="CA65" s="239"/>
      <c r="CB65" s="239"/>
      <c r="CC65" s="239"/>
      <c r="CD65" s="239"/>
      <c r="CE65" s="239"/>
      <c r="CF65" s="239"/>
      <c r="CG65" s="239"/>
    </row>
    <row r="66" spans="1:85" ht="15.75" customHeight="1">
      <c r="A66" s="242"/>
      <c r="B66" s="271" t="s">
        <v>1541</v>
      </c>
      <c r="C66" s="271"/>
      <c r="D66" s="271"/>
      <c r="E66" s="271"/>
      <c r="F66" s="271"/>
      <c r="G66" s="271"/>
      <c r="H66" s="271"/>
      <c r="I66" s="271"/>
      <c r="J66" s="271"/>
      <c r="K66" s="271"/>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42"/>
      <c r="BD66" s="242"/>
      <c r="BE66" s="258"/>
      <c r="BF66" s="239"/>
      <c r="BG66" s="239"/>
      <c r="BH66" s="239"/>
      <c r="BI66" s="239"/>
      <c r="BJ66" s="239"/>
      <c r="BK66" s="239"/>
      <c r="BL66" s="239"/>
      <c r="BM66" s="239"/>
      <c r="BN66" s="239"/>
      <c r="BO66" s="239"/>
      <c r="BP66" s="239"/>
      <c r="BQ66" s="239"/>
      <c r="BR66" s="239"/>
      <c r="BS66" s="239"/>
      <c r="BT66" s="239"/>
      <c r="BU66" s="239"/>
      <c r="BV66" s="239"/>
      <c r="BW66" s="239"/>
      <c r="BX66" s="239"/>
      <c r="BY66" s="239"/>
      <c r="BZ66" s="239"/>
      <c r="CA66" s="239"/>
      <c r="CB66" s="239"/>
      <c r="CC66" s="239"/>
      <c r="CD66" s="239"/>
      <c r="CE66" s="239"/>
      <c r="CF66" s="239"/>
      <c r="CG66" s="239"/>
    </row>
    <row r="67" spans="1:85" ht="15.75" customHeight="1">
      <c r="A67" s="242"/>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242"/>
      <c r="BE67" s="258"/>
      <c r="BF67" s="239"/>
      <c r="BG67" s="239"/>
      <c r="BH67" s="239"/>
      <c r="BI67" s="239"/>
      <c r="BJ67" s="239"/>
      <c r="BK67" s="239"/>
      <c r="BL67" s="239"/>
      <c r="BM67" s="239"/>
      <c r="BN67" s="239"/>
      <c r="BO67" s="239"/>
      <c r="BP67" s="239"/>
      <c r="BQ67" s="239"/>
      <c r="BR67" s="239"/>
      <c r="BS67" s="239"/>
      <c r="BT67" s="239"/>
      <c r="BU67" s="239"/>
      <c r="BV67" s="239"/>
      <c r="BW67" s="239"/>
      <c r="BX67" s="239"/>
      <c r="BY67" s="239"/>
      <c r="BZ67" s="239"/>
      <c r="CA67" s="239"/>
      <c r="CB67" s="239"/>
      <c r="CC67" s="239"/>
      <c r="CD67" s="239"/>
      <c r="CE67" s="239"/>
      <c r="CF67" s="239"/>
      <c r="CG67" s="239"/>
    </row>
    <row r="68" spans="1:85" ht="15.75" customHeight="1">
      <c r="A68" s="242"/>
      <c r="B68" s="1191" t="s">
        <v>1547</v>
      </c>
      <c r="C68" s="1177"/>
      <c r="D68" s="1177"/>
      <c r="E68" s="1177"/>
      <c r="F68" s="1177"/>
      <c r="G68" s="1177"/>
      <c r="H68" s="1177"/>
      <c r="I68" s="1177"/>
      <c r="J68" s="1177"/>
      <c r="K68" s="1177"/>
      <c r="L68" s="1177"/>
      <c r="M68" s="1177"/>
      <c r="N68" s="1177"/>
      <c r="O68" s="1177"/>
      <c r="P68" s="1177"/>
      <c r="Q68" s="1177"/>
      <c r="R68" s="1177"/>
      <c r="S68" s="1177"/>
      <c r="T68" s="1177"/>
      <c r="U68" s="1177"/>
      <c r="V68" s="1177"/>
      <c r="W68" s="1177"/>
      <c r="X68" s="1177"/>
      <c r="Y68" s="1177"/>
      <c r="Z68" s="1177"/>
      <c r="AA68" s="1178"/>
      <c r="AB68" s="242"/>
      <c r="AC68" s="1191" t="s">
        <v>1549</v>
      </c>
      <c r="AD68" s="1177"/>
      <c r="AE68" s="1177"/>
      <c r="AF68" s="1177"/>
      <c r="AG68" s="1177"/>
      <c r="AH68" s="1177"/>
      <c r="AI68" s="1177"/>
      <c r="AJ68" s="1177"/>
      <c r="AK68" s="1177"/>
      <c r="AL68" s="1177"/>
      <c r="AM68" s="1177"/>
      <c r="AN68" s="1177"/>
      <c r="AO68" s="1177"/>
      <c r="AP68" s="1177"/>
      <c r="AQ68" s="1177"/>
      <c r="AR68" s="1177"/>
      <c r="AS68" s="1177"/>
      <c r="AT68" s="1177"/>
      <c r="AU68" s="1192"/>
      <c r="AV68" s="1193" t="s">
        <v>460</v>
      </c>
      <c r="AW68" s="1177"/>
      <c r="AX68" s="1177"/>
      <c r="AY68" s="1177"/>
      <c r="AZ68" s="1177"/>
      <c r="BA68" s="1177"/>
      <c r="BB68" s="1177"/>
      <c r="BC68" s="1178"/>
      <c r="BD68" s="242"/>
      <c r="BE68" s="258"/>
      <c r="BF68" s="239"/>
      <c r="BG68" s="239"/>
      <c r="BH68" s="239"/>
      <c r="BI68" s="239"/>
      <c r="BJ68" s="239"/>
      <c r="BK68" s="239"/>
      <c r="BL68" s="239"/>
      <c r="BM68" s="273" t="s">
        <v>1551</v>
      </c>
      <c r="BN68" s="239"/>
      <c r="BO68" s="239"/>
      <c r="BP68" s="239"/>
      <c r="BQ68" s="239"/>
      <c r="BR68" s="239"/>
      <c r="BS68" s="239"/>
      <c r="BT68" s="239"/>
      <c r="BU68" s="239"/>
      <c r="BV68" s="239"/>
      <c r="BW68" s="239"/>
      <c r="BX68" s="239"/>
      <c r="BY68" s="239"/>
      <c r="BZ68" s="239"/>
      <c r="CA68" s="239"/>
      <c r="CB68" s="239"/>
      <c r="CC68" s="239"/>
      <c r="CD68" s="239"/>
      <c r="CE68" s="239"/>
      <c r="CF68" s="239"/>
      <c r="CG68" s="239"/>
    </row>
    <row r="69" spans="1:85" ht="15.75" customHeight="1">
      <c r="A69" s="242"/>
      <c r="B69" s="1194" t="s">
        <v>1553</v>
      </c>
      <c r="C69" s="921"/>
      <c r="D69" s="921"/>
      <c r="E69" s="921"/>
      <c r="F69" s="921"/>
      <c r="G69" s="921"/>
      <c r="H69" s="921"/>
      <c r="I69" s="921"/>
      <c r="J69" s="921"/>
      <c r="K69" s="921"/>
      <c r="L69" s="921"/>
      <c r="M69" s="921"/>
      <c r="N69" s="943"/>
      <c r="O69" s="1195" t="s">
        <v>1555</v>
      </c>
      <c r="P69" s="921"/>
      <c r="Q69" s="921"/>
      <c r="R69" s="921"/>
      <c r="S69" s="921"/>
      <c r="T69" s="921"/>
      <c r="U69" s="921"/>
      <c r="V69" s="921"/>
      <c r="W69" s="921"/>
      <c r="X69" s="921"/>
      <c r="Y69" s="921"/>
      <c r="Z69" s="921"/>
      <c r="AA69" s="1149"/>
      <c r="AB69" s="242"/>
      <c r="AC69" s="1189" t="s">
        <v>1557</v>
      </c>
      <c r="AD69" s="1154"/>
      <c r="AE69" s="1154"/>
      <c r="AF69" s="1154"/>
      <c r="AG69" s="1154"/>
      <c r="AH69" s="1154"/>
      <c r="AI69" s="1154"/>
      <c r="AJ69" s="1154"/>
      <c r="AK69" s="1154"/>
      <c r="AL69" s="1154"/>
      <c r="AM69" s="1154"/>
      <c r="AN69" s="1154"/>
      <c r="AO69" s="1154"/>
      <c r="AP69" s="1154"/>
      <c r="AQ69" s="1154"/>
      <c r="AR69" s="1154"/>
      <c r="AS69" s="1154"/>
      <c r="AT69" s="1154"/>
      <c r="AU69" s="1190"/>
      <c r="AV69" s="1193" t="s">
        <v>460</v>
      </c>
      <c r="AW69" s="1177"/>
      <c r="AX69" s="1177"/>
      <c r="AY69" s="1177"/>
      <c r="AZ69" s="1177"/>
      <c r="BA69" s="1177"/>
      <c r="BB69" s="1177"/>
      <c r="BC69" s="1178"/>
      <c r="BD69" s="242"/>
      <c r="BE69" s="258"/>
      <c r="BF69" s="239"/>
      <c r="BG69" s="239"/>
      <c r="BH69" s="239"/>
      <c r="BI69" s="239"/>
      <c r="BJ69" s="239"/>
      <c r="BK69" s="239"/>
      <c r="BL69" s="239"/>
      <c r="BM69" s="275" t="s">
        <v>901</v>
      </c>
      <c r="BN69" s="239"/>
      <c r="BO69" s="239"/>
      <c r="BP69" s="239"/>
      <c r="BQ69" s="239"/>
      <c r="BR69" s="239"/>
      <c r="BS69" s="239"/>
      <c r="BT69" s="239"/>
      <c r="BU69" s="239"/>
      <c r="BV69" s="239"/>
      <c r="BW69" s="239"/>
      <c r="BX69" s="239"/>
      <c r="BY69" s="239"/>
      <c r="BZ69" s="239"/>
      <c r="CA69" s="239"/>
      <c r="CB69" s="239"/>
      <c r="CC69" s="239"/>
      <c r="CD69" s="239"/>
      <c r="CE69" s="239"/>
      <c r="CF69" s="239"/>
      <c r="CG69" s="239"/>
    </row>
    <row r="70" spans="1:85" ht="15.75" customHeight="1">
      <c r="A70" s="242"/>
      <c r="B70" s="1188" t="s">
        <v>1559</v>
      </c>
      <c r="C70" s="921"/>
      <c r="D70" s="921"/>
      <c r="E70" s="921"/>
      <c r="F70" s="921"/>
      <c r="G70" s="921"/>
      <c r="H70" s="921"/>
      <c r="I70" s="921"/>
      <c r="J70" s="921"/>
      <c r="K70" s="921"/>
      <c r="L70" s="921"/>
      <c r="M70" s="921"/>
      <c r="N70" s="943"/>
      <c r="O70" s="1166">
        <v>0</v>
      </c>
      <c r="P70" s="921"/>
      <c r="Q70" s="921"/>
      <c r="R70" s="921"/>
      <c r="S70" s="921"/>
      <c r="T70" s="921"/>
      <c r="U70" s="921"/>
      <c r="V70" s="921"/>
      <c r="W70" s="921"/>
      <c r="X70" s="921"/>
      <c r="Y70" s="921"/>
      <c r="Z70" s="921"/>
      <c r="AA70" s="1149"/>
      <c r="AB70" s="242"/>
      <c r="AC70" s="1191" t="s">
        <v>1561</v>
      </c>
      <c r="AD70" s="1177"/>
      <c r="AE70" s="1192"/>
      <c r="AF70" s="1196"/>
      <c r="AG70" s="1177"/>
      <c r="AH70" s="1177"/>
      <c r="AI70" s="1177"/>
      <c r="AJ70" s="1177"/>
      <c r="AK70" s="1177"/>
      <c r="AL70" s="1177"/>
      <c r="AM70" s="1177"/>
      <c r="AN70" s="1177"/>
      <c r="AO70" s="1177"/>
      <c r="AP70" s="1177"/>
      <c r="AQ70" s="1177"/>
      <c r="AR70" s="1177"/>
      <c r="AS70" s="1177"/>
      <c r="AT70" s="1177"/>
      <c r="AU70" s="1178"/>
      <c r="AV70" s="242"/>
      <c r="AW70" s="242"/>
      <c r="AX70" s="242"/>
      <c r="AY70" s="242"/>
      <c r="AZ70" s="242"/>
      <c r="BA70" s="242"/>
      <c r="BB70" s="242"/>
      <c r="BC70" s="242"/>
      <c r="BD70" s="242"/>
      <c r="BE70" s="258"/>
      <c r="BF70" s="239"/>
      <c r="BG70" s="239"/>
      <c r="BH70" s="239"/>
      <c r="BI70" s="239"/>
      <c r="BJ70" s="239"/>
      <c r="BK70" s="239"/>
      <c r="BL70" s="239"/>
      <c r="BM70" s="276" t="s">
        <v>460</v>
      </c>
      <c r="BN70" s="239"/>
      <c r="BO70" s="239"/>
      <c r="BP70" s="239"/>
      <c r="BQ70" s="239"/>
      <c r="BR70" s="239"/>
      <c r="BS70" s="239"/>
      <c r="BT70" s="239"/>
      <c r="BU70" s="239"/>
      <c r="BV70" s="239"/>
      <c r="BW70" s="239"/>
      <c r="BX70" s="239"/>
      <c r="BY70" s="239"/>
      <c r="BZ70" s="239"/>
      <c r="CA70" s="239"/>
      <c r="CB70" s="239"/>
      <c r="CC70" s="239"/>
      <c r="CD70" s="239"/>
      <c r="CE70" s="239"/>
      <c r="CF70" s="239"/>
      <c r="CG70" s="239"/>
    </row>
    <row r="71" spans="1:85" ht="15.75" customHeight="1">
      <c r="A71" s="242"/>
      <c r="B71" s="1188" t="s">
        <v>1564</v>
      </c>
      <c r="C71" s="921"/>
      <c r="D71" s="921"/>
      <c r="E71" s="921"/>
      <c r="F71" s="921"/>
      <c r="G71" s="921"/>
      <c r="H71" s="921"/>
      <c r="I71" s="921"/>
      <c r="J71" s="921"/>
      <c r="K71" s="921"/>
      <c r="L71" s="921"/>
      <c r="M71" s="921"/>
      <c r="N71" s="943"/>
      <c r="O71" s="1166">
        <v>0</v>
      </c>
      <c r="P71" s="921"/>
      <c r="Q71" s="921"/>
      <c r="R71" s="921"/>
      <c r="S71" s="921"/>
      <c r="T71" s="921"/>
      <c r="U71" s="921"/>
      <c r="V71" s="921"/>
      <c r="W71" s="921"/>
      <c r="X71" s="921"/>
      <c r="Y71" s="921"/>
      <c r="Z71" s="921"/>
      <c r="AA71" s="1149"/>
      <c r="AB71" s="242"/>
      <c r="AC71" s="1189" t="s">
        <v>1565</v>
      </c>
      <c r="AD71" s="1154"/>
      <c r="AE71" s="1190"/>
      <c r="AF71" s="1153"/>
      <c r="AG71" s="1154"/>
      <c r="AH71" s="1154"/>
      <c r="AI71" s="1154"/>
      <c r="AJ71" s="1154"/>
      <c r="AK71" s="1154"/>
      <c r="AL71" s="1154"/>
      <c r="AM71" s="1154"/>
      <c r="AN71" s="1154"/>
      <c r="AO71" s="1154"/>
      <c r="AP71" s="1154"/>
      <c r="AQ71" s="1154"/>
      <c r="AR71" s="1154"/>
      <c r="AS71" s="1154"/>
      <c r="AT71" s="1154"/>
      <c r="AU71" s="1155"/>
      <c r="AV71" s="242"/>
      <c r="AW71" s="242"/>
      <c r="AX71" s="242"/>
      <c r="AY71" s="242"/>
      <c r="AZ71" s="242"/>
      <c r="BA71" s="242"/>
      <c r="BB71" s="242"/>
      <c r="BC71" s="242"/>
      <c r="BD71" s="242"/>
      <c r="BE71" s="258"/>
      <c r="BF71" s="239"/>
      <c r="BG71" s="239"/>
      <c r="BH71" s="239"/>
      <c r="BI71" s="239"/>
      <c r="BJ71" s="239"/>
      <c r="BK71" s="239"/>
      <c r="BL71" s="239"/>
      <c r="BM71" s="239" t="s">
        <v>1566</v>
      </c>
      <c r="BN71" s="239"/>
      <c r="BO71" s="239"/>
      <c r="BP71" s="239"/>
      <c r="BQ71" s="239"/>
      <c r="BR71" s="239"/>
      <c r="BS71" s="239"/>
      <c r="BT71" s="239"/>
      <c r="BU71" s="239"/>
      <c r="BV71" s="239"/>
      <c r="BW71" s="239"/>
      <c r="BX71" s="239"/>
      <c r="BY71" s="239"/>
      <c r="BZ71" s="239"/>
      <c r="CA71" s="239"/>
      <c r="CB71" s="239"/>
      <c r="CC71" s="239"/>
      <c r="CD71" s="239"/>
      <c r="CE71" s="239"/>
      <c r="CF71" s="239"/>
      <c r="CG71" s="239"/>
    </row>
    <row r="72" spans="1:85" ht="15.75" customHeight="1">
      <c r="A72" s="242"/>
      <c r="B72" s="1188" t="s">
        <v>1567</v>
      </c>
      <c r="C72" s="921"/>
      <c r="D72" s="921"/>
      <c r="E72" s="921"/>
      <c r="F72" s="921"/>
      <c r="G72" s="921"/>
      <c r="H72" s="921"/>
      <c r="I72" s="921"/>
      <c r="J72" s="921"/>
      <c r="K72" s="921"/>
      <c r="L72" s="921"/>
      <c r="M72" s="921"/>
      <c r="N72" s="943"/>
      <c r="O72" s="1166">
        <v>0</v>
      </c>
      <c r="P72" s="921"/>
      <c r="Q72" s="921"/>
      <c r="R72" s="921"/>
      <c r="S72" s="921"/>
      <c r="T72" s="921"/>
      <c r="U72" s="921"/>
      <c r="V72" s="921"/>
      <c r="W72" s="921"/>
      <c r="X72" s="921"/>
      <c r="Y72" s="921"/>
      <c r="Z72" s="921"/>
      <c r="AA72" s="1149"/>
      <c r="AB72" s="242"/>
      <c r="AC72" s="1156" t="s">
        <v>1569</v>
      </c>
      <c r="AD72" s="968"/>
      <c r="AE72" s="968"/>
      <c r="AF72" s="968"/>
      <c r="AG72" s="968"/>
      <c r="AH72" s="968"/>
      <c r="AI72" s="968"/>
      <c r="AJ72" s="968"/>
      <c r="AK72" s="968"/>
      <c r="AL72" s="968"/>
      <c r="AM72" s="968"/>
      <c r="AN72" s="968"/>
      <c r="AO72" s="968"/>
      <c r="AP72" s="968"/>
      <c r="AQ72" s="968"/>
      <c r="AR72" s="968"/>
      <c r="AS72" s="968"/>
      <c r="AT72" s="968"/>
      <c r="AU72" s="968"/>
      <c r="AV72" s="968"/>
      <c r="AW72" s="968"/>
      <c r="AX72" s="968"/>
      <c r="AY72" s="968"/>
      <c r="AZ72" s="968"/>
      <c r="BA72" s="968"/>
      <c r="BB72" s="968"/>
      <c r="BC72" s="1157"/>
      <c r="BD72" s="242"/>
      <c r="BE72" s="258"/>
      <c r="BF72" s="239"/>
      <c r="BG72" s="239"/>
      <c r="BH72" s="239"/>
      <c r="BI72" s="239"/>
      <c r="BJ72" s="239"/>
      <c r="BK72" s="239"/>
      <c r="BL72" s="239"/>
      <c r="BM72" s="239"/>
      <c r="BN72" s="239"/>
      <c r="BO72" s="239"/>
      <c r="BP72" s="239"/>
      <c r="BQ72" s="239"/>
      <c r="BR72" s="239"/>
      <c r="BS72" s="239"/>
      <c r="BT72" s="239"/>
      <c r="BU72" s="239"/>
      <c r="BV72" s="239"/>
      <c r="BW72" s="239"/>
      <c r="BX72" s="239"/>
      <c r="BY72" s="239"/>
      <c r="BZ72" s="239"/>
      <c r="CA72" s="239"/>
      <c r="CB72" s="239"/>
      <c r="CC72" s="239"/>
      <c r="CD72" s="239"/>
      <c r="CE72" s="239"/>
      <c r="CF72" s="239"/>
      <c r="CG72" s="239"/>
    </row>
    <row r="73" spans="1:85" ht="15.75" customHeight="1">
      <c r="A73" s="242"/>
      <c r="B73" s="1188" t="s">
        <v>1570</v>
      </c>
      <c r="C73" s="921"/>
      <c r="D73" s="921"/>
      <c r="E73" s="921"/>
      <c r="F73" s="921"/>
      <c r="G73" s="921"/>
      <c r="H73" s="921"/>
      <c r="I73" s="921"/>
      <c r="J73" s="921"/>
      <c r="K73" s="921"/>
      <c r="L73" s="921"/>
      <c r="M73" s="921"/>
      <c r="N73" s="943"/>
      <c r="O73" s="1166">
        <v>0</v>
      </c>
      <c r="P73" s="921"/>
      <c r="Q73" s="921"/>
      <c r="R73" s="921"/>
      <c r="S73" s="921"/>
      <c r="T73" s="921"/>
      <c r="U73" s="921"/>
      <c r="V73" s="921"/>
      <c r="W73" s="921"/>
      <c r="X73" s="921"/>
      <c r="Y73" s="921"/>
      <c r="Z73" s="921"/>
      <c r="AA73" s="1149"/>
      <c r="AB73" s="242"/>
      <c r="AC73" s="1158" t="s">
        <v>1572</v>
      </c>
      <c r="AD73" s="947"/>
      <c r="AE73" s="947"/>
      <c r="AF73" s="947"/>
      <c r="AG73" s="947"/>
      <c r="AH73" s="947"/>
      <c r="AI73" s="947"/>
      <c r="AJ73" s="947"/>
      <c r="AK73" s="947"/>
      <c r="AL73" s="947"/>
      <c r="AM73" s="947"/>
      <c r="AN73" s="947"/>
      <c r="AO73" s="947"/>
      <c r="AP73" s="947"/>
      <c r="AQ73" s="947"/>
      <c r="AR73" s="947"/>
      <c r="AS73" s="947"/>
      <c r="AT73" s="947"/>
      <c r="AU73" s="947"/>
      <c r="AV73" s="947"/>
      <c r="AW73" s="947"/>
      <c r="AX73" s="947"/>
      <c r="AY73" s="947"/>
      <c r="AZ73" s="947"/>
      <c r="BA73" s="947"/>
      <c r="BB73" s="947"/>
      <c r="BC73" s="1159"/>
      <c r="BD73" s="242"/>
      <c r="BE73" s="258"/>
      <c r="BF73" s="239"/>
      <c r="BG73" s="239"/>
      <c r="BH73" s="239"/>
      <c r="BI73" s="239"/>
      <c r="BJ73" s="239"/>
      <c r="BK73" s="239"/>
      <c r="BL73" s="239"/>
      <c r="BM73" s="239"/>
      <c r="BN73" s="239"/>
      <c r="BO73" s="239"/>
      <c r="BP73" s="239"/>
      <c r="BQ73" s="239"/>
      <c r="BR73" s="239"/>
      <c r="BS73" s="239"/>
      <c r="BT73" s="239"/>
      <c r="BU73" s="239"/>
      <c r="BV73" s="239"/>
      <c r="BW73" s="239"/>
      <c r="BX73" s="239"/>
      <c r="BY73" s="239"/>
      <c r="BZ73" s="239"/>
      <c r="CA73" s="239"/>
      <c r="CB73" s="239"/>
      <c r="CC73" s="239"/>
      <c r="CD73" s="239"/>
      <c r="CE73" s="239"/>
      <c r="CF73" s="239"/>
      <c r="CG73" s="239"/>
    </row>
    <row r="74" spans="1:85" ht="15.75" customHeight="1">
      <c r="A74" s="242"/>
      <c r="B74" s="1165"/>
      <c r="C74" s="921"/>
      <c r="D74" s="921"/>
      <c r="E74" s="921"/>
      <c r="F74" s="921"/>
      <c r="G74" s="921"/>
      <c r="H74" s="921"/>
      <c r="I74" s="921"/>
      <c r="J74" s="921"/>
      <c r="K74" s="921"/>
      <c r="L74" s="921"/>
      <c r="M74" s="921"/>
      <c r="N74" s="943"/>
      <c r="O74" s="1166"/>
      <c r="P74" s="921"/>
      <c r="Q74" s="921"/>
      <c r="R74" s="921"/>
      <c r="S74" s="921"/>
      <c r="T74" s="921"/>
      <c r="U74" s="921"/>
      <c r="V74" s="921"/>
      <c r="W74" s="921"/>
      <c r="X74" s="921"/>
      <c r="Y74" s="921"/>
      <c r="Z74" s="921"/>
      <c r="AA74" s="1149"/>
      <c r="AB74" s="242"/>
      <c r="AC74" s="1160"/>
      <c r="AD74" s="893"/>
      <c r="AE74" s="893"/>
      <c r="AF74" s="893"/>
      <c r="AG74" s="893"/>
      <c r="AH74" s="893"/>
      <c r="AI74" s="893"/>
      <c r="AJ74" s="893"/>
      <c r="AK74" s="893"/>
      <c r="AL74" s="893"/>
      <c r="AM74" s="893"/>
      <c r="AN74" s="893"/>
      <c r="AO74" s="893"/>
      <c r="AP74" s="893"/>
      <c r="AQ74" s="893"/>
      <c r="AR74" s="893"/>
      <c r="AS74" s="893"/>
      <c r="AT74" s="893"/>
      <c r="AU74" s="893"/>
      <c r="AV74" s="893"/>
      <c r="AW74" s="893"/>
      <c r="AX74" s="893"/>
      <c r="AY74" s="893"/>
      <c r="AZ74" s="893"/>
      <c r="BA74" s="893"/>
      <c r="BB74" s="893"/>
      <c r="BC74" s="1161"/>
      <c r="BD74" s="242"/>
      <c r="BE74" s="258"/>
      <c r="BF74" s="239"/>
      <c r="BG74" s="239"/>
      <c r="BH74" s="239"/>
      <c r="BI74" s="239"/>
      <c r="BJ74" s="239"/>
      <c r="BK74" s="239"/>
      <c r="BL74" s="239"/>
      <c r="BM74" s="239"/>
      <c r="BN74" s="239"/>
      <c r="BO74" s="239"/>
      <c r="BP74" s="239"/>
      <c r="BQ74" s="239"/>
      <c r="BR74" s="239"/>
      <c r="BS74" s="239"/>
      <c r="BT74" s="239"/>
      <c r="BU74" s="239"/>
      <c r="BV74" s="239"/>
      <c r="BW74" s="239"/>
      <c r="BX74" s="239"/>
      <c r="BY74" s="239"/>
      <c r="BZ74" s="239"/>
      <c r="CA74" s="239"/>
      <c r="CB74" s="239"/>
      <c r="CC74" s="239"/>
      <c r="CD74" s="239"/>
      <c r="CE74" s="239"/>
      <c r="CF74" s="239"/>
      <c r="CG74" s="239"/>
    </row>
    <row r="75" spans="1:85" ht="15.75" customHeight="1">
      <c r="A75" s="242"/>
      <c r="B75" s="1167" t="s">
        <v>1574</v>
      </c>
      <c r="C75" s="1168"/>
      <c r="D75" s="1168"/>
      <c r="E75" s="1168"/>
      <c r="F75" s="1168"/>
      <c r="G75" s="1168"/>
      <c r="H75" s="1168"/>
      <c r="I75" s="1168"/>
      <c r="J75" s="1168"/>
      <c r="K75" s="1168"/>
      <c r="L75" s="1168"/>
      <c r="M75" s="1168"/>
      <c r="N75" s="1169"/>
      <c r="O75" s="1170">
        <f>SUM(O70:AA74)</f>
        <v>0</v>
      </c>
      <c r="P75" s="1168"/>
      <c r="Q75" s="1168"/>
      <c r="R75" s="1168"/>
      <c r="S75" s="1168"/>
      <c r="T75" s="1168"/>
      <c r="U75" s="1168"/>
      <c r="V75" s="1168"/>
      <c r="W75" s="1168"/>
      <c r="X75" s="1168"/>
      <c r="Y75" s="1168"/>
      <c r="Z75" s="1168"/>
      <c r="AA75" s="1171"/>
      <c r="AB75" s="242"/>
      <c r="AC75" s="1160"/>
      <c r="AD75" s="893"/>
      <c r="AE75" s="893"/>
      <c r="AF75" s="893"/>
      <c r="AG75" s="893"/>
      <c r="AH75" s="893"/>
      <c r="AI75" s="893"/>
      <c r="AJ75" s="893"/>
      <c r="AK75" s="893"/>
      <c r="AL75" s="893"/>
      <c r="AM75" s="893"/>
      <c r="AN75" s="893"/>
      <c r="AO75" s="893"/>
      <c r="AP75" s="893"/>
      <c r="AQ75" s="893"/>
      <c r="AR75" s="893"/>
      <c r="AS75" s="893"/>
      <c r="AT75" s="893"/>
      <c r="AU75" s="893"/>
      <c r="AV75" s="893"/>
      <c r="AW75" s="893"/>
      <c r="AX75" s="893"/>
      <c r="AY75" s="893"/>
      <c r="AZ75" s="893"/>
      <c r="BA75" s="893"/>
      <c r="BB75" s="893"/>
      <c r="BC75" s="1161"/>
      <c r="BD75" s="242"/>
      <c r="BE75" s="258"/>
      <c r="BF75" s="239"/>
      <c r="BG75" s="239"/>
      <c r="BH75" s="239"/>
      <c r="BI75" s="239"/>
      <c r="BJ75" s="239"/>
      <c r="BK75" s="239"/>
      <c r="BL75" s="239"/>
      <c r="BM75" s="239"/>
      <c r="BN75" s="239"/>
      <c r="BO75" s="239"/>
      <c r="BP75" s="239"/>
      <c r="BQ75" s="239"/>
      <c r="BR75" s="239"/>
      <c r="BS75" s="239"/>
      <c r="BT75" s="239"/>
      <c r="BU75" s="239"/>
      <c r="BV75" s="239"/>
      <c r="BW75" s="239"/>
      <c r="BX75" s="239"/>
      <c r="BY75" s="239"/>
      <c r="BZ75" s="239"/>
      <c r="CA75" s="239"/>
      <c r="CB75" s="239"/>
      <c r="CC75" s="239"/>
      <c r="CD75" s="239"/>
      <c r="CE75" s="239"/>
      <c r="CF75" s="239"/>
      <c r="CG75" s="239"/>
    </row>
    <row r="76" spans="1:85" ht="15.75" customHeight="1">
      <c r="A76" s="242"/>
      <c r="B76" s="242"/>
      <c r="C76" s="242"/>
      <c r="D76" s="242"/>
      <c r="E76" s="242"/>
      <c r="F76" s="242"/>
      <c r="G76" s="242"/>
      <c r="H76" s="242"/>
      <c r="I76" s="242"/>
      <c r="J76" s="242"/>
      <c r="K76" s="242"/>
      <c r="L76" s="242"/>
      <c r="M76" s="242"/>
      <c r="N76" s="242"/>
      <c r="O76" s="242"/>
      <c r="P76" s="242"/>
      <c r="Q76" s="242"/>
      <c r="R76" s="242"/>
      <c r="S76" s="242"/>
      <c r="T76" s="242"/>
      <c r="U76" s="242"/>
      <c r="V76" s="242"/>
      <c r="W76" s="242"/>
      <c r="X76" s="242"/>
      <c r="Y76" s="242"/>
      <c r="Z76" s="242"/>
      <c r="AA76" s="242"/>
      <c r="AB76" s="242"/>
      <c r="AC76" s="1160"/>
      <c r="AD76" s="893"/>
      <c r="AE76" s="893"/>
      <c r="AF76" s="893"/>
      <c r="AG76" s="893"/>
      <c r="AH76" s="893"/>
      <c r="AI76" s="893"/>
      <c r="AJ76" s="893"/>
      <c r="AK76" s="893"/>
      <c r="AL76" s="893"/>
      <c r="AM76" s="893"/>
      <c r="AN76" s="893"/>
      <c r="AO76" s="893"/>
      <c r="AP76" s="893"/>
      <c r="AQ76" s="893"/>
      <c r="AR76" s="893"/>
      <c r="AS76" s="893"/>
      <c r="AT76" s="893"/>
      <c r="AU76" s="893"/>
      <c r="AV76" s="893"/>
      <c r="AW76" s="893"/>
      <c r="AX76" s="893"/>
      <c r="AY76" s="893"/>
      <c r="AZ76" s="893"/>
      <c r="BA76" s="893"/>
      <c r="BB76" s="893"/>
      <c r="BC76" s="1161"/>
      <c r="BD76" s="242"/>
      <c r="BE76" s="258"/>
      <c r="BF76" s="239"/>
      <c r="BG76" s="239"/>
      <c r="BH76" s="239"/>
      <c r="BI76" s="239"/>
      <c r="BJ76" s="239"/>
      <c r="BK76" s="239"/>
      <c r="BL76" s="239"/>
      <c r="BM76" s="239"/>
      <c r="BN76" s="239"/>
      <c r="BO76" s="239"/>
      <c r="BP76" s="239"/>
      <c r="BQ76" s="239"/>
      <c r="BR76" s="239"/>
      <c r="BS76" s="239"/>
      <c r="BT76" s="239"/>
      <c r="BU76" s="239"/>
      <c r="BV76" s="239"/>
      <c r="BW76" s="239"/>
      <c r="BX76" s="239"/>
      <c r="BY76" s="239"/>
      <c r="BZ76" s="239"/>
      <c r="CA76" s="239"/>
      <c r="CB76" s="239"/>
      <c r="CC76" s="239"/>
      <c r="CD76" s="239"/>
      <c r="CE76" s="239"/>
      <c r="CF76" s="239"/>
      <c r="CG76" s="239"/>
    </row>
    <row r="77" spans="1:85" ht="15.75" customHeight="1">
      <c r="A77" s="242"/>
      <c r="B77" s="242"/>
      <c r="C77" s="242"/>
      <c r="D77" s="242"/>
      <c r="E77" s="242"/>
      <c r="F77" s="242"/>
      <c r="G77" s="242"/>
      <c r="H77" s="242"/>
      <c r="I77" s="242"/>
      <c r="J77" s="242"/>
      <c r="K77" s="242"/>
      <c r="L77" s="242"/>
      <c r="M77" s="242"/>
      <c r="N77" s="242"/>
      <c r="O77" s="242"/>
      <c r="P77" s="242"/>
      <c r="Q77" s="242"/>
      <c r="R77" s="242"/>
      <c r="S77" s="242"/>
      <c r="T77" s="242"/>
      <c r="U77" s="242"/>
      <c r="V77" s="242"/>
      <c r="W77" s="242"/>
      <c r="X77" s="242"/>
      <c r="Y77" s="242"/>
      <c r="Z77" s="242"/>
      <c r="AA77" s="242"/>
      <c r="AB77" s="242"/>
      <c r="AC77" s="1162"/>
      <c r="AD77" s="1163"/>
      <c r="AE77" s="1163"/>
      <c r="AF77" s="1163"/>
      <c r="AG77" s="1163"/>
      <c r="AH77" s="1163"/>
      <c r="AI77" s="1163"/>
      <c r="AJ77" s="1163"/>
      <c r="AK77" s="1163"/>
      <c r="AL77" s="1163"/>
      <c r="AM77" s="1163"/>
      <c r="AN77" s="1163"/>
      <c r="AO77" s="1163"/>
      <c r="AP77" s="1163"/>
      <c r="AQ77" s="1163"/>
      <c r="AR77" s="1163"/>
      <c r="AS77" s="1163"/>
      <c r="AT77" s="1163"/>
      <c r="AU77" s="1163"/>
      <c r="AV77" s="1163"/>
      <c r="AW77" s="1163"/>
      <c r="AX77" s="1163"/>
      <c r="AY77" s="1163"/>
      <c r="AZ77" s="1163"/>
      <c r="BA77" s="1163"/>
      <c r="BB77" s="1163"/>
      <c r="BC77" s="1164"/>
      <c r="BD77" s="242"/>
      <c r="BE77" s="258"/>
      <c r="BF77" s="239"/>
      <c r="BG77" s="239"/>
      <c r="BH77" s="239"/>
      <c r="BI77" s="239"/>
      <c r="BJ77" s="239"/>
      <c r="BK77" s="239"/>
      <c r="BL77" s="239"/>
      <c r="BM77" s="239"/>
      <c r="BN77" s="239"/>
      <c r="BO77" s="239"/>
      <c r="BP77" s="239"/>
      <c r="BQ77" s="239"/>
      <c r="BR77" s="239"/>
      <c r="BS77" s="239"/>
      <c r="BT77" s="239"/>
      <c r="BU77" s="239"/>
      <c r="BV77" s="239"/>
      <c r="BW77" s="239"/>
      <c r="BX77" s="239"/>
      <c r="BY77" s="239"/>
      <c r="BZ77" s="239"/>
      <c r="CA77" s="239"/>
      <c r="CB77" s="239"/>
      <c r="CC77" s="239"/>
      <c r="CD77" s="239"/>
      <c r="CE77" s="239"/>
      <c r="CF77" s="239"/>
      <c r="CG77" s="239"/>
    </row>
    <row r="78" spans="1:85" ht="15.75" customHeight="1">
      <c r="A78" s="242"/>
      <c r="B78" s="278" t="s">
        <v>1579</v>
      </c>
      <c r="C78" s="279"/>
      <c r="D78" s="280"/>
      <c r="E78" s="280"/>
      <c r="F78" s="280"/>
      <c r="G78" s="280"/>
      <c r="H78" s="280"/>
      <c r="I78" s="280"/>
      <c r="J78" s="280"/>
      <c r="K78" s="280"/>
      <c r="L78" s="280"/>
      <c r="M78" s="280"/>
      <c r="N78" s="280"/>
      <c r="O78" s="280"/>
      <c r="P78" s="280"/>
      <c r="Q78" s="280"/>
      <c r="R78" s="280"/>
      <c r="S78" s="280"/>
      <c r="T78" s="281"/>
      <c r="U78" s="242"/>
      <c r="V78" s="242"/>
      <c r="W78" s="242"/>
      <c r="X78" s="242"/>
      <c r="Y78" s="242"/>
      <c r="Z78" s="242"/>
      <c r="AA78" s="242"/>
      <c r="AB78" s="242"/>
      <c r="AC78" s="242"/>
      <c r="AD78" s="242"/>
      <c r="AE78" s="242"/>
      <c r="AF78" s="242"/>
      <c r="AG78" s="242"/>
      <c r="AH78" s="242"/>
      <c r="AI78" s="242"/>
      <c r="AJ78" s="242"/>
      <c r="AK78" s="242"/>
      <c r="AL78" s="242"/>
      <c r="AM78" s="242"/>
      <c r="AN78" s="242"/>
      <c r="AO78" s="242"/>
      <c r="AP78" s="242"/>
      <c r="AQ78" s="242"/>
      <c r="AR78" s="242"/>
      <c r="AS78" s="242"/>
      <c r="AT78" s="242"/>
      <c r="AU78" s="242"/>
      <c r="AV78" s="242"/>
      <c r="AW78" s="242"/>
      <c r="AX78" s="242"/>
      <c r="AY78" s="242"/>
      <c r="AZ78" s="242"/>
      <c r="BA78" s="242"/>
      <c r="BB78" s="242"/>
      <c r="BC78" s="242"/>
      <c r="BD78" s="242"/>
      <c r="BE78" s="258"/>
      <c r="BF78" s="239"/>
      <c r="BG78" s="239"/>
      <c r="BH78" s="239"/>
      <c r="BI78" s="239"/>
      <c r="BJ78" s="239"/>
      <c r="BK78" s="239"/>
      <c r="BL78" s="239"/>
      <c r="BM78" s="239"/>
      <c r="BN78" s="239"/>
      <c r="BO78" s="239"/>
      <c r="BP78" s="239"/>
      <c r="BQ78" s="239"/>
      <c r="BR78" s="239"/>
      <c r="BS78" s="239"/>
      <c r="BT78" s="239"/>
      <c r="BU78" s="239"/>
      <c r="BV78" s="239"/>
      <c r="BW78" s="239"/>
      <c r="BX78" s="239"/>
      <c r="BY78" s="239"/>
      <c r="BZ78" s="239"/>
      <c r="CA78" s="239"/>
      <c r="CB78" s="239"/>
      <c r="CC78" s="239"/>
      <c r="CD78" s="239"/>
      <c r="CE78" s="239"/>
      <c r="CF78" s="239"/>
      <c r="CG78" s="239"/>
    </row>
    <row r="79" spans="1:85" ht="15.75" customHeight="1">
      <c r="A79" s="242"/>
      <c r="B79" s="278" t="s">
        <v>1581</v>
      </c>
      <c r="C79" s="282"/>
      <c r="D79" s="282"/>
      <c r="E79" s="283"/>
      <c r="F79" s="1175"/>
      <c r="G79" s="968"/>
      <c r="H79" s="968"/>
      <c r="I79" s="968"/>
      <c r="J79" s="968"/>
      <c r="K79" s="968"/>
      <c r="L79" s="968"/>
      <c r="M79" s="968"/>
      <c r="N79" s="968"/>
      <c r="O79" s="968"/>
      <c r="P79" s="968"/>
      <c r="Q79" s="968"/>
      <c r="R79" s="968"/>
      <c r="S79" s="968"/>
      <c r="T79" s="1157"/>
      <c r="U79" s="242"/>
      <c r="V79" s="242"/>
      <c r="W79" s="242"/>
      <c r="X79" s="242"/>
      <c r="Y79" s="242"/>
      <c r="Z79" s="242"/>
      <c r="AA79" s="242"/>
      <c r="AB79" s="242"/>
      <c r="AC79" s="242"/>
      <c r="AD79" s="242"/>
      <c r="AE79" s="242"/>
      <c r="AF79" s="242"/>
      <c r="AG79" s="242"/>
      <c r="AH79" s="242"/>
      <c r="AI79" s="242"/>
      <c r="AJ79" s="242"/>
      <c r="AK79" s="242"/>
      <c r="AL79" s="242"/>
      <c r="AM79" s="242"/>
      <c r="AN79" s="242"/>
      <c r="AO79" s="242"/>
      <c r="AP79" s="242"/>
      <c r="AQ79" s="242"/>
      <c r="AR79" s="242"/>
      <c r="AS79" s="242"/>
      <c r="AT79" s="242"/>
      <c r="AU79" s="242"/>
      <c r="AV79" s="242"/>
      <c r="AW79" s="242"/>
      <c r="AX79" s="242"/>
      <c r="AY79" s="242"/>
      <c r="AZ79" s="242"/>
      <c r="BA79" s="242"/>
      <c r="BB79" s="242"/>
      <c r="BC79" s="242"/>
      <c r="BD79" s="242"/>
      <c r="BE79" s="258"/>
      <c r="BF79" s="239"/>
      <c r="BG79" s="239"/>
      <c r="BH79" s="239"/>
      <c r="BI79" s="239"/>
      <c r="BJ79" s="239"/>
      <c r="BK79" s="239"/>
      <c r="BL79" s="239"/>
      <c r="BM79" s="239"/>
      <c r="BN79" s="239"/>
      <c r="BO79" s="239"/>
      <c r="BP79" s="239"/>
      <c r="BQ79" s="239"/>
      <c r="BR79" s="239"/>
      <c r="BS79" s="239"/>
      <c r="BT79" s="239"/>
      <c r="BU79" s="239"/>
      <c r="BV79" s="239"/>
      <c r="BW79" s="239"/>
      <c r="BX79" s="239"/>
      <c r="BY79" s="239"/>
      <c r="BZ79" s="239"/>
      <c r="CA79" s="239"/>
      <c r="CB79" s="239"/>
      <c r="CC79" s="239"/>
      <c r="CD79" s="239"/>
      <c r="CE79" s="239"/>
      <c r="CF79" s="239"/>
      <c r="CG79" s="239"/>
    </row>
    <row r="80" spans="1:85" ht="15.75" customHeight="1">
      <c r="A80" s="242"/>
      <c r="B80" s="242"/>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c r="AL80" s="242"/>
      <c r="AM80" s="242"/>
      <c r="AN80" s="242"/>
      <c r="AO80" s="242"/>
      <c r="AP80" s="242"/>
      <c r="AQ80" s="242"/>
      <c r="AR80" s="242"/>
      <c r="AS80" s="242"/>
      <c r="AT80" s="242"/>
      <c r="AU80" s="242"/>
      <c r="AV80" s="242"/>
      <c r="AW80" s="242"/>
      <c r="AX80" s="242"/>
      <c r="AY80" s="242"/>
      <c r="AZ80" s="242"/>
      <c r="BA80" s="242"/>
      <c r="BB80" s="242"/>
      <c r="BC80" s="242"/>
      <c r="BD80" s="242"/>
      <c r="BE80" s="258"/>
      <c r="BF80" s="239"/>
      <c r="BG80" s="239"/>
      <c r="BH80" s="239"/>
      <c r="BI80" s="239"/>
      <c r="BJ80" s="239"/>
      <c r="BK80" s="239"/>
      <c r="BL80" s="239"/>
      <c r="BM80" s="239"/>
      <c r="BN80" s="239"/>
      <c r="BO80" s="239"/>
      <c r="BP80" s="239"/>
      <c r="BQ80" s="239"/>
      <c r="BR80" s="239"/>
      <c r="BS80" s="239"/>
      <c r="BT80" s="239"/>
      <c r="BU80" s="239"/>
      <c r="BV80" s="239"/>
      <c r="BW80" s="239"/>
      <c r="BX80" s="239"/>
      <c r="BY80" s="239"/>
      <c r="BZ80" s="239"/>
      <c r="CA80" s="239"/>
      <c r="CB80" s="239"/>
      <c r="CC80" s="239"/>
      <c r="CD80" s="239"/>
      <c r="CE80" s="239"/>
      <c r="CF80" s="239"/>
      <c r="CG80" s="239"/>
    </row>
    <row r="81" spans="1:85" ht="15.75" customHeight="1">
      <c r="A81" s="242"/>
      <c r="B81" s="1176" t="s">
        <v>1586</v>
      </c>
      <c r="C81" s="1177"/>
      <c r="D81" s="1177"/>
      <c r="E81" s="1177"/>
      <c r="F81" s="1177"/>
      <c r="G81" s="1177"/>
      <c r="H81" s="1177"/>
      <c r="I81" s="1177"/>
      <c r="J81" s="1177"/>
      <c r="K81" s="1177"/>
      <c r="L81" s="1177"/>
      <c r="M81" s="1177"/>
      <c r="N81" s="1177"/>
      <c r="O81" s="1177"/>
      <c r="P81" s="1177"/>
      <c r="Q81" s="1177"/>
      <c r="R81" s="1177"/>
      <c r="S81" s="1177"/>
      <c r="T81" s="1177"/>
      <c r="U81" s="1177"/>
      <c r="V81" s="1177"/>
      <c r="W81" s="1177"/>
      <c r="X81" s="1177"/>
      <c r="Y81" s="1177"/>
      <c r="Z81" s="1177"/>
      <c r="AA81" s="1177"/>
      <c r="AB81" s="1177"/>
      <c r="AC81" s="1177"/>
      <c r="AD81" s="1177"/>
      <c r="AE81" s="1177"/>
      <c r="AF81" s="1177"/>
      <c r="AG81" s="1177"/>
      <c r="AH81" s="1178"/>
      <c r="AI81" s="242"/>
      <c r="AJ81" s="1179" t="s">
        <v>1589</v>
      </c>
      <c r="AK81" s="1180"/>
      <c r="AL81" s="1180"/>
      <c r="AM81" s="1180"/>
      <c r="AN81" s="1180"/>
      <c r="AO81" s="1180"/>
      <c r="AP81" s="1180"/>
      <c r="AQ81" s="1180"/>
      <c r="AR81" s="1180"/>
      <c r="AS81" s="1180"/>
      <c r="AT81" s="1180"/>
      <c r="AU81" s="1180"/>
      <c r="AV81" s="1180"/>
      <c r="AW81" s="1180"/>
      <c r="AX81" s="1181"/>
      <c r="AY81" s="1183" t="s">
        <v>901</v>
      </c>
      <c r="AZ81" s="1180"/>
      <c r="BA81" s="1180"/>
      <c r="BB81" s="1184"/>
      <c r="BC81" s="242"/>
      <c r="BD81" s="242"/>
      <c r="BE81" s="258"/>
      <c r="BF81" s="239"/>
      <c r="BG81" s="239"/>
      <c r="BH81" s="239"/>
      <c r="BI81" s="239"/>
      <c r="BJ81" s="239"/>
      <c r="BK81" s="239"/>
      <c r="BL81" s="239"/>
      <c r="BM81" s="239"/>
      <c r="BN81" s="239"/>
      <c r="BO81" s="239"/>
      <c r="BP81" s="239"/>
      <c r="BQ81" s="239"/>
      <c r="BR81" s="239"/>
      <c r="BS81" s="239"/>
      <c r="BT81" s="239"/>
      <c r="BU81" s="239"/>
      <c r="BV81" s="239"/>
      <c r="BW81" s="239"/>
      <c r="BX81" s="239"/>
      <c r="BY81" s="239"/>
      <c r="BZ81" s="239"/>
      <c r="CA81" s="239"/>
      <c r="CB81" s="239"/>
      <c r="CC81" s="239"/>
      <c r="CD81" s="239"/>
      <c r="CE81" s="239"/>
      <c r="CF81" s="239"/>
      <c r="CG81" s="239"/>
    </row>
    <row r="82" spans="1:85" ht="15.75" customHeight="1">
      <c r="A82" s="242"/>
      <c r="B82" s="1185"/>
      <c r="C82" s="947"/>
      <c r="D82" s="947"/>
      <c r="E82" s="947"/>
      <c r="F82" s="947"/>
      <c r="G82" s="947"/>
      <c r="H82" s="948"/>
      <c r="I82" s="1173" t="s">
        <v>1595</v>
      </c>
      <c r="J82" s="947"/>
      <c r="K82" s="947"/>
      <c r="L82" s="947"/>
      <c r="M82" s="947"/>
      <c r="N82" s="948"/>
      <c r="O82" s="1173" t="s">
        <v>1597</v>
      </c>
      <c r="P82" s="947"/>
      <c r="Q82" s="947"/>
      <c r="R82" s="947"/>
      <c r="S82" s="947"/>
      <c r="T82" s="947"/>
      <c r="U82" s="948"/>
      <c r="V82" s="1172" t="s">
        <v>1598</v>
      </c>
      <c r="W82" s="947"/>
      <c r="X82" s="947"/>
      <c r="Y82" s="947"/>
      <c r="Z82" s="947"/>
      <c r="AA82" s="948"/>
      <c r="AB82" s="1173" t="s">
        <v>1599</v>
      </c>
      <c r="AC82" s="947"/>
      <c r="AD82" s="947"/>
      <c r="AE82" s="947"/>
      <c r="AF82" s="947"/>
      <c r="AG82" s="947"/>
      <c r="AH82" s="1159"/>
      <c r="AI82" s="242"/>
      <c r="AJ82" s="1160"/>
      <c r="AK82" s="893"/>
      <c r="AL82" s="893"/>
      <c r="AM82" s="893"/>
      <c r="AN82" s="893"/>
      <c r="AO82" s="893"/>
      <c r="AP82" s="893"/>
      <c r="AQ82" s="893"/>
      <c r="AR82" s="893"/>
      <c r="AS82" s="893"/>
      <c r="AT82" s="893"/>
      <c r="AU82" s="893"/>
      <c r="AV82" s="893"/>
      <c r="AW82" s="893"/>
      <c r="AX82" s="959"/>
      <c r="AY82" s="958"/>
      <c r="AZ82" s="893"/>
      <c r="BA82" s="893"/>
      <c r="BB82" s="1161"/>
      <c r="BC82" s="242"/>
      <c r="BD82" s="242"/>
      <c r="BE82" s="258"/>
      <c r="BF82" s="239"/>
      <c r="BG82" s="239"/>
      <c r="BH82" s="239"/>
      <c r="BI82" s="239"/>
      <c r="BJ82" s="239"/>
      <c r="BK82" s="239"/>
      <c r="BL82" s="239"/>
      <c r="BM82" s="239"/>
      <c r="BN82" s="239"/>
      <c r="BO82" s="239"/>
      <c r="BP82" s="239"/>
      <c r="BQ82" s="239"/>
      <c r="BR82" s="239"/>
      <c r="BS82" s="239"/>
      <c r="BT82" s="239"/>
      <c r="BU82" s="239"/>
      <c r="BV82" s="239"/>
      <c r="BW82" s="239"/>
      <c r="BX82" s="239"/>
      <c r="BY82" s="239"/>
      <c r="BZ82" s="239"/>
      <c r="CA82" s="239"/>
      <c r="CB82" s="239"/>
      <c r="CC82" s="239"/>
      <c r="CD82" s="239"/>
      <c r="CE82" s="239"/>
      <c r="CF82" s="239"/>
      <c r="CG82" s="239"/>
    </row>
    <row r="83" spans="1:85" ht="15.75" customHeight="1">
      <c r="A83" s="242"/>
      <c r="B83" s="1182"/>
      <c r="C83" s="961"/>
      <c r="D83" s="961"/>
      <c r="E83" s="961"/>
      <c r="F83" s="961"/>
      <c r="G83" s="961"/>
      <c r="H83" s="962"/>
      <c r="I83" s="960"/>
      <c r="J83" s="961"/>
      <c r="K83" s="961"/>
      <c r="L83" s="961"/>
      <c r="M83" s="961"/>
      <c r="N83" s="962"/>
      <c r="O83" s="960"/>
      <c r="P83" s="961"/>
      <c r="Q83" s="961"/>
      <c r="R83" s="961"/>
      <c r="S83" s="961"/>
      <c r="T83" s="961"/>
      <c r="U83" s="962"/>
      <c r="V83" s="960"/>
      <c r="W83" s="961"/>
      <c r="X83" s="961"/>
      <c r="Y83" s="961"/>
      <c r="Z83" s="961"/>
      <c r="AA83" s="962"/>
      <c r="AB83" s="960"/>
      <c r="AC83" s="961"/>
      <c r="AD83" s="961"/>
      <c r="AE83" s="961"/>
      <c r="AF83" s="961"/>
      <c r="AG83" s="961"/>
      <c r="AH83" s="1174"/>
      <c r="AI83" s="242"/>
      <c r="AJ83" s="1160"/>
      <c r="AK83" s="893"/>
      <c r="AL83" s="893"/>
      <c r="AM83" s="893"/>
      <c r="AN83" s="893"/>
      <c r="AO83" s="893"/>
      <c r="AP83" s="893"/>
      <c r="AQ83" s="893"/>
      <c r="AR83" s="893"/>
      <c r="AS83" s="893"/>
      <c r="AT83" s="893"/>
      <c r="AU83" s="893"/>
      <c r="AV83" s="893"/>
      <c r="AW83" s="893"/>
      <c r="AX83" s="959"/>
      <c r="AY83" s="958"/>
      <c r="AZ83" s="893"/>
      <c r="BA83" s="893"/>
      <c r="BB83" s="1161"/>
      <c r="BC83" s="242"/>
      <c r="BD83" s="242"/>
      <c r="BE83" s="258"/>
      <c r="BF83" s="239"/>
      <c r="BG83" s="239"/>
      <c r="BH83" s="239"/>
      <c r="BI83" s="239"/>
      <c r="BJ83" s="239"/>
      <c r="BK83" s="239"/>
      <c r="BL83" s="239"/>
      <c r="BM83" s="239"/>
      <c r="BN83" s="239"/>
      <c r="BO83" s="239"/>
      <c r="BP83" s="239"/>
      <c r="BQ83" s="239"/>
      <c r="BR83" s="239"/>
      <c r="BS83" s="239"/>
      <c r="BT83" s="239"/>
      <c r="BU83" s="239"/>
      <c r="BV83" s="239"/>
      <c r="BW83" s="239"/>
      <c r="BX83" s="239"/>
      <c r="BY83" s="239"/>
      <c r="BZ83" s="239"/>
      <c r="CA83" s="239"/>
      <c r="CB83" s="239"/>
      <c r="CC83" s="239"/>
      <c r="CD83" s="239"/>
      <c r="CE83" s="239"/>
      <c r="CF83" s="239"/>
      <c r="CG83" s="239"/>
    </row>
    <row r="84" spans="1:85" ht="15.75" customHeight="1">
      <c r="A84" s="242"/>
      <c r="B84" s="1187" t="s">
        <v>1602</v>
      </c>
      <c r="C84" s="921"/>
      <c r="D84" s="921"/>
      <c r="E84" s="921"/>
      <c r="F84" s="921"/>
      <c r="G84" s="921"/>
      <c r="H84" s="943"/>
      <c r="I84" s="1186">
        <v>0</v>
      </c>
      <c r="J84" s="921"/>
      <c r="K84" s="921"/>
      <c r="L84" s="921"/>
      <c r="M84" s="921"/>
      <c r="N84" s="943"/>
      <c r="O84" s="1186">
        <v>0</v>
      </c>
      <c r="P84" s="921"/>
      <c r="Q84" s="921"/>
      <c r="R84" s="921"/>
      <c r="S84" s="921"/>
      <c r="T84" s="921"/>
      <c r="U84" s="943"/>
      <c r="V84" s="1186">
        <v>0</v>
      </c>
      <c r="W84" s="921"/>
      <c r="X84" s="921"/>
      <c r="Y84" s="921"/>
      <c r="Z84" s="921"/>
      <c r="AA84" s="943"/>
      <c r="AB84" s="1186">
        <v>0</v>
      </c>
      <c r="AC84" s="921"/>
      <c r="AD84" s="921"/>
      <c r="AE84" s="921"/>
      <c r="AF84" s="921"/>
      <c r="AG84" s="921"/>
      <c r="AH84" s="1149"/>
      <c r="AI84" s="242"/>
      <c r="AJ84" s="1182"/>
      <c r="AK84" s="961"/>
      <c r="AL84" s="961"/>
      <c r="AM84" s="961"/>
      <c r="AN84" s="961"/>
      <c r="AO84" s="961"/>
      <c r="AP84" s="961"/>
      <c r="AQ84" s="961"/>
      <c r="AR84" s="961"/>
      <c r="AS84" s="961"/>
      <c r="AT84" s="961"/>
      <c r="AU84" s="961"/>
      <c r="AV84" s="961"/>
      <c r="AW84" s="961"/>
      <c r="AX84" s="962"/>
      <c r="AY84" s="960"/>
      <c r="AZ84" s="961"/>
      <c r="BA84" s="961"/>
      <c r="BB84" s="1174"/>
      <c r="BC84" s="242"/>
      <c r="BD84" s="242"/>
      <c r="BE84" s="258"/>
      <c r="BF84" s="239"/>
      <c r="BG84" s="239"/>
      <c r="BH84" s="239"/>
      <c r="BI84" s="239"/>
      <c r="BJ84" s="239"/>
      <c r="BK84" s="239"/>
      <c r="BL84" s="239"/>
      <c r="BM84" s="239"/>
      <c r="BN84" s="239"/>
      <c r="BO84" s="239"/>
      <c r="BP84" s="239"/>
      <c r="BQ84" s="239"/>
      <c r="BR84" s="239"/>
      <c r="BS84" s="239"/>
      <c r="BT84" s="239"/>
      <c r="BU84" s="239"/>
      <c r="BV84" s="239"/>
      <c r="BW84" s="239"/>
      <c r="BX84" s="239"/>
      <c r="BY84" s="239"/>
      <c r="BZ84" s="239"/>
      <c r="CA84" s="239"/>
      <c r="CB84" s="239"/>
      <c r="CC84" s="239"/>
      <c r="CD84" s="239"/>
      <c r="CE84" s="239"/>
      <c r="CF84" s="239"/>
      <c r="CG84" s="239"/>
    </row>
    <row r="85" spans="1:85" ht="15.75" customHeight="1">
      <c r="A85" s="242"/>
      <c r="B85" s="1187" t="s">
        <v>1605</v>
      </c>
      <c r="C85" s="921"/>
      <c r="D85" s="921"/>
      <c r="E85" s="921"/>
      <c r="F85" s="921"/>
      <c r="G85" s="921"/>
      <c r="H85" s="943"/>
      <c r="I85" s="1186">
        <v>0</v>
      </c>
      <c r="J85" s="921"/>
      <c r="K85" s="921"/>
      <c r="L85" s="921"/>
      <c r="M85" s="921"/>
      <c r="N85" s="943"/>
      <c r="O85" s="1186">
        <v>0</v>
      </c>
      <c r="P85" s="921"/>
      <c r="Q85" s="921"/>
      <c r="R85" s="921"/>
      <c r="S85" s="921"/>
      <c r="T85" s="921"/>
      <c r="U85" s="943"/>
      <c r="V85" s="1186">
        <v>0</v>
      </c>
      <c r="W85" s="921"/>
      <c r="X85" s="921"/>
      <c r="Y85" s="921"/>
      <c r="Z85" s="921"/>
      <c r="AA85" s="943"/>
      <c r="AB85" s="1186">
        <v>0</v>
      </c>
      <c r="AC85" s="921"/>
      <c r="AD85" s="921"/>
      <c r="AE85" s="921"/>
      <c r="AF85" s="921"/>
      <c r="AG85" s="921"/>
      <c r="AH85" s="1149"/>
      <c r="AI85" s="242"/>
      <c r="AJ85" s="1158" t="s">
        <v>1606</v>
      </c>
      <c r="AK85" s="947"/>
      <c r="AL85" s="947"/>
      <c r="AM85" s="947"/>
      <c r="AN85" s="947"/>
      <c r="AO85" s="947"/>
      <c r="AP85" s="947"/>
      <c r="AQ85" s="947"/>
      <c r="AR85" s="947"/>
      <c r="AS85" s="947"/>
      <c r="AT85" s="947"/>
      <c r="AU85" s="947"/>
      <c r="AV85" s="947"/>
      <c r="AW85" s="947"/>
      <c r="AX85" s="947"/>
      <c r="AY85" s="947"/>
      <c r="AZ85" s="947"/>
      <c r="BA85" s="947"/>
      <c r="BB85" s="1159"/>
      <c r="BC85" s="242"/>
      <c r="BD85" s="242"/>
      <c r="BE85" s="258"/>
      <c r="BF85" s="239"/>
      <c r="BG85" s="239"/>
      <c r="BH85" s="239"/>
      <c r="BI85" s="239"/>
      <c r="BJ85" s="239"/>
      <c r="BK85" s="239"/>
      <c r="BL85" s="239"/>
      <c r="BM85" s="239"/>
      <c r="BN85" s="239"/>
      <c r="BO85" s="239"/>
      <c r="BP85" s="239"/>
      <c r="BQ85" s="239"/>
      <c r="BR85" s="239"/>
      <c r="BS85" s="239"/>
      <c r="BT85" s="239"/>
      <c r="BU85" s="239"/>
      <c r="BV85" s="239"/>
      <c r="BW85" s="239"/>
      <c r="BX85" s="239"/>
      <c r="BY85" s="239"/>
      <c r="BZ85" s="239"/>
      <c r="CA85" s="239"/>
      <c r="CB85" s="239"/>
      <c r="CC85" s="239"/>
      <c r="CD85" s="239"/>
      <c r="CE85" s="239"/>
      <c r="CF85" s="239"/>
      <c r="CG85" s="239"/>
    </row>
    <row r="86" spans="1:85" ht="15.75" customHeight="1">
      <c r="A86" s="242"/>
      <c r="B86" s="1198" t="s">
        <v>1608</v>
      </c>
      <c r="C86" s="1154"/>
      <c r="D86" s="1154"/>
      <c r="E86" s="1154"/>
      <c r="F86" s="1154"/>
      <c r="G86" s="1154"/>
      <c r="H86" s="1190"/>
      <c r="I86" s="1197">
        <v>0</v>
      </c>
      <c r="J86" s="1154"/>
      <c r="K86" s="1154"/>
      <c r="L86" s="1154"/>
      <c r="M86" s="1154"/>
      <c r="N86" s="1190"/>
      <c r="O86" s="1197">
        <v>0</v>
      </c>
      <c r="P86" s="1154"/>
      <c r="Q86" s="1154"/>
      <c r="R86" s="1154"/>
      <c r="S86" s="1154"/>
      <c r="T86" s="1154"/>
      <c r="U86" s="1190"/>
      <c r="V86" s="1197">
        <v>0</v>
      </c>
      <c r="W86" s="1154"/>
      <c r="X86" s="1154"/>
      <c r="Y86" s="1154"/>
      <c r="Z86" s="1154"/>
      <c r="AA86" s="1190"/>
      <c r="AB86" s="1197">
        <v>0</v>
      </c>
      <c r="AC86" s="1154"/>
      <c r="AD86" s="1154"/>
      <c r="AE86" s="1154"/>
      <c r="AF86" s="1154"/>
      <c r="AG86" s="1154"/>
      <c r="AH86" s="1155"/>
      <c r="AI86" s="242"/>
      <c r="AJ86" s="1162"/>
      <c r="AK86" s="1163"/>
      <c r="AL86" s="1163"/>
      <c r="AM86" s="1163"/>
      <c r="AN86" s="1163"/>
      <c r="AO86" s="1163"/>
      <c r="AP86" s="1163"/>
      <c r="AQ86" s="1163"/>
      <c r="AR86" s="1163"/>
      <c r="AS86" s="1163"/>
      <c r="AT86" s="1163"/>
      <c r="AU86" s="1163"/>
      <c r="AV86" s="1163"/>
      <c r="AW86" s="1163"/>
      <c r="AX86" s="1163"/>
      <c r="AY86" s="1163"/>
      <c r="AZ86" s="1163"/>
      <c r="BA86" s="1163"/>
      <c r="BB86" s="1164"/>
      <c r="BC86" s="242"/>
      <c r="BD86" s="242"/>
      <c r="BE86" s="258"/>
      <c r="BF86" s="239"/>
      <c r="BG86" s="239"/>
      <c r="BH86" s="239"/>
      <c r="BI86" s="239"/>
      <c r="BJ86" s="239"/>
      <c r="BK86" s="239"/>
      <c r="BL86" s="239"/>
      <c r="BM86" s="239"/>
      <c r="BN86" s="239"/>
      <c r="BO86" s="239"/>
      <c r="BP86" s="239"/>
      <c r="BQ86" s="239"/>
      <c r="BR86" s="239"/>
      <c r="BS86" s="239"/>
      <c r="BT86" s="239"/>
      <c r="BU86" s="239"/>
      <c r="BV86" s="239"/>
      <c r="BW86" s="239"/>
      <c r="BX86" s="239"/>
      <c r="BY86" s="239"/>
      <c r="BZ86" s="239"/>
      <c r="CA86" s="239"/>
      <c r="CB86" s="239"/>
      <c r="CC86" s="239"/>
      <c r="CD86" s="239"/>
      <c r="CE86" s="239"/>
      <c r="CF86" s="239"/>
      <c r="CG86" s="239"/>
    </row>
    <row r="87" spans="1:85" ht="15.7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242"/>
      <c r="AZ87" s="242"/>
      <c r="BA87" s="242"/>
      <c r="BB87" s="242"/>
      <c r="BC87" s="242"/>
      <c r="BD87" s="242"/>
      <c r="BE87" s="258"/>
      <c r="BF87" s="239"/>
      <c r="BG87" s="239"/>
      <c r="BH87" s="239"/>
      <c r="BI87" s="239"/>
      <c r="BJ87" s="239"/>
      <c r="BK87" s="239"/>
      <c r="BL87" s="239"/>
      <c r="BM87" s="239"/>
      <c r="BN87" s="239"/>
      <c r="BO87" s="239"/>
      <c r="BP87" s="239"/>
      <c r="BQ87" s="239"/>
      <c r="BR87" s="239"/>
      <c r="BS87" s="239"/>
      <c r="BT87" s="239"/>
      <c r="BU87" s="239"/>
      <c r="BV87" s="239"/>
      <c r="BW87" s="239"/>
      <c r="BX87" s="239"/>
      <c r="BY87" s="239"/>
      <c r="BZ87" s="239"/>
      <c r="CA87" s="239"/>
      <c r="CB87" s="239"/>
      <c r="CC87" s="239"/>
      <c r="CD87" s="239"/>
      <c r="CE87" s="239"/>
      <c r="CF87" s="239"/>
      <c r="CG87" s="239"/>
    </row>
    <row r="88" spans="1:85" ht="15.75" customHeight="1">
      <c r="A88" s="242"/>
      <c r="B88" s="242"/>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242"/>
      <c r="AZ88" s="242"/>
      <c r="BA88" s="242"/>
      <c r="BB88" s="242"/>
      <c r="BC88" s="242"/>
      <c r="BD88" s="242"/>
      <c r="BE88" s="258"/>
      <c r="BF88" s="239"/>
      <c r="BG88" s="239"/>
      <c r="BH88" s="239"/>
      <c r="BI88" s="239"/>
      <c r="BJ88" s="239"/>
      <c r="BK88" s="239"/>
      <c r="BL88" s="239"/>
      <c r="BM88" s="239"/>
      <c r="BN88" s="239"/>
      <c r="BO88" s="239"/>
      <c r="BP88" s="239"/>
      <c r="BQ88" s="239"/>
      <c r="BR88" s="239"/>
      <c r="BS88" s="239"/>
      <c r="BT88" s="239"/>
      <c r="BU88" s="239"/>
      <c r="BV88" s="239"/>
      <c r="BW88" s="239"/>
      <c r="BX88" s="239"/>
      <c r="BY88" s="239"/>
      <c r="BZ88" s="239"/>
      <c r="CA88" s="239"/>
      <c r="CB88" s="239"/>
      <c r="CC88" s="239"/>
      <c r="CD88" s="239"/>
      <c r="CE88" s="239"/>
      <c r="CF88" s="239"/>
      <c r="CG88" s="239"/>
    </row>
    <row r="89" spans="1:85" ht="15.75" customHeight="1">
      <c r="A89" s="242"/>
      <c r="B89" s="278" t="s">
        <v>1615</v>
      </c>
      <c r="C89" s="288"/>
      <c r="D89" s="289"/>
      <c r="E89" s="290"/>
      <c r="F89" s="290"/>
      <c r="G89" s="290"/>
      <c r="H89" s="290"/>
      <c r="I89" s="290"/>
      <c r="J89" s="290"/>
      <c r="K89" s="290"/>
      <c r="L89" s="290"/>
      <c r="M89" s="290"/>
      <c r="N89" s="290"/>
      <c r="O89" s="290"/>
      <c r="P89" s="290"/>
      <c r="Q89" s="290"/>
      <c r="R89" s="290"/>
      <c r="S89" s="290"/>
      <c r="T89" s="291"/>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c r="BD89" s="242"/>
      <c r="BE89" s="258"/>
      <c r="BF89" s="239"/>
      <c r="BG89" s="239"/>
      <c r="BH89" s="239"/>
      <c r="BI89" s="239"/>
      <c r="BJ89" s="239"/>
      <c r="BK89" s="239"/>
      <c r="BL89" s="239"/>
      <c r="BM89" s="239"/>
      <c r="BN89" s="239"/>
      <c r="BO89" s="239"/>
      <c r="BP89" s="239"/>
      <c r="BQ89" s="292"/>
      <c r="BR89" s="239"/>
      <c r="BS89" s="239"/>
      <c r="BT89" s="239"/>
      <c r="BU89" s="239"/>
      <c r="BV89" s="239"/>
      <c r="BW89" s="239"/>
      <c r="BX89" s="239"/>
      <c r="BY89" s="239"/>
      <c r="BZ89" s="239"/>
      <c r="CA89" s="239"/>
      <c r="CB89" s="239"/>
      <c r="CC89" s="239"/>
      <c r="CD89" s="239"/>
      <c r="CE89" s="239"/>
      <c r="CF89" s="239"/>
      <c r="CG89" s="239"/>
    </row>
    <row r="90" spans="1:85" ht="15.75" customHeight="1">
      <c r="A90" s="242"/>
      <c r="B90" s="293" t="s">
        <v>1581</v>
      </c>
      <c r="C90" s="293"/>
      <c r="D90" s="294"/>
      <c r="E90" s="295"/>
      <c r="F90" s="1175"/>
      <c r="G90" s="968"/>
      <c r="H90" s="968"/>
      <c r="I90" s="968"/>
      <c r="J90" s="968"/>
      <c r="K90" s="968"/>
      <c r="L90" s="968"/>
      <c r="M90" s="968"/>
      <c r="N90" s="968"/>
      <c r="O90" s="968"/>
      <c r="P90" s="968"/>
      <c r="Q90" s="968"/>
      <c r="R90" s="968"/>
      <c r="S90" s="968"/>
      <c r="T90" s="1157"/>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2"/>
      <c r="BA90" s="242"/>
      <c r="BB90" s="242"/>
      <c r="BC90" s="242"/>
      <c r="BD90" s="242"/>
      <c r="BE90" s="258"/>
      <c r="BF90" s="239"/>
      <c r="BG90" s="239"/>
      <c r="BH90" s="239"/>
      <c r="BI90" s="239"/>
      <c r="BJ90" s="239"/>
      <c r="BK90" s="239"/>
      <c r="BL90" s="239"/>
      <c r="BM90" s="239"/>
      <c r="BN90" s="239"/>
      <c r="BO90" s="239"/>
      <c r="BP90" s="239"/>
      <c r="BQ90" s="239"/>
      <c r="BR90" s="239"/>
      <c r="BS90" s="239"/>
      <c r="BT90" s="239"/>
      <c r="BU90" s="239"/>
      <c r="BV90" s="239"/>
      <c r="BW90" s="239"/>
      <c r="BX90" s="239"/>
      <c r="BY90" s="239"/>
      <c r="BZ90" s="239"/>
      <c r="CA90" s="239"/>
      <c r="CB90" s="239"/>
      <c r="CC90" s="239"/>
      <c r="CD90" s="239"/>
      <c r="CE90" s="239"/>
      <c r="CF90" s="239"/>
      <c r="CG90" s="239"/>
    </row>
    <row r="91" spans="1:85" ht="15.75" customHeight="1">
      <c r="A91" s="242"/>
      <c r="B91" s="242"/>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2"/>
      <c r="BA91" s="242"/>
      <c r="BB91" s="242"/>
      <c r="BC91" s="242"/>
      <c r="BD91" s="242"/>
      <c r="BE91" s="258"/>
      <c r="BF91" s="239"/>
      <c r="BG91" s="239"/>
      <c r="BH91" s="296"/>
      <c r="BI91" s="296"/>
      <c r="BJ91" s="296"/>
      <c r="BK91" s="296"/>
      <c r="BL91" s="296"/>
      <c r="BM91" s="296"/>
      <c r="BN91" s="296"/>
      <c r="BO91" s="296"/>
      <c r="BP91" s="296"/>
      <c r="BQ91" s="296"/>
      <c r="BR91" s="296"/>
      <c r="BS91" s="296"/>
      <c r="BT91" s="239"/>
      <c r="BU91" s="239"/>
      <c r="BV91" s="239"/>
      <c r="BW91" s="239"/>
      <c r="BX91" s="239"/>
      <c r="BY91" s="239"/>
      <c r="BZ91" s="239"/>
      <c r="CA91" s="239"/>
      <c r="CB91" s="239"/>
      <c r="CC91" s="239"/>
      <c r="CD91" s="239"/>
      <c r="CE91" s="239"/>
      <c r="CF91" s="239"/>
      <c r="CG91" s="239"/>
    </row>
    <row r="92" spans="1:85" ht="15.75" customHeight="1">
      <c r="A92" s="242"/>
      <c r="B92" s="1176" t="s">
        <v>1619</v>
      </c>
      <c r="C92" s="1177"/>
      <c r="D92" s="1177"/>
      <c r="E92" s="1177"/>
      <c r="F92" s="1177"/>
      <c r="G92" s="1177"/>
      <c r="H92" s="1177"/>
      <c r="I92" s="1177"/>
      <c r="J92" s="1177"/>
      <c r="K92" s="1177"/>
      <c r="L92" s="1177"/>
      <c r="M92" s="1177"/>
      <c r="N92" s="1177"/>
      <c r="O92" s="1177"/>
      <c r="P92" s="1177"/>
      <c r="Q92" s="1177"/>
      <c r="R92" s="1177"/>
      <c r="S92" s="1177"/>
      <c r="T92" s="1177"/>
      <c r="U92" s="1177"/>
      <c r="V92" s="1177"/>
      <c r="W92" s="1177"/>
      <c r="X92" s="1177"/>
      <c r="Y92" s="1177"/>
      <c r="Z92" s="1177"/>
      <c r="AA92" s="1177"/>
      <c r="AB92" s="1177"/>
      <c r="AC92" s="1177"/>
      <c r="AD92" s="1177"/>
      <c r="AE92" s="1177"/>
      <c r="AF92" s="1177"/>
      <c r="AG92" s="1177"/>
      <c r="AH92" s="1178"/>
      <c r="AI92" s="242"/>
      <c r="AJ92" s="1179" t="s">
        <v>1622</v>
      </c>
      <c r="AK92" s="1180"/>
      <c r="AL92" s="1180"/>
      <c r="AM92" s="1180"/>
      <c r="AN92" s="1180"/>
      <c r="AO92" s="1180"/>
      <c r="AP92" s="1180"/>
      <c r="AQ92" s="1180"/>
      <c r="AR92" s="1180"/>
      <c r="AS92" s="1180"/>
      <c r="AT92" s="1180"/>
      <c r="AU92" s="1180"/>
      <c r="AV92" s="1180"/>
      <c r="AW92" s="1180"/>
      <c r="AX92" s="1181"/>
      <c r="AY92" s="1183" t="s">
        <v>901</v>
      </c>
      <c r="AZ92" s="1180"/>
      <c r="BA92" s="1180"/>
      <c r="BB92" s="1184"/>
      <c r="BC92" s="242"/>
      <c r="BD92" s="242"/>
      <c r="BE92" s="258"/>
      <c r="BF92" s="239"/>
      <c r="BG92" s="239"/>
      <c r="BH92" s="296"/>
      <c r="BI92" s="296"/>
      <c r="BJ92" s="296"/>
      <c r="BK92" s="296"/>
      <c r="BL92" s="296"/>
      <c r="BM92" s="296"/>
      <c r="BN92" s="296"/>
      <c r="BO92" s="296"/>
      <c r="BP92" s="296"/>
      <c r="BQ92" s="296"/>
      <c r="BR92" s="298"/>
      <c r="BS92" s="296"/>
      <c r="BT92" s="239"/>
      <c r="BU92" s="239"/>
      <c r="BV92" s="239"/>
      <c r="BW92" s="239"/>
      <c r="BX92" s="239"/>
      <c r="BY92" s="239"/>
      <c r="BZ92" s="239"/>
      <c r="CA92" s="239"/>
      <c r="CB92" s="239"/>
      <c r="CC92" s="239"/>
      <c r="CD92" s="239"/>
      <c r="CE92" s="239"/>
      <c r="CF92" s="239"/>
      <c r="CG92" s="239"/>
    </row>
    <row r="93" spans="1:85" ht="15.75" customHeight="1">
      <c r="A93" s="242"/>
      <c r="B93" s="1185"/>
      <c r="C93" s="947"/>
      <c r="D93" s="947"/>
      <c r="E93" s="947"/>
      <c r="F93" s="947"/>
      <c r="G93" s="947"/>
      <c r="H93" s="948"/>
      <c r="I93" s="1173" t="s">
        <v>1595</v>
      </c>
      <c r="J93" s="947"/>
      <c r="K93" s="947"/>
      <c r="L93" s="947"/>
      <c r="M93" s="947"/>
      <c r="N93" s="948"/>
      <c r="O93" s="1173" t="s">
        <v>1597</v>
      </c>
      <c r="P93" s="947"/>
      <c r="Q93" s="947"/>
      <c r="R93" s="947"/>
      <c r="S93" s="947"/>
      <c r="T93" s="947"/>
      <c r="U93" s="948"/>
      <c r="V93" s="1172" t="s">
        <v>1598</v>
      </c>
      <c r="W93" s="947"/>
      <c r="X93" s="947"/>
      <c r="Y93" s="947"/>
      <c r="Z93" s="947"/>
      <c r="AA93" s="948"/>
      <c r="AB93" s="1173" t="s">
        <v>1599</v>
      </c>
      <c r="AC93" s="947"/>
      <c r="AD93" s="947"/>
      <c r="AE93" s="947"/>
      <c r="AF93" s="947"/>
      <c r="AG93" s="947"/>
      <c r="AH93" s="1159"/>
      <c r="AI93" s="242"/>
      <c r="AJ93" s="1160"/>
      <c r="AK93" s="893"/>
      <c r="AL93" s="893"/>
      <c r="AM93" s="893"/>
      <c r="AN93" s="893"/>
      <c r="AO93" s="893"/>
      <c r="AP93" s="893"/>
      <c r="AQ93" s="893"/>
      <c r="AR93" s="893"/>
      <c r="AS93" s="893"/>
      <c r="AT93" s="893"/>
      <c r="AU93" s="893"/>
      <c r="AV93" s="893"/>
      <c r="AW93" s="893"/>
      <c r="AX93" s="959"/>
      <c r="AY93" s="958"/>
      <c r="AZ93" s="893"/>
      <c r="BA93" s="893"/>
      <c r="BB93" s="1161"/>
      <c r="BC93" s="242"/>
      <c r="BD93" s="242"/>
      <c r="BE93" s="258"/>
      <c r="BF93" s="239"/>
      <c r="BG93" s="239"/>
      <c r="BH93" s="296"/>
      <c r="BI93" s="296"/>
      <c r="BJ93" s="296"/>
      <c r="BK93" s="296"/>
      <c r="BL93" s="296"/>
      <c r="BM93" s="296"/>
      <c r="BN93" s="296"/>
      <c r="BO93" s="296"/>
      <c r="BP93" s="296"/>
      <c r="BQ93" s="296"/>
      <c r="BR93" s="298"/>
      <c r="BS93" s="296"/>
      <c r="BT93" s="239"/>
      <c r="BU93" s="239"/>
      <c r="BV93" s="239"/>
      <c r="BW93" s="239"/>
      <c r="BX93" s="239"/>
      <c r="BY93" s="239"/>
      <c r="BZ93" s="239"/>
      <c r="CA93" s="239"/>
      <c r="CB93" s="239"/>
      <c r="CC93" s="239"/>
      <c r="CD93" s="239"/>
      <c r="CE93" s="239"/>
      <c r="CF93" s="239"/>
      <c r="CG93" s="239"/>
    </row>
    <row r="94" spans="1:85" ht="15.75" customHeight="1">
      <c r="A94" s="242"/>
      <c r="B94" s="1182"/>
      <c r="C94" s="961"/>
      <c r="D94" s="961"/>
      <c r="E94" s="961"/>
      <c r="F94" s="961"/>
      <c r="G94" s="961"/>
      <c r="H94" s="962"/>
      <c r="I94" s="960"/>
      <c r="J94" s="961"/>
      <c r="K94" s="961"/>
      <c r="L94" s="961"/>
      <c r="M94" s="961"/>
      <c r="N94" s="962"/>
      <c r="O94" s="960"/>
      <c r="P94" s="961"/>
      <c r="Q94" s="961"/>
      <c r="R94" s="961"/>
      <c r="S94" s="961"/>
      <c r="T94" s="961"/>
      <c r="U94" s="962"/>
      <c r="V94" s="960"/>
      <c r="W94" s="961"/>
      <c r="X94" s="961"/>
      <c r="Y94" s="961"/>
      <c r="Z94" s="961"/>
      <c r="AA94" s="962"/>
      <c r="AB94" s="960"/>
      <c r="AC94" s="961"/>
      <c r="AD94" s="961"/>
      <c r="AE94" s="961"/>
      <c r="AF94" s="961"/>
      <c r="AG94" s="961"/>
      <c r="AH94" s="1174"/>
      <c r="AI94" s="242"/>
      <c r="AJ94" s="1160"/>
      <c r="AK94" s="893"/>
      <c r="AL94" s="893"/>
      <c r="AM94" s="893"/>
      <c r="AN94" s="893"/>
      <c r="AO94" s="893"/>
      <c r="AP94" s="893"/>
      <c r="AQ94" s="893"/>
      <c r="AR94" s="893"/>
      <c r="AS94" s="893"/>
      <c r="AT94" s="893"/>
      <c r="AU94" s="893"/>
      <c r="AV94" s="893"/>
      <c r="AW94" s="893"/>
      <c r="AX94" s="959"/>
      <c r="AY94" s="958"/>
      <c r="AZ94" s="893"/>
      <c r="BA94" s="893"/>
      <c r="BB94" s="1161"/>
      <c r="BC94" s="242"/>
      <c r="BD94" s="242"/>
      <c r="BE94" s="258"/>
      <c r="BF94" s="239"/>
      <c r="BG94" s="239"/>
      <c r="BH94" s="296"/>
      <c r="BI94" s="296"/>
      <c r="BJ94" s="296"/>
      <c r="BK94" s="296"/>
      <c r="BL94" s="296"/>
      <c r="BM94" s="296"/>
      <c r="BN94" s="296"/>
      <c r="BO94" s="296"/>
      <c r="BP94" s="296"/>
      <c r="BQ94" s="296"/>
      <c r="BR94" s="298"/>
      <c r="BS94" s="296"/>
      <c r="BT94" s="239"/>
      <c r="BU94" s="239"/>
      <c r="BV94" s="239"/>
      <c r="BW94" s="239"/>
      <c r="BX94" s="239"/>
      <c r="BY94" s="239"/>
      <c r="BZ94" s="239"/>
      <c r="CA94" s="239"/>
      <c r="CB94" s="239"/>
      <c r="CC94" s="239"/>
      <c r="CD94" s="239"/>
      <c r="CE94" s="239"/>
      <c r="CF94" s="239"/>
      <c r="CG94" s="239"/>
    </row>
    <row r="95" spans="1:85" ht="15.75" customHeight="1">
      <c r="A95" s="242"/>
      <c r="B95" s="1187" t="s">
        <v>1602</v>
      </c>
      <c r="C95" s="921"/>
      <c r="D95" s="921"/>
      <c r="E95" s="921"/>
      <c r="F95" s="921"/>
      <c r="G95" s="921"/>
      <c r="H95" s="943"/>
      <c r="I95" s="1186">
        <v>0</v>
      </c>
      <c r="J95" s="921"/>
      <c r="K95" s="921"/>
      <c r="L95" s="921"/>
      <c r="M95" s="921"/>
      <c r="N95" s="943"/>
      <c r="O95" s="1186">
        <v>0</v>
      </c>
      <c r="P95" s="921"/>
      <c r="Q95" s="921"/>
      <c r="R95" s="921"/>
      <c r="S95" s="921"/>
      <c r="T95" s="921"/>
      <c r="U95" s="943"/>
      <c r="V95" s="1186">
        <v>0</v>
      </c>
      <c r="W95" s="921"/>
      <c r="X95" s="921"/>
      <c r="Y95" s="921"/>
      <c r="Z95" s="921"/>
      <c r="AA95" s="943"/>
      <c r="AB95" s="1186">
        <v>0</v>
      </c>
      <c r="AC95" s="921"/>
      <c r="AD95" s="921"/>
      <c r="AE95" s="921"/>
      <c r="AF95" s="921"/>
      <c r="AG95" s="921"/>
      <c r="AH95" s="1149"/>
      <c r="AI95" s="242"/>
      <c r="AJ95" s="1182"/>
      <c r="AK95" s="961"/>
      <c r="AL95" s="961"/>
      <c r="AM95" s="961"/>
      <c r="AN95" s="961"/>
      <c r="AO95" s="961"/>
      <c r="AP95" s="961"/>
      <c r="AQ95" s="961"/>
      <c r="AR95" s="961"/>
      <c r="AS95" s="961"/>
      <c r="AT95" s="961"/>
      <c r="AU95" s="961"/>
      <c r="AV95" s="961"/>
      <c r="AW95" s="961"/>
      <c r="AX95" s="962"/>
      <c r="AY95" s="960"/>
      <c r="AZ95" s="961"/>
      <c r="BA95" s="961"/>
      <c r="BB95" s="1174"/>
      <c r="BC95" s="242"/>
      <c r="BD95" s="242"/>
      <c r="BE95" s="258"/>
      <c r="BF95" s="239"/>
      <c r="BG95" s="239"/>
      <c r="BH95" s="296"/>
      <c r="BI95" s="296"/>
      <c r="BJ95" s="296"/>
      <c r="BK95" s="296"/>
      <c r="BL95" s="296"/>
      <c r="BM95" s="296"/>
      <c r="BN95" s="296"/>
      <c r="BO95" s="296"/>
      <c r="BP95" s="296"/>
      <c r="BQ95" s="296"/>
      <c r="BR95" s="296"/>
      <c r="BS95" s="296"/>
      <c r="BT95" s="239"/>
      <c r="BU95" s="239"/>
      <c r="BV95" s="239"/>
      <c r="BW95" s="239"/>
      <c r="BX95" s="239"/>
      <c r="BY95" s="239"/>
      <c r="BZ95" s="239"/>
      <c r="CA95" s="239"/>
      <c r="CB95" s="239"/>
      <c r="CC95" s="239"/>
      <c r="CD95" s="239"/>
      <c r="CE95" s="239"/>
      <c r="CF95" s="239"/>
      <c r="CG95" s="239"/>
    </row>
    <row r="96" spans="1:85" ht="15.75" customHeight="1">
      <c r="A96" s="242"/>
      <c r="B96" s="1187" t="s">
        <v>1605</v>
      </c>
      <c r="C96" s="921"/>
      <c r="D96" s="921"/>
      <c r="E96" s="921"/>
      <c r="F96" s="921"/>
      <c r="G96" s="921"/>
      <c r="H96" s="943"/>
      <c r="I96" s="1186">
        <v>0</v>
      </c>
      <c r="J96" s="921"/>
      <c r="K96" s="921"/>
      <c r="L96" s="921"/>
      <c r="M96" s="921"/>
      <c r="N96" s="943"/>
      <c r="O96" s="1186">
        <v>0</v>
      </c>
      <c r="P96" s="921"/>
      <c r="Q96" s="921"/>
      <c r="R96" s="921"/>
      <c r="S96" s="921"/>
      <c r="T96" s="921"/>
      <c r="U96" s="943"/>
      <c r="V96" s="1186">
        <v>0</v>
      </c>
      <c r="W96" s="921"/>
      <c r="X96" s="921"/>
      <c r="Y96" s="921"/>
      <c r="Z96" s="921"/>
      <c r="AA96" s="943"/>
      <c r="AB96" s="1186">
        <v>0</v>
      </c>
      <c r="AC96" s="921"/>
      <c r="AD96" s="921"/>
      <c r="AE96" s="921"/>
      <c r="AF96" s="921"/>
      <c r="AG96" s="921"/>
      <c r="AH96" s="1149"/>
      <c r="AI96" s="242"/>
      <c r="AJ96" s="1158" t="s">
        <v>1606</v>
      </c>
      <c r="AK96" s="947"/>
      <c r="AL96" s="947"/>
      <c r="AM96" s="947"/>
      <c r="AN96" s="947"/>
      <c r="AO96" s="947"/>
      <c r="AP96" s="947"/>
      <c r="AQ96" s="947"/>
      <c r="AR96" s="947"/>
      <c r="AS96" s="947"/>
      <c r="AT96" s="947"/>
      <c r="AU96" s="947"/>
      <c r="AV96" s="947"/>
      <c r="AW96" s="947"/>
      <c r="AX96" s="947"/>
      <c r="AY96" s="947"/>
      <c r="AZ96" s="947"/>
      <c r="BA96" s="947"/>
      <c r="BB96" s="1159"/>
      <c r="BC96" s="242"/>
      <c r="BD96" s="242"/>
      <c r="BE96" s="258"/>
      <c r="BF96" s="239"/>
      <c r="BG96" s="239"/>
      <c r="BH96" s="296"/>
      <c r="BI96" s="296"/>
      <c r="BJ96" s="296"/>
      <c r="BK96" s="296"/>
      <c r="BL96" s="296"/>
      <c r="BM96" s="296"/>
      <c r="BN96" s="296"/>
      <c r="BO96" s="296"/>
      <c r="BP96" s="296"/>
      <c r="BQ96" s="296"/>
      <c r="BR96" s="296"/>
      <c r="BS96" s="296"/>
      <c r="BT96" s="239"/>
      <c r="BU96" s="239"/>
      <c r="BV96" s="239"/>
      <c r="BW96" s="239"/>
      <c r="BX96" s="239"/>
      <c r="BY96" s="239"/>
      <c r="BZ96" s="239"/>
      <c r="CA96" s="239"/>
      <c r="CB96" s="239"/>
      <c r="CC96" s="239"/>
      <c r="CD96" s="239"/>
      <c r="CE96" s="239"/>
      <c r="CF96" s="239"/>
      <c r="CG96" s="239"/>
    </row>
    <row r="97" spans="1:85" ht="15.75" customHeight="1">
      <c r="A97" s="242"/>
      <c r="B97" s="1198" t="s">
        <v>1608</v>
      </c>
      <c r="C97" s="1154"/>
      <c r="D97" s="1154"/>
      <c r="E97" s="1154"/>
      <c r="F97" s="1154"/>
      <c r="G97" s="1154"/>
      <c r="H97" s="1190"/>
      <c r="I97" s="1197">
        <v>0</v>
      </c>
      <c r="J97" s="1154"/>
      <c r="K97" s="1154"/>
      <c r="L97" s="1154"/>
      <c r="M97" s="1154"/>
      <c r="N97" s="1190"/>
      <c r="O97" s="1197">
        <v>0</v>
      </c>
      <c r="P97" s="1154"/>
      <c r="Q97" s="1154"/>
      <c r="R97" s="1154"/>
      <c r="S97" s="1154"/>
      <c r="T97" s="1154"/>
      <c r="U97" s="1190"/>
      <c r="V97" s="1197">
        <v>0</v>
      </c>
      <c r="W97" s="1154"/>
      <c r="X97" s="1154"/>
      <c r="Y97" s="1154"/>
      <c r="Z97" s="1154"/>
      <c r="AA97" s="1190"/>
      <c r="AB97" s="1197">
        <v>0</v>
      </c>
      <c r="AC97" s="1154"/>
      <c r="AD97" s="1154"/>
      <c r="AE97" s="1154"/>
      <c r="AF97" s="1154"/>
      <c r="AG97" s="1154"/>
      <c r="AH97" s="1155"/>
      <c r="AI97" s="242"/>
      <c r="AJ97" s="1162"/>
      <c r="AK97" s="1163"/>
      <c r="AL97" s="1163"/>
      <c r="AM97" s="1163"/>
      <c r="AN97" s="1163"/>
      <c r="AO97" s="1163"/>
      <c r="AP97" s="1163"/>
      <c r="AQ97" s="1163"/>
      <c r="AR97" s="1163"/>
      <c r="AS97" s="1163"/>
      <c r="AT97" s="1163"/>
      <c r="AU97" s="1163"/>
      <c r="AV97" s="1163"/>
      <c r="AW97" s="1163"/>
      <c r="AX97" s="1163"/>
      <c r="AY97" s="1163"/>
      <c r="AZ97" s="1163"/>
      <c r="BA97" s="1163"/>
      <c r="BB97" s="1164"/>
      <c r="BC97" s="242"/>
      <c r="BD97" s="242"/>
      <c r="BE97" s="258"/>
      <c r="BF97" s="239"/>
      <c r="BG97" s="239"/>
      <c r="BH97" s="296"/>
      <c r="BI97" s="296"/>
      <c r="BJ97" s="296"/>
      <c r="BK97" s="296"/>
      <c r="BL97" s="296"/>
      <c r="BM97" s="296"/>
      <c r="BN97" s="296"/>
      <c r="BO97" s="296"/>
      <c r="BP97" s="296"/>
      <c r="BQ97" s="296"/>
      <c r="BR97" s="296"/>
      <c r="BS97" s="296"/>
      <c r="BT97" s="239"/>
      <c r="BU97" s="239"/>
      <c r="BV97" s="239"/>
      <c r="BW97" s="239"/>
      <c r="BX97" s="239"/>
      <c r="BY97" s="239"/>
      <c r="BZ97" s="239"/>
      <c r="CA97" s="239"/>
      <c r="CB97" s="239"/>
      <c r="CC97" s="239"/>
      <c r="CD97" s="239"/>
      <c r="CE97" s="239"/>
      <c r="CF97" s="239"/>
      <c r="CG97" s="239"/>
    </row>
    <row r="98" spans="1:85" ht="15.75" customHeight="1">
      <c r="A98" s="242"/>
      <c r="B98" s="242"/>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58"/>
      <c r="BF98" s="239"/>
      <c r="BG98" s="239"/>
      <c r="BH98" s="296"/>
      <c r="BI98" s="296"/>
      <c r="BJ98" s="296"/>
      <c r="BK98" s="296"/>
      <c r="BL98" s="296"/>
      <c r="BM98" s="296"/>
      <c r="BN98" s="296"/>
      <c r="BO98" s="296"/>
      <c r="BP98" s="296"/>
      <c r="BQ98" s="296"/>
      <c r="BR98" s="296"/>
      <c r="BS98" s="296"/>
      <c r="BT98" s="239"/>
      <c r="BU98" s="239"/>
      <c r="BV98" s="239"/>
      <c r="BW98" s="239"/>
      <c r="BX98" s="239"/>
      <c r="BY98" s="239"/>
      <c r="BZ98" s="239"/>
      <c r="CA98" s="239"/>
      <c r="CB98" s="239"/>
      <c r="CC98" s="239"/>
      <c r="CD98" s="239"/>
      <c r="CE98" s="239"/>
      <c r="CF98" s="239"/>
      <c r="CG98" s="239"/>
    </row>
    <row r="99" spans="1:85" ht="15.75" customHeight="1">
      <c r="A99" s="242"/>
      <c r="B99" s="289" t="s">
        <v>1632</v>
      </c>
      <c r="C99" s="279"/>
      <c r="D99" s="280"/>
      <c r="E99" s="280"/>
      <c r="F99" s="300"/>
      <c r="G99" s="300"/>
      <c r="H99" s="300"/>
      <c r="I99" s="300"/>
      <c r="J99" s="300"/>
      <c r="K99" s="300"/>
      <c r="L99" s="300"/>
      <c r="M99" s="300"/>
      <c r="N99" s="300"/>
      <c r="O99" s="301"/>
      <c r="P99" s="300"/>
      <c r="Q99" s="300"/>
      <c r="R99" s="301"/>
      <c r="S99" s="242" t="s">
        <v>9</v>
      </c>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58"/>
      <c r="BF99" s="239"/>
      <c r="BG99" s="239"/>
      <c r="BH99" s="296"/>
      <c r="BI99" s="296"/>
      <c r="BJ99" s="296"/>
      <c r="BK99" s="296"/>
      <c r="BL99" s="296"/>
      <c r="BM99" s="296"/>
      <c r="BN99" s="296"/>
      <c r="BO99" s="296"/>
      <c r="BP99" s="296"/>
      <c r="BQ99" s="296"/>
      <c r="BR99" s="296"/>
      <c r="BS99" s="296"/>
      <c r="BT99" s="239"/>
      <c r="BU99" s="239"/>
      <c r="BV99" s="239"/>
      <c r="BW99" s="239"/>
      <c r="BX99" s="239"/>
      <c r="BY99" s="239"/>
      <c r="BZ99" s="239"/>
      <c r="CA99" s="239"/>
      <c r="CB99" s="239"/>
      <c r="CC99" s="239"/>
      <c r="CD99" s="239"/>
      <c r="CE99" s="239"/>
      <c r="CF99" s="239"/>
      <c r="CG99" s="239"/>
    </row>
    <row r="100" spans="1:85" ht="15.75" customHeight="1">
      <c r="A100" s="242"/>
      <c r="B100" s="293" t="s">
        <v>1581</v>
      </c>
      <c r="C100" s="293"/>
      <c r="D100" s="302"/>
      <c r="E100" s="303"/>
      <c r="F100" s="1186"/>
      <c r="G100" s="921"/>
      <c r="H100" s="921"/>
      <c r="I100" s="921"/>
      <c r="J100" s="921"/>
      <c r="K100" s="921"/>
      <c r="L100" s="921"/>
      <c r="M100" s="921"/>
      <c r="N100" s="921"/>
      <c r="O100" s="921"/>
      <c r="P100" s="921"/>
      <c r="Q100" s="921"/>
      <c r="R100" s="1149"/>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58"/>
      <c r="BF100" s="239"/>
      <c r="BG100" s="239"/>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39"/>
      <c r="CF100" s="239"/>
      <c r="CG100" s="239"/>
    </row>
    <row r="101" spans="1:85" ht="15.75" customHeight="1">
      <c r="A101" s="242"/>
      <c r="B101" s="242"/>
      <c r="C101" s="242"/>
      <c r="D101" s="242"/>
      <c r="E101" s="242"/>
      <c r="F101" s="242"/>
      <c r="G101" s="242"/>
      <c r="H101" s="242"/>
      <c r="I101" s="242"/>
      <c r="J101" s="242"/>
      <c r="K101" s="242"/>
      <c r="L101" s="242"/>
      <c r="M101" s="242"/>
      <c r="N101" s="242"/>
      <c r="O101" s="242"/>
      <c r="P101" s="305"/>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58"/>
      <c r="BF101" s="239"/>
      <c r="BG101" s="239"/>
      <c r="BH101" s="239"/>
      <c r="BI101" s="239"/>
      <c r="BJ101" s="239"/>
      <c r="BK101" s="239"/>
      <c r="BL101" s="239"/>
      <c r="BM101" s="239"/>
      <c r="BN101" s="239"/>
      <c r="BO101" s="239"/>
      <c r="BP101" s="239"/>
      <c r="BQ101" s="239"/>
      <c r="BR101" s="239"/>
      <c r="BS101" s="239"/>
      <c r="BT101" s="239"/>
      <c r="BU101" s="239"/>
      <c r="BV101" s="239"/>
      <c r="BW101" s="239"/>
      <c r="BX101" s="239"/>
      <c r="BY101" s="239"/>
      <c r="BZ101" s="239"/>
      <c r="CA101" s="239"/>
      <c r="CB101" s="239"/>
      <c r="CC101" s="239"/>
      <c r="CD101" s="239"/>
      <c r="CE101" s="239"/>
      <c r="CF101" s="239"/>
      <c r="CG101" s="239"/>
    </row>
    <row r="102" spans="1:85" ht="15.75" customHeight="1">
      <c r="A102" s="242"/>
      <c r="B102" s="1191" t="s">
        <v>1639</v>
      </c>
      <c r="C102" s="1177"/>
      <c r="D102" s="1177"/>
      <c r="E102" s="1177"/>
      <c r="F102" s="1177"/>
      <c r="G102" s="1177"/>
      <c r="H102" s="1177"/>
      <c r="I102" s="1177"/>
      <c r="J102" s="1177"/>
      <c r="K102" s="1177"/>
      <c r="L102" s="1177"/>
      <c r="M102" s="1177"/>
      <c r="N102" s="1177"/>
      <c r="O102" s="1177"/>
      <c r="P102" s="1177"/>
      <c r="Q102" s="1177"/>
      <c r="R102" s="1177"/>
      <c r="S102" s="1177"/>
      <c r="T102" s="1177"/>
      <c r="U102" s="1177"/>
      <c r="V102" s="1177"/>
      <c r="W102" s="1177"/>
      <c r="X102" s="1177"/>
      <c r="Y102" s="1177"/>
      <c r="Z102" s="1177"/>
      <c r="AA102" s="1177"/>
      <c r="AB102" s="1177"/>
      <c r="AC102" s="1177"/>
      <c r="AD102" s="1177"/>
      <c r="AE102" s="1177"/>
      <c r="AF102" s="1177"/>
      <c r="AG102" s="1177"/>
      <c r="AH102" s="1178"/>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58"/>
      <c r="BF102" s="239"/>
      <c r="BG102" s="239"/>
      <c r="BH102" s="239"/>
      <c r="BI102" s="239"/>
      <c r="BJ102" s="239"/>
      <c r="BK102" s="239"/>
      <c r="BL102" s="239"/>
      <c r="BM102" s="239"/>
      <c r="BN102" s="239"/>
      <c r="BO102" s="239"/>
      <c r="BP102" s="239"/>
      <c r="BQ102" s="239"/>
      <c r="BR102" s="239"/>
      <c r="BS102" s="239"/>
      <c r="BT102" s="239"/>
      <c r="BU102" s="239"/>
      <c r="BV102" s="239"/>
      <c r="BW102" s="239"/>
      <c r="BX102" s="239"/>
      <c r="BY102" s="239"/>
      <c r="BZ102" s="239"/>
      <c r="CA102" s="239"/>
      <c r="CB102" s="239"/>
      <c r="CC102" s="239"/>
      <c r="CD102" s="239"/>
      <c r="CE102" s="239"/>
      <c r="CF102" s="239"/>
      <c r="CG102" s="239"/>
    </row>
    <row r="103" spans="1:85" ht="16.5" customHeight="1">
      <c r="A103" s="242"/>
      <c r="B103" s="1185"/>
      <c r="C103" s="947"/>
      <c r="D103" s="947"/>
      <c r="E103" s="947"/>
      <c r="F103" s="947"/>
      <c r="G103" s="947"/>
      <c r="H103" s="948"/>
      <c r="I103" s="1173" t="s">
        <v>1595</v>
      </c>
      <c r="J103" s="947"/>
      <c r="K103" s="947"/>
      <c r="L103" s="947"/>
      <c r="M103" s="947"/>
      <c r="N103" s="948"/>
      <c r="O103" s="1173" t="s">
        <v>1597</v>
      </c>
      <c r="P103" s="947"/>
      <c r="Q103" s="947"/>
      <c r="R103" s="947"/>
      <c r="S103" s="947"/>
      <c r="T103" s="947"/>
      <c r="U103" s="948"/>
      <c r="V103" s="1172" t="s">
        <v>1598</v>
      </c>
      <c r="W103" s="947"/>
      <c r="X103" s="947"/>
      <c r="Y103" s="947"/>
      <c r="Z103" s="947"/>
      <c r="AA103" s="948"/>
      <c r="AB103" s="1173" t="s">
        <v>1599</v>
      </c>
      <c r="AC103" s="947"/>
      <c r="AD103" s="947"/>
      <c r="AE103" s="947"/>
      <c r="AF103" s="947"/>
      <c r="AG103" s="947"/>
      <c r="AH103" s="1159"/>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58"/>
      <c r="BF103" s="239"/>
      <c r="BG103" s="239"/>
      <c r="BH103" s="239"/>
      <c r="BI103" s="239"/>
      <c r="BJ103" s="239"/>
      <c r="BK103" s="239"/>
      <c r="BL103" s="239"/>
      <c r="BM103" s="239"/>
      <c r="BN103" s="239"/>
      <c r="BO103" s="239"/>
      <c r="BP103" s="239"/>
      <c r="BQ103" s="239"/>
      <c r="BR103" s="239"/>
      <c r="BS103" s="239"/>
      <c r="BT103" s="239"/>
      <c r="BU103" s="239"/>
      <c r="BV103" s="239"/>
      <c r="BW103" s="239"/>
      <c r="BX103" s="239"/>
      <c r="BY103" s="239"/>
      <c r="BZ103" s="239"/>
      <c r="CA103" s="239"/>
      <c r="CB103" s="239"/>
      <c r="CC103" s="239"/>
      <c r="CD103" s="239"/>
      <c r="CE103" s="239"/>
      <c r="CF103" s="239"/>
      <c r="CG103" s="239"/>
    </row>
    <row r="104" spans="1:85" ht="16.5" customHeight="1">
      <c r="A104" s="242"/>
      <c r="B104" s="1182"/>
      <c r="C104" s="961"/>
      <c r="D104" s="961"/>
      <c r="E104" s="961"/>
      <c r="F104" s="961"/>
      <c r="G104" s="961"/>
      <c r="H104" s="962"/>
      <c r="I104" s="960"/>
      <c r="J104" s="961"/>
      <c r="K104" s="961"/>
      <c r="L104" s="961"/>
      <c r="M104" s="961"/>
      <c r="N104" s="962"/>
      <c r="O104" s="960"/>
      <c r="P104" s="961"/>
      <c r="Q104" s="961"/>
      <c r="R104" s="961"/>
      <c r="S104" s="961"/>
      <c r="T104" s="961"/>
      <c r="U104" s="962"/>
      <c r="V104" s="960"/>
      <c r="W104" s="961"/>
      <c r="X104" s="961"/>
      <c r="Y104" s="961"/>
      <c r="Z104" s="961"/>
      <c r="AA104" s="962"/>
      <c r="AB104" s="960"/>
      <c r="AC104" s="961"/>
      <c r="AD104" s="961"/>
      <c r="AE104" s="961"/>
      <c r="AF104" s="961"/>
      <c r="AG104" s="961"/>
      <c r="AH104" s="1174"/>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58"/>
      <c r="BF104" s="239"/>
      <c r="BG104" s="239"/>
      <c r="BH104" s="239"/>
      <c r="BI104" s="239"/>
      <c r="BJ104" s="239"/>
      <c r="BK104" s="239"/>
      <c r="BL104" s="239"/>
      <c r="BM104" s="239"/>
      <c r="BN104" s="239"/>
      <c r="BO104" s="239"/>
      <c r="BP104" s="239"/>
      <c r="BQ104" s="239"/>
      <c r="BR104" s="239"/>
      <c r="BS104" s="239"/>
      <c r="BT104" s="239"/>
      <c r="BU104" s="239"/>
      <c r="BV104" s="239"/>
      <c r="BW104" s="239"/>
      <c r="BX104" s="239"/>
      <c r="BY104" s="239"/>
      <c r="BZ104" s="239"/>
      <c r="CA104" s="239"/>
      <c r="CB104" s="239"/>
      <c r="CC104" s="239"/>
      <c r="CD104" s="239"/>
      <c r="CE104" s="239"/>
      <c r="CF104" s="239"/>
      <c r="CG104" s="239"/>
    </row>
    <row r="105" spans="1:85" ht="15.75" customHeight="1">
      <c r="A105" s="242"/>
      <c r="B105" s="1187" t="s">
        <v>1602</v>
      </c>
      <c r="C105" s="921"/>
      <c r="D105" s="921"/>
      <c r="E105" s="921"/>
      <c r="F105" s="921"/>
      <c r="G105" s="921"/>
      <c r="H105" s="943"/>
      <c r="I105" s="1186">
        <v>0</v>
      </c>
      <c r="J105" s="921"/>
      <c r="K105" s="921"/>
      <c r="L105" s="921"/>
      <c r="M105" s="921"/>
      <c r="N105" s="943"/>
      <c r="O105" s="1186">
        <v>0</v>
      </c>
      <c r="P105" s="921"/>
      <c r="Q105" s="921"/>
      <c r="R105" s="921"/>
      <c r="S105" s="921"/>
      <c r="T105" s="921"/>
      <c r="U105" s="943"/>
      <c r="V105" s="1186">
        <v>0</v>
      </c>
      <c r="W105" s="921"/>
      <c r="X105" s="921"/>
      <c r="Y105" s="921"/>
      <c r="Z105" s="921"/>
      <c r="AA105" s="943"/>
      <c r="AB105" s="1186">
        <v>0</v>
      </c>
      <c r="AC105" s="921"/>
      <c r="AD105" s="921"/>
      <c r="AE105" s="921"/>
      <c r="AF105" s="921"/>
      <c r="AG105" s="921"/>
      <c r="AH105" s="1149"/>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58"/>
      <c r="BF105" s="239"/>
      <c r="BG105" s="239"/>
      <c r="BH105" s="239"/>
      <c r="BI105" s="239"/>
      <c r="BJ105" s="239"/>
      <c r="BK105" s="239"/>
      <c r="BL105" s="239"/>
      <c r="BM105" s="239"/>
      <c r="BN105" s="239"/>
      <c r="BO105" s="239"/>
      <c r="BP105" s="239"/>
      <c r="BQ105" s="239"/>
      <c r="BR105" s="239"/>
      <c r="BS105" s="239"/>
      <c r="BT105" s="239"/>
      <c r="BU105" s="239"/>
      <c r="BV105" s="239"/>
      <c r="BW105" s="239"/>
      <c r="BX105" s="239"/>
      <c r="BY105" s="239"/>
      <c r="BZ105" s="239"/>
      <c r="CA105" s="239"/>
      <c r="CB105" s="239"/>
      <c r="CC105" s="239"/>
      <c r="CD105" s="239"/>
      <c r="CE105" s="239"/>
      <c r="CF105" s="239"/>
      <c r="CG105" s="239"/>
    </row>
    <row r="106" spans="1:85" ht="15.75" customHeight="1">
      <c r="A106" s="242"/>
      <c r="B106" s="1187" t="s">
        <v>1605</v>
      </c>
      <c r="C106" s="921"/>
      <c r="D106" s="921"/>
      <c r="E106" s="921"/>
      <c r="F106" s="921"/>
      <c r="G106" s="921"/>
      <c r="H106" s="943"/>
      <c r="I106" s="1186">
        <v>0</v>
      </c>
      <c r="J106" s="921"/>
      <c r="K106" s="921"/>
      <c r="L106" s="921"/>
      <c r="M106" s="921"/>
      <c r="N106" s="943"/>
      <c r="O106" s="1186">
        <v>0</v>
      </c>
      <c r="P106" s="921"/>
      <c r="Q106" s="921"/>
      <c r="R106" s="921"/>
      <c r="S106" s="921"/>
      <c r="T106" s="921"/>
      <c r="U106" s="943"/>
      <c r="V106" s="1186">
        <v>0</v>
      </c>
      <c r="W106" s="921"/>
      <c r="X106" s="921"/>
      <c r="Y106" s="921"/>
      <c r="Z106" s="921"/>
      <c r="AA106" s="943"/>
      <c r="AB106" s="1186">
        <v>0</v>
      </c>
      <c r="AC106" s="921"/>
      <c r="AD106" s="921"/>
      <c r="AE106" s="921"/>
      <c r="AF106" s="921"/>
      <c r="AG106" s="921"/>
      <c r="AH106" s="1149"/>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58"/>
      <c r="BF106" s="239"/>
      <c r="BG106" s="239"/>
      <c r="BH106" s="239"/>
      <c r="BI106" s="239"/>
      <c r="BJ106" s="239"/>
      <c r="BK106" s="239"/>
      <c r="BL106" s="239"/>
      <c r="BM106" s="239"/>
      <c r="BN106" s="239"/>
      <c r="BO106" s="239"/>
      <c r="BP106" s="239"/>
      <c r="BQ106" s="239"/>
      <c r="BR106" s="239"/>
      <c r="BS106" s="239"/>
      <c r="BT106" s="239"/>
      <c r="BU106" s="239"/>
      <c r="BV106" s="239"/>
      <c r="BW106" s="239"/>
      <c r="BX106" s="239"/>
      <c r="BY106" s="239"/>
      <c r="BZ106" s="239"/>
      <c r="CA106" s="239"/>
      <c r="CB106" s="239"/>
      <c r="CC106" s="239"/>
      <c r="CD106" s="239"/>
      <c r="CE106" s="239"/>
      <c r="CF106" s="239"/>
      <c r="CG106" s="239"/>
    </row>
    <row r="107" spans="1:85" ht="15.75" customHeight="1">
      <c r="A107" s="242"/>
      <c r="B107" s="1198" t="s">
        <v>1608</v>
      </c>
      <c r="C107" s="1154"/>
      <c r="D107" s="1154"/>
      <c r="E107" s="1154"/>
      <c r="F107" s="1154"/>
      <c r="G107" s="1154"/>
      <c r="H107" s="1190"/>
      <c r="I107" s="1197">
        <v>0</v>
      </c>
      <c r="J107" s="1154"/>
      <c r="K107" s="1154"/>
      <c r="L107" s="1154"/>
      <c r="M107" s="1154"/>
      <c r="N107" s="1190"/>
      <c r="O107" s="1197">
        <v>0</v>
      </c>
      <c r="P107" s="1154"/>
      <c r="Q107" s="1154"/>
      <c r="R107" s="1154"/>
      <c r="S107" s="1154"/>
      <c r="T107" s="1154"/>
      <c r="U107" s="1190"/>
      <c r="V107" s="1197">
        <v>0</v>
      </c>
      <c r="W107" s="1154"/>
      <c r="X107" s="1154"/>
      <c r="Y107" s="1154"/>
      <c r="Z107" s="1154"/>
      <c r="AA107" s="1190"/>
      <c r="AB107" s="1197">
        <v>0</v>
      </c>
      <c r="AC107" s="1154"/>
      <c r="AD107" s="1154"/>
      <c r="AE107" s="1154"/>
      <c r="AF107" s="1154"/>
      <c r="AG107" s="1154"/>
      <c r="AH107" s="1155"/>
      <c r="AI107" s="242"/>
      <c r="AJ107" s="242"/>
      <c r="AK107" s="242"/>
      <c r="AL107" s="242"/>
      <c r="AM107" s="242"/>
      <c r="AN107" s="242"/>
      <c r="AO107" s="242"/>
      <c r="AP107" s="242"/>
      <c r="AQ107" s="242"/>
      <c r="AR107" s="242"/>
      <c r="AS107" s="242"/>
      <c r="AT107" s="242"/>
      <c r="AU107" s="242"/>
      <c r="AV107" s="242"/>
      <c r="AW107" s="242"/>
      <c r="AX107" s="242"/>
      <c r="AY107" s="242"/>
      <c r="AZ107" s="242"/>
      <c r="BA107" s="242"/>
      <c r="BB107" s="242"/>
      <c r="BC107" s="242"/>
      <c r="BD107" s="242"/>
      <c r="BE107" s="258"/>
      <c r="BF107" s="239"/>
      <c r="BG107" s="239"/>
      <c r="BH107" s="239"/>
      <c r="BI107" s="239"/>
      <c r="BJ107" s="239"/>
      <c r="BK107" s="239"/>
      <c r="BL107" s="239"/>
      <c r="BM107" s="239"/>
      <c r="BN107" s="239"/>
      <c r="BO107" s="239"/>
      <c r="BP107" s="239"/>
      <c r="BQ107" s="239"/>
      <c r="BR107" s="239"/>
      <c r="BS107" s="239"/>
      <c r="BT107" s="239"/>
      <c r="BU107" s="239"/>
      <c r="BV107" s="239"/>
      <c r="BW107" s="239"/>
      <c r="BX107" s="239"/>
      <c r="BY107" s="239"/>
      <c r="BZ107" s="239"/>
      <c r="CA107" s="239"/>
      <c r="CB107" s="239"/>
      <c r="CC107" s="239"/>
      <c r="CD107" s="239"/>
      <c r="CE107" s="239"/>
      <c r="CF107" s="239"/>
      <c r="CG107" s="239"/>
    </row>
    <row r="108" spans="1:85" ht="15.75" customHeight="1">
      <c r="A108" s="242"/>
      <c r="B108" s="242"/>
      <c r="C108" s="242"/>
      <c r="D108" s="242"/>
      <c r="E108" s="242"/>
      <c r="F108" s="242"/>
      <c r="G108" s="242"/>
      <c r="H108" s="242"/>
      <c r="I108" s="242"/>
      <c r="J108" s="242"/>
      <c r="K108" s="242"/>
      <c r="L108" s="242"/>
      <c r="M108" s="242"/>
      <c r="N108" s="242"/>
      <c r="O108" s="242"/>
      <c r="P108" s="242"/>
      <c r="Q108" s="242"/>
      <c r="R108" s="242"/>
      <c r="S108" s="242"/>
      <c r="T108" s="242"/>
      <c r="U108" s="242" t="s">
        <v>9</v>
      </c>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Q108" s="242"/>
      <c r="AR108" s="242"/>
      <c r="AS108" s="242"/>
      <c r="AT108" s="242"/>
      <c r="AU108" s="242"/>
      <c r="AV108" s="242"/>
      <c r="AW108" s="242"/>
      <c r="AX108" s="242"/>
      <c r="AY108" s="242"/>
      <c r="AZ108" s="242"/>
      <c r="BA108" s="242"/>
      <c r="BB108" s="242"/>
      <c r="BC108" s="242"/>
      <c r="BD108" s="242"/>
      <c r="BE108" s="258"/>
      <c r="BF108" s="239"/>
      <c r="BG108" s="239"/>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39"/>
      <c r="CF108" s="239"/>
      <c r="CG108" s="239"/>
    </row>
    <row r="109" spans="1:85" ht="15.75" customHeight="1">
      <c r="A109" s="242"/>
      <c r="B109" s="278" t="s">
        <v>1650</v>
      </c>
      <c r="C109" s="288"/>
      <c r="D109" s="288"/>
      <c r="E109" s="288"/>
      <c r="F109" s="288"/>
      <c r="G109" s="288"/>
      <c r="H109" s="288"/>
      <c r="I109" s="288"/>
      <c r="J109" s="288"/>
      <c r="K109" s="288"/>
      <c r="L109" s="288"/>
      <c r="M109" s="288"/>
      <c r="N109" s="288"/>
      <c r="O109" s="288"/>
      <c r="P109" s="288"/>
      <c r="Q109" s="288"/>
      <c r="R109" s="317"/>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58"/>
      <c r="BF109" s="239"/>
      <c r="BG109" s="239"/>
      <c r="BH109" s="239"/>
      <c r="BI109" s="239"/>
      <c r="BJ109" s="239"/>
      <c r="BK109" s="239"/>
      <c r="BL109" s="239"/>
      <c r="BM109" s="239"/>
      <c r="BN109" s="239"/>
      <c r="BO109" s="239"/>
      <c r="BP109" s="239"/>
      <c r="BQ109" s="239"/>
      <c r="BR109" s="239"/>
      <c r="BS109" s="239"/>
      <c r="BT109" s="239"/>
      <c r="BU109" s="239"/>
      <c r="BV109" s="239"/>
      <c r="BW109" s="239"/>
      <c r="BX109" s="239"/>
      <c r="BY109" s="239"/>
      <c r="BZ109" s="239"/>
      <c r="CA109" s="239"/>
      <c r="CB109" s="239"/>
      <c r="CC109" s="239"/>
      <c r="CD109" s="239"/>
      <c r="CE109" s="239"/>
      <c r="CF109" s="239"/>
      <c r="CG109" s="239"/>
    </row>
    <row r="110" spans="1:85" ht="15.75" customHeight="1">
      <c r="A110" s="242"/>
      <c r="B110" s="293" t="s">
        <v>1581</v>
      </c>
      <c r="C110" s="293"/>
      <c r="D110" s="302"/>
      <c r="E110" s="303"/>
      <c r="F110" s="1186"/>
      <c r="G110" s="921"/>
      <c r="H110" s="921"/>
      <c r="I110" s="921"/>
      <c r="J110" s="921"/>
      <c r="K110" s="921"/>
      <c r="L110" s="921"/>
      <c r="M110" s="921"/>
      <c r="N110" s="921"/>
      <c r="O110" s="921"/>
      <c r="P110" s="921"/>
      <c r="Q110" s="921"/>
      <c r="R110" s="1149"/>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Q110" s="242"/>
      <c r="AR110" s="242"/>
      <c r="AS110" s="242"/>
      <c r="AT110" s="242"/>
      <c r="AU110" s="242"/>
      <c r="AV110" s="242"/>
      <c r="AW110" s="242"/>
      <c r="AX110" s="242"/>
      <c r="AY110" s="242"/>
      <c r="AZ110" s="242"/>
      <c r="BA110" s="242"/>
      <c r="BB110" s="242"/>
      <c r="BC110" s="242"/>
      <c r="BD110" s="242"/>
      <c r="BE110" s="258"/>
      <c r="BF110" s="239"/>
      <c r="BG110" s="239"/>
      <c r="BH110" s="239"/>
      <c r="BI110" s="239"/>
      <c r="BJ110" s="239"/>
      <c r="BK110" s="239"/>
      <c r="BL110" s="239"/>
      <c r="BM110" s="239"/>
      <c r="BN110" s="239"/>
      <c r="BO110" s="239"/>
      <c r="BP110" s="239"/>
      <c r="BQ110" s="239"/>
      <c r="BR110" s="239"/>
      <c r="BS110" s="239"/>
      <c r="BT110" s="239"/>
      <c r="BU110" s="239"/>
      <c r="BV110" s="239"/>
      <c r="BW110" s="239"/>
      <c r="BX110" s="239"/>
      <c r="BY110" s="239"/>
      <c r="BZ110" s="239"/>
      <c r="CA110" s="239"/>
      <c r="CB110" s="239"/>
      <c r="CC110" s="239"/>
      <c r="CD110" s="239"/>
      <c r="CE110" s="239"/>
      <c r="CF110" s="239"/>
      <c r="CG110" s="239"/>
    </row>
    <row r="111" spans="1:85" ht="15.75" customHeight="1">
      <c r="A111" s="242"/>
      <c r="B111" s="242"/>
      <c r="C111" s="242"/>
      <c r="D111" s="242"/>
      <c r="E111" s="242"/>
      <c r="F111" s="242"/>
      <c r="G111" s="24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242"/>
      <c r="BD111" s="242"/>
      <c r="BE111" s="258"/>
      <c r="BF111" s="239"/>
      <c r="BG111" s="239"/>
      <c r="BH111" s="239"/>
      <c r="BI111" s="239"/>
      <c r="BJ111" s="239"/>
      <c r="BK111" s="239"/>
      <c r="BL111" s="239"/>
      <c r="BM111" s="239"/>
      <c r="BN111" s="239"/>
      <c r="BO111" s="239"/>
      <c r="BP111" s="239"/>
      <c r="BQ111" s="239"/>
      <c r="BR111" s="239"/>
      <c r="BS111" s="239"/>
      <c r="BT111" s="239"/>
      <c r="BU111" s="239"/>
      <c r="BV111" s="239"/>
      <c r="BW111" s="239"/>
      <c r="BX111" s="239"/>
      <c r="BY111" s="239"/>
      <c r="BZ111" s="239"/>
      <c r="CA111" s="239"/>
      <c r="CB111" s="239"/>
      <c r="CC111" s="239"/>
      <c r="CD111" s="239"/>
      <c r="CE111" s="239"/>
      <c r="CF111" s="239"/>
      <c r="CG111" s="239"/>
    </row>
    <row r="112" spans="1:85" ht="15.75" customHeight="1">
      <c r="A112" s="242"/>
      <c r="B112" s="1302" t="s">
        <v>1656</v>
      </c>
      <c r="C112" s="1180"/>
      <c r="D112" s="1180"/>
      <c r="E112" s="1180"/>
      <c r="F112" s="1180"/>
      <c r="G112" s="1180"/>
      <c r="H112" s="1180"/>
      <c r="I112" s="1180"/>
      <c r="J112" s="1180"/>
      <c r="K112" s="1180"/>
      <c r="L112" s="1180"/>
      <c r="M112" s="1180"/>
      <c r="N112" s="1180"/>
      <c r="O112" s="1180"/>
      <c r="P112" s="1180"/>
      <c r="Q112" s="1180"/>
      <c r="R112" s="1180"/>
      <c r="S112" s="1180"/>
      <c r="T112" s="1181"/>
      <c r="U112" s="1303" t="s">
        <v>901</v>
      </c>
      <c r="V112" s="1180"/>
      <c r="W112" s="1180"/>
      <c r="X112" s="1184"/>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58"/>
      <c r="BF112" s="239"/>
      <c r="BG112" s="239"/>
      <c r="BH112" s="239"/>
      <c r="BI112" s="239"/>
      <c r="BJ112" s="239"/>
      <c r="BK112" s="239"/>
      <c r="BL112" s="239"/>
      <c r="BM112" s="239"/>
      <c r="BN112" s="239"/>
      <c r="BO112" s="239"/>
      <c r="BP112" s="239"/>
      <c r="BQ112" s="239"/>
      <c r="BR112" s="239"/>
      <c r="BS112" s="239"/>
      <c r="BT112" s="239"/>
      <c r="BU112" s="239"/>
      <c r="BV112" s="239"/>
      <c r="BW112" s="239"/>
      <c r="BX112" s="239"/>
      <c r="BY112" s="239"/>
      <c r="BZ112" s="239"/>
      <c r="CA112" s="239"/>
      <c r="CB112" s="239"/>
      <c r="CC112" s="239"/>
      <c r="CD112" s="239"/>
      <c r="CE112" s="239"/>
      <c r="CF112" s="239"/>
      <c r="CG112" s="239"/>
    </row>
    <row r="113" spans="1:85" ht="15.75" customHeight="1">
      <c r="A113" s="242"/>
      <c r="B113" s="1160"/>
      <c r="C113" s="893"/>
      <c r="D113" s="893"/>
      <c r="E113" s="893"/>
      <c r="F113" s="893"/>
      <c r="G113" s="893"/>
      <c r="H113" s="893"/>
      <c r="I113" s="893"/>
      <c r="J113" s="893"/>
      <c r="K113" s="893"/>
      <c r="L113" s="893"/>
      <c r="M113" s="893"/>
      <c r="N113" s="893"/>
      <c r="O113" s="893"/>
      <c r="P113" s="893"/>
      <c r="Q113" s="893"/>
      <c r="R113" s="893"/>
      <c r="S113" s="893"/>
      <c r="T113" s="959"/>
      <c r="U113" s="958"/>
      <c r="V113" s="893"/>
      <c r="W113" s="893"/>
      <c r="X113" s="1161"/>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c r="BD113" s="242"/>
      <c r="BE113" s="258"/>
      <c r="BF113" s="239"/>
      <c r="BG113" s="239"/>
      <c r="BH113" s="239"/>
      <c r="BI113" s="239"/>
      <c r="BJ113" s="239"/>
      <c r="BK113" s="239"/>
      <c r="BL113" s="239"/>
      <c r="BM113" s="239"/>
      <c r="BN113" s="239"/>
      <c r="BO113" s="239"/>
      <c r="BP113" s="239"/>
      <c r="BQ113" s="239"/>
      <c r="BR113" s="239"/>
      <c r="BS113" s="239"/>
      <c r="BT113" s="239"/>
      <c r="BU113" s="239"/>
      <c r="BV113" s="239"/>
      <c r="BW113" s="239"/>
      <c r="BX113" s="239"/>
      <c r="BY113" s="239"/>
      <c r="BZ113" s="239"/>
      <c r="CA113" s="239"/>
      <c r="CB113" s="239"/>
      <c r="CC113" s="239"/>
      <c r="CD113" s="239"/>
      <c r="CE113" s="239"/>
      <c r="CF113" s="239"/>
      <c r="CG113" s="239"/>
    </row>
    <row r="114" spans="1:85" ht="15.75" customHeight="1">
      <c r="A114" s="242"/>
      <c r="B114" s="1160"/>
      <c r="C114" s="893"/>
      <c r="D114" s="893"/>
      <c r="E114" s="893"/>
      <c r="F114" s="893"/>
      <c r="G114" s="893"/>
      <c r="H114" s="893"/>
      <c r="I114" s="893"/>
      <c r="J114" s="893"/>
      <c r="K114" s="893"/>
      <c r="L114" s="893"/>
      <c r="M114" s="893"/>
      <c r="N114" s="893"/>
      <c r="O114" s="893"/>
      <c r="P114" s="893"/>
      <c r="Q114" s="893"/>
      <c r="R114" s="893"/>
      <c r="S114" s="893"/>
      <c r="T114" s="959"/>
      <c r="U114" s="958"/>
      <c r="V114" s="893"/>
      <c r="W114" s="893"/>
      <c r="X114" s="1161"/>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c r="BD114" s="242"/>
      <c r="BE114" s="258"/>
      <c r="BF114" s="239"/>
      <c r="BG114" s="239"/>
      <c r="BH114" s="239"/>
      <c r="BI114" s="239"/>
      <c r="BJ114" s="239"/>
      <c r="BK114" s="239"/>
      <c r="BL114" s="239"/>
      <c r="BM114" s="239"/>
      <c r="BN114" s="239"/>
      <c r="BO114" s="239"/>
      <c r="BP114" s="239"/>
      <c r="BQ114" s="239"/>
      <c r="BR114" s="239"/>
      <c r="BS114" s="239"/>
      <c r="BT114" s="239"/>
      <c r="BU114" s="239"/>
      <c r="BV114" s="239"/>
      <c r="BW114" s="239"/>
      <c r="BX114" s="239"/>
      <c r="BY114" s="239"/>
      <c r="BZ114" s="239"/>
      <c r="CA114" s="239"/>
      <c r="CB114" s="239"/>
      <c r="CC114" s="239"/>
      <c r="CD114" s="239"/>
      <c r="CE114" s="239"/>
      <c r="CF114" s="239"/>
      <c r="CG114" s="239"/>
    </row>
    <row r="115" spans="1:85" ht="15.75" customHeight="1">
      <c r="A115" s="242"/>
      <c r="B115" s="1182"/>
      <c r="C115" s="961"/>
      <c r="D115" s="961"/>
      <c r="E115" s="961"/>
      <c r="F115" s="961"/>
      <c r="G115" s="961"/>
      <c r="H115" s="961"/>
      <c r="I115" s="961"/>
      <c r="J115" s="961"/>
      <c r="K115" s="961"/>
      <c r="L115" s="961"/>
      <c r="M115" s="961"/>
      <c r="N115" s="961"/>
      <c r="O115" s="961"/>
      <c r="P115" s="961"/>
      <c r="Q115" s="961"/>
      <c r="R115" s="961"/>
      <c r="S115" s="961"/>
      <c r="T115" s="962"/>
      <c r="U115" s="960"/>
      <c r="V115" s="961"/>
      <c r="W115" s="961"/>
      <c r="X115" s="1174"/>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58"/>
      <c r="BF115" s="239"/>
      <c r="BG115" s="239"/>
      <c r="BH115" s="239"/>
      <c r="BI115" s="239"/>
      <c r="BJ115" s="239"/>
      <c r="BK115" s="239"/>
      <c r="BL115" s="239"/>
      <c r="BM115" s="239"/>
      <c r="BN115" s="239"/>
      <c r="BO115" s="239"/>
      <c r="BP115" s="239"/>
      <c r="BQ115" s="239"/>
      <c r="BR115" s="239"/>
      <c r="BS115" s="239"/>
      <c r="BT115" s="239"/>
      <c r="BU115" s="239"/>
      <c r="BV115" s="239"/>
      <c r="BW115" s="239"/>
      <c r="BX115" s="239"/>
      <c r="BY115" s="239"/>
      <c r="BZ115" s="239"/>
      <c r="CA115" s="239"/>
      <c r="CB115" s="239"/>
      <c r="CC115" s="239"/>
      <c r="CD115" s="239"/>
      <c r="CE115" s="239"/>
      <c r="CF115" s="239"/>
      <c r="CG115" s="239"/>
    </row>
    <row r="116" spans="1:85" ht="15.75" customHeight="1">
      <c r="A116" s="242"/>
      <c r="B116" s="1304" t="s">
        <v>1656</v>
      </c>
      <c r="C116" s="947"/>
      <c r="D116" s="947"/>
      <c r="E116" s="947"/>
      <c r="F116" s="947"/>
      <c r="G116" s="947"/>
      <c r="H116" s="947"/>
      <c r="I116" s="947"/>
      <c r="J116" s="947"/>
      <c r="K116" s="947"/>
      <c r="L116" s="947"/>
      <c r="M116" s="947"/>
      <c r="N116" s="947"/>
      <c r="O116" s="947"/>
      <c r="P116" s="947"/>
      <c r="Q116" s="947"/>
      <c r="R116" s="947"/>
      <c r="S116" s="947"/>
      <c r="T116" s="948"/>
      <c r="U116" s="1306" t="s">
        <v>901</v>
      </c>
      <c r="V116" s="947"/>
      <c r="W116" s="947"/>
      <c r="X116" s="1159"/>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58"/>
      <c r="BF116" s="239"/>
      <c r="BG116" s="239"/>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39"/>
      <c r="CF116" s="239"/>
      <c r="CG116" s="239"/>
    </row>
    <row r="117" spans="1:85" ht="15.75" customHeight="1">
      <c r="A117" s="242"/>
      <c r="B117" s="1162"/>
      <c r="C117" s="1163"/>
      <c r="D117" s="1163"/>
      <c r="E117" s="1163"/>
      <c r="F117" s="1163"/>
      <c r="G117" s="1163"/>
      <c r="H117" s="1163"/>
      <c r="I117" s="1163"/>
      <c r="J117" s="1163"/>
      <c r="K117" s="1163"/>
      <c r="L117" s="1163"/>
      <c r="M117" s="1163"/>
      <c r="N117" s="1163"/>
      <c r="O117" s="1163"/>
      <c r="P117" s="1163"/>
      <c r="Q117" s="1163"/>
      <c r="R117" s="1163"/>
      <c r="S117" s="1163"/>
      <c r="T117" s="1305"/>
      <c r="U117" s="1307"/>
      <c r="V117" s="1163"/>
      <c r="W117" s="1163"/>
      <c r="X117" s="1164"/>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c r="BD117" s="242"/>
      <c r="BE117" s="258"/>
      <c r="BF117" s="239"/>
      <c r="BG117" s="239"/>
      <c r="BH117" s="239"/>
      <c r="BI117" s="239"/>
      <c r="BJ117" s="239"/>
      <c r="BK117" s="239"/>
      <c r="BL117" s="239"/>
      <c r="BM117" s="239"/>
      <c r="BN117" s="239"/>
      <c r="BO117" s="239"/>
      <c r="BP117" s="239"/>
      <c r="BQ117" s="239"/>
      <c r="BR117" s="239"/>
      <c r="BS117" s="239"/>
      <c r="BT117" s="239"/>
      <c r="BU117" s="239"/>
      <c r="BV117" s="239"/>
      <c r="BW117" s="239"/>
      <c r="BX117" s="239"/>
      <c r="BY117" s="239"/>
      <c r="BZ117" s="239"/>
      <c r="CA117" s="239"/>
      <c r="CB117" s="239"/>
      <c r="CC117" s="239"/>
      <c r="CD117" s="239"/>
      <c r="CE117" s="239"/>
      <c r="CF117" s="239"/>
      <c r="CG117" s="239"/>
    </row>
    <row r="118" spans="1:85" ht="15.75" customHeight="1">
      <c r="A118" s="242"/>
      <c r="B118" s="242"/>
      <c r="C118" s="242"/>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c r="BD118" s="242"/>
      <c r="BE118" s="258"/>
      <c r="BF118" s="239"/>
      <c r="BG118" s="239"/>
      <c r="BH118" s="239"/>
      <c r="BI118" s="239"/>
      <c r="BJ118" s="239"/>
      <c r="BK118" s="239"/>
      <c r="BL118" s="239"/>
      <c r="BM118" s="239"/>
      <c r="BN118" s="239"/>
      <c r="BO118" s="239"/>
      <c r="BP118" s="239"/>
      <c r="BQ118" s="239"/>
      <c r="BR118" s="239"/>
      <c r="BS118" s="239"/>
      <c r="BT118" s="239"/>
      <c r="BU118" s="239"/>
      <c r="BV118" s="239"/>
      <c r="BW118" s="239"/>
      <c r="BX118" s="239"/>
      <c r="BY118" s="239"/>
      <c r="BZ118" s="239"/>
      <c r="CA118" s="239"/>
      <c r="CB118" s="239"/>
      <c r="CC118" s="239"/>
      <c r="CD118" s="239"/>
      <c r="CE118" s="239"/>
      <c r="CF118" s="239"/>
      <c r="CG118" s="239"/>
    </row>
    <row r="119" spans="1:85" ht="15.75" customHeight="1">
      <c r="A119" s="242"/>
      <c r="B119" s="289" t="s">
        <v>1664</v>
      </c>
      <c r="C119" s="280"/>
      <c r="D119" s="280"/>
      <c r="E119" s="280"/>
      <c r="F119" s="280"/>
      <c r="G119" s="280"/>
      <c r="H119" s="280"/>
      <c r="I119" s="280"/>
      <c r="J119" s="280"/>
      <c r="K119" s="280"/>
      <c r="L119" s="280"/>
      <c r="M119" s="280"/>
      <c r="N119" s="280"/>
      <c r="O119" s="280"/>
      <c r="P119" s="280"/>
      <c r="Q119" s="280"/>
      <c r="R119" s="281"/>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58"/>
      <c r="BF119" s="239"/>
      <c r="BG119" s="239"/>
      <c r="BH119" s="239"/>
      <c r="BI119" s="239"/>
      <c r="BJ119" s="239"/>
      <c r="BK119" s="239"/>
      <c r="BL119" s="239"/>
      <c r="BM119" s="239"/>
      <c r="BN119" s="239"/>
      <c r="BO119" s="239"/>
      <c r="BP119" s="239"/>
      <c r="BQ119" s="239"/>
      <c r="BR119" s="239"/>
      <c r="BS119" s="239"/>
      <c r="BT119" s="239"/>
      <c r="BU119" s="239"/>
      <c r="BV119" s="239"/>
      <c r="BW119" s="239"/>
      <c r="BX119" s="239"/>
      <c r="BY119" s="239"/>
      <c r="BZ119" s="239"/>
      <c r="CA119" s="239"/>
      <c r="CB119" s="239"/>
      <c r="CC119" s="239"/>
      <c r="CD119" s="239"/>
      <c r="CE119" s="239"/>
      <c r="CF119" s="239"/>
      <c r="CG119" s="239"/>
    </row>
    <row r="120" spans="1:85" ht="15.75" customHeight="1">
      <c r="A120" s="242"/>
      <c r="B120" s="242"/>
      <c r="C120" s="242"/>
      <c r="D120" s="242"/>
      <c r="E120" s="242"/>
      <c r="F120" s="242"/>
      <c r="G120" s="242"/>
      <c r="H120" s="242"/>
      <c r="I120" s="242"/>
      <c r="J120" s="242"/>
      <c r="K120" s="242"/>
      <c r="L120" s="242"/>
      <c r="M120" s="242"/>
      <c r="N120" s="242"/>
      <c r="O120" s="242"/>
      <c r="P120" s="305"/>
      <c r="Q120" s="242"/>
      <c r="R120" s="242"/>
      <c r="S120" s="242"/>
      <c r="T120" s="242"/>
      <c r="U120" s="242"/>
      <c r="V120" s="242"/>
      <c r="W120" s="242"/>
      <c r="X120" s="1179" t="s">
        <v>1667</v>
      </c>
      <c r="Y120" s="1180"/>
      <c r="Z120" s="1180"/>
      <c r="AA120" s="1180"/>
      <c r="AB120" s="1180"/>
      <c r="AC120" s="1180"/>
      <c r="AD120" s="1180"/>
      <c r="AE120" s="1180"/>
      <c r="AF120" s="1180"/>
      <c r="AG120" s="1180"/>
      <c r="AH120" s="1180"/>
      <c r="AI120" s="1180"/>
      <c r="AJ120" s="1180"/>
      <c r="AK120" s="1180"/>
      <c r="AL120" s="1180"/>
      <c r="AM120" s="1180"/>
      <c r="AN120" s="1180"/>
      <c r="AO120" s="1180"/>
      <c r="AP120" s="1180"/>
      <c r="AQ120" s="1180"/>
      <c r="AR120" s="1180"/>
      <c r="AS120" s="1180"/>
      <c r="AT120" s="1180"/>
      <c r="AU120" s="1180"/>
      <c r="AV120" s="1180"/>
      <c r="AW120" s="1180"/>
      <c r="AX120" s="1180"/>
      <c r="AY120" s="1180"/>
      <c r="AZ120" s="1180"/>
      <c r="BA120" s="1180"/>
      <c r="BB120" s="1180"/>
      <c r="BC120" s="1180"/>
      <c r="BD120" s="1184"/>
      <c r="BE120" s="258"/>
      <c r="BF120" s="239"/>
      <c r="BG120" s="239"/>
      <c r="BH120" s="239"/>
      <c r="BI120" s="239"/>
      <c r="BJ120" s="239"/>
      <c r="BK120" s="239"/>
      <c r="BL120" s="239"/>
      <c r="BM120" s="239"/>
      <c r="BN120" s="239"/>
      <c r="BO120" s="239"/>
      <c r="BP120" s="239"/>
      <c r="BQ120" s="239"/>
      <c r="BR120" s="239"/>
      <c r="BS120" s="239"/>
      <c r="BT120" s="239"/>
      <c r="BU120" s="239"/>
      <c r="BV120" s="239"/>
      <c r="BW120" s="239"/>
      <c r="BX120" s="239"/>
      <c r="BY120" s="239"/>
      <c r="BZ120" s="239"/>
      <c r="CA120" s="239"/>
      <c r="CB120" s="239"/>
      <c r="CC120" s="239"/>
      <c r="CD120" s="239"/>
      <c r="CE120" s="239"/>
      <c r="CF120" s="239"/>
      <c r="CG120" s="239"/>
    </row>
    <row r="121" spans="1:85" ht="15.75" customHeight="1">
      <c r="A121" s="242"/>
      <c r="B121" s="1199" t="s">
        <v>1669</v>
      </c>
      <c r="C121" s="1200"/>
      <c r="D121" s="1200"/>
      <c r="E121" s="1200"/>
      <c r="F121" s="1200"/>
      <c r="G121" s="1200"/>
      <c r="H121" s="1200"/>
      <c r="I121" s="1200"/>
      <c r="J121" s="1200"/>
      <c r="K121" s="1200"/>
      <c r="L121" s="1200"/>
      <c r="M121" s="1200"/>
      <c r="N121" s="1200"/>
      <c r="O121" s="1200"/>
      <c r="P121" s="1200"/>
      <c r="Q121" s="1200"/>
      <c r="R121" s="1200"/>
      <c r="S121" s="1200"/>
      <c r="T121" s="1200"/>
      <c r="U121" s="1201"/>
      <c r="V121" s="242"/>
      <c r="W121" s="242"/>
      <c r="X121" s="1182"/>
      <c r="Y121" s="961"/>
      <c r="Z121" s="961"/>
      <c r="AA121" s="961"/>
      <c r="AB121" s="961"/>
      <c r="AC121" s="961"/>
      <c r="AD121" s="961"/>
      <c r="AE121" s="961"/>
      <c r="AF121" s="961"/>
      <c r="AG121" s="961"/>
      <c r="AH121" s="961"/>
      <c r="AI121" s="961"/>
      <c r="AJ121" s="961"/>
      <c r="AK121" s="961"/>
      <c r="AL121" s="961"/>
      <c r="AM121" s="961"/>
      <c r="AN121" s="961"/>
      <c r="AO121" s="961"/>
      <c r="AP121" s="961"/>
      <c r="AQ121" s="961"/>
      <c r="AR121" s="961"/>
      <c r="AS121" s="961"/>
      <c r="AT121" s="961"/>
      <c r="AU121" s="961"/>
      <c r="AV121" s="961"/>
      <c r="AW121" s="961"/>
      <c r="AX121" s="961"/>
      <c r="AY121" s="961"/>
      <c r="AZ121" s="961"/>
      <c r="BA121" s="961"/>
      <c r="BB121" s="961"/>
      <c r="BC121" s="961"/>
      <c r="BD121" s="1174"/>
      <c r="BE121" s="258"/>
      <c r="BF121" s="239"/>
      <c r="BG121" s="239"/>
      <c r="BH121" s="239"/>
      <c r="BI121" s="239"/>
      <c r="BJ121" s="239"/>
      <c r="BK121" s="239"/>
      <c r="BL121" s="239"/>
      <c r="BM121" s="239"/>
      <c r="BN121" s="239"/>
      <c r="BO121" s="239"/>
      <c r="BP121" s="239"/>
      <c r="BQ121" s="239"/>
      <c r="BR121" s="239"/>
      <c r="BS121" s="239"/>
      <c r="BT121" s="239"/>
      <c r="BU121" s="239"/>
      <c r="BV121" s="239"/>
      <c r="BW121" s="239"/>
      <c r="BX121" s="239"/>
      <c r="BY121" s="239"/>
      <c r="BZ121" s="239"/>
      <c r="CA121" s="239"/>
      <c r="CB121" s="239"/>
      <c r="CC121" s="239"/>
      <c r="CD121" s="239"/>
      <c r="CE121" s="239"/>
      <c r="CF121" s="239"/>
      <c r="CG121" s="239"/>
    </row>
    <row r="122" spans="1:85" ht="15.75" customHeight="1">
      <c r="A122" s="242"/>
      <c r="B122" s="1194"/>
      <c r="C122" s="921"/>
      <c r="D122" s="921"/>
      <c r="E122" s="921"/>
      <c r="F122" s="921"/>
      <c r="G122" s="921"/>
      <c r="H122" s="943"/>
      <c r="I122" s="1213" t="s">
        <v>1673</v>
      </c>
      <c r="J122" s="921"/>
      <c r="K122" s="921"/>
      <c r="L122" s="921"/>
      <c r="M122" s="921"/>
      <c r="N122" s="943"/>
      <c r="O122" s="1310" t="s">
        <v>1674</v>
      </c>
      <c r="P122" s="921"/>
      <c r="Q122" s="921"/>
      <c r="R122" s="921"/>
      <c r="S122" s="921"/>
      <c r="T122" s="921"/>
      <c r="U122" s="1149"/>
      <c r="V122" s="242"/>
      <c r="W122" s="242"/>
      <c r="X122" s="1158" t="s">
        <v>1572</v>
      </c>
      <c r="Y122" s="947"/>
      <c r="Z122" s="947"/>
      <c r="AA122" s="947"/>
      <c r="AB122" s="947"/>
      <c r="AC122" s="947"/>
      <c r="AD122" s="947"/>
      <c r="AE122" s="947"/>
      <c r="AF122" s="947"/>
      <c r="AG122" s="947"/>
      <c r="AH122" s="947"/>
      <c r="AI122" s="947"/>
      <c r="AJ122" s="947"/>
      <c r="AK122" s="947"/>
      <c r="AL122" s="947"/>
      <c r="AM122" s="947"/>
      <c r="AN122" s="947"/>
      <c r="AO122" s="947"/>
      <c r="AP122" s="947"/>
      <c r="AQ122" s="947"/>
      <c r="AR122" s="947"/>
      <c r="AS122" s="947"/>
      <c r="AT122" s="947"/>
      <c r="AU122" s="947"/>
      <c r="AV122" s="947"/>
      <c r="AW122" s="947"/>
      <c r="AX122" s="947"/>
      <c r="AY122" s="947"/>
      <c r="AZ122" s="947"/>
      <c r="BA122" s="947"/>
      <c r="BB122" s="947"/>
      <c r="BC122" s="947"/>
      <c r="BD122" s="1159"/>
      <c r="BE122" s="258"/>
      <c r="BF122" s="239"/>
      <c r="BG122" s="239"/>
      <c r="BH122" s="239"/>
      <c r="BI122" s="239"/>
      <c r="BJ122" s="239"/>
      <c r="BK122" s="239"/>
      <c r="BL122" s="239"/>
      <c r="BM122" s="239"/>
      <c r="BN122" s="239"/>
      <c r="BO122" s="239"/>
      <c r="BP122" s="239"/>
      <c r="BQ122" s="239"/>
      <c r="BR122" s="239"/>
      <c r="BS122" s="239"/>
      <c r="BT122" s="239"/>
      <c r="BU122" s="239"/>
      <c r="BV122" s="239"/>
      <c r="BW122" s="239"/>
      <c r="BX122" s="239"/>
      <c r="BY122" s="239"/>
      <c r="BZ122" s="239"/>
      <c r="CA122" s="239"/>
      <c r="CB122" s="239"/>
      <c r="CC122" s="239"/>
      <c r="CD122" s="239"/>
      <c r="CE122" s="239"/>
      <c r="CF122" s="239"/>
      <c r="CG122" s="239"/>
    </row>
    <row r="123" spans="1:85" ht="15.75" customHeight="1">
      <c r="A123" s="242"/>
      <c r="B123" s="1292" t="s">
        <v>1677</v>
      </c>
      <c r="C123" s="921"/>
      <c r="D123" s="921"/>
      <c r="E123" s="921"/>
      <c r="F123" s="921"/>
      <c r="G123" s="921"/>
      <c r="H123" s="943"/>
      <c r="I123" s="1186">
        <v>0</v>
      </c>
      <c r="J123" s="921"/>
      <c r="K123" s="921"/>
      <c r="L123" s="921"/>
      <c r="M123" s="921"/>
      <c r="N123" s="943"/>
      <c r="O123" s="1186">
        <v>0</v>
      </c>
      <c r="P123" s="921"/>
      <c r="Q123" s="921"/>
      <c r="R123" s="921"/>
      <c r="S123" s="921"/>
      <c r="T123" s="921"/>
      <c r="U123" s="1149"/>
      <c r="V123" s="242"/>
      <c r="W123" s="242"/>
      <c r="X123" s="1160"/>
      <c r="Y123" s="893"/>
      <c r="Z123" s="893"/>
      <c r="AA123" s="893"/>
      <c r="AB123" s="893"/>
      <c r="AC123" s="893"/>
      <c r="AD123" s="893"/>
      <c r="AE123" s="893"/>
      <c r="AF123" s="893"/>
      <c r="AG123" s="893"/>
      <c r="AH123" s="893"/>
      <c r="AI123" s="893"/>
      <c r="AJ123" s="893"/>
      <c r="AK123" s="893"/>
      <c r="AL123" s="893"/>
      <c r="AM123" s="893"/>
      <c r="AN123" s="893"/>
      <c r="AO123" s="893"/>
      <c r="AP123" s="893"/>
      <c r="AQ123" s="893"/>
      <c r="AR123" s="893"/>
      <c r="AS123" s="893"/>
      <c r="AT123" s="893"/>
      <c r="AU123" s="893"/>
      <c r="AV123" s="893"/>
      <c r="AW123" s="893"/>
      <c r="AX123" s="893"/>
      <c r="AY123" s="893"/>
      <c r="AZ123" s="893"/>
      <c r="BA123" s="893"/>
      <c r="BB123" s="893"/>
      <c r="BC123" s="893"/>
      <c r="BD123" s="1161"/>
      <c r="BE123" s="258"/>
      <c r="BF123" s="239"/>
      <c r="BG123" s="239"/>
      <c r="BH123" s="239"/>
      <c r="BI123" s="239"/>
      <c r="BJ123" s="239"/>
      <c r="BK123" s="239"/>
      <c r="BL123" s="239"/>
      <c r="BM123" s="239"/>
      <c r="BN123" s="239"/>
      <c r="BO123" s="239"/>
      <c r="BP123" s="239"/>
      <c r="BQ123" s="239"/>
      <c r="BR123" s="239"/>
      <c r="BS123" s="239"/>
      <c r="BT123" s="239"/>
      <c r="BU123" s="239"/>
      <c r="BV123" s="239"/>
      <c r="BW123" s="239"/>
      <c r="BX123" s="239"/>
      <c r="BY123" s="239"/>
      <c r="BZ123" s="239"/>
      <c r="CA123" s="239"/>
      <c r="CB123" s="239"/>
      <c r="CC123" s="239"/>
      <c r="CD123" s="239"/>
      <c r="CE123" s="239"/>
      <c r="CF123" s="239"/>
      <c r="CG123" s="239"/>
    </row>
    <row r="124" spans="1:85" ht="15.75" customHeight="1">
      <c r="A124" s="242"/>
      <c r="B124" s="1293" t="s">
        <v>1679</v>
      </c>
      <c r="C124" s="1154"/>
      <c r="D124" s="1154"/>
      <c r="E124" s="1154"/>
      <c r="F124" s="1154"/>
      <c r="G124" s="1154"/>
      <c r="H124" s="1190"/>
      <c r="I124" s="1197">
        <v>0</v>
      </c>
      <c r="J124" s="1154"/>
      <c r="K124" s="1154"/>
      <c r="L124" s="1154"/>
      <c r="M124" s="1154"/>
      <c r="N124" s="1190"/>
      <c r="O124" s="1309"/>
      <c r="P124" s="1154"/>
      <c r="Q124" s="1154"/>
      <c r="R124" s="1154"/>
      <c r="S124" s="1154"/>
      <c r="T124" s="1154"/>
      <c r="U124" s="1155"/>
      <c r="V124" s="242"/>
      <c r="W124" s="242"/>
      <c r="X124" s="1160"/>
      <c r="Y124" s="893"/>
      <c r="Z124" s="893"/>
      <c r="AA124" s="893"/>
      <c r="AB124" s="893"/>
      <c r="AC124" s="893"/>
      <c r="AD124" s="893"/>
      <c r="AE124" s="893"/>
      <c r="AF124" s="893"/>
      <c r="AG124" s="893"/>
      <c r="AH124" s="893"/>
      <c r="AI124" s="893"/>
      <c r="AJ124" s="893"/>
      <c r="AK124" s="893"/>
      <c r="AL124" s="893"/>
      <c r="AM124" s="893"/>
      <c r="AN124" s="893"/>
      <c r="AO124" s="893"/>
      <c r="AP124" s="893"/>
      <c r="AQ124" s="893"/>
      <c r="AR124" s="893"/>
      <c r="AS124" s="893"/>
      <c r="AT124" s="893"/>
      <c r="AU124" s="893"/>
      <c r="AV124" s="893"/>
      <c r="AW124" s="893"/>
      <c r="AX124" s="893"/>
      <c r="AY124" s="893"/>
      <c r="AZ124" s="893"/>
      <c r="BA124" s="893"/>
      <c r="BB124" s="893"/>
      <c r="BC124" s="893"/>
      <c r="BD124" s="1161"/>
      <c r="BE124" s="258"/>
      <c r="BF124" s="239"/>
      <c r="BG124" s="239"/>
      <c r="BH124" s="239"/>
      <c r="BI124" s="239"/>
      <c r="BJ124" s="239"/>
      <c r="BK124" s="239"/>
      <c r="BL124" s="239"/>
      <c r="BM124" s="239"/>
      <c r="BN124" s="239"/>
      <c r="BO124" s="239"/>
      <c r="BP124" s="239"/>
      <c r="BQ124" s="239"/>
      <c r="BR124" s="239"/>
      <c r="BS124" s="239"/>
      <c r="BT124" s="239"/>
      <c r="BU124" s="239"/>
      <c r="BV124" s="239"/>
      <c r="BW124" s="239"/>
      <c r="BX124" s="239"/>
      <c r="BY124" s="239"/>
      <c r="BZ124" s="239"/>
      <c r="CA124" s="239"/>
      <c r="CB124" s="239"/>
      <c r="CC124" s="239"/>
      <c r="CD124" s="239"/>
      <c r="CE124" s="239"/>
      <c r="CF124" s="239"/>
      <c r="CG124" s="239"/>
    </row>
    <row r="125" spans="1:85" ht="15.75" customHeight="1">
      <c r="A125" s="242"/>
      <c r="B125" s="242"/>
      <c r="C125" s="242"/>
      <c r="D125" s="242"/>
      <c r="E125" s="242"/>
      <c r="F125" s="242"/>
      <c r="G125" s="242"/>
      <c r="H125" s="242"/>
      <c r="I125" s="242"/>
      <c r="J125" s="242"/>
      <c r="K125" s="242"/>
      <c r="L125" s="242"/>
      <c r="M125" s="242"/>
      <c r="N125" s="242"/>
      <c r="O125" s="242"/>
      <c r="P125" s="242"/>
      <c r="Q125" s="242"/>
      <c r="R125" s="242"/>
      <c r="S125" s="242"/>
      <c r="T125" s="242"/>
      <c r="U125" s="242"/>
      <c r="V125" s="242"/>
      <c r="W125" s="242"/>
      <c r="X125" s="1160"/>
      <c r="Y125" s="893"/>
      <c r="Z125" s="893"/>
      <c r="AA125" s="893"/>
      <c r="AB125" s="893"/>
      <c r="AC125" s="893"/>
      <c r="AD125" s="893"/>
      <c r="AE125" s="893"/>
      <c r="AF125" s="893"/>
      <c r="AG125" s="893"/>
      <c r="AH125" s="893"/>
      <c r="AI125" s="893"/>
      <c r="AJ125" s="893"/>
      <c r="AK125" s="893"/>
      <c r="AL125" s="893"/>
      <c r="AM125" s="893"/>
      <c r="AN125" s="893"/>
      <c r="AO125" s="893"/>
      <c r="AP125" s="893"/>
      <c r="AQ125" s="893"/>
      <c r="AR125" s="893"/>
      <c r="AS125" s="893"/>
      <c r="AT125" s="893"/>
      <c r="AU125" s="893"/>
      <c r="AV125" s="893"/>
      <c r="AW125" s="893"/>
      <c r="AX125" s="893"/>
      <c r="AY125" s="893"/>
      <c r="AZ125" s="893"/>
      <c r="BA125" s="893"/>
      <c r="BB125" s="893"/>
      <c r="BC125" s="893"/>
      <c r="BD125" s="1161"/>
      <c r="BE125" s="258"/>
      <c r="BF125" s="239"/>
      <c r="BG125" s="239"/>
      <c r="BH125" s="239"/>
      <c r="BI125" s="239"/>
      <c r="BJ125" s="239"/>
      <c r="BK125" s="239"/>
      <c r="BL125" s="239"/>
      <c r="BM125" s="239"/>
      <c r="BN125" s="239"/>
      <c r="BO125" s="239"/>
      <c r="BP125" s="239"/>
      <c r="BQ125" s="239"/>
      <c r="BR125" s="239"/>
      <c r="BS125" s="239"/>
      <c r="BT125" s="239"/>
      <c r="BU125" s="239"/>
      <c r="BV125" s="239"/>
      <c r="BW125" s="239"/>
      <c r="BX125" s="239"/>
      <c r="BY125" s="239"/>
      <c r="BZ125" s="239"/>
      <c r="CA125" s="239"/>
      <c r="CB125" s="239"/>
      <c r="CC125" s="239"/>
      <c r="CD125" s="239"/>
      <c r="CE125" s="239"/>
      <c r="CF125" s="239"/>
      <c r="CG125" s="239"/>
    </row>
    <row r="126" spans="1:85" ht="15.75" customHeight="1">
      <c r="A126" s="242"/>
      <c r="B126" s="289" t="s">
        <v>1682</v>
      </c>
      <c r="C126" s="290"/>
      <c r="D126" s="290"/>
      <c r="E126" s="290"/>
      <c r="F126" s="290"/>
      <c r="G126" s="290"/>
      <c r="H126" s="290"/>
      <c r="I126" s="290"/>
      <c r="J126" s="290"/>
      <c r="K126" s="290"/>
      <c r="L126" s="290"/>
      <c r="M126" s="290"/>
      <c r="N126" s="290"/>
      <c r="O126" s="290"/>
      <c r="P126" s="291"/>
      <c r="Q126" s="259" t="s">
        <v>9</v>
      </c>
      <c r="R126" s="259" t="s">
        <v>9</v>
      </c>
      <c r="S126" s="242"/>
      <c r="T126" s="242"/>
      <c r="U126" s="242"/>
      <c r="V126" s="242" t="s">
        <v>9</v>
      </c>
      <c r="W126" s="242"/>
      <c r="X126" s="1160"/>
      <c r="Y126" s="893"/>
      <c r="Z126" s="893"/>
      <c r="AA126" s="893"/>
      <c r="AB126" s="893"/>
      <c r="AC126" s="893"/>
      <c r="AD126" s="893"/>
      <c r="AE126" s="893"/>
      <c r="AF126" s="893"/>
      <c r="AG126" s="893"/>
      <c r="AH126" s="893"/>
      <c r="AI126" s="893"/>
      <c r="AJ126" s="893"/>
      <c r="AK126" s="893"/>
      <c r="AL126" s="893"/>
      <c r="AM126" s="893"/>
      <c r="AN126" s="893"/>
      <c r="AO126" s="893"/>
      <c r="AP126" s="893"/>
      <c r="AQ126" s="893"/>
      <c r="AR126" s="893"/>
      <c r="AS126" s="893"/>
      <c r="AT126" s="893"/>
      <c r="AU126" s="893"/>
      <c r="AV126" s="893"/>
      <c r="AW126" s="893"/>
      <c r="AX126" s="893"/>
      <c r="AY126" s="893"/>
      <c r="AZ126" s="893"/>
      <c r="BA126" s="893"/>
      <c r="BB126" s="893"/>
      <c r="BC126" s="893"/>
      <c r="BD126" s="1161"/>
      <c r="BE126" s="258"/>
      <c r="BF126" s="239"/>
      <c r="BG126" s="239"/>
      <c r="BH126" s="239"/>
      <c r="BI126" s="239"/>
      <c r="BJ126" s="239"/>
      <c r="BK126" s="239"/>
      <c r="BL126" s="239"/>
      <c r="BM126" s="239"/>
      <c r="BN126" s="239"/>
      <c r="BO126" s="239"/>
      <c r="BP126" s="239"/>
      <c r="BQ126" s="239"/>
      <c r="BR126" s="239"/>
      <c r="BS126" s="239"/>
      <c r="BT126" s="239"/>
      <c r="BU126" s="239"/>
      <c r="BV126" s="239"/>
      <c r="BW126" s="239"/>
      <c r="BX126" s="239"/>
      <c r="BY126" s="239"/>
      <c r="BZ126" s="239"/>
      <c r="CA126" s="239"/>
      <c r="CB126" s="239"/>
      <c r="CC126" s="239"/>
      <c r="CD126" s="239"/>
      <c r="CE126" s="239"/>
      <c r="CF126" s="239"/>
      <c r="CG126" s="239"/>
    </row>
    <row r="127" spans="1:85" ht="15.75" customHeight="1">
      <c r="A127" s="242"/>
      <c r="B127" s="242"/>
      <c r="C127" s="242"/>
      <c r="D127" s="242"/>
      <c r="E127" s="242"/>
      <c r="F127" s="242"/>
      <c r="G127" s="242"/>
      <c r="H127" s="242"/>
      <c r="I127" s="242"/>
      <c r="J127" s="242"/>
      <c r="K127" s="242"/>
      <c r="L127" s="242"/>
      <c r="M127" s="242"/>
      <c r="N127" s="242"/>
      <c r="O127" s="242"/>
      <c r="P127" s="242"/>
      <c r="Q127" s="242"/>
      <c r="R127" s="242"/>
      <c r="S127" s="242"/>
      <c r="T127" s="242"/>
      <c r="U127" s="242"/>
      <c r="V127" s="242"/>
      <c r="W127" s="242"/>
      <c r="X127" s="1160"/>
      <c r="Y127" s="893"/>
      <c r="Z127" s="893"/>
      <c r="AA127" s="893"/>
      <c r="AB127" s="893"/>
      <c r="AC127" s="893"/>
      <c r="AD127" s="893"/>
      <c r="AE127" s="893"/>
      <c r="AF127" s="893"/>
      <c r="AG127" s="893"/>
      <c r="AH127" s="893"/>
      <c r="AI127" s="893"/>
      <c r="AJ127" s="893"/>
      <c r="AK127" s="893"/>
      <c r="AL127" s="893"/>
      <c r="AM127" s="893"/>
      <c r="AN127" s="893"/>
      <c r="AO127" s="893"/>
      <c r="AP127" s="893"/>
      <c r="AQ127" s="893"/>
      <c r="AR127" s="893"/>
      <c r="AS127" s="893"/>
      <c r="AT127" s="893"/>
      <c r="AU127" s="893"/>
      <c r="AV127" s="893"/>
      <c r="AW127" s="893"/>
      <c r="AX127" s="893"/>
      <c r="AY127" s="893"/>
      <c r="AZ127" s="893"/>
      <c r="BA127" s="893"/>
      <c r="BB127" s="893"/>
      <c r="BC127" s="893"/>
      <c r="BD127" s="1161"/>
      <c r="BE127" s="258"/>
      <c r="BF127" s="239"/>
      <c r="BG127" s="239"/>
      <c r="BH127" s="239"/>
      <c r="BI127" s="239"/>
      <c r="BJ127" s="239"/>
      <c r="BK127" s="239"/>
      <c r="BL127" s="239"/>
      <c r="BM127" s="239"/>
      <c r="BN127" s="239"/>
      <c r="BO127" s="239"/>
      <c r="BP127" s="239"/>
      <c r="BQ127" s="239"/>
      <c r="BR127" s="239"/>
      <c r="BS127" s="239"/>
      <c r="BT127" s="239"/>
      <c r="BU127" s="239"/>
      <c r="BV127" s="239"/>
      <c r="BW127" s="239"/>
      <c r="BX127" s="239"/>
      <c r="BY127" s="239"/>
      <c r="BZ127" s="239"/>
      <c r="CA127" s="239"/>
      <c r="CB127" s="239"/>
      <c r="CC127" s="239"/>
      <c r="CD127" s="239"/>
      <c r="CE127" s="239"/>
      <c r="CF127" s="239"/>
      <c r="CG127" s="239"/>
    </row>
    <row r="128" spans="1:85" ht="15.75" customHeight="1">
      <c r="A128" s="242"/>
      <c r="B128" s="1191" t="s">
        <v>1685</v>
      </c>
      <c r="C128" s="1177"/>
      <c r="D128" s="1177"/>
      <c r="E128" s="1177"/>
      <c r="F128" s="1177"/>
      <c r="G128" s="1177"/>
      <c r="H128" s="1177"/>
      <c r="I128" s="1177"/>
      <c r="J128" s="1177"/>
      <c r="K128" s="1177"/>
      <c r="L128" s="1177"/>
      <c r="M128" s="1177"/>
      <c r="N128" s="1177"/>
      <c r="O128" s="1177"/>
      <c r="P128" s="1177"/>
      <c r="Q128" s="1177"/>
      <c r="R128" s="1177"/>
      <c r="S128" s="1177"/>
      <c r="T128" s="1177"/>
      <c r="U128" s="1178"/>
      <c r="V128" s="242"/>
      <c r="W128" s="242"/>
      <c r="X128" s="1160"/>
      <c r="Y128" s="893"/>
      <c r="Z128" s="893"/>
      <c r="AA128" s="893"/>
      <c r="AB128" s="893"/>
      <c r="AC128" s="893"/>
      <c r="AD128" s="893"/>
      <c r="AE128" s="893"/>
      <c r="AF128" s="893"/>
      <c r="AG128" s="893"/>
      <c r="AH128" s="893"/>
      <c r="AI128" s="893"/>
      <c r="AJ128" s="893"/>
      <c r="AK128" s="893"/>
      <c r="AL128" s="893"/>
      <c r="AM128" s="893"/>
      <c r="AN128" s="893"/>
      <c r="AO128" s="893"/>
      <c r="AP128" s="893"/>
      <c r="AQ128" s="893"/>
      <c r="AR128" s="893"/>
      <c r="AS128" s="893"/>
      <c r="AT128" s="893"/>
      <c r="AU128" s="893"/>
      <c r="AV128" s="893"/>
      <c r="AW128" s="893"/>
      <c r="AX128" s="893"/>
      <c r="AY128" s="893"/>
      <c r="AZ128" s="893"/>
      <c r="BA128" s="893"/>
      <c r="BB128" s="893"/>
      <c r="BC128" s="893"/>
      <c r="BD128" s="1161"/>
      <c r="BE128" s="258"/>
      <c r="BF128" s="239"/>
      <c r="BG128" s="239"/>
      <c r="BH128" s="239"/>
      <c r="BI128" s="239"/>
      <c r="BJ128" s="239"/>
      <c r="BK128" s="239"/>
      <c r="BL128" s="239"/>
      <c r="BM128" s="239"/>
      <c r="BN128" s="239"/>
      <c r="BO128" s="239"/>
      <c r="BP128" s="239"/>
      <c r="BQ128" s="239"/>
      <c r="BR128" s="239"/>
      <c r="BS128" s="239"/>
      <c r="BT128" s="239"/>
      <c r="BU128" s="239"/>
      <c r="BV128" s="239"/>
      <c r="BW128" s="239"/>
      <c r="BX128" s="239"/>
      <c r="BY128" s="239"/>
      <c r="BZ128" s="239"/>
      <c r="CA128" s="239"/>
      <c r="CB128" s="239"/>
      <c r="CC128" s="239"/>
      <c r="CD128" s="239"/>
      <c r="CE128" s="239"/>
      <c r="CF128" s="239"/>
      <c r="CG128" s="239"/>
    </row>
    <row r="129" spans="1:85" ht="15.75" customHeight="1">
      <c r="A129" s="242"/>
      <c r="B129" s="1301"/>
      <c r="C129" s="947"/>
      <c r="D129" s="947"/>
      <c r="E129" s="947"/>
      <c r="F129" s="947"/>
      <c r="G129" s="947"/>
      <c r="H129" s="948"/>
      <c r="I129" s="1172" t="s">
        <v>1597</v>
      </c>
      <c r="J129" s="947"/>
      <c r="K129" s="947"/>
      <c r="L129" s="947"/>
      <c r="M129" s="947"/>
      <c r="N129" s="947"/>
      <c r="O129" s="948"/>
      <c r="P129" s="1172" t="s">
        <v>1598</v>
      </c>
      <c r="Q129" s="947"/>
      <c r="R129" s="947"/>
      <c r="S129" s="947"/>
      <c r="T129" s="947"/>
      <c r="U129" s="1159"/>
      <c r="V129" s="242"/>
      <c r="W129" s="242"/>
      <c r="X129" s="1160"/>
      <c r="Y129" s="893"/>
      <c r="Z129" s="893"/>
      <c r="AA129" s="893"/>
      <c r="AB129" s="893"/>
      <c r="AC129" s="893"/>
      <c r="AD129" s="893"/>
      <c r="AE129" s="893"/>
      <c r="AF129" s="893"/>
      <c r="AG129" s="893"/>
      <c r="AH129" s="893"/>
      <c r="AI129" s="893"/>
      <c r="AJ129" s="893"/>
      <c r="AK129" s="893"/>
      <c r="AL129" s="893"/>
      <c r="AM129" s="893"/>
      <c r="AN129" s="893"/>
      <c r="AO129" s="893"/>
      <c r="AP129" s="893"/>
      <c r="AQ129" s="893"/>
      <c r="AR129" s="893"/>
      <c r="AS129" s="893"/>
      <c r="AT129" s="893"/>
      <c r="AU129" s="893"/>
      <c r="AV129" s="893"/>
      <c r="AW129" s="893"/>
      <c r="AX129" s="893"/>
      <c r="AY129" s="893"/>
      <c r="AZ129" s="893"/>
      <c r="BA129" s="893"/>
      <c r="BB129" s="893"/>
      <c r="BC129" s="893"/>
      <c r="BD129" s="1161"/>
      <c r="BE129" s="258"/>
      <c r="BF129" s="239"/>
      <c r="BG129" s="239"/>
      <c r="BH129" s="239"/>
      <c r="BI129" s="239"/>
      <c r="BJ129" s="239"/>
      <c r="BK129" s="239"/>
      <c r="BL129" s="239"/>
      <c r="BM129" s="239"/>
      <c r="BN129" s="239"/>
      <c r="BO129" s="239"/>
      <c r="BP129" s="239"/>
      <c r="BQ129" s="239"/>
      <c r="BR129" s="239"/>
      <c r="BS129" s="239"/>
      <c r="BT129" s="239"/>
      <c r="BU129" s="239"/>
      <c r="BV129" s="239"/>
      <c r="BW129" s="239"/>
      <c r="BX129" s="239"/>
      <c r="BY129" s="239"/>
      <c r="BZ129" s="239"/>
      <c r="CA129" s="239"/>
      <c r="CB129" s="239"/>
      <c r="CC129" s="239"/>
      <c r="CD129" s="239"/>
      <c r="CE129" s="239"/>
      <c r="CF129" s="239"/>
      <c r="CG129" s="239"/>
    </row>
    <row r="130" spans="1:85" ht="15.75" customHeight="1">
      <c r="A130" s="242"/>
      <c r="B130" s="1182"/>
      <c r="C130" s="961"/>
      <c r="D130" s="961"/>
      <c r="E130" s="961"/>
      <c r="F130" s="961"/>
      <c r="G130" s="961"/>
      <c r="H130" s="962"/>
      <c r="I130" s="960"/>
      <c r="J130" s="961"/>
      <c r="K130" s="961"/>
      <c r="L130" s="961"/>
      <c r="M130" s="961"/>
      <c r="N130" s="961"/>
      <c r="O130" s="962"/>
      <c r="P130" s="960"/>
      <c r="Q130" s="961"/>
      <c r="R130" s="961"/>
      <c r="S130" s="961"/>
      <c r="T130" s="961"/>
      <c r="U130" s="1174"/>
      <c r="V130" s="242"/>
      <c r="W130" s="242"/>
      <c r="X130" s="1160"/>
      <c r="Y130" s="893"/>
      <c r="Z130" s="893"/>
      <c r="AA130" s="893"/>
      <c r="AB130" s="893"/>
      <c r="AC130" s="893"/>
      <c r="AD130" s="893"/>
      <c r="AE130" s="893"/>
      <c r="AF130" s="893"/>
      <c r="AG130" s="893"/>
      <c r="AH130" s="893"/>
      <c r="AI130" s="893"/>
      <c r="AJ130" s="893"/>
      <c r="AK130" s="893"/>
      <c r="AL130" s="893"/>
      <c r="AM130" s="893"/>
      <c r="AN130" s="893"/>
      <c r="AO130" s="893"/>
      <c r="AP130" s="893"/>
      <c r="AQ130" s="893"/>
      <c r="AR130" s="893"/>
      <c r="AS130" s="893"/>
      <c r="AT130" s="893"/>
      <c r="AU130" s="893"/>
      <c r="AV130" s="893"/>
      <c r="AW130" s="893"/>
      <c r="AX130" s="893"/>
      <c r="AY130" s="893"/>
      <c r="AZ130" s="893"/>
      <c r="BA130" s="893"/>
      <c r="BB130" s="893"/>
      <c r="BC130" s="893"/>
      <c r="BD130" s="1161"/>
      <c r="BE130" s="258"/>
      <c r="BF130" s="239"/>
      <c r="BG130" s="239"/>
      <c r="BH130" s="239"/>
      <c r="BI130" s="239"/>
      <c r="BJ130" s="239"/>
      <c r="BK130" s="239"/>
      <c r="BL130" s="239"/>
      <c r="BM130" s="239"/>
      <c r="BN130" s="239"/>
      <c r="BO130" s="239"/>
      <c r="BP130" s="239"/>
      <c r="BQ130" s="239"/>
      <c r="BR130" s="239"/>
      <c r="BS130" s="239"/>
      <c r="BT130" s="239"/>
      <c r="BU130" s="239"/>
      <c r="BV130" s="239"/>
      <c r="BW130" s="239"/>
      <c r="BX130" s="239"/>
      <c r="BY130" s="239"/>
      <c r="BZ130" s="239"/>
      <c r="CA130" s="239"/>
      <c r="CB130" s="239"/>
      <c r="CC130" s="239"/>
      <c r="CD130" s="239"/>
      <c r="CE130" s="239"/>
      <c r="CF130" s="239"/>
      <c r="CG130" s="239"/>
    </row>
    <row r="131" spans="1:85" ht="15.75" customHeight="1">
      <c r="A131" s="242"/>
      <c r="B131" s="1292" t="s">
        <v>1677</v>
      </c>
      <c r="C131" s="921"/>
      <c r="D131" s="921"/>
      <c r="E131" s="921"/>
      <c r="F131" s="921"/>
      <c r="G131" s="921"/>
      <c r="H131" s="943"/>
      <c r="I131" s="1186">
        <v>0</v>
      </c>
      <c r="J131" s="921"/>
      <c r="K131" s="921"/>
      <c r="L131" s="921"/>
      <c r="M131" s="921"/>
      <c r="N131" s="921"/>
      <c r="O131" s="943"/>
      <c r="P131" s="1186">
        <v>0</v>
      </c>
      <c r="Q131" s="921"/>
      <c r="R131" s="921"/>
      <c r="S131" s="921"/>
      <c r="T131" s="921"/>
      <c r="U131" s="1149"/>
      <c r="V131" s="242"/>
      <c r="W131" s="242"/>
      <c r="X131" s="1160"/>
      <c r="Y131" s="893"/>
      <c r="Z131" s="893"/>
      <c r="AA131" s="893"/>
      <c r="AB131" s="893"/>
      <c r="AC131" s="893"/>
      <c r="AD131" s="893"/>
      <c r="AE131" s="893"/>
      <c r="AF131" s="893"/>
      <c r="AG131" s="893"/>
      <c r="AH131" s="893"/>
      <c r="AI131" s="893"/>
      <c r="AJ131" s="893"/>
      <c r="AK131" s="893"/>
      <c r="AL131" s="893"/>
      <c r="AM131" s="893"/>
      <c r="AN131" s="893"/>
      <c r="AO131" s="893"/>
      <c r="AP131" s="893"/>
      <c r="AQ131" s="893"/>
      <c r="AR131" s="893"/>
      <c r="AS131" s="893"/>
      <c r="AT131" s="893"/>
      <c r="AU131" s="893"/>
      <c r="AV131" s="893"/>
      <c r="AW131" s="893"/>
      <c r="AX131" s="893"/>
      <c r="AY131" s="893"/>
      <c r="AZ131" s="893"/>
      <c r="BA131" s="893"/>
      <c r="BB131" s="893"/>
      <c r="BC131" s="893"/>
      <c r="BD131" s="1161"/>
      <c r="BE131" s="258"/>
      <c r="BF131" s="239"/>
      <c r="BG131" s="239"/>
      <c r="BH131" s="239"/>
      <c r="BI131" s="239"/>
      <c r="BJ131" s="239"/>
      <c r="BK131" s="239"/>
      <c r="BL131" s="239"/>
      <c r="BM131" s="239"/>
      <c r="BN131" s="239"/>
      <c r="BO131" s="239"/>
      <c r="BP131" s="239"/>
      <c r="BQ131" s="239"/>
      <c r="BR131" s="239"/>
      <c r="BS131" s="239"/>
      <c r="BT131" s="239"/>
      <c r="BU131" s="239"/>
      <c r="BV131" s="239"/>
      <c r="BW131" s="239"/>
      <c r="BX131" s="239"/>
      <c r="BY131" s="239"/>
      <c r="BZ131" s="239"/>
      <c r="CA131" s="239"/>
      <c r="CB131" s="239"/>
      <c r="CC131" s="239"/>
      <c r="CD131" s="239"/>
      <c r="CE131" s="239"/>
      <c r="CF131" s="239"/>
      <c r="CG131" s="239"/>
    </row>
    <row r="132" spans="1:85" ht="15.75" customHeight="1">
      <c r="A132" s="242"/>
      <c r="B132" s="1293" t="s">
        <v>1679</v>
      </c>
      <c r="C132" s="1154"/>
      <c r="D132" s="1154"/>
      <c r="E132" s="1154"/>
      <c r="F132" s="1154"/>
      <c r="G132" s="1154"/>
      <c r="H132" s="1190"/>
      <c r="I132" s="1197">
        <v>0</v>
      </c>
      <c r="J132" s="1154"/>
      <c r="K132" s="1154"/>
      <c r="L132" s="1154"/>
      <c r="M132" s="1154"/>
      <c r="N132" s="1154"/>
      <c r="O132" s="1190"/>
      <c r="P132" s="1197">
        <v>0</v>
      </c>
      <c r="Q132" s="1154"/>
      <c r="R132" s="1154"/>
      <c r="S132" s="1154"/>
      <c r="T132" s="1154"/>
      <c r="U132" s="1155"/>
      <c r="V132" s="242"/>
      <c r="W132" s="242"/>
      <c r="X132" s="1162"/>
      <c r="Y132" s="1163"/>
      <c r="Z132" s="1163"/>
      <c r="AA132" s="1163"/>
      <c r="AB132" s="1163"/>
      <c r="AC132" s="1163"/>
      <c r="AD132" s="1163"/>
      <c r="AE132" s="1163"/>
      <c r="AF132" s="1163"/>
      <c r="AG132" s="1163"/>
      <c r="AH132" s="1163"/>
      <c r="AI132" s="1163"/>
      <c r="AJ132" s="1163"/>
      <c r="AK132" s="1163"/>
      <c r="AL132" s="1163"/>
      <c r="AM132" s="1163"/>
      <c r="AN132" s="1163"/>
      <c r="AO132" s="1163"/>
      <c r="AP132" s="1163"/>
      <c r="AQ132" s="1163"/>
      <c r="AR132" s="1163"/>
      <c r="AS132" s="1163"/>
      <c r="AT132" s="1163"/>
      <c r="AU132" s="1163"/>
      <c r="AV132" s="1163"/>
      <c r="AW132" s="1163"/>
      <c r="AX132" s="1163"/>
      <c r="AY132" s="1163"/>
      <c r="AZ132" s="1163"/>
      <c r="BA132" s="1163"/>
      <c r="BB132" s="1163"/>
      <c r="BC132" s="1163"/>
      <c r="BD132" s="1164"/>
      <c r="BE132" s="258"/>
      <c r="BF132" s="239"/>
      <c r="BG132" s="239"/>
      <c r="BH132" s="239"/>
      <c r="BI132" s="239"/>
      <c r="BJ132" s="239"/>
      <c r="BK132" s="239"/>
      <c r="BL132" s="239"/>
      <c r="BM132" s="239"/>
      <c r="BN132" s="239"/>
      <c r="BO132" s="239"/>
      <c r="BP132" s="239"/>
      <c r="BQ132" s="239"/>
      <c r="BR132" s="239"/>
      <c r="BS132" s="239"/>
      <c r="BT132" s="239"/>
      <c r="BU132" s="239"/>
      <c r="BV132" s="239"/>
      <c r="BW132" s="239"/>
      <c r="BX132" s="239"/>
      <c r="BY132" s="239"/>
      <c r="BZ132" s="239"/>
      <c r="CA132" s="239"/>
      <c r="CB132" s="239"/>
      <c r="CC132" s="239"/>
      <c r="CD132" s="239"/>
      <c r="CE132" s="239"/>
      <c r="CF132" s="239"/>
      <c r="CG132" s="239"/>
    </row>
    <row r="133" spans="1:85" ht="15.75" customHeight="1">
      <c r="A133" s="242"/>
      <c r="B133" s="242"/>
      <c r="C133" s="242"/>
      <c r="D133" s="242"/>
      <c r="E133" s="242"/>
      <c r="F133" s="242"/>
      <c r="G133" s="242"/>
      <c r="H133" s="242"/>
      <c r="I133" s="242"/>
      <c r="J133" s="242"/>
      <c r="K133" s="242"/>
      <c r="L133" s="242"/>
      <c r="M133" s="242"/>
      <c r="N133" s="242"/>
      <c r="O133" s="242"/>
      <c r="P133" s="242"/>
      <c r="Q133" s="33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2"/>
      <c r="AR133" s="242"/>
      <c r="AS133" s="242"/>
      <c r="AT133" s="242"/>
      <c r="AU133" s="242"/>
      <c r="AV133" s="242"/>
      <c r="AW133" s="242"/>
      <c r="AX133" s="242"/>
      <c r="AY133" s="242"/>
      <c r="AZ133" s="242"/>
      <c r="BA133" s="242"/>
      <c r="BB133" s="242"/>
      <c r="BC133" s="242"/>
      <c r="BD133" s="242"/>
      <c r="BE133" s="258"/>
      <c r="BF133" s="239"/>
      <c r="BG133" s="239"/>
      <c r="BH133" s="239"/>
      <c r="BI133" s="239"/>
      <c r="BJ133" s="239"/>
      <c r="BK133" s="239"/>
      <c r="BL133" s="239"/>
      <c r="BM133" s="239"/>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row>
    <row r="134" spans="1:85" ht="15.75" customHeight="1">
      <c r="A134" s="242"/>
      <c r="B134" s="1308" t="s">
        <v>1692</v>
      </c>
      <c r="C134" s="1177"/>
      <c r="D134" s="1177"/>
      <c r="E134" s="1177"/>
      <c r="F134" s="1177"/>
      <c r="G134" s="1177"/>
      <c r="H134" s="1177"/>
      <c r="I134" s="1177"/>
      <c r="J134" s="1177"/>
      <c r="K134" s="1177"/>
      <c r="L134" s="1177"/>
      <c r="M134" s="1177"/>
      <c r="N134" s="1177"/>
      <c r="O134" s="1177"/>
      <c r="P134" s="1177"/>
      <c r="Q134" s="1177"/>
      <c r="R134" s="1177"/>
      <c r="S134" s="1177"/>
      <c r="T134" s="1177"/>
      <c r="U134" s="1177"/>
      <c r="V134" s="1177"/>
      <c r="W134" s="1177"/>
      <c r="X134" s="1177"/>
      <c r="Y134" s="1177"/>
      <c r="Z134" s="1177"/>
      <c r="AA134" s="1177"/>
      <c r="AB134" s="1177"/>
      <c r="AC134" s="1177"/>
      <c r="AD134" s="1177"/>
      <c r="AE134" s="1177"/>
      <c r="AF134" s="1177"/>
      <c r="AG134" s="1192"/>
      <c r="AH134" s="1298" t="s">
        <v>901</v>
      </c>
      <c r="AI134" s="1177"/>
      <c r="AJ134" s="1177"/>
      <c r="AK134" s="1177"/>
      <c r="AL134" s="1177"/>
      <c r="AM134" s="1177"/>
      <c r="AN134" s="1177"/>
      <c r="AO134" s="1177"/>
      <c r="AP134" s="1177"/>
      <c r="AQ134" s="1177"/>
      <c r="AR134" s="1177"/>
      <c r="AS134" s="1177"/>
      <c r="AT134" s="1177"/>
      <c r="AU134" s="1177"/>
      <c r="AV134" s="1177"/>
      <c r="AW134" s="1177"/>
      <c r="AX134" s="1178"/>
      <c r="AY134" s="242"/>
      <c r="AZ134" s="242"/>
      <c r="BA134" s="242"/>
      <c r="BB134" s="242"/>
      <c r="BC134" s="242"/>
      <c r="BD134" s="242"/>
      <c r="BE134" s="258"/>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row>
    <row r="135" spans="1:85" ht="15.75" customHeight="1">
      <c r="A135" s="242"/>
      <c r="B135" s="1294" t="s">
        <v>1694</v>
      </c>
      <c r="C135" s="921"/>
      <c r="D135" s="921"/>
      <c r="E135" s="921"/>
      <c r="F135" s="921"/>
      <c r="G135" s="921"/>
      <c r="H135" s="921"/>
      <c r="I135" s="921"/>
      <c r="J135" s="921"/>
      <c r="K135" s="921"/>
      <c r="L135" s="921"/>
      <c r="M135" s="921"/>
      <c r="N135" s="921"/>
      <c r="O135" s="921"/>
      <c r="P135" s="921"/>
      <c r="Q135" s="921"/>
      <c r="R135" s="921"/>
      <c r="S135" s="921"/>
      <c r="T135" s="921"/>
      <c r="U135" s="921"/>
      <c r="V135" s="921"/>
      <c r="W135" s="921"/>
      <c r="X135" s="921"/>
      <c r="Y135" s="921"/>
      <c r="Z135" s="921"/>
      <c r="AA135" s="921"/>
      <c r="AB135" s="921"/>
      <c r="AC135" s="921"/>
      <c r="AD135" s="921"/>
      <c r="AE135" s="921"/>
      <c r="AF135" s="921"/>
      <c r="AG135" s="943"/>
      <c r="AH135" s="1186"/>
      <c r="AI135" s="921"/>
      <c r="AJ135" s="921"/>
      <c r="AK135" s="921"/>
      <c r="AL135" s="921"/>
      <c r="AM135" s="921"/>
      <c r="AN135" s="921"/>
      <c r="AO135" s="921"/>
      <c r="AP135" s="921"/>
      <c r="AQ135" s="921"/>
      <c r="AR135" s="921"/>
      <c r="AS135" s="921"/>
      <c r="AT135" s="921"/>
      <c r="AU135" s="921"/>
      <c r="AV135" s="921"/>
      <c r="AW135" s="921"/>
      <c r="AX135" s="1149"/>
      <c r="AY135" s="242"/>
      <c r="AZ135" s="242"/>
      <c r="BA135" s="242"/>
      <c r="BB135" s="242"/>
      <c r="BC135" s="242"/>
      <c r="BD135" s="242"/>
      <c r="BE135" s="258"/>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row>
    <row r="136" spans="1:85" ht="15.75" customHeight="1">
      <c r="A136" s="242"/>
      <c r="B136" s="1294" t="s">
        <v>1697</v>
      </c>
      <c r="C136" s="921"/>
      <c r="D136" s="921"/>
      <c r="E136" s="921"/>
      <c r="F136" s="921"/>
      <c r="G136" s="921"/>
      <c r="H136" s="921"/>
      <c r="I136" s="921"/>
      <c r="J136" s="921"/>
      <c r="K136" s="921"/>
      <c r="L136" s="921"/>
      <c r="M136" s="921"/>
      <c r="N136" s="921"/>
      <c r="O136" s="921"/>
      <c r="P136" s="921"/>
      <c r="Q136" s="921"/>
      <c r="R136" s="921"/>
      <c r="S136" s="921"/>
      <c r="T136" s="921"/>
      <c r="U136" s="921"/>
      <c r="V136" s="921"/>
      <c r="W136" s="921"/>
      <c r="X136" s="921"/>
      <c r="Y136" s="921"/>
      <c r="Z136" s="921"/>
      <c r="AA136" s="921"/>
      <c r="AB136" s="921"/>
      <c r="AC136" s="921"/>
      <c r="AD136" s="921"/>
      <c r="AE136" s="921"/>
      <c r="AF136" s="921"/>
      <c r="AG136" s="943"/>
      <c r="AH136" s="1298" t="s">
        <v>901</v>
      </c>
      <c r="AI136" s="1177"/>
      <c r="AJ136" s="1177"/>
      <c r="AK136" s="1177"/>
      <c r="AL136" s="1177"/>
      <c r="AM136" s="1177"/>
      <c r="AN136" s="1177"/>
      <c r="AO136" s="1177"/>
      <c r="AP136" s="1177"/>
      <c r="AQ136" s="1177"/>
      <c r="AR136" s="1177"/>
      <c r="AS136" s="1177"/>
      <c r="AT136" s="1177"/>
      <c r="AU136" s="1177"/>
      <c r="AV136" s="1177"/>
      <c r="AW136" s="1177"/>
      <c r="AX136" s="1178"/>
      <c r="AY136" s="242"/>
      <c r="AZ136" s="242"/>
      <c r="BA136" s="242"/>
      <c r="BB136" s="242"/>
      <c r="BC136" s="242"/>
      <c r="BD136" s="242"/>
      <c r="BE136" s="258"/>
      <c r="BF136" s="239"/>
      <c r="BG136" s="239"/>
      <c r="BH136" s="239"/>
      <c r="BI136" s="239"/>
      <c r="BJ136" s="239"/>
      <c r="BK136" s="239"/>
      <c r="BL136" s="239"/>
      <c r="BM136" s="239"/>
      <c r="BN136" s="239"/>
      <c r="BO136" s="239"/>
      <c r="BP136" s="239"/>
      <c r="BQ136" s="239"/>
      <c r="BR136" s="239"/>
      <c r="BS136" s="239"/>
      <c r="BT136" s="239"/>
      <c r="BU136" s="239"/>
      <c r="BV136" s="239"/>
      <c r="BW136" s="239"/>
      <c r="BX136" s="239"/>
      <c r="BY136" s="239"/>
      <c r="BZ136" s="239"/>
      <c r="CA136" s="239"/>
      <c r="CB136" s="239"/>
      <c r="CC136" s="239"/>
      <c r="CD136" s="239"/>
      <c r="CE136" s="239"/>
      <c r="CF136" s="239"/>
      <c r="CG136" s="239"/>
    </row>
    <row r="137" spans="1:85" ht="15.75" customHeight="1">
      <c r="A137" s="242"/>
      <c r="B137" s="1299" t="s">
        <v>1699</v>
      </c>
      <c r="C137" s="921"/>
      <c r="D137" s="921"/>
      <c r="E137" s="921"/>
      <c r="F137" s="921"/>
      <c r="G137" s="921"/>
      <c r="H137" s="921"/>
      <c r="I137" s="921"/>
      <c r="J137" s="921"/>
      <c r="K137" s="921"/>
      <c r="L137" s="921"/>
      <c r="M137" s="921"/>
      <c r="N137" s="921"/>
      <c r="O137" s="921"/>
      <c r="P137" s="921"/>
      <c r="Q137" s="943"/>
      <c r="R137" s="1300" t="s">
        <v>1701</v>
      </c>
      <c r="S137" s="921"/>
      <c r="T137" s="921"/>
      <c r="U137" s="921"/>
      <c r="V137" s="921"/>
      <c r="W137" s="921"/>
      <c r="X137" s="921"/>
      <c r="Y137" s="921"/>
      <c r="Z137" s="921"/>
      <c r="AA137" s="921"/>
      <c r="AB137" s="921"/>
      <c r="AC137" s="921"/>
      <c r="AD137" s="921"/>
      <c r="AE137" s="921"/>
      <c r="AF137" s="921"/>
      <c r="AG137" s="921"/>
      <c r="AH137" s="921"/>
      <c r="AI137" s="921"/>
      <c r="AJ137" s="921"/>
      <c r="AK137" s="921"/>
      <c r="AL137" s="921"/>
      <c r="AM137" s="921"/>
      <c r="AN137" s="921"/>
      <c r="AO137" s="921"/>
      <c r="AP137" s="921"/>
      <c r="AQ137" s="921"/>
      <c r="AR137" s="921"/>
      <c r="AS137" s="921"/>
      <c r="AT137" s="921"/>
      <c r="AU137" s="921"/>
      <c r="AV137" s="921"/>
      <c r="AW137" s="921"/>
      <c r="AX137" s="1149"/>
      <c r="AY137" s="242"/>
      <c r="AZ137" s="242"/>
      <c r="BA137" s="242"/>
      <c r="BB137" s="242"/>
      <c r="BC137" s="242" t="s">
        <v>9</v>
      </c>
      <c r="BD137" s="242"/>
      <c r="BE137" s="258"/>
      <c r="BF137" s="239"/>
      <c r="BG137" s="239"/>
      <c r="BH137" s="239"/>
      <c r="BI137" s="239"/>
      <c r="BJ137" s="239"/>
      <c r="BK137" s="239"/>
      <c r="BL137" s="239"/>
      <c r="BM137" s="239"/>
      <c r="BN137" s="239"/>
      <c r="BO137" s="239"/>
      <c r="BP137" s="239"/>
      <c r="BQ137" s="239"/>
      <c r="BR137" s="239"/>
      <c r="BS137" s="239"/>
      <c r="BT137" s="239"/>
      <c r="BU137" s="239"/>
      <c r="BV137" s="239"/>
      <c r="BW137" s="239"/>
      <c r="BX137" s="239"/>
      <c r="BY137" s="239"/>
      <c r="BZ137" s="239"/>
      <c r="CA137" s="239"/>
      <c r="CB137" s="239"/>
      <c r="CC137" s="239"/>
      <c r="CD137" s="239"/>
      <c r="CE137" s="239"/>
      <c r="CF137" s="239"/>
      <c r="CG137" s="239"/>
    </row>
    <row r="138" spans="1:85" ht="15.75" customHeight="1">
      <c r="A138" s="242"/>
      <c r="B138" s="1158" t="s">
        <v>1703</v>
      </c>
      <c r="C138" s="947"/>
      <c r="D138" s="947"/>
      <c r="E138" s="947"/>
      <c r="F138" s="947"/>
      <c r="G138" s="947"/>
      <c r="H138" s="947"/>
      <c r="I138" s="947"/>
      <c r="J138" s="947"/>
      <c r="K138" s="947"/>
      <c r="L138" s="947"/>
      <c r="M138" s="947"/>
      <c r="N138" s="947"/>
      <c r="O138" s="947"/>
      <c r="P138" s="947"/>
      <c r="Q138" s="947"/>
      <c r="R138" s="947"/>
      <c r="S138" s="947"/>
      <c r="T138" s="947"/>
      <c r="U138" s="947"/>
      <c r="V138" s="947"/>
      <c r="W138" s="947"/>
      <c r="X138" s="947"/>
      <c r="Y138" s="947"/>
      <c r="Z138" s="947"/>
      <c r="AA138" s="947"/>
      <c r="AB138" s="947"/>
      <c r="AC138" s="947"/>
      <c r="AD138" s="947"/>
      <c r="AE138" s="947"/>
      <c r="AF138" s="947"/>
      <c r="AG138" s="947"/>
      <c r="AH138" s="947"/>
      <c r="AI138" s="947"/>
      <c r="AJ138" s="947"/>
      <c r="AK138" s="947"/>
      <c r="AL138" s="947"/>
      <c r="AM138" s="947"/>
      <c r="AN138" s="947"/>
      <c r="AO138" s="947"/>
      <c r="AP138" s="947"/>
      <c r="AQ138" s="947"/>
      <c r="AR138" s="947"/>
      <c r="AS138" s="947"/>
      <c r="AT138" s="947"/>
      <c r="AU138" s="947"/>
      <c r="AV138" s="947"/>
      <c r="AW138" s="947"/>
      <c r="AX138" s="1159"/>
      <c r="AY138" s="242"/>
      <c r="AZ138" s="242"/>
      <c r="BA138" s="242"/>
      <c r="BB138" s="242"/>
      <c r="BC138" s="242"/>
      <c r="BD138" s="242"/>
      <c r="BE138" s="258"/>
      <c r="BF138" s="239"/>
      <c r="BG138" s="239"/>
      <c r="BH138" s="239"/>
      <c r="BI138" s="239"/>
      <c r="BJ138" s="239"/>
      <c r="BK138" s="239"/>
      <c r="BL138" s="239"/>
      <c r="BM138" s="239"/>
      <c r="BN138" s="239"/>
      <c r="BO138" s="239"/>
      <c r="BP138" s="239"/>
      <c r="BQ138" s="239"/>
      <c r="BR138" s="239"/>
      <c r="BS138" s="239"/>
      <c r="BT138" s="239"/>
      <c r="BU138" s="239"/>
      <c r="BV138" s="239"/>
      <c r="BW138" s="239"/>
      <c r="BX138" s="239"/>
      <c r="BY138" s="239"/>
      <c r="BZ138" s="239"/>
      <c r="CA138" s="239"/>
      <c r="CB138" s="239"/>
      <c r="CC138" s="239"/>
      <c r="CD138" s="239"/>
      <c r="CE138" s="239"/>
      <c r="CF138" s="239"/>
      <c r="CG138" s="239"/>
    </row>
    <row r="139" spans="1:85" ht="15.75" customHeight="1">
      <c r="A139" s="242"/>
      <c r="B139" s="1160"/>
      <c r="C139" s="893"/>
      <c r="D139" s="893"/>
      <c r="E139" s="893"/>
      <c r="F139" s="893"/>
      <c r="G139" s="893"/>
      <c r="H139" s="893"/>
      <c r="I139" s="893"/>
      <c r="J139" s="893"/>
      <c r="K139" s="893"/>
      <c r="L139" s="893"/>
      <c r="M139" s="893"/>
      <c r="N139" s="893"/>
      <c r="O139" s="893"/>
      <c r="P139" s="893"/>
      <c r="Q139" s="893"/>
      <c r="R139" s="893"/>
      <c r="S139" s="893"/>
      <c r="T139" s="893"/>
      <c r="U139" s="893"/>
      <c r="V139" s="893"/>
      <c r="W139" s="893"/>
      <c r="X139" s="893"/>
      <c r="Y139" s="893"/>
      <c r="Z139" s="893"/>
      <c r="AA139" s="893"/>
      <c r="AB139" s="893"/>
      <c r="AC139" s="893"/>
      <c r="AD139" s="893"/>
      <c r="AE139" s="893"/>
      <c r="AF139" s="893"/>
      <c r="AG139" s="893"/>
      <c r="AH139" s="893"/>
      <c r="AI139" s="893"/>
      <c r="AJ139" s="893"/>
      <c r="AK139" s="893"/>
      <c r="AL139" s="893"/>
      <c r="AM139" s="893"/>
      <c r="AN139" s="893"/>
      <c r="AO139" s="893"/>
      <c r="AP139" s="893"/>
      <c r="AQ139" s="893"/>
      <c r="AR139" s="893"/>
      <c r="AS139" s="893"/>
      <c r="AT139" s="893"/>
      <c r="AU139" s="893"/>
      <c r="AV139" s="893"/>
      <c r="AW139" s="893"/>
      <c r="AX139" s="1161"/>
      <c r="AY139" s="242"/>
      <c r="AZ139" s="242"/>
      <c r="BA139" s="242"/>
      <c r="BB139" s="242"/>
      <c r="BC139" s="242"/>
      <c r="BD139" s="242"/>
      <c r="BE139" s="258"/>
      <c r="BF139" s="239"/>
      <c r="BG139" s="239"/>
      <c r="BH139" s="239"/>
      <c r="BI139" s="239"/>
      <c r="BJ139" s="239"/>
      <c r="BK139" s="239"/>
      <c r="BL139" s="239"/>
      <c r="BM139" s="239"/>
      <c r="BN139" s="239"/>
      <c r="BO139" s="239"/>
      <c r="BP139" s="239"/>
      <c r="BQ139" s="239"/>
      <c r="BR139" s="239"/>
      <c r="BS139" s="239"/>
      <c r="BT139" s="239"/>
      <c r="BU139" s="239"/>
      <c r="BV139" s="239"/>
      <c r="BW139" s="239"/>
      <c r="BX139" s="239"/>
      <c r="BY139" s="239"/>
      <c r="BZ139" s="239"/>
      <c r="CA139" s="239"/>
      <c r="CB139" s="239"/>
      <c r="CC139" s="239"/>
      <c r="CD139" s="239"/>
      <c r="CE139" s="239"/>
      <c r="CF139" s="239"/>
      <c r="CG139" s="239"/>
    </row>
    <row r="140" spans="1:85" ht="15.75" customHeight="1">
      <c r="A140" s="242"/>
      <c r="B140" s="1160"/>
      <c r="C140" s="893"/>
      <c r="D140" s="893"/>
      <c r="E140" s="893"/>
      <c r="F140" s="893"/>
      <c r="G140" s="893"/>
      <c r="H140" s="893"/>
      <c r="I140" s="893"/>
      <c r="J140" s="893"/>
      <c r="K140" s="893"/>
      <c r="L140" s="893"/>
      <c r="M140" s="893"/>
      <c r="N140" s="893"/>
      <c r="O140" s="893"/>
      <c r="P140" s="893"/>
      <c r="Q140" s="893"/>
      <c r="R140" s="893"/>
      <c r="S140" s="893"/>
      <c r="T140" s="893"/>
      <c r="U140" s="893"/>
      <c r="V140" s="893"/>
      <c r="W140" s="893"/>
      <c r="X140" s="893"/>
      <c r="Y140" s="893"/>
      <c r="Z140" s="893"/>
      <c r="AA140" s="893"/>
      <c r="AB140" s="893"/>
      <c r="AC140" s="893"/>
      <c r="AD140" s="893"/>
      <c r="AE140" s="893"/>
      <c r="AF140" s="893"/>
      <c r="AG140" s="893"/>
      <c r="AH140" s="893"/>
      <c r="AI140" s="893"/>
      <c r="AJ140" s="893"/>
      <c r="AK140" s="893"/>
      <c r="AL140" s="893"/>
      <c r="AM140" s="893"/>
      <c r="AN140" s="893"/>
      <c r="AO140" s="893"/>
      <c r="AP140" s="893"/>
      <c r="AQ140" s="893"/>
      <c r="AR140" s="893"/>
      <c r="AS140" s="893"/>
      <c r="AT140" s="893"/>
      <c r="AU140" s="893"/>
      <c r="AV140" s="893"/>
      <c r="AW140" s="893"/>
      <c r="AX140" s="1161"/>
      <c r="AY140" s="242"/>
      <c r="AZ140" s="242"/>
      <c r="BA140" s="242"/>
      <c r="BB140" s="242"/>
      <c r="BC140" s="242"/>
      <c r="BD140" s="242"/>
      <c r="BE140" s="258"/>
      <c r="BF140" s="239"/>
      <c r="BG140" s="239"/>
      <c r="BH140" s="239"/>
      <c r="BI140" s="239"/>
      <c r="BJ140" s="239"/>
      <c r="BK140" s="239"/>
      <c r="BL140" s="239"/>
      <c r="BM140" s="239"/>
      <c r="BN140" s="239"/>
      <c r="BO140" s="239"/>
      <c r="BP140" s="239"/>
      <c r="BQ140" s="239"/>
      <c r="BR140" s="239"/>
      <c r="BS140" s="239"/>
      <c r="BT140" s="239"/>
      <c r="BU140" s="239"/>
      <c r="BV140" s="239"/>
      <c r="BW140" s="239"/>
      <c r="BX140" s="239"/>
      <c r="BY140" s="239"/>
      <c r="BZ140" s="239"/>
      <c r="CA140" s="239"/>
      <c r="CB140" s="239"/>
      <c r="CC140" s="239"/>
      <c r="CD140" s="239"/>
      <c r="CE140" s="239"/>
      <c r="CF140" s="239"/>
      <c r="CG140" s="239"/>
    </row>
    <row r="141" spans="1:85" ht="15.75" customHeight="1">
      <c r="A141" s="242"/>
      <c r="B141" s="1160"/>
      <c r="C141" s="893"/>
      <c r="D141" s="893"/>
      <c r="E141" s="893"/>
      <c r="F141" s="893"/>
      <c r="G141" s="893"/>
      <c r="H141" s="893"/>
      <c r="I141" s="893"/>
      <c r="J141" s="893"/>
      <c r="K141" s="893"/>
      <c r="L141" s="893"/>
      <c r="M141" s="893"/>
      <c r="N141" s="893"/>
      <c r="O141" s="893"/>
      <c r="P141" s="893"/>
      <c r="Q141" s="893"/>
      <c r="R141" s="893"/>
      <c r="S141" s="893"/>
      <c r="T141" s="893"/>
      <c r="U141" s="893"/>
      <c r="V141" s="893"/>
      <c r="W141" s="893"/>
      <c r="X141" s="893"/>
      <c r="Y141" s="893"/>
      <c r="Z141" s="893"/>
      <c r="AA141" s="893"/>
      <c r="AB141" s="893"/>
      <c r="AC141" s="893"/>
      <c r="AD141" s="893"/>
      <c r="AE141" s="893"/>
      <c r="AF141" s="893"/>
      <c r="AG141" s="893"/>
      <c r="AH141" s="893"/>
      <c r="AI141" s="893"/>
      <c r="AJ141" s="893"/>
      <c r="AK141" s="893"/>
      <c r="AL141" s="893"/>
      <c r="AM141" s="893"/>
      <c r="AN141" s="893"/>
      <c r="AO141" s="893"/>
      <c r="AP141" s="893"/>
      <c r="AQ141" s="893"/>
      <c r="AR141" s="893"/>
      <c r="AS141" s="893"/>
      <c r="AT141" s="893"/>
      <c r="AU141" s="893"/>
      <c r="AV141" s="893"/>
      <c r="AW141" s="893"/>
      <c r="AX141" s="1161"/>
      <c r="AY141" s="242"/>
      <c r="AZ141" s="242"/>
      <c r="BA141" s="242"/>
      <c r="BB141" s="242"/>
      <c r="BC141" s="242"/>
      <c r="BD141" s="242"/>
      <c r="BE141" s="258"/>
      <c r="BF141" s="239"/>
      <c r="BG141" s="239"/>
      <c r="BH141" s="239"/>
      <c r="BI141" s="239"/>
      <c r="BJ141" s="239"/>
      <c r="BK141" s="239"/>
      <c r="BL141" s="239"/>
      <c r="BM141" s="239"/>
      <c r="BN141" s="239"/>
      <c r="BO141" s="239"/>
      <c r="BP141" s="239"/>
      <c r="BQ141" s="239"/>
      <c r="BR141" s="239"/>
      <c r="BS141" s="239"/>
      <c r="BT141" s="239"/>
      <c r="BU141" s="239"/>
      <c r="BV141" s="239"/>
      <c r="BW141" s="239"/>
      <c r="BX141" s="239"/>
      <c r="BY141" s="239"/>
      <c r="BZ141" s="239"/>
      <c r="CA141" s="239"/>
      <c r="CB141" s="239"/>
      <c r="CC141" s="239"/>
      <c r="CD141" s="239"/>
      <c r="CE141" s="239"/>
      <c r="CF141" s="239"/>
      <c r="CG141" s="239"/>
    </row>
    <row r="142" spans="1:85" ht="15.75" customHeight="1">
      <c r="A142" s="242"/>
      <c r="B142" s="1160"/>
      <c r="C142" s="893"/>
      <c r="D142" s="893"/>
      <c r="E142" s="893"/>
      <c r="F142" s="893"/>
      <c r="G142" s="893"/>
      <c r="H142" s="893"/>
      <c r="I142" s="893"/>
      <c r="J142" s="893"/>
      <c r="K142" s="893"/>
      <c r="L142" s="893"/>
      <c r="M142" s="893"/>
      <c r="N142" s="893"/>
      <c r="O142" s="893"/>
      <c r="P142" s="893"/>
      <c r="Q142" s="893"/>
      <c r="R142" s="893"/>
      <c r="S142" s="893"/>
      <c r="T142" s="893"/>
      <c r="U142" s="893"/>
      <c r="V142" s="893"/>
      <c r="W142" s="893"/>
      <c r="X142" s="893"/>
      <c r="Y142" s="893"/>
      <c r="Z142" s="893"/>
      <c r="AA142" s="893"/>
      <c r="AB142" s="893"/>
      <c r="AC142" s="893"/>
      <c r="AD142" s="893"/>
      <c r="AE142" s="893"/>
      <c r="AF142" s="893"/>
      <c r="AG142" s="893"/>
      <c r="AH142" s="893"/>
      <c r="AI142" s="893"/>
      <c r="AJ142" s="893"/>
      <c r="AK142" s="893"/>
      <c r="AL142" s="893"/>
      <c r="AM142" s="893"/>
      <c r="AN142" s="893"/>
      <c r="AO142" s="893"/>
      <c r="AP142" s="893"/>
      <c r="AQ142" s="893"/>
      <c r="AR142" s="893"/>
      <c r="AS142" s="893"/>
      <c r="AT142" s="893"/>
      <c r="AU142" s="893"/>
      <c r="AV142" s="893"/>
      <c r="AW142" s="893"/>
      <c r="AX142" s="1161"/>
      <c r="AY142" s="242"/>
      <c r="AZ142" s="242"/>
      <c r="BA142" s="242"/>
      <c r="BB142" s="242"/>
      <c r="BC142" s="242"/>
      <c r="BD142" s="242"/>
      <c r="BE142" s="258"/>
      <c r="BF142" s="239"/>
      <c r="BG142" s="239"/>
      <c r="BH142" s="239"/>
      <c r="BI142" s="239"/>
      <c r="BJ142" s="239"/>
      <c r="BK142" s="239"/>
      <c r="BL142" s="239"/>
      <c r="BM142" s="239"/>
      <c r="BN142" s="239"/>
      <c r="BO142" s="239"/>
      <c r="BP142" s="239"/>
      <c r="BQ142" s="239"/>
      <c r="BR142" s="239"/>
      <c r="BS142" s="239"/>
      <c r="BT142" s="239"/>
      <c r="BU142" s="239"/>
      <c r="BV142" s="239"/>
      <c r="BW142" s="239"/>
      <c r="BX142" s="239"/>
      <c r="BY142" s="239"/>
      <c r="BZ142" s="239"/>
      <c r="CA142" s="239"/>
      <c r="CB142" s="239"/>
      <c r="CC142" s="239"/>
      <c r="CD142" s="239"/>
      <c r="CE142" s="239"/>
      <c r="CF142" s="239"/>
      <c r="CG142" s="239"/>
    </row>
    <row r="143" spans="1:85" ht="15.75" customHeight="1">
      <c r="A143" s="242"/>
      <c r="B143" s="1160"/>
      <c r="C143" s="893"/>
      <c r="D143" s="893"/>
      <c r="E143" s="893"/>
      <c r="F143" s="893"/>
      <c r="G143" s="893"/>
      <c r="H143" s="893"/>
      <c r="I143" s="893"/>
      <c r="J143" s="893"/>
      <c r="K143" s="893"/>
      <c r="L143" s="893"/>
      <c r="M143" s="893"/>
      <c r="N143" s="893"/>
      <c r="O143" s="893"/>
      <c r="P143" s="893"/>
      <c r="Q143" s="893"/>
      <c r="R143" s="893"/>
      <c r="S143" s="893"/>
      <c r="T143" s="893"/>
      <c r="U143" s="893"/>
      <c r="V143" s="893"/>
      <c r="W143" s="893"/>
      <c r="X143" s="893"/>
      <c r="Y143" s="893"/>
      <c r="Z143" s="893"/>
      <c r="AA143" s="893"/>
      <c r="AB143" s="893"/>
      <c r="AC143" s="893"/>
      <c r="AD143" s="893"/>
      <c r="AE143" s="893"/>
      <c r="AF143" s="893"/>
      <c r="AG143" s="893"/>
      <c r="AH143" s="893"/>
      <c r="AI143" s="893"/>
      <c r="AJ143" s="893"/>
      <c r="AK143" s="893"/>
      <c r="AL143" s="893"/>
      <c r="AM143" s="893"/>
      <c r="AN143" s="893"/>
      <c r="AO143" s="893"/>
      <c r="AP143" s="893"/>
      <c r="AQ143" s="893"/>
      <c r="AR143" s="893"/>
      <c r="AS143" s="893"/>
      <c r="AT143" s="893"/>
      <c r="AU143" s="893"/>
      <c r="AV143" s="893"/>
      <c r="AW143" s="893"/>
      <c r="AX143" s="1161"/>
      <c r="AY143" s="242"/>
      <c r="AZ143" s="242"/>
      <c r="BA143" s="242"/>
      <c r="BB143" s="242"/>
      <c r="BC143" s="242"/>
      <c r="BD143" s="242"/>
      <c r="BE143" s="258"/>
      <c r="BF143" s="239"/>
      <c r="BG143" s="239"/>
      <c r="BH143" s="239"/>
      <c r="BI143" s="239"/>
      <c r="BJ143" s="239"/>
      <c r="BK143" s="239"/>
      <c r="BL143" s="239"/>
      <c r="BM143" s="239"/>
      <c r="BN143" s="239"/>
      <c r="BO143" s="239"/>
      <c r="BP143" s="239"/>
      <c r="BQ143" s="239"/>
      <c r="BR143" s="239"/>
      <c r="BS143" s="239"/>
      <c r="BT143" s="239"/>
      <c r="BU143" s="239"/>
      <c r="BV143" s="239"/>
      <c r="BW143" s="239"/>
      <c r="BX143" s="239"/>
      <c r="BY143" s="239"/>
      <c r="BZ143" s="239"/>
      <c r="CA143" s="239"/>
      <c r="CB143" s="239"/>
      <c r="CC143" s="239"/>
      <c r="CD143" s="239"/>
      <c r="CE143" s="239"/>
      <c r="CF143" s="239"/>
      <c r="CG143" s="239"/>
    </row>
    <row r="144" spans="1:85" ht="15.75" customHeight="1">
      <c r="A144" s="242"/>
      <c r="B144" s="1160"/>
      <c r="C144" s="893"/>
      <c r="D144" s="893"/>
      <c r="E144" s="893"/>
      <c r="F144" s="893"/>
      <c r="G144" s="893"/>
      <c r="H144" s="893"/>
      <c r="I144" s="893"/>
      <c r="J144" s="893"/>
      <c r="K144" s="893"/>
      <c r="L144" s="893"/>
      <c r="M144" s="893"/>
      <c r="N144" s="893"/>
      <c r="O144" s="893"/>
      <c r="P144" s="893"/>
      <c r="Q144" s="893"/>
      <c r="R144" s="893"/>
      <c r="S144" s="893"/>
      <c r="T144" s="893"/>
      <c r="U144" s="893"/>
      <c r="V144" s="893"/>
      <c r="W144" s="893"/>
      <c r="X144" s="893"/>
      <c r="Y144" s="893"/>
      <c r="Z144" s="893"/>
      <c r="AA144" s="893"/>
      <c r="AB144" s="893"/>
      <c r="AC144" s="893"/>
      <c r="AD144" s="893"/>
      <c r="AE144" s="893"/>
      <c r="AF144" s="893"/>
      <c r="AG144" s="893"/>
      <c r="AH144" s="893"/>
      <c r="AI144" s="893"/>
      <c r="AJ144" s="893"/>
      <c r="AK144" s="893"/>
      <c r="AL144" s="893"/>
      <c r="AM144" s="893"/>
      <c r="AN144" s="893"/>
      <c r="AO144" s="893"/>
      <c r="AP144" s="893"/>
      <c r="AQ144" s="893"/>
      <c r="AR144" s="893"/>
      <c r="AS144" s="893"/>
      <c r="AT144" s="893"/>
      <c r="AU144" s="893"/>
      <c r="AV144" s="893"/>
      <c r="AW144" s="893"/>
      <c r="AX144" s="1161"/>
      <c r="AY144" s="242"/>
      <c r="AZ144" s="242"/>
      <c r="BA144" s="242"/>
      <c r="BB144" s="242"/>
      <c r="BC144" s="242"/>
      <c r="BD144" s="242"/>
      <c r="BE144" s="258"/>
      <c r="BF144" s="239"/>
      <c r="BG144" s="239"/>
      <c r="BH144" s="239"/>
      <c r="BI144" s="239"/>
      <c r="BJ144" s="239"/>
      <c r="BK144" s="239"/>
      <c r="BL144" s="239"/>
      <c r="BM144" s="239"/>
      <c r="BN144" s="239"/>
      <c r="BO144" s="239"/>
      <c r="BP144" s="239"/>
      <c r="BQ144" s="239"/>
      <c r="BR144" s="239"/>
      <c r="BS144" s="239"/>
      <c r="BT144" s="239"/>
      <c r="BU144" s="239"/>
      <c r="BV144" s="239"/>
      <c r="BW144" s="239"/>
      <c r="BX144" s="239"/>
      <c r="BY144" s="239"/>
      <c r="BZ144" s="239"/>
      <c r="CA144" s="239"/>
      <c r="CB144" s="239"/>
      <c r="CC144" s="239"/>
      <c r="CD144" s="239"/>
      <c r="CE144" s="239"/>
      <c r="CF144" s="239"/>
      <c r="CG144" s="239"/>
    </row>
    <row r="145" spans="1:85" ht="15.75" customHeight="1">
      <c r="A145" s="242"/>
      <c r="B145" s="1160"/>
      <c r="C145" s="893"/>
      <c r="D145" s="893"/>
      <c r="E145" s="893"/>
      <c r="F145" s="893"/>
      <c r="G145" s="893"/>
      <c r="H145" s="893"/>
      <c r="I145" s="893"/>
      <c r="J145" s="893"/>
      <c r="K145" s="893"/>
      <c r="L145" s="893"/>
      <c r="M145" s="893"/>
      <c r="N145" s="893"/>
      <c r="O145" s="893"/>
      <c r="P145" s="893"/>
      <c r="Q145" s="893"/>
      <c r="R145" s="893"/>
      <c r="S145" s="893"/>
      <c r="T145" s="893"/>
      <c r="U145" s="893"/>
      <c r="V145" s="893"/>
      <c r="W145" s="893"/>
      <c r="X145" s="893"/>
      <c r="Y145" s="893"/>
      <c r="Z145" s="893"/>
      <c r="AA145" s="893"/>
      <c r="AB145" s="893"/>
      <c r="AC145" s="893"/>
      <c r="AD145" s="893"/>
      <c r="AE145" s="893"/>
      <c r="AF145" s="893"/>
      <c r="AG145" s="893"/>
      <c r="AH145" s="893"/>
      <c r="AI145" s="893"/>
      <c r="AJ145" s="893"/>
      <c r="AK145" s="893"/>
      <c r="AL145" s="893"/>
      <c r="AM145" s="893"/>
      <c r="AN145" s="893"/>
      <c r="AO145" s="893"/>
      <c r="AP145" s="893"/>
      <c r="AQ145" s="893"/>
      <c r="AR145" s="893"/>
      <c r="AS145" s="893"/>
      <c r="AT145" s="893"/>
      <c r="AU145" s="893"/>
      <c r="AV145" s="893"/>
      <c r="AW145" s="893"/>
      <c r="AX145" s="1161"/>
      <c r="AY145" s="242"/>
      <c r="AZ145" s="242"/>
      <c r="BA145" s="242"/>
      <c r="BB145" s="242"/>
      <c r="BC145" s="242"/>
      <c r="BD145" s="242"/>
      <c r="BE145" s="258"/>
      <c r="BF145" s="239"/>
      <c r="BG145" s="239"/>
      <c r="BH145" s="239"/>
      <c r="BI145" s="239"/>
      <c r="BJ145" s="239"/>
      <c r="BK145" s="239"/>
      <c r="BL145" s="239"/>
      <c r="BM145" s="239"/>
      <c r="BN145" s="239"/>
      <c r="BO145" s="239"/>
      <c r="BP145" s="239"/>
      <c r="BQ145" s="239"/>
      <c r="BR145" s="239"/>
      <c r="BS145" s="239"/>
      <c r="BT145" s="239"/>
      <c r="BU145" s="239"/>
      <c r="BV145" s="239"/>
      <c r="BW145" s="239"/>
      <c r="BX145" s="239"/>
      <c r="BY145" s="239"/>
      <c r="BZ145" s="239"/>
      <c r="CA145" s="239"/>
      <c r="CB145" s="239"/>
      <c r="CC145" s="239"/>
      <c r="CD145" s="239"/>
      <c r="CE145" s="239"/>
      <c r="CF145" s="239"/>
      <c r="CG145" s="239"/>
    </row>
    <row r="146" spans="1:85" ht="15.75" customHeight="1">
      <c r="A146" s="242"/>
      <c r="B146" s="1160"/>
      <c r="C146" s="893"/>
      <c r="D146" s="893"/>
      <c r="E146" s="893"/>
      <c r="F146" s="893"/>
      <c r="G146" s="893"/>
      <c r="H146" s="893"/>
      <c r="I146" s="893"/>
      <c r="J146" s="893"/>
      <c r="K146" s="893"/>
      <c r="L146" s="893"/>
      <c r="M146" s="893"/>
      <c r="N146" s="893"/>
      <c r="O146" s="893"/>
      <c r="P146" s="893"/>
      <c r="Q146" s="893"/>
      <c r="R146" s="893"/>
      <c r="S146" s="893"/>
      <c r="T146" s="893"/>
      <c r="U146" s="893"/>
      <c r="V146" s="893"/>
      <c r="W146" s="893"/>
      <c r="X146" s="893"/>
      <c r="Y146" s="893"/>
      <c r="Z146" s="893"/>
      <c r="AA146" s="893"/>
      <c r="AB146" s="893"/>
      <c r="AC146" s="893"/>
      <c r="AD146" s="893"/>
      <c r="AE146" s="893"/>
      <c r="AF146" s="893"/>
      <c r="AG146" s="893"/>
      <c r="AH146" s="893"/>
      <c r="AI146" s="893"/>
      <c r="AJ146" s="893"/>
      <c r="AK146" s="893"/>
      <c r="AL146" s="893"/>
      <c r="AM146" s="893"/>
      <c r="AN146" s="893"/>
      <c r="AO146" s="893"/>
      <c r="AP146" s="893"/>
      <c r="AQ146" s="893"/>
      <c r="AR146" s="893"/>
      <c r="AS146" s="893"/>
      <c r="AT146" s="893"/>
      <c r="AU146" s="893"/>
      <c r="AV146" s="893"/>
      <c r="AW146" s="893"/>
      <c r="AX146" s="1161"/>
      <c r="AY146" s="242"/>
      <c r="AZ146" s="242"/>
      <c r="BA146" s="242"/>
      <c r="BB146" s="242"/>
      <c r="BC146" s="242"/>
      <c r="BD146" s="242"/>
      <c r="BE146" s="258"/>
      <c r="BF146" s="239"/>
      <c r="BG146" s="239"/>
      <c r="BH146" s="239"/>
      <c r="BI146" s="239"/>
      <c r="BJ146" s="239"/>
      <c r="BK146" s="239"/>
      <c r="BL146" s="239"/>
      <c r="BM146" s="239"/>
      <c r="BN146" s="239"/>
      <c r="BO146" s="239"/>
      <c r="BP146" s="239"/>
      <c r="BQ146" s="239"/>
      <c r="BR146" s="239"/>
      <c r="BS146" s="239"/>
      <c r="BT146" s="239"/>
      <c r="BU146" s="239"/>
      <c r="BV146" s="239"/>
      <c r="BW146" s="239"/>
      <c r="BX146" s="239"/>
      <c r="BY146" s="239"/>
      <c r="BZ146" s="239"/>
      <c r="CA146" s="239"/>
      <c r="CB146" s="239"/>
      <c r="CC146" s="239"/>
      <c r="CD146" s="239"/>
      <c r="CE146" s="239"/>
      <c r="CF146" s="239"/>
      <c r="CG146" s="239"/>
    </row>
    <row r="147" spans="1:85" ht="15.75" customHeight="1">
      <c r="A147" s="242"/>
      <c r="B147" s="1162"/>
      <c r="C147" s="1163"/>
      <c r="D147" s="1163"/>
      <c r="E147" s="1163"/>
      <c r="F147" s="1163"/>
      <c r="G147" s="1163"/>
      <c r="H147" s="1163"/>
      <c r="I147" s="1163"/>
      <c r="J147" s="1163"/>
      <c r="K147" s="1163"/>
      <c r="L147" s="1163"/>
      <c r="M147" s="1163"/>
      <c r="N147" s="1163"/>
      <c r="O147" s="1163"/>
      <c r="P147" s="1163"/>
      <c r="Q147" s="1163"/>
      <c r="R147" s="1163"/>
      <c r="S147" s="1163"/>
      <c r="T147" s="1163"/>
      <c r="U147" s="1163"/>
      <c r="V147" s="1163"/>
      <c r="W147" s="1163"/>
      <c r="X147" s="1163"/>
      <c r="Y147" s="1163"/>
      <c r="Z147" s="1163"/>
      <c r="AA147" s="1163"/>
      <c r="AB147" s="1163"/>
      <c r="AC147" s="1163"/>
      <c r="AD147" s="1163"/>
      <c r="AE147" s="1163"/>
      <c r="AF147" s="1163"/>
      <c r="AG147" s="1163"/>
      <c r="AH147" s="1163"/>
      <c r="AI147" s="1163"/>
      <c r="AJ147" s="1163"/>
      <c r="AK147" s="1163"/>
      <c r="AL147" s="1163"/>
      <c r="AM147" s="1163"/>
      <c r="AN147" s="1163"/>
      <c r="AO147" s="1163"/>
      <c r="AP147" s="1163"/>
      <c r="AQ147" s="1163"/>
      <c r="AR147" s="1163"/>
      <c r="AS147" s="1163"/>
      <c r="AT147" s="1163"/>
      <c r="AU147" s="1163"/>
      <c r="AV147" s="1163"/>
      <c r="AW147" s="1163"/>
      <c r="AX147" s="1164"/>
      <c r="AY147" s="242"/>
      <c r="AZ147" s="242"/>
      <c r="BA147" s="242"/>
      <c r="BB147" s="242"/>
      <c r="BC147" s="242"/>
      <c r="BD147" s="242"/>
      <c r="BE147" s="258"/>
      <c r="BF147" s="239"/>
      <c r="BG147" s="239"/>
      <c r="BH147" s="239"/>
      <c r="BI147" s="239"/>
      <c r="BJ147" s="239"/>
      <c r="BK147" s="239"/>
      <c r="BL147" s="239"/>
      <c r="BM147" s="239"/>
      <c r="BN147" s="239"/>
      <c r="BO147" s="239"/>
      <c r="BP147" s="239"/>
      <c r="BQ147" s="239"/>
      <c r="BR147" s="239"/>
      <c r="BS147" s="239"/>
      <c r="BT147" s="239"/>
      <c r="BU147" s="239"/>
      <c r="BV147" s="239"/>
      <c r="BW147" s="239"/>
      <c r="BX147" s="239"/>
      <c r="BY147" s="239"/>
      <c r="BZ147" s="239"/>
      <c r="CA147" s="239"/>
      <c r="CB147" s="239"/>
      <c r="CC147" s="239"/>
      <c r="CD147" s="239"/>
      <c r="CE147" s="239"/>
      <c r="CF147" s="239"/>
      <c r="CG147" s="239"/>
    </row>
    <row r="148" spans="1:85" ht="15.75" customHeight="1">
      <c r="A148" s="242"/>
      <c r="B148" s="242"/>
      <c r="C148" s="242"/>
      <c r="D148" s="242"/>
      <c r="E148" s="242"/>
      <c r="F148" s="242"/>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42"/>
      <c r="BD148" s="242"/>
      <c r="BE148" s="258"/>
      <c r="BF148" s="239"/>
      <c r="BG148" s="239"/>
      <c r="BH148" s="239"/>
      <c r="BI148" s="239"/>
      <c r="BJ148" s="239"/>
      <c r="BK148" s="239"/>
      <c r="BL148" s="239"/>
      <c r="BM148" s="239"/>
      <c r="BN148" s="239"/>
      <c r="BO148" s="239"/>
      <c r="BP148" s="239"/>
      <c r="BQ148" s="239"/>
      <c r="BR148" s="239"/>
      <c r="BS148" s="239"/>
      <c r="BT148" s="239"/>
      <c r="BU148" s="239"/>
      <c r="BV148" s="239"/>
      <c r="BW148" s="239"/>
      <c r="BX148" s="239"/>
      <c r="BY148" s="239"/>
      <c r="BZ148" s="239"/>
      <c r="CA148" s="239"/>
      <c r="CB148" s="239"/>
      <c r="CC148" s="239"/>
      <c r="CD148" s="239"/>
      <c r="CE148" s="239"/>
      <c r="CF148" s="239"/>
      <c r="CG148" s="239"/>
    </row>
    <row r="149" spans="1:85" ht="15.75" customHeight="1">
      <c r="A149" s="242"/>
      <c r="B149" s="289" t="s">
        <v>1710</v>
      </c>
      <c r="C149" s="290"/>
      <c r="D149" s="290"/>
      <c r="E149" s="290"/>
      <c r="F149" s="290"/>
      <c r="G149" s="290"/>
      <c r="H149" s="290"/>
      <c r="I149" s="290"/>
      <c r="J149" s="290"/>
      <c r="K149" s="290"/>
      <c r="L149" s="290"/>
      <c r="M149" s="291"/>
      <c r="N149" s="259"/>
      <c r="O149" s="259"/>
      <c r="P149" s="242"/>
      <c r="Q149" s="242"/>
      <c r="R149" s="242"/>
      <c r="S149" s="242"/>
      <c r="T149" s="242"/>
      <c r="U149" s="242" t="s">
        <v>9</v>
      </c>
      <c r="V149" s="242"/>
      <c r="W149" s="242"/>
      <c r="X149" s="289" t="s">
        <v>1711</v>
      </c>
      <c r="Y149" s="290"/>
      <c r="Z149" s="290"/>
      <c r="AA149" s="290"/>
      <c r="AB149" s="290"/>
      <c r="AC149" s="290"/>
      <c r="AD149" s="290"/>
      <c r="AE149" s="290"/>
      <c r="AF149" s="290"/>
      <c r="AG149" s="290"/>
      <c r="AH149" s="290"/>
      <c r="AI149" s="290"/>
      <c r="AJ149" s="290"/>
      <c r="AK149" s="280"/>
      <c r="AL149" s="280"/>
      <c r="AM149" s="281"/>
      <c r="AN149" s="242"/>
      <c r="AO149" s="242"/>
      <c r="AP149" s="242"/>
      <c r="AQ149" s="242"/>
      <c r="AR149" s="242"/>
      <c r="AS149" s="242"/>
      <c r="AT149" s="242"/>
      <c r="AU149" s="242"/>
      <c r="AV149" s="242"/>
      <c r="AW149" s="242"/>
      <c r="AX149" s="242"/>
      <c r="AY149" s="242"/>
      <c r="AZ149" s="242"/>
      <c r="BA149" s="242"/>
      <c r="BB149" s="242"/>
      <c r="BC149" s="242"/>
      <c r="BD149" s="242"/>
      <c r="BE149" s="258"/>
      <c r="BF149" s="239"/>
      <c r="BG149" s="239"/>
      <c r="BH149" s="239"/>
      <c r="BI149" s="239"/>
      <c r="BJ149" s="239"/>
      <c r="BK149" s="239"/>
      <c r="BL149" s="239"/>
      <c r="BM149" s="239"/>
      <c r="BN149" s="239"/>
      <c r="BO149" s="239"/>
      <c r="BP149" s="239"/>
      <c r="BQ149" s="239"/>
      <c r="BR149" s="239"/>
      <c r="BS149" s="239"/>
      <c r="BT149" s="239"/>
      <c r="BU149" s="239"/>
      <c r="BV149" s="239"/>
      <c r="BW149" s="239"/>
      <c r="BX149" s="239"/>
      <c r="BY149" s="239"/>
      <c r="BZ149" s="239"/>
      <c r="CA149" s="239"/>
      <c r="CB149" s="239"/>
      <c r="CC149" s="239"/>
      <c r="CD149" s="239"/>
      <c r="CE149" s="239"/>
      <c r="CF149" s="239"/>
      <c r="CG149" s="239"/>
    </row>
    <row r="150" spans="1:85" ht="15.75" customHeight="1">
      <c r="A150" s="242"/>
      <c r="B150" s="242"/>
      <c r="C150" s="242"/>
      <c r="D150" s="242"/>
      <c r="E150" s="242"/>
      <c r="F150" s="242"/>
      <c r="G150" s="242"/>
      <c r="H150" s="242"/>
      <c r="I150" s="242"/>
      <c r="J150" s="242"/>
      <c r="K150" s="242"/>
      <c r="L150" s="242"/>
      <c r="M150" s="242"/>
      <c r="N150" s="242"/>
      <c r="O150" s="242"/>
      <c r="P150" s="259"/>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58"/>
      <c r="BF150" s="239"/>
      <c r="BG150" s="239"/>
      <c r="BH150" s="239"/>
      <c r="BI150" s="239"/>
      <c r="BJ150" s="239"/>
      <c r="BK150" s="239"/>
      <c r="BL150" s="239"/>
      <c r="BM150" s="239"/>
      <c r="BN150" s="239"/>
      <c r="BO150" s="239"/>
      <c r="BP150" s="239"/>
      <c r="BQ150" s="239"/>
      <c r="BR150" s="239"/>
      <c r="BS150" s="239"/>
      <c r="BT150" s="239"/>
      <c r="BU150" s="239"/>
      <c r="BV150" s="239"/>
      <c r="BW150" s="239"/>
      <c r="BX150" s="239"/>
      <c r="BY150" s="239"/>
      <c r="BZ150" s="239"/>
      <c r="CA150" s="239"/>
      <c r="CB150" s="239"/>
      <c r="CC150" s="239"/>
      <c r="CD150" s="239"/>
      <c r="CE150" s="239"/>
      <c r="CF150" s="239"/>
      <c r="CG150" s="239"/>
    </row>
    <row r="151" spans="1:85" ht="15.75" customHeight="1">
      <c r="A151" s="242"/>
      <c r="B151" s="1191" t="s">
        <v>1712</v>
      </c>
      <c r="C151" s="1177"/>
      <c r="D151" s="1177"/>
      <c r="E151" s="1177"/>
      <c r="F151" s="1177"/>
      <c r="G151" s="1177"/>
      <c r="H151" s="1177"/>
      <c r="I151" s="1177"/>
      <c r="J151" s="1177"/>
      <c r="K151" s="1177"/>
      <c r="L151" s="1177"/>
      <c r="M151" s="1177"/>
      <c r="N151" s="1177"/>
      <c r="O151" s="1177"/>
      <c r="P151" s="1177"/>
      <c r="Q151" s="1177"/>
      <c r="R151" s="1177"/>
      <c r="S151" s="1177"/>
      <c r="T151" s="1177"/>
      <c r="U151" s="1178"/>
      <c r="V151" s="242"/>
      <c r="W151" s="243"/>
      <c r="X151" s="1191" t="s">
        <v>1716</v>
      </c>
      <c r="Y151" s="1177"/>
      <c r="Z151" s="1177"/>
      <c r="AA151" s="1177"/>
      <c r="AB151" s="1177"/>
      <c r="AC151" s="1177"/>
      <c r="AD151" s="1177"/>
      <c r="AE151" s="1177"/>
      <c r="AF151" s="1177"/>
      <c r="AG151" s="1177"/>
      <c r="AH151" s="1177"/>
      <c r="AI151" s="1177"/>
      <c r="AJ151" s="1177"/>
      <c r="AK151" s="1177"/>
      <c r="AL151" s="1177"/>
      <c r="AM151" s="1177"/>
      <c r="AN151" s="1177"/>
      <c r="AO151" s="1177"/>
      <c r="AP151" s="1177"/>
      <c r="AQ151" s="1178"/>
      <c r="AR151" s="242"/>
      <c r="AS151" s="242"/>
      <c r="AT151" s="242"/>
      <c r="AU151" s="242"/>
      <c r="AV151" s="242"/>
      <c r="AW151" s="242"/>
      <c r="AX151" s="242"/>
      <c r="AY151" s="242"/>
      <c r="AZ151" s="242"/>
      <c r="BA151" s="242"/>
      <c r="BB151" s="242"/>
      <c r="BC151" s="242"/>
      <c r="BD151" s="242"/>
      <c r="BE151" s="258"/>
      <c r="BF151" s="239"/>
      <c r="BG151" s="239"/>
      <c r="BH151" s="239"/>
      <c r="BI151" s="239"/>
      <c r="BJ151" s="239"/>
      <c r="BK151" s="239"/>
      <c r="BL151" s="239"/>
      <c r="BM151" s="239"/>
      <c r="BN151" s="239"/>
      <c r="BO151" s="239"/>
      <c r="BP151" s="239"/>
      <c r="BQ151" s="239"/>
      <c r="BR151" s="239"/>
      <c r="BS151" s="239"/>
      <c r="BT151" s="239"/>
      <c r="BU151" s="239"/>
      <c r="BV151" s="239"/>
      <c r="BW151" s="239"/>
      <c r="BX151" s="239"/>
      <c r="BY151" s="239"/>
      <c r="BZ151" s="239"/>
      <c r="CA151" s="239"/>
      <c r="CB151" s="239"/>
      <c r="CC151" s="239"/>
      <c r="CD151" s="239"/>
      <c r="CE151" s="239"/>
      <c r="CF151" s="239"/>
      <c r="CG151" s="239"/>
    </row>
    <row r="152" spans="1:85" ht="15.75" customHeight="1">
      <c r="A152" s="242"/>
      <c r="B152" s="1301"/>
      <c r="C152" s="947"/>
      <c r="D152" s="947"/>
      <c r="E152" s="947"/>
      <c r="F152" s="947"/>
      <c r="G152" s="947"/>
      <c r="H152" s="948"/>
      <c r="I152" s="1172" t="s">
        <v>1597</v>
      </c>
      <c r="J152" s="947"/>
      <c r="K152" s="947"/>
      <c r="L152" s="947"/>
      <c r="M152" s="947"/>
      <c r="N152" s="947"/>
      <c r="O152" s="948"/>
      <c r="P152" s="1172" t="s">
        <v>1719</v>
      </c>
      <c r="Q152" s="947"/>
      <c r="R152" s="947"/>
      <c r="S152" s="947"/>
      <c r="T152" s="947"/>
      <c r="U152" s="1159"/>
      <c r="V152" s="242"/>
      <c r="W152" s="242"/>
      <c r="X152" s="1301"/>
      <c r="Y152" s="947"/>
      <c r="Z152" s="947"/>
      <c r="AA152" s="947"/>
      <c r="AB152" s="947"/>
      <c r="AC152" s="947"/>
      <c r="AD152" s="948"/>
      <c r="AE152" s="1172" t="s">
        <v>1597</v>
      </c>
      <c r="AF152" s="947"/>
      <c r="AG152" s="947"/>
      <c r="AH152" s="947"/>
      <c r="AI152" s="947"/>
      <c r="AJ152" s="947"/>
      <c r="AK152" s="948"/>
      <c r="AL152" s="1172" t="s">
        <v>1598</v>
      </c>
      <c r="AM152" s="947"/>
      <c r="AN152" s="947"/>
      <c r="AO152" s="947"/>
      <c r="AP152" s="947"/>
      <c r="AQ152" s="1159"/>
      <c r="AR152" s="242"/>
      <c r="AS152" s="242"/>
      <c r="AT152" s="242"/>
      <c r="AU152" s="242"/>
      <c r="AV152" s="242"/>
      <c r="AW152" s="242"/>
      <c r="AX152" s="242"/>
      <c r="AY152" s="242"/>
      <c r="AZ152" s="242"/>
      <c r="BA152" s="242"/>
      <c r="BB152" s="242"/>
      <c r="BC152" s="242"/>
      <c r="BD152" s="242"/>
      <c r="BE152" s="258"/>
      <c r="BF152" s="239"/>
      <c r="BG152" s="239"/>
      <c r="BH152" s="239"/>
      <c r="BI152" s="239"/>
      <c r="BJ152" s="239"/>
      <c r="BK152" s="239"/>
      <c r="BL152" s="239"/>
      <c r="BM152" s="239"/>
      <c r="BN152" s="239"/>
      <c r="BO152" s="239"/>
      <c r="BP152" s="239"/>
      <c r="BQ152" s="239"/>
      <c r="BR152" s="239"/>
      <c r="BS152" s="239"/>
      <c r="BT152" s="239"/>
      <c r="BU152" s="239"/>
      <c r="BV152" s="239"/>
      <c r="BW152" s="239"/>
      <c r="BX152" s="239"/>
      <c r="BY152" s="239"/>
      <c r="BZ152" s="239"/>
      <c r="CA152" s="239"/>
      <c r="CB152" s="239"/>
      <c r="CC152" s="239"/>
      <c r="CD152" s="239"/>
      <c r="CE152" s="239"/>
      <c r="CF152" s="239"/>
      <c r="CG152" s="239"/>
    </row>
    <row r="153" spans="1:85" ht="15.75" customHeight="1">
      <c r="A153" s="242"/>
      <c r="B153" s="1182"/>
      <c r="C153" s="961"/>
      <c r="D153" s="961"/>
      <c r="E153" s="961"/>
      <c r="F153" s="961"/>
      <c r="G153" s="961"/>
      <c r="H153" s="962"/>
      <c r="I153" s="960"/>
      <c r="J153" s="961"/>
      <c r="K153" s="961"/>
      <c r="L153" s="961"/>
      <c r="M153" s="961"/>
      <c r="N153" s="961"/>
      <c r="O153" s="962"/>
      <c r="P153" s="960"/>
      <c r="Q153" s="961"/>
      <c r="R153" s="961"/>
      <c r="S153" s="961"/>
      <c r="T153" s="961"/>
      <c r="U153" s="1174"/>
      <c r="V153" s="242"/>
      <c r="W153" s="242"/>
      <c r="X153" s="1182"/>
      <c r="Y153" s="961"/>
      <c r="Z153" s="961"/>
      <c r="AA153" s="961"/>
      <c r="AB153" s="961"/>
      <c r="AC153" s="961"/>
      <c r="AD153" s="962"/>
      <c r="AE153" s="960"/>
      <c r="AF153" s="961"/>
      <c r="AG153" s="961"/>
      <c r="AH153" s="961"/>
      <c r="AI153" s="961"/>
      <c r="AJ153" s="961"/>
      <c r="AK153" s="962"/>
      <c r="AL153" s="960"/>
      <c r="AM153" s="961"/>
      <c r="AN153" s="961"/>
      <c r="AO153" s="961"/>
      <c r="AP153" s="961"/>
      <c r="AQ153" s="1174"/>
      <c r="AR153" s="242"/>
      <c r="AS153" s="242"/>
      <c r="AT153" s="242"/>
      <c r="AU153" s="242"/>
      <c r="AV153" s="242"/>
      <c r="AW153" s="242"/>
      <c r="AX153" s="242"/>
      <c r="AY153" s="242"/>
      <c r="AZ153" s="242"/>
      <c r="BA153" s="242"/>
      <c r="BB153" s="242"/>
      <c r="BC153" s="242"/>
      <c r="BD153" s="242"/>
      <c r="BE153" s="258"/>
      <c r="BF153" s="239"/>
      <c r="BG153" s="239"/>
      <c r="BH153" s="239"/>
      <c r="BI153" s="239"/>
      <c r="BJ153" s="239"/>
      <c r="BK153" s="239"/>
      <c r="BL153" s="239"/>
      <c r="BM153" s="239"/>
      <c r="BN153" s="239"/>
      <c r="BO153" s="239"/>
      <c r="BP153" s="239"/>
      <c r="BQ153" s="239"/>
      <c r="BR153" s="239"/>
      <c r="BS153" s="239"/>
      <c r="BT153" s="239"/>
      <c r="BU153" s="239"/>
      <c r="BV153" s="239"/>
      <c r="BW153" s="239"/>
      <c r="BX153" s="239"/>
      <c r="BY153" s="239"/>
      <c r="BZ153" s="239"/>
      <c r="CA153" s="239"/>
      <c r="CB153" s="239"/>
      <c r="CC153" s="239"/>
      <c r="CD153" s="239"/>
      <c r="CE153" s="239"/>
      <c r="CF153" s="239"/>
      <c r="CG153" s="239"/>
    </row>
    <row r="154" spans="1:85" ht="15.75" customHeight="1">
      <c r="A154" s="242"/>
      <c r="B154" s="1292" t="s">
        <v>1677</v>
      </c>
      <c r="C154" s="921"/>
      <c r="D154" s="921"/>
      <c r="E154" s="921"/>
      <c r="F154" s="921"/>
      <c r="G154" s="921"/>
      <c r="H154" s="943"/>
      <c r="I154" s="1186">
        <v>0</v>
      </c>
      <c r="J154" s="921"/>
      <c r="K154" s="921"/>
      <c r="L154" s="921"/>
      <c r="M154" s="921"/>
      <c r="N154" s="921"/>
      <c r="O154" s="943"/>
      <c r="P154" s="1186">
        <v>0</v>
      </c>
      <c r="Q154" s="921"/>
      <c r="R154" s="921"/>
      <c r="S154" s="921"/>
      <c r="T154" s="921"/>
      <c r="U154" s="1149"/>
      <c r="V154" s="242"/>
      <c r="W154" s="242"/>
      <c r="X154" s="1293" t="s">
        <v>1677</v>
      </c>
      <c r="Y154" s="1154"/>
      <c r="Z154" s="1154"/>
      <c r="AA154" s="1154"/>
      <c r="AB154" s="1154"/>
      <c r="AC154" s="1154"/>
      <c r="AD154" s="1190"/>
      <c r="AE154" s="1197">
        <v>0</v>
      </c>
      <c r="AF154" s="1154"/>
      <c r="AG154" s="1154"/>
      <c r="AH154" s="1154"/>
      <c r="AI154" s="1154"/>
      <c r="AJ154" s="1154"/>
      <c r="AK154" s="1190"/>
      <c r="AL154" s="1197">
        <v>0</v>
      </c>
      <c r="AM154" s="1154"/>
      <c r="AN154" s="1154"/>
      <c r="AO154" s="1154"/>
      <c r="AP154" s="1154"/>
      <c r="AQ154" s="1155"/>
      <c r="AR154" s="242"/>
      <c r="AS154" s="242"/>
      <c r="AT154" s="242"/>
      <c r="AU154" s="242"/>
      <c r="AV154" s="242"/>
      <c r="AW154" s="242"/>
      <c r="AX154" s="242"/>
      <c r="AY154" s="242"/>
      <c r="AZ154" s="242"/>
      <c r="BA154" s="242"/>
      <c r="BB154" s="242"/>
      <c r="BC154" s="242"/>
      <c r="BD154" s="242"/>
      <c r="BE154" s="258"/>
      <c r="BF154" s="239"/>
      <c r="BG154" s="239"/>
      <c r="BH154" s="239"/>
      <c r="BI154" s="239"/>
      <c r="BJ154" s="239"/>
      <c r="BK154" s="239"/>
      <c r="BL154" s="239"/>
      <c r="BM154" s="239"/>
      <c r="BN154" s="239"/>
      <c r="BO154" s="239"/>
      <c r="BP154" s="239"/>
      <c r="BQ154" s="239"/>
      <c r="BR154" s="239"/>
      <c r="BS154" s="239"/>
      <c r="BT154" s="239"/>
      <c r="BU154" s="239"/>
      <c r="BV154" s="239"/>
      <c r="BW154" s="239"/>
      <c r="BX154" s="239"/>
      <c r="BY154" s="239"/>
      <c r="BZ154" s="239"/>
      <c r="CA154" s="239"/>
      <c r="CB154" s="239"/>
      <c r="CC154" s="239"/>
      <c r="CD154" s="239"/>
      <c r="CE154" s="239"/>
      <c r="CF154" s="239"/>
      <c r="CG154" s="239"/>
    </row>
    <row r="155" spans="1:85" ht="15.75" customHeight="1">
      <c r="A155" s="242"/>
      <c r="B155" s="1293" t="s">
        <v>1679</v>
      </c>
      <c r="C155" s="1154"/>
      <c r="D155" s="1154"/>
      <c r="E155" s="1154"/>
      <c r="F155" s="1154"/>
      <c r="G155" s="1154"/>
      <c r="H155" s="1190"/>
      <c r="I155" s="1197">
        <v>0</v>
      </c>
      <c r="J155" s="1154"/>
      <c r="K155" s="1154"/>
      <c r="L155" s="1154"/>
      <c r="M155" s="1154"/>
      <c r="N155" s="1154"/>
      <c r="O155" s="1190"/>
      <c r="P155" s="1197">
        <v>0</v>
      </c>
      <c r="Q155" s="1154"/>
      <c r="R155" s="1154"/>
      <c r="S155" s="1154"/>
      <c r="T155" s="1154"/>
      <c r="U155" s="1155"/>
      <c r="V155" s="242"/>
      <c r="W155" s="242"/>
      <c r="X155" s="242"/>
      <c r="Y155" s="242"/>
      <c r="Z155" s="242"/>
      <c r="AA155" s="242"/>
      <c r="AB155" s="242"/>
      <c r="AC155" s="242"/>
      <c r="AD155" s="242"/>
      <c r="AE155" s="242"/>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2"/>
      <c r="BE155" s="258"/>
      <c r="BF155" s="239"/>
      <c r="BG155" s="239"/>
      <c r="BH155" s="239"/>
      <c r="BI155" s="239"/>
      <c r="BJ155" s="239"/>
      <c r="BK155" s="239"/>
      <c r="BL155" s="239"/>
      <c r="BM155" s="239"/>
      <c r="BN155" s="239"/>
      <c r="BO155" s="239"/>
      <c r="BP155" s="239"/>
      <c r="BQ155" s="239"/>
      <c r="BR155" s="239"/>
      <c r="BS155" s="239"/>
      <c r="BT155" s="239"/>
      <c r="BU155" s="239"/>
      <c r="BV155" s="239"/>
      <c r="BW155" s="239"/>
      <c r="BX155" s="239"/>
      <c r="BY155" s="239"/>
      <c r="BZ155" s="239"/>
      <c r="CA155" s="239"/>
      <c r="CB155" s="239"/>
      <c r="CC155" s="239"/>
      <c r="CD155" s="239"/>
      <c r="CE155" s="239"/>
      <c r="CF155" s="239"/>
      <c r="CG155" s="239"/>
    </row>
    <row r="156" spans="1:85" ht="15.75" customHeight="1">
      <c r="A156" s="242"/>
      <c r="B156" s="242"/>
      <c r="C156" s="242"/>
      <c r="D156" s="242"/>
      <c r="E156" s="242"/>
      <c r="F156" s="242"/>
      <c r="G156" s="242"/>
      <c r="H156" s="242"/>
      <c r="I156" s="242"/>
      <c r="J156" s="242"/>
      <c r="K156" s="242"/>
      <c r="L156" s="242"/>
      <c r="M156" s="242"/>
      <c r="N156" s="242"/>
      <c r="O156" s="242"/>
      <c r="P156" s="242"/>
      <c r="Q156" s="242"/>
      <c r="R156" s="242"/>
      <c r="S156" s="242"/>
      <c r="T156" s="242"/>
      <c r="U156" s="242"/>
      <c r="V156" s="242"/>
      <c r="W156" s="242"/>
      <c r="X156" s="242"/>
      <c r="Y156" s="242"/>
      <c r="Z156" s="242"/>
      <c r="AA156" s="242"/>
      <c r="AB156" s="242"/>
      <c r="AC156" s="242"/>
      <c r="AD156" s="242"/>
      <c r="AE156" s="242"/>
      <c r="AF156" s="242"/>
      <c r="AG156" s="242"/>
      <c r="AH156" s="242"/>
      <c r="AI156" s="242"/>
      <c r="AJ156" s="242"/>
      <c r="AK156" s="242"/>
      <c r="AL156" s="242"/>
      <c r="AM156" s="242"/>
      <c r="AN156" s="242"/>
      <c r="AO156" s="242"/>
      <c r="AP156" s="242"/>
      <c r="AQ156" s="242"/>
      <c r="AR156" s="242"/>
      <c r="AS156" s="242"/>
      <c r="AT156" s="242"/>
      <c r="AU156" s="242"/>
      <c r="AV156" s="242"/>
      <c r="AW156" s="242"/>
      <c r="AX156" s="242"/>
      <c r="AY156" s="242"/>
      <c r="AZ156" s="242"/>
      <c r="BA156" s="242"/>
      <c r="BB156" s="242"/>
      <c r="BC156" s="242"/>
      <c r="BD156" s="242"/>
      <c r="BE156" s="258"/>
      <c r="BF156" s="239"/>
      <c r="BG156" s="239"/>
      <c r="BH156" s="239"/>
      <c r="BI156" s="239"/>
      <c r="BJ156" s="239"/>
      <c r="BK156" s="239"/>
      <c r="BL156" s="239"/>
      <c r="BM156" s="239"/>
      <c r="BN156" s="239"/>
      <c r="BO156" s="239"/>
      <c r="BP156" s="239"/>
      <c r="BQ156" s="239"/>
      <c r="BR156" s="239"/>
      <c r="BS156" s="239"/>
      <c r="BT156" s="239"/>
      <c r="BU156" s="239"/>
      <c r="BV156" s="239"/>
      <c r="BW156" s="239"/>
      <c r="BX156" s="239"/>
      <c r="BY156" s="239"/>
      <c r="BZ156" s="239"/>
      <c r="CA156" s="239"/>
      <c r="CB156" s="239"/>
      <c r="CC156" s="239"/>
      <c r="CD156" s="239"/>
      <c r="CE156" s="239"/>
      <c r="CF156" s="239"/>
      <c r="CG156" s="239"/>
    </row>
    <row r="157" spans="1:85" ht="15.75" customHeight="1">
      <c r="A157" s="242"/>
      <c r="B157" s="242"/>
      <c r="C157" s="1191" t="s">
        <v>1727</v>
      </c>
      <c r="D157" s="1177"/>
      <c r="E157" s="1177"/>
      <c r="F157" s="1177"/>
      <c r="G157" s="1177"/>
      <c r="H157" s="1177"/>
      <c r="I157" s="1177"/>
      <c r="J157" s="1177"/>
      <c r="K157" s="1177"/>
      <c r="L157" s="1177"/>
      <c r="M157" s="1177"/>
      <c r="N157" s="1177"/>
      <c r="O157" s="1177"/>
      <c r="P157" s="1177"/>
      <c r="Q157" s="1177"/>
      <c r="R157" s="1177"/>
      <c r="S157" s="1177"/>
      <c r="T157" s="1177"/>
      <c r="U157" s="1177"/>
      <c r="V157" s="1177"/>
      <c r="W157" s="1177"/>
      <c r="X157" s="1177"/>
      <c r="Y157" s="1177"/>
      <c r="Z157" s="1177"/>
      <c r="AA157" s="1177"/>
      <c r="AB157" s="1177"/>
      <c r="AC157" s="1177"/>
      <c r="AD157" s="1177"/>
      <c r="AE157" s="1177"/>
      <c r="AF157" s="1177"/>
      <c r="AG157" s="1178"/>
      <c r="AH157" s="242"/>
      <c r="AI157" s="242"/>
      <c r="AJ157" s="242"/>
      <c r="AK157" s="242"/>
      <c r="AL157" s="242"/>
      <c r="AM157" s="242"/>
      <c r="AN157" s="242"/>
      <c r="AO157" s="242"/>
      <c r="AP157" s="242"/>
      <c r="AQ157" s="242"/>
      <c r="AR157" s="242"/>
      <c r="AS157" s="242"/>
      <c r="AT157" s="242"/>
      <c r="AU157" s="242"/>
      <c r="AV157" s="242"/>
      <c r="AW157" s="242"/>
      <c r="AX157" s="242"/>
      <c r="AY157" s="242"/>
      <c r="AZ157" s="242"/>
      <c r="BA157" s="242"/>
      <c r="BB157" s="242"/>
      <c r="BC157" s="242"/>
      <c r="BD157" s="242"/>
      <c r="BE157" s="258"/>
      <c r="BF157" s="239"/>
      <c r="BG157" s="239"/>
      <c r="BH157" s="239"/>
      <c r="BI157" s="239"/>
      <c r="BJ157" s="239"/>
      <c r="BK157" s="239"/>
      <c r="BL157" s="239"/>
      <c r="BM157" s="239"/>
      <c r="BN157" s="239"/>
      <c r="BO157" s="239"/>
      <c r="BP157" s="239"/>
      <c r="BQ157" s="239"/>
      <c r="BR157" s="239"/>
      <c r="BS157" s="239"/>
      <c r="BT157" s="239"/>
      <c r="BU157" s="239"/>
      <c r="BV157" s="239"/>
      <c r="BW157" s="239"/>
      <c r="BX157" s="239"/>
      <c r="BY157" s="239"/>
      <c r="BZ157" s="239"/>
      <c r="CA157" s="239"/>
      <c r="CB157" s="239"/>
      <c r="CC157" s="239"/>
      <c r="CD157" s="239"/>
      <c r="CE157" s="239"/>
      <c r="CF157" s="239"/>
      <c r="CG157" s="239"/>
    </row>
    <row r="158" spans="1:85" ht="15.75" customHeight="1">
      <c r="A158" s="242"/>
      <c r="B158" s="242"/>
      <c r="C158" s="1194" t="s">
        <v>1729</v>
      </c>
      <c r="D158" s="921"/>
      <c r="E158" s="921"/>
      <c r="F158" s="921"/>
      <c r="G158" s="921"/>
      <c r="H158" s="921"/>
      <c r="I158" s="921"/>
      <c r="J158" s="921"/>
      <c r="K158" s="921"/>
      <c r="L158" s="921"/>
      <c r="M158" s="921"/>
      <c r="N158" s="921"/>
      <c r="O158" s="921"/>
      <c r="P158" s="943"/>
      <c r="Q158" s="1195" t="s">
        <v>1731</v>
      </c>
      <c r="R158" s="921"/>
      <c r="S158" s="943"/>
      <c r="T158" s="1213" t="s">
        <v>1732</v>
      </c>
      <c r="U158" s="921"/>
      <c r="V158" s="921"/>
      <c r="W158" s="921"/>
      <c r="X158" s="921"/>
      <c r="Y158" s="921"/>
      <c r="Z158" s="921"/>
      <c r="AA158" s="943"/>
      <c r="AB158" s="1195" t="s">
        <v>1733</v>
      </c>
      <c r="AC158" s="921"/>
      <c r="AD158" s="921"/>
      <c r="AE158" s="921"/>
      <c r="AF158" s="921"/>
      <c r="AG158" s="1149"/>
      <c r="AH158" s="242"/>
      <c r="AI158" s="242"/>
      <c r="AJ158" s="242"/>
      <c r="AK158" s="242"/>
      <c r="AL158" s="242"/>
      <c r="AM158" s="242"/>
      <c r="AN158" s="242"/>
      <c r="AO158" s="242"/>
      <c r="AP158" s="242"/>
      <c r="AQ158" s="242"/>
      <c r="AR158" s="242"/>
      <c r="AS158" s="242"/>
      <c r="AT158" s="242"/>
      <c r="AU158" s="242"/>
      <c r="AV158" s="242"/>
      <c r="AW158" s="242"/>
      <c r="AX158" s="242"/>
      <c r="AY158" s="242"/>
      <c r="AZ158" s="242"/>
      <c r="BA158" s="242"/>
      <c r="BB158" s="242"/>
      <c r="BC158" s="242"/>
      <c r="BD158" s="242"/>
      <c r="BE158" s="258"/>
      <c r="BF158" s="239"/>
      <c r="BG158" s="239"/>
      <c r="BH158" s="239"/>
      <c r="BI158" s="239"/>
      <c r="BJ158" s="239"/>
      <c r="BK158" s="239"/>
      <c r="BL158" s="239"/>
      <c r="BM158" s="239"/>
      <c r="BN158" s="239"/>
      <c r="BO158" s="239"/>
      <c r="BP158" s="239"/>
      <c r="BQ158" s="239"/>
      <c r="BR158" s="239"/>
      <c r="BS158" s="239"/>
      <c r="BT158" s="239"/>
      <c r="BU158" s="239"/>
      <c r="BV158" s="239"/>
      <c r="BW158" s="239"/>
      <c r="BX158" s="239"/>
      <c r="BY158" s="239"/>
      <c r="BZ158" s="239"/>
      <c r="CA158" s="239"/>
      <c r="CB158" s="239"/>
      <c r="CC158" s="239"/>
      <c r="CD158" s="239"/>
      <c r="CE158" s="239"/>
      <c r="CF158" s="239"/>
      <c r="CG158" s="239"/>
    </row>
    <row r="159" spans="1:85" ht="15.75" customHeight="1">
      <c r="A159" s="242"/>
      <c r="B159" s="242"/>
      <c r="C159" s="1150" t="s">
        <v>1736</v>
      </c>
      <c r="D159" s="921"/>
      <c r="E159" s="921"/>
      <c r="F159" s="921"/>
      <c r="G159" s="921"/>
      <c r="H159" s="921"/>
      <c r="I159" s="921"/>
      <c r="J159" s="921"/>
      <c r="K159" s="921"/>
      <c r="L159" s="921"/>
      <c r="M159" s="921"/>
      <c r="N159" s="921"/>
      <c r="O159" s="921"/>
      <c r="P159" s="943"/>
      <c r="Q159" s="1151">
        <v>55</v>
      </c>
      <c r="R159" s="921"/>
      <c r="S159" s="943"/>
      <c r="T159" s="1147"/>
      <c r="U159" s="921"/>
      <c r="V159" s="921"/>
      <c r="W159" s="921"/>
      <c r="X159" s="921"/>
      <c r="Y159" s="921"/>
      <c r="Z159" s="921"/>
      <c r="AA159" s="943"/>
      <c r="AB159" s="342"/>
      <c r="AC159" s="342"/>
      <c r="AD159" s="342"/>
      <c r="AE159" s="342"/>
      <c r="AF159" s="342"/>
      <c r="AG159" s="343"/>
      <c r="AH159" s="242"/>
      <c r="AI159" s="242"/>
      <c r="AJ159" s="242"/>
      <c r="AK159" s="242"/>
      <c r="AL159" s="242"/>
      <c r="AM159" s="242"/>
      <c r="AN159" s="242"/>
      <c r="AO159" s="242"/>
      <c r="AP159" s="242" t="s">
        <v>9</v>
      </c>
      <c r="AQ159" s="242"/>
      <c r="AR159" s="242"/>
      <c r="AS159" s="242"/>
      <c r="AT159" s="242"/>
      <c r="AU159" s="242"/>
      <c r="AV159" s="242"/>
      <c r="AW159" s="242"/>
      <c r="AX159" s="242"/>
      <c r="AY159" s="242"/>
      <c r="AZ159" s="242"/>
      <c r="BA159" s="242"/>
      <c r="BB159" s="242"/>
      <c r="BC159" s="242"/>
      <c r="BD159" s="242"/>
      <c r="BE159" s="258"/>
      <c r="BF159" s="239"/>
      <c r="BG159" s="239"/>
      <c r="BH159" s="239"/>
      <c r="BI159" s="239"/>
      <c r="BJ159" s="239"/>
      <c r="BK159" s="239"/>
      <c r="BL159" s="239"/>
      <c r="BM159" s="239"/>
      <c r="BN159" s="239"/>
      <c r="BO159" s="239"/>
      <c r="BP159" s="239"/>
      <c r="BQ159" s="239"/>
      <c r="BR159" s="239"/>
      <c r="BS159" s="239"/>
      <c r="BT159" s="239"/>
      <c r="BU159" s="239"/>
      <c r="BV159" s="239"/>
      <c r="BW159" s="239"/>
      <c r="BX159" s="239"/>
      <c r="BY159" s="239"/>
      <c r="BZ159" s="239"/>
      <c r="CA159" s="239"/>
      <c r="CB159" s="239"/>
      <c r="CC159" s="239"/>
      <c r="CD159" s="239"/>
      <c r="CE159" s="239"/>
      <c r="CF159" s="239"/>
      <c r="CG159" s="239"/>
    </row>
    <row r="160" spans="1:85" ht="15.75" customHeight="1">
      <c r="A160" s="242"/>
      <c r="B160" s="242"/>
      <c r="C160" s="1150" t="s">
        <v>1739</v>
      </c>
      <c r="D160" s="921"/>
      <c r="E160" s="921"/>
      <c r="F160" s="921"/>
      <c r="G160" s="921"/>
      <c r="H160" s="921"/>
      <c r="I160" s="921"/>
      <c r="J160" s="921"/>
      <c r="K160" s="921"/>
      <c r="L160" s="921"/>
      <c r="M160" s="921"/>
      <c r="N160" s="921"/>
      <c r="O160" s="921"/>
      <c r="P160" s="943"/>
      <c r="Q160" s="1151">
        <v>55</v>
      </c>
      <c r="R160" s="921"/>
      <c r="S160" s="943"/>
      <c r="T160" s="1147"/>
      <c r="U160" s="921"/>
      <c r="V160" s="921"/>
      <c r="W160" s="921"/>
      <c r="X160" s="921"/>
      <c r="Y160" s="921"/>
      <c r="Z160" s="921"/>
      <c r="AA160" s="943"/>
      <c r="AB160" s="342"/>
      <c r="AC160" s="342"/>
      <c r="AD160" s="342"/>
      <c r="AE160" s="342"/>
      <c r="AF160" s="342"/>
      <c r="AG160" s="343"/>
      <c r="AH160" s="242"/>
      <c r="AI160" s="242"/>
      <c r="AJ160" s="242"/>
      <c r="AK160" s="242"/>
      <c r="AL160" s="242"/>
      <c r="AM160" s="242"/>
      <c r="AN160" s="242"/>
      <c r="AO160" s="242"/>
      <c r="AP160" s="242"/>
      <c r="AQ160" s="242"/>
      <c r="AR160" s="242"/>
      <c r="AS160" s="242"/>
      <c r="AT160" s="242"/>
      <c r="AU160" s="242"/>
      <c r="AV160" s="242"/>
      <c r="AW160" s="242"/>
      <c r="AX160" s="242"/>
      <c r="AY160" s="242"/>
      <c r="AZ160" s="242"/>
      <c r="BA160" s="242"/>
      <c r="BB160" s="242"/>
      <c r="BC160" s="242"/>
      <c r="BD160" s="242"/>
      <c r="BE160" s="258"/>
      <c r="BF160" s="239"/>
      <c r="BG160" s="239"/>
      <c r="BH160" s="239"/>
      <c r="BI160" s="239"/>
      <c r="BJ160" s="239"/>
      <c r="BK160" s="239"/>
      <c r="BL160" s="239"/>
      <c r="BM160" s="239"/>
      <c r="BN160" s="239"/>
      <c r="BO160" s="239"/>
      <c r="BP160" s="239"/>
      <c r="BQ160" s="239"/>
      <c r="BR160" s="239"/>
      <c r="BS160" s="239"/>
      <c r="BT160" s="239"/>
      <c r="BU160" s="239"/>
      <c r="BV160" s="239"/>
      <c r="BW160" s="239"/>
      <c r="BX160" s="239"/>
      <c r="BY160" s="239"/>
      <c r="BZ160" s="239"/>
      <c r="CA160" s="239"/>
      <c r="CB160" s="239"/>
      <c r="CC160" s="239"/>
      <c r="CD160" s="239"/>
      <c r="CE160" s="239"/>
      <c r="CF160" s="239"/>
      <c r="CG160" s="239"/>
    </row>
    <row r="161" spans="1:85" ht="15.75" customHeight="1">
      <c r="A161" s="242"/>
      <c r="B161" s="242"/>
      <c r="C161" s="1150" t="s">
        <v>1741</v>
      </c>
      <c r="D161" s="921"/>
      <c r="E161" s="921"/>
      <c r="F161" s="921"/>
      <c r="G161" s="921"/>
      <c r="H161" s="921"/>
      <c r="I161" s="921"/>
      <c r="J161" s="921"/>
      <c r="K161" s="921"/>
      <c r="L161" s="921"/>
      <c r="M161" s="921"/>
      <c r="N161" s="921"/>
      <c r="O161" s="921"/>
      <c r="P161" s="943"/>
      <c r="Q161" s="1151">
        <v>55</v>
      </c>
      <c r="R161" s="921"/>
      <c r="S161" s="943"/>
      <c r="T161" s="1147"/>
      <c r="U161" s="921"/>
      <c r="V161" s="921"/>
      <c r="W161" s="921"/>
      <c r="X161" s="921"/>
      <c r="Y161" s="921"/>
      <c r="Z161" s="921"/>
      <c r="AA161" s="943"/>
      <c r="AB161" s="342"/>
      <c r="AC161" s="342"/>
      <c r="AD161" s="342"/>
      <c r="AE161" s="342"/>
      <c r="AF161" s="342"/>
      <c r="AG161" s="343"/>
      <c r="AH161" s="242"/>
      <c r="AI161" s="242"/>
      <c r="AJ161" s="242"/>
      <c r="AK161" s="242"/>
      <c r="AL161" s="242"/>
      <c r="AM161" s="242"/>
      <c r="AN161" s="242"/>
      <c r="AO161" s="242"/>
      <c r="AP161" s="242"/>
      <c r="AQ161" s="242"/>
      <c r="AR161" s="242"/>
      <c r="AS161" s="242"/>
      <c r="AT161" s="242"/>
      <c r="AU161" s="242"/>
      <c r="AV161" s="242"/>
      <c r="AW161" s="242"/>
      <c r="AX161" s="242"/>
      <c r="AY161" s="242"/>
      <c r="AZ161" s="242"/>
      <c r="BA161" s="242"/>
      <c r="BB161" s="242"/>
      <c r="BC161" s="242"/>
      <c r="BD161" s="242"/>
      <c r="BE161" s="258"/>
      <c r="BF161" s="239"/>
      <c r="BG161" s="239"/>
      <c r="BH161" s="239"/>
      <c r="BI161" s="239"/>
      <c r="BJ161" s="239"/>
      <c r="BK161" s="239"/>
      <c r="BL161" s="239"/>
      <c r="BM161" s="239"/>
      <c r="BN161" s="239"/>
      <c r="BO161" s="239"/>
      <c r="BP161" s="239"/>
      <c r="BQ161" s="239"/>
      <c r="BR161" s="239"/>
      <c r="BS161" s="239"/>
      <c r="BT161" s="239"/>
      <c r="BU161" s="239"/>
      <c r="BV161" s="239"/>
      <c r="BW161" s="239"/>
      <c r="BX161" s="239"/>
      <c r="BY161" s="239"/>
      <c r="BZ161" s="239"/>
      <c r="CA161" s="239"/>
      <c r="CB161" s="239"/>
      <c r="CC161" s="239"/>
      <c r="CD161" s="239"/>
      <c r="CE161" s="239"/>
      <c r="CF161" s="239"/>
      <c r="CG161" s="239"/>
    </row>
    <row r="162" spans="1:85" ht="15.75" customHeight="1">
      <c r="A162" s="242"/>
      <c r="B162" s="242"/>
      <c r="C162" s="1150" t="s">
        <v>1484</v>
      </c>
      <c r="D162" s="921"/>
      <c r="E162" s="921"/>
      <c r="F162" s="921"/>
      <c r="G162" s="921"/>
      <c r="H162" s="921"/>
      <c r="I162" s="921"/>
      <c r="J162" s="921"/>
      <c r="K162" s="921"/>
      <c r="L162" s="921"/>
      <c r="M162" s="921"/>
      <c r="N162" s="921"/>
      <c r="O162" s="921"/>
      <c r="P162" s="943"/>
      <c r="Q162" s="1151">
        <v>55</v>
      </c>
      <c r="R162" s="921"/>
      <c r="S162" s="943"/>
      <c r="T162" s="1147"/>
      <c r="U162" s="921"/>
      <c r="V162" s="921"/>
      <c r="W162" s="921"/>
      <c r="X162" s="921"/>
      <c r="Y162" s="921"/>
      <c r="Z162" s="921"/>
      <c r="AA162" s="943"/>
      <c r="AB162" s="1148">
        <v>0</v>
      </c>
      <c r="AC162" s="921"/>
      <c r="AD162" s="921"/>
      <c r="AE162" s="921"/>
      <c r="AF162" s="921"/>
      <c r="AG162" s="1149"/>
      <c r="AH162" s="242"/>
      <c r="AI162" s="242"/>
      <c r="AJ162" s="242"/>
      <c r="AK162" s="242"/>
      <c r="AL162" s="242"/>
      <c r="AM162" s="242"/>
      <c r="AN162" s="242"/>
      <c r="AO162" s="242"/>
      <c r="AP162" s="242"/>
      <c r="AQ162" s="242"/>
      <c r="AR162" s="242"/>
      <c r="AS162" s="242"/>
      <c r="AT162" s="242"/>
      <c r="AU162" s="242"/>
      <c r="AV162" s="242"/>
      <c r="AW162" s="242"/>
      <c r="AX162" s="242"/>
      <c r="AY162" s="242"/>
      <c r="AZ162" s="242"/>
      <c r="BA162" s="242"/>
      <c r="BB162" s="242"/>
      <c r="BC162" s="242"/>
      <c r="BD162" s="242"/>
      <c r="BE162" s="258"/>
      <c r="BF162" s="239"/>
      <c r="BG162" s="239"/>
      <c r="BH162" s="239"/>
      <c r="BI162" s="239"/>
      <c r="BJ162" s="239"/>
      <c r="BK162" s="239"/>
      <c r="BL162" s="239"/>
      <c r="BM162" s="239"/>
      <c r="BN162" s="239"/>
      <c r="BO162" s="239"/>
      <c r="BP162" s="239"/>
      <c r="BQ162" s="239"/>
      <c r="BR162" s="239"/>
      <c r="BS162" s="239"/>
      <c r="BT162" s="239"/>
      <c r="BU162" s="239"/>
      <c r="BV162" s="239"/>
      <c r="BW162" s="239"/>
      <c r="BX162" s="239"/>
      <c r="BY162" s="239"/>
      <c r="BZ162" s="239"/>
      <c r="CA162" s="239"/>
      <c r="CB162" s="239"/>
      <c r="CC162" s="239"/>
      <c r="CD162" s="239"/>
      <c r="CE162" s="239"/>
      <c r="CF162" s="239"/>
      <c r="CG162" s="239"/>
    </row>
    <row r="163" spans="1:85" ht="15.75" customHeight="1">
      <c r="A163" s="242"/>
      <c r="B163" s="242"/>
      <c r="C163" s="1150" t="s">
        <v>289</v>
      </c>
      <c r="D163" s="921"/>
      <c r="E163" s="943"/>
      <c r="F163" s="1152" t="s">
        <v>1745</v>
      </c>
      <c r="G163" s="921"/>
      <c r="H163" s="921"/>
      <c r="I163" s="921"/>
      <c r="J163" s="921"/>
      <c r="K163" s="921"/>
      <c r="L163" s="921"/>
      <c r="M163" s="921"/>
      <c r="N163" s="921"/>
      <c r="O163" s="921"/>
      <c r="P163" s="943"/>
      <c r="Q163" s="1151">
        <v>55</v>
      </c>
      <c r="R163" s="921"/>
      <c r="S163" s="943"/>
      <c r="T163" s="1147"/>
      <c r="U163" s="921"/>
      <c r="V163" s="921"/>
      <c r="W163" s="921"/>
      <c r="X163" s="921"/>
      <c r="Y163" s="921"/>
      <c r="Z163" s="921"/>
      <c r="AA163" s="943"/>
      <c r="AB163" s="1148">
        <v>0</v>
      </c>
      <c r="AC163" s="921"/>
      <c r="AD163" s="921"/>
      <c r="AE163" s="921"/>
      <c r="AF163" s="921"/>
      <c r="AG163" s="1149"/>
      <c r="AH163" s="242"/>
      <c r="AI163" s="242"/>
      <c r="AJ163" s="242"/>
      <c r="AK163" s="242"/>
      <c r="AL163" s="242"/>
      <c r="AM163" s="242"/>
      <c r="AN163" s="242"/>
      <c r="AO163" s="242"/>
      <c r="AP163" s="242"/>
      <c r="AQ163" s="242"/>
      <c r="AR163" s="242"/>
      <c r="AS163" s="242"/>
      <c r="AT163" s="242"/>
      <c r="AU163" s="242"/>
      <c r="AV163" s="242"/>
      <c r="AW163" s="242"/>
      <c r="AX163" s="242"/>
      <c r="AY163" s="242"/>
      <c r="AZ163" s="242"/>
      <c r="BA163" s="242"/>
      <c r="BB163" s="242"/>
      <c r="BC163" s="242"/>
      <c r="BD163" s="242"/>
      <c r="BE163" s="258"/>
      <c r="BF163" s="239"/>
      <c r="BG163" s="239"/>
      <c r="BH163" s="239"/>
      <c r="BI163" s="239"/>
      <c r="BJ163" s="239"/>
      <c r="BK163" s="239"/>
      <c r="BL163" s="239"/>
      <c r="BM163" s="239"/>
      <c r="BN163" s="239"/>
      <c r="BO163" s="239"/>
      <c r="BP163" s="239"/>
      <c r="BQ163" s="239"/>
      <c r="BR163" s="239"/>
      <c r="BS163" s="239"/>
      <c r="BT163" s="239"/>
      <c r="BU163" s="239"/>
      <c r="BV163" s="239"/>
      <c r="BW163" s="239"/>
      <c r="BX163" s="239"/>
      <c r="BY163" s="239"/>
      <c r="BZ163" s="239"/>
      <c r="CA163" s="239"/>
      <c r="CB163" s="239"/>
      <c r="CC163" s="239"/>
      <c r="CD163" s="239"/>
      <c r="CE163" s="239"/>
      <c r="CF163" s="239"/>
      <c r="CG163" s="239"/>
    </row>
    <row r="164" spans="1:85" ht="15.75" customHeight="1">
      <c r="A164" s="242"/>
      <c r="B164" s="242"/>
      <c r="C164" s="1150" t="s">
        <v>289</v>
      </c>
      <c r="D164" s="921"/>
      <c r="E164" s="943"/>
      <c r="F164" s="1152" t="s">
        <v>1745</v>
      </c>
      <c r="G164" s="921"/>
      <c r="H164" s="921"/>
      <c r="I164" s="921"/>
      <c r="J164" s="921"/>
      <c r="K164" s="921"/>
      <c r="L164" s="921"/>
      <c r="M164" s="921"/>
      <c r="N164" s="921"/>
      <c r="O164" s="921"/>
      <c r="P164" s="943"/>
      <c r="Q164" s="1151">
        <v>55</v>
      </c>
      <c r="R164" s="921"/>
      <c r="S164" s="943"/>
      <c r="T164" s="1147"/>
      <c r="U164" s="921"/>
      <c r="V164" s="921"/>
      <c r="W164" s="921"/>
      <c r="X164" s="921"/>
      <c r="Y164" s="921"/>
      <c r="Z164" s="921"/>
      <c r="AA164" s="943"/>
      <c r="AB164" s="1148">
        <v>0</v>
      </c>
      <c r="AC164" s="921"/>
      <c r="AD164" s="921"/>
      <c r="AE164" s="921"/>
      <c r="AF164" s="921"/>
      <c r="AG164" s="1149"/>
      <c r="AH164" s="242"/>
      <c r="AI164" s="242"/>
      <c r="AJ164" s="242"/>
      <c r="AK164" s="242" t="s">
        <v>9</v>
      </c>
      <c r="AL164" s="242"/>
      <c r="AM164" s="242"/>
      <c r="AN164" s="242"/>
      <c r="AO164" s="242"/>
      <c r="AP164" s="242"/>
      <c r="AQ164" s="242"/>
      <c r="AR164" s="242"/>
      <c r="AS164" s="242"/>
      <c r="AT164" s="242"/>
      <c r="AU164" s="242"/>
      <c r="AV164" s="242"/>
      <c r="AW164" s="242"/>
      <c r="AX164" s="242"/>
      <c r="AY164" s="242"/>
      <c r="AZ164" s="242"/>
      <c r="BA164" s="242"/>
      <c r="BB164" s="242"/>
      <c r="BC164" s="242"/>
      <c r="BD164" s="242"/>
      <c r="BE164" s="258"/>
      <c r="BF164" s="239"/>
      <c r="BG164" s="239"/>
      <c r="BH164" s="239"/>
      <c r="BI164" s="239"/>
      <c r="BJ164" s="239"/>
      <c r="BK164" s="239"/>
      <c r="BL164" s="239"/>
      <c r="BM164" s="239"/>
      <c r="BN164" s="239"/>
      <c r="BO164" s="239"/>
      <c r="BP164" s="239"/>
      <c r="BQ164" s="239"/>
      <c r="BR164" s="239"/>
      <c r="BS164" s="239"/>
      <c r="BT164" s="239"/>
      <c r="BU164" s="239"/>
      <c r="BV164" s="239"/>
      <c r="BW164" s="239"/>
      <c r="BX164" s="239"/>
      <c r="BY164" s="239"/>
      <c r="BZ164" s="239"/>
      <c r="CA164" s="239"/>
      <c r="CB164" s="239"/>
      <c r="CC164" s="239"/>
      <c r="CD164" s="239"/>
      <c r="CE164" s="239"/>
      <c r="CF164" s="239"/>
      <c r="CG164" s="239"/>
    </row>
    <row r="165" spans="1:85" ht="15.75" customHeight="1">
      <c r="A165" s="242"/>
      <c r="B165" s="242"/>
      <c r="C165" s="1296" t="s">
        <v>289</v>
      </c>
      <c r="D165" s="1154"/>
      <c r="E165" s="1190"/>
      <c r="F165" s="1289" t="s">
        <v>1745</v>
      </c>
      <c r="G165" s="1154"/>
      <c r="H165" s="1154"/>
      <c r="I165" s="1154"/>
      <c r="J165" s="1154"/>
      <c r="K165" s="1154"/>
      <c r="L165" s="1154"/>
      <c r="M165" s="1154"/>
      <c r="N165" s="1154"/>
      <c r="O165" s="1154"/>
      <c r="P165" s="1190"/>
      <c r="Q165" s="1295">
        <v>55</v>
      </c>
      <c r="R165" s="1154"/>
      <c r="S165" s="1190"/>
      <c r="T165" s="1291"/>
      <c r="U165" s="1154"/>
      <c r="V165" s="1154"/>
      <c r="W165" s="1154"/>
      <c r="X165" s="1154"/>
      <c r="Y165" s="1154"/>
      <c r="Z165" s="1154"/>
      <c r="AA165" s="1190"/>
      <c r="AB165" s="1297">
        <v>0</v>
      </c>
      <c r="AC165" s="1154"/>
      <c r="AD165" s="1154"/>
      <c r="AE165" s="1154"/>
      <c r="AF165" s="1154"/>
      <c r="AG165" s="1155"/>
      <c r="AH165" s="242"/>
      <c r="AI165" s="242"/>
      <c r="AJ165" s="242"/>
      <c r="AK165" s="242"/>
      <c r="AL165" s="242"/>
      <c r="AM165" s="242"/>
      <c r="AN165" s="242"/>
      <c r="AO165" s="242"/>
      <c r="AP165" s="242"/>
      <c r="AQ165" s="242"/>
      <c r="AR165" s="242"/>
      <c r="AS165" s="242"/>
      <c r="AT165" s="242"/>
      <c r="AU165" s="242"/>
      <c r="AV165" s="242"/>
      <c r="AW165" s="242"/>
      <c r="AX165" s="242"/>
      <c r="AY165" s="242"/>
      <c r="AZ165" s="242"/>
      <c r="BA165" s="242"/>
      <c r="BB165" s="242"/>
      <c r="BC165" s="242"/>
      <c r="BD165" s="242"/>
      <c r="BE165" s="258"/>
      <c r="BF165" s="239"/>
      <c r="BG165" s="239"/>
      <c r="BH165" s="239"/>
      <c r="BI165" s="239"/>
      <c r="BJ165" s="239"/>
      <c r="BK165" s="239"/>
      <c r="BL165" s="239"/>
      <c r="BM165" s="239"/>
      <c r="BN165" s="239"/>
      <c r="BO165" s="239"/>
      <c r="BP165" s="239"/>
      <c r="BQ165" s="239"/>
      <c r="BR165" s="239"/>
      <c r="BS165" s="239"/>
      <c r="BT165" s="239"/>
      <c r="BU165" s="239"/>
      <c r="BV165" s="239"/>
      <c r="BW165" s="239"/>
      <c r="BX165" s="239"/>
      <c r="BY165" s="239"/>
      <c r="BZ165" s="239"/>
      <c r="CA165" s="239"/>
      <c r="CB165" s="239"/>
      <c r="CC165" s="239"/>
      <c r="CD165" s="239"/>
      <c r="CE165" s="239"/>
      <c r="CF165" s="239"/>
      <c r="CG165" s="239"/>
    </row>
    <row r="166" spans="1:85" ht="15.75" customHeight="1">
      <c r="A166" s="242"/>
      <c r="B166" s="242"/>
      <c r="C166" s="242"/>
      <c r="D166" s="242"/>
      <c r="E166" s="242"/>
      <c r="F166" s="242"/>
      <c r="G166" s="242"/>
      <c r="H166" s="242"/>
      <c r="I166" s="242"/>
      <c r="J166" s="242"/>
      <c r="K166" s="242"/>
      <c r="L166" s="242"/>
      <c r="M166" s="242"/>
      <c r="N166" s="242"/>
      <c r="O166" s="242"/>
      <c r="P166" s="242"/>
      <c r="Q166" s="242"/>
      <c r="R166" s="242"/>
      <c r="S166" s="242"/>
      <c r="T166" s="242"/>
      <c r="U166" s="242"/>
      <c r="V166" s="242"/>
      <c r="W166" s="242"/>
      <c r="X166" s="242"/>
      <c r="Y166" s="242"/>
      <c r="Z166" s="242"/>
      <c r="AA166" s="242"/>
      <c r="AB166" s="242"/>
      <c r="AC166" s="242"/>
      <c r="AD166" s="242"/>
      <c r="AE166" s="242"/>
      <c r="AF166" s="242"/>
      <c r="AG166" s="242"/>
      <c r="AH166" s="242"/>
      <c r="AI166" s="242"/>
      <c r="AJ166" s="242"/>
      <c r="AK166" s="242"/>
      <c r="AL166" s="242"/>
      <c r="AM166" s="242"/>
      <c r="AN166" s="242"/>
      <c r="AO166" s="242"/>
      <c r="AP166" s="242"/>
      <c r="AQ166" s="242"/>
      <c r="AR166" s="242"/>
      <c r="AS166" s="242"/>
      <c r="AT166" s="242"/>
      <c r="AU166" s="242"/>
      <c r="AV166" s="242"/>
      <c r="AW166" s="242"/>
      <c r="AX166" s="242"/>
      <c r="AY166" s="242"/>
      <c r="AZ166" s="242"/>
      <c r="BA166" s="242"/>
      <c r="BB166" s="242"/>
      <c r="BC166" s="242"/>
      <c r="BD166" s="242"/>
      <c r="BE166" s="258"/>
      <c r="BF166" s="239"/>
      <c r="BG166" s="239"/>
      <c r="BH166" s="239"/>
      <c r="BI166" s="239"/>
      <c r="BJ166" s="239"/>
      <c r="BK166" s="239"/>
      <c r="BL166" s="239"/>
      <c r="BM166" s="239"/>
      <c r="BN166" s="239"/>
      <c r="BO166" s="239"/>
      <c r="BP166" s="239"/>
      <c r="BQ166" s="239"/>
      <c r="BR166" s="239"/>
      <c r="BS166" s="239"/>
      <c r="BT166" s="239"/>
      <c r="BU166" s="239"/>
      <c r="BV166" s="239"/>
      <c r="BW166" s="239"/>
      <c r="BX166" s="239"/>
      <c r="BY166" s="239"/>
      <c r="BZ166" s="239"/>
      <c r="CA166" s="239"/>
      <c r="CB166" s="239"/>
      <c r="CC166" s="239"/>
      <c r="CD166" s="239"/>
      <c r="CE166" s="239"/>
      <c r="CF166" s="239"/>
      <c r="CG166" s="239"/>
    </row>
    <row r="167" spans="1:85" ht="15.75" customHeight="1">
      <c r="A167" s="242"/>
      <c r="B167" s="242"/>
      <c r="C167" s="1191" t="s">
        <v>1750</v>
      </c>
      <c r="D167" s="1177"/>
      <c r="E167" s="1177"/>
      <c r="F167" s="1177"/>
      <c r="G167" s="1177"/>
      <c r="H167" s="1177"/>
      <c r="I167" s="1177"/>
      <c r="J167" s="1177"/>
      <c r="K167" s="1177"/>
      <c r="L167" s="1177"/>
      <c r="M167" s="1177"/>
      <c r="N167" s="1178"/>
      <c r="O167" s="242"/>
      <c r="P167" s="1290" t="s">
        <v>1752</v>
      </c>
      <c r="Q167" s="1177"/>
      <c r="R167" s="1177"/>
      <c r="S167" s="1177"/>
      <c r="T167" s="1177"/>
      <c r="U167" s="1177"/>
      <c r="V167" s="1177"/>
      <c r="W167" s="1177"/>
      <c r="X167" s="1177"/>
      <c r="Y167" s="1177"/>
      <c r="Z167" s="1177"/>
      <c r="AA167" s="1177"/>
      <c r="AB167" s="1177"/>
      <c r="AC167" s="1177"/>
      <c r="AD167" s="1177"/>
      <c r="AE167" s="1177"/>
      <c r="AF167" s="1177"/>
      <c r="AG167" s="1177"/>
      <c r="AH167" s="1177"/>
      <c r="AI167" s="1177"/>
      <c r="AJ167" s="1177"/>
      <c r="AK167" s="1177"/>
      <c r="AL167" s="1177"/>
      <c r="AM167" s="1177"/>
      <c r="AN167" s="1177"/>
      <c r="AO167" s="1178"/>
      <c r="AP167" s="242"/>
      <c r="AQ167" s="242"/>
      <c r="AR167" s="242"/>
      <c r="AS167" s="242"/>
      <c r="AT167" s="242"/>
      <c r="AU167" s="242"/>
      <c r="AV167" s="242"/>
      <c r="AW167" s="242"/>
      <c r="AX167" s="242"/>
      <c r="AY167" s="242"/>
      <c r="AZ167" s="242"/>
      <c r="BA167" s="242"/>
      <c r="BB167" s="242"/>
      <c r="BC167" s="242"/>
      <c r="BD167" s="242"/>
      <c r="BE167" s="258"/>
      <c r="BF167" s="239"/>
      <c r="BG167" s="239"/>
      <c r="BH167" s="239"/>
      <c r="BI167" s="239"/>
      <c r="BJ167" s="239"/>
      <c r="BK167" s="239"/>
      <c r="BL167" s="239"/>
      <c r="BM167" s="239"/>
      <c r="BN167" s="239"/>
      <c r="BO167" s="239"/>
      <c r="BP167" s="239"/>
      <c r="BQ167" s="239"/>
      <c r="BR167" s="239"/>
      <c r="BS167" s="239"/>
      <c r="BT167" s="239"/>
      <c r="BU167" s="239"/>
      <c r="BV167" s="239"/>
      <c r="BW167" s="239"/>
      <c r="BX167" s="239"/>
      <c r="BY167" s="239"/>
      <c r="BZ167" s="239"/>
      <c r="CA167" s="239"/>
      <c r="CB167" s="239"/>
      <c r="CC167" s="239"/>
      <c r="CD167" s="239"/>
      <c r="CE167" s="239"/>
      <c r="CF167" s="239"/>
      <c r="CG167" s="239"/>
    </row>
    <row r="168" spans="1:85" ht="15.75" customHeight="1">
      <c r="A168" s="242"/>
      <c r="B168" s="242"/>
      <c r="C168" s="1194" t="s">
        <v>1754</v>
      </c>
      <c r="D168" s="921"/>
      <c r="E168" s="921"/>
      <c r="F168" s="921"/>
      <c r="G168" s="921"/>
      <c r="H168" s="943"/>
      <c r="I168" s="1195" t="s">
        <v>1755</v>
      </c>
      <c r="J168" s="921"/>
      <c r="K168" s="921"/>
      <c r="L168" s="921"/>
      <c r="M168" s="921"/>
      <c r="N168" s="1149"/>
      <c r="O168" s="242"/>
      <c r="P168" s="1158" t="s">
        <v>1572</v>
      </c>
      <c r="Q168" s="947"/>
      <c r="R168" s="947"/>
      <c r="S168" s="947"/>
      <c r="T168" s="947"/>
      <c r="U168" s="947"/>
      <c r="V168" s="947"/>
      <c r="W168" s="947"/>
      <c r="X168" s="947"/>
      <c r="Y168" s="947"/>
      <c r="Z168" s="947"/>
      <c r="AA168" s="947"/>
      <c r="AB168" s="947"/>
      <c r="AC168" s="947"/>
      <c r="AD168" s="947"/>
      <c r="AE168" s="947"/>
      <c r="AF168" s="947"/>
      <c r="AG168" s="947"/>
      <c r="AH168" s="947"/>
      <c r="AI168" s="947"/>
      <c r="AJ168" s="947"/>
      <c r="AK168" s="947"/>
      <c r="AL168" s="947"/>
      <c r="AM168" s="947"/>
      <c r="AN168" s="947"/>
      <c r="AO168" s="1159"/>
      <c r="AP168" s="242"/>
      <c r="AQ168" s="242"/>
      <c r="AR168" s="242"/>
      <c r="AS168" s="242"/>
      <c r="AT168" s="242"/>
      <c r="AU168" s="242"/>
      <c r="AV168" s="242"/>
      <c r="AW168" s="242"/>
      <c r="AX168" s="242"/>
      <c r="AY168" s="242"/>
      <c r="AZ168" s="242"/>
      <c r="BA168" s="242"/>
      <c r="BB168" s="242"/>
      <c r="BC168" s="242"/>
      <c r="BD168" s="242"/>
      <c r="BE168" s="258"/>
      <c r="BF168" s="239"/>
      <c r="BG168" s="239"/>
      <c r="BH168" s="239"/>
      <c r="BI168" s="239"/>
      <c r="BJ168" s="239"/>
      <c r="BK168" s="239"/>
      <c r="BL168" s="239"/>
      <c r="BM168" s="239"/>
      <c r="BN168" s="239"/>
      <c r="BO168" s="239"/>
      <c r="BP168" s="239"/>
      <c r="BQ168" s="239"/>
      <c r="BR168" s="239"/>
      <c r="BS168" s="239"/>
      <c r="BT168" s="239"/>
      <c r="BU168" s="239"/>
      <c r="BV168" s="239"/>
      <c r="BW168" s="239"/>
      <c r="BX168" s="239"/>
      <c r="BY168" s="239"/>
      <c r="BZ168" s="239"/>
      <c r="CA168" s="239"/>
      <c r="CB168" s="239"/>
      <c r="CC168" s="239"/>
      <c r="CD168" s="239"/>
      <c r="CE168" s="239"/>
      <c r="CF168" s="239"/>
      <c r="CG168" s="239"/>
    </row>
    <row r="169" spans="1:85" ht="15.75" customHeight="1">
      <c r="A169" s="242"/>
      <c r="B169" s="242"/>
      <c r="C169" s="1165"/>
      <c r="D169" s="921"/>
      <c r="E169" s="921"/>
      <c r="F169" s="921"/>
      <c r="G169" s="921"/>
      <c r="H169" s="943"/>
      <c r="I169" s="1147"/>
      <c r="J169" s="921"/>
      <c r="K169" s="921"/>
      <c r="L169" s="921"/>
      <c r="M169" s="921"/>
      <c r="N169" s="1149"/>
      <c r="O169" s="242"/>
      <c r="P169" s="1160"/>
      <c r="Q169" s="893"/>
      <c r="R169" s="893"/>
      <c r="S169" s="893"/>
      <c r="T169" s="893"/>
      <c r="U169" s="893"/>
      <c r="V169" s="893"/>
      <c r="W169" s="893"/>
      <c r="X169" s="893"/>
      <c r="Y169" s="893"/>
      <c r="Z169" s="893"/>
      <c r="AA169" s="893"/>
      <c r="AB169" s="893"/>
      <c r="AC169" s="893"/>
      <c r="AD169" s="893"/>
      <c r="AE169" s="893"/>
      <c r="AF169" s="893"/>
      <c r="AG169" s="893"/>
      <c r="AH169" s="893"/>
      <c r="AI169" s="893"/>
      <c r="AJ169" s="893"/>
      <c r="AK169" s="893"/>
      <c r="AL169" s="893"/>
      <c r="AM169" s="893"/>
      <c r="AN169" s="893"/>
      <c r="AO169" s="1161"/>
      <c r="AP169" s="242"/>
      <c r="AQ169" s="242"/>
      <c r="AR169" s="242"/>
      <c r="AS169" s="242"/>
      <c r="AT169" s="242"/>
      <c r="AU169" s="242"/>
      <c r="AV169" s="242"/>
      <c r="AW169" s="242"/>
      <c r="AX169" s="242"/>
      <c r="AY169" s="242"/>
      <c r="AZ169" s="242"/>
      <c r="BA169" s="242"/>
      <c r="BB169" s="242"/>
      <c r="BC169" s="242"/>
      <c r="BD169" s="242"/>
      <c r="BE169" s="258"/>
      <c r="BF169" s="239"/>
      <c r="BG169" s="239"/>
      <c r="BH169" s="239"/>
      <c r="BI169" s="239"/>
      <c r="BJ169" s="239"/>
      <c r="BK169" s="239"/>
      <c r="BL169" s="239"/>
      <c r="BM169" s="239"/>
      <c r="BN169" s="239"/>
      <c r="BO169" s="239"/>
      <c r="BP169" s="239"/>
      <c r="BQ169" s="239"/>
      <c r="BR169" s="239"/>
      <c r="BS169" s="239"/>
      <c r="BT169" s="239"/>
      <c r="BU169" s="239"/>
      <c r="BV169" s="239"/>
      <c r="BW169" s="239"/>
      <c r="BX169" s="239"/>
      <c r="BY169" s="239"/>
      <c r="BZ169" s="239"/>
      <c r="CA169" s="239"/>
      <c r="CB169" s="239"/>
      <c r="CC169" s="239"/>
      <c r="CD169" s="239"/>
      <c r="CE169" s="239"/>
      <c r="CF169" s="239"/>
      <c r="CG169" s="239"/>
    </row>
    <row r="170" spans="1:85" ht="15.75" customHeight="1">
      <c r="A170" s="242"/>
      <c r="B170" s="242"/>
      <c r="C170" s="1165"/>
      <c r="D170" s="921"/>
      <c r="E170" s="921"/>
      <c r="F170" s="921"/>
      <c r="G170" s="921"/>
      <c r="H170" s="943"/>
      <c r="I170" s="1147"/>
      <c r="J170" s="921"/>
      <c r="K170" s="921"/>
      <c r="L170" s="921"/>
      <c r="M170" s="921"/>
      <c r="N170" s="1149"/>
      <c r="O170" s="242"/>
      <c r="P170" s="1160"/>
      <c r="Q170" s="893"/>
      <c r="R170" s="893"/>
      <c r="S170" s="893"/>
      <c r="T170" s="893"/>
      <c r="U170" s="893"/>
      <c r="V170" s="893"/>
      <c r="W170" s="893"/>
      <c r="X170" s="893"/>
      <c r="Y170" s="893"/>
      <c r="Z170" s="893"/>
      <c r="AA170" s="893"/>
      <c r="AB170" s="893"/>
      <c r="AC170" s="893"/>
      <c r="AD170" s="893"/>
      <c r="AE170" s="893"/>
      <c r="AF170" s="893"/>
      <c r="AG170" s="893"/>
      <c r="AH170" s="893"/>
      <c r="AI170" s="893"/>
      <c r="AJ170" s="893"/>
      <c r="AK170" s="893"/>
      <c r="AL170" s="893"/>
      <c r="AM170" s="893"/>
      <c r="AN170" s="893"/>
      <c r="AO170" s="1161"/>
      <c r="AP170" s="242"/>
      <c r="AQ170" s="242"/>
      <c r="AR170" s="242"/>
      <c r="AS170" s="242"/>
      <c r="AT170" s="242"/>
      <c r="AU170" s="242"/>
      <c r="AV170" s="242"/>
      <c r="AW170" s="242"/>
      <c r="AX170" s="242"/>
      <c r="AY170" s="242"/>
      <c r="AZ170" s="242"/>
      <c r="BA170" s="242"/>
      <c r="BB170" s="242"/>
      <c r="BC170" s="242"/>
      <c r="BD170" s="242"/>
      <c r="BE170" s="258"/>
      <c r="BF170" s="239"/>
      <c r="BG170" s="239"/>
      <c r="BH170" s="239"/>
      <c r="BI170" s="239"/>
      <c r="BJ170" s="239"/>
      <c r="BK170" s="239"/>
      <c r="BL170" s="239"/>
      <c r="BM170" s="239"/>
      <c r="BN170" s="239"/>
      <c r="BO170" s="239"/>
      <c r="BP170" s="239"/>
      <c r="BQ170" s="239"/>
      <c r="BR170" s="239"/>
      <c r="BS170" s="239"/>
      <c r="BT170" s="239"/>
      <c r="BU170" s="239"/>
      <c r="BV170" s="239"/>
      <c r="BW170" s="239"/>
      <c r="BX170" s="239"/>
      <c r="BY170" s="239"/>
      <c r="BZ170" s="239"/>
      <c r="CA170" s="239"/>
      <c r="CB170" s="239"/>
      <c r="CC170" s="239"/>
      <c r="CD170" s="239"/>
      <c r="CE170" s="239"/>
      <c r="CF170" s="239"/>
      <c r="CG170" s="239"/>
    </row>
    <row r="171" spans="1:85" ht="15.75" customHeight="1">
      <c r="A171" s="242"/>
      <c r="B171" s="242"/>
      <c r="C171" s="1165"/>
      <c r="D171" s="921"/>
      <c r="E171" s="921"/>
      <c r="F171" s="921"/>
      <c r="G171" s="921"/>
      <c r="H171" s="943"/>
      <c r="I171" s="1147"/>
      <c r="J171" s="921"/>
      <c r="K171" s="921"/>
      <c r="L171" s="921"/>
      <c r="M171" s="921"/>
      <c r="N171" s="1149"/>
      <c r="O171" s="242"/>
      <c r="P171" s="1160"/>
      <c r="Q171" s="893"/>
      <c r="R171" s="893"/>
      <c r="S171" s="893"/>
      <c r="T171" s="893"/>
      <c r="U171" s="893"/>
      <c r="V171" s="893"/>
      <c r="W171" s="893"/>
      <c r="X171" s="893"/>
      <c r="Y171" s="893"/>
      <c r="Z171" s="893"/>
      <c r="AA171" s="893"/>
      <c r="AB171" s="893"/>
      <c r="AC171" s="893"/>
      <c r="AD171" s="893"/>
      <c r="AE171" s="893"/>
      <c r="AF171" s="893"/>
      <c r="AG171" s="893"/>
      <c r="AH171" s="893"/>
      <c r="AI171" s="893"/>
      <c r="AJ171" s="893"/>
      <c r="AK171" s="893"/>
      <c r="AL171" s="893"/>
      <c r="AM171" s="893"/>
      <c r="AN171" s="893"/>
      <c r="AO171" s="1161"/>
      <c r="AP171" s="242"/>
      <c r="AQ171" s="242"/>
      <c r="AR171" s="242"/>
      <c r="AS171" s="242"/>
      <c r="AT171" s="242"/>
      <c r="AU171" s="242"/>
      <c r="AV171" s="242"/>
      <c r="AW171" s="242"/>
      <c r="AX171" s="242"/>
      <c r="AY171" s="242"/>
      <c r="AZ171" s="242"/>
      <c r="BA171" s="242"/>
      <c r="BB171" s="242"/>
      <c r="BC171" s="242"/>
      <c r="BD171" s="242"/>
      <c r="BE171" s="258"/>
      <c r="BF171" s="239"/>
      <c r="BG171" s="239"/>
      <c r="BH171" s="239"/>
      <c r="BI171" s="239"/>
      <c r="BJ171" s="239"/>
      <c r="BK171" s="239"/>
      <c r="BL171" s="239"/>
      <c r="BM171" s="239"/>
      <c r="BN171" s="239"/>
      <c r="BO171" s="239"/>
      <c r="BP171" s="239"/>
      <c r="BQ171" s="239"/>
      <c r="BR171" s="239"/>
      <c r="BS171" s="239"/>
      <c r="BT171" s="239"/>
      <c r="BU171" s="239"/>
      <c r="BV171" s="239"/>
      <c r="BW171" s="239"/>
      <c r="BX171" s="239"/>
      <c r="BY171" s="239"/>
      <c r="BZ171" s="239"/>
      <c r="CA171" s="239"/>
      <c r="CB171" s="239"/>
      <c r="CC171" s="239"/>
      <c r="CD171" s="239"/>
      <c r="CE171" s="239"/>
      <c r="CF171" s="239"/>
      <c r="CG171" s="239"/>
    </row>
    <row r="172" spans="1:85" ht="15.75" customHeight="1">
      <c r="A172" s="242"/>
      <c r="B172" s="242"/>
      <c r="C172" s="1165"/>
      <c r="D172" s="921"/>
      <c r="E172" s="921"/>
      <c r="F172" s="921"/>
      <c r="G172" s="921"/>
      <c r="H172" s="943"/>
      <c r="I172" s="1147"/>
      <c r="J172" s="921"/>
      <c r="K172" s="921"/>
      <c r="L172" s="921"/>
      <c r="M172" s="921"/>
      <c r="N172" s="1149"/>
      <c r="O172" s="242"/>
      <c r="P172" s="1160"/>
      <c r="Q172" s="893"/>
      <c r="R172" s="893"/>
      <c r="S172" s="893"/>
      <c r="T172" s="893"/>
      <c r="U172" s="893"/>
      <c r="V172" s="893"/>
      <c r="W172" s="893"/>
      <c r="X172" s="893"/>
      <c r="Y172" s="893"/>
      <c r="Z172" s="893"/>
      <c r="AA172" s="893"/>
      <c r="AB172" s="893"/>
      <c r="AC172" s="893"/>
      <c r="AD172" s="893"/>
      <c r="AE172" s="893"/>
      <c r="AF172" s="893"/>
      <c r="AG172" s="893"/>
      <c r="AH172" s="893"/>
      <c r="AI172" s="893"/>
      <c r="AJ172" s="893"/>
      <c r="AK172" s="893"/>
      <c r="AL172" s="893"/>
      <c r="AM172" s="893"/>
      <c r="AN172" s="893"/>
      <c r="AO172" s="1161"/>
      <c r="AP172" s="242"/>
      <c r="AQ172" s="242"/>
      <c r="AR172" s="242"/>
      <c r="AS172" s="242"/>
      <c r="AT172" s="242"/>
      <c r="AU172" s="242"/>
      <c r="AV172" s="242"/>
      <c r="AW172" s="242"/>
      <c r="AX172" s="242"/>
      <c r="AY172" s="242"/>
      <c r="AZ172" s="242"/>
      <c r="BA172" s="242"/>
      <c r="BB172" s="242"/>
      <c r="BC172" s="242"/>
      <c r="BD172" s="242"/>
      <c r="BE172" s="258"/>
      <c r="BF172" s="239"/>
      <c r="BG172" s="239"/>
      <c r="BH172" s="239"/>
      <c r="BI172" s="239"/>
      <c r="BJ172" s="239"/>
      <c r="BK172" s="239"/>
      <c r="BL172" s="239"/>
      <c r="BM172" s="239"/>
      <c r="BN172" s="239"/>
      <c r="BO172" s="239"/>
      <c r="BP172" s="239"/>
      <c r="BQ172" s="239"/>
      <c r="BR172" s="239"/>
      <c r="BS172" s="239"/>
      <c r="BT172" s="239"/>
      <c r="BU172" s="239"/>
      <c r="BV172" s="239"/>
      <c r="BW172" s="239"/>
      <c r="BX172" s="239"/>
      <c r="BY172" s="239"/>
      <c r="BZ172" s="239"/>
      <c r="CA172" s="239"/>
      <c r="CB172" s="239"/>
      <c r="CC172" s="239"/>
      <c r="CD172" s="239"/>
      <c r="CE172" s="239"/>
      <c r="CF172" s="239"/>
      <c r="CG172" s="239"/>
    </row>
    <row r="173" spans="1:85" ht="15.75" customHeight="1">
      <c r="A173" s="242"/>
      <c r="B173" s="242"/>
      <c r="C173" s="1165"/>
      <c r="D173" s="921"/>
      <c r="E173" s="921"/>
      <c r="F173" s="921"/>
      <c r="G173" s="921"/>
      <c r="H173" s="943"/>
      <c r="I173" s="1147"/>
      <c r="J173" s="921"/>
      <c r="K173" s="921"/>
      <c r="L173" s="921"/>
      <c r="M173" s="921"/>
      <c r="N173" s="1149"/>
      <c r="O173" s="242"/>
      <c r="P173" s="1160"/>
      <c r="Q173" s="893"/>
      <c r="R173" s="893"/>
      <c r="S173" s="893"/>
      <c r="T173" s="893"/>
      <c r="U173" s="893"/>
      <c r="V173" s="893"/>
      <c r="W173" s="893"/>
      <c r="X173" s="893"/>
      <c r="Y173" s="893"/>
      <c r="Z173" s="893"/>
      <c r="AA173" s="893"/>
      <c r="AB173" s="893"/>
      <c r="AC173" s="893"/>
      <c r="AD173" s="893"/>
      <c r="AE173" s="893"/>
      <c r="AF173" s="893"/>
      <c r="AG173" s="893"/>
      <c r="AH173" s="893"/>
      <c r="AI173" s="893"/>
      <c r="AJ173" s="893"/>
      <c r="AK173" s="893"/>
      <c r="AL173" s="893"/>
      <c r="AM173" s="893"/>
      <c r="AN173" s="893"/>
      <c r="AO173" s="1161"/>
      <c r="AP173" s="242"/>
      <c r="AQ173" s="242"/>
      <c r="AR173" s="242"/>
      <c r="AS173" s="242"/>
      <c r="AT173" s="242"/>
      <c r="AU173" s="242"/>
      <c r="AV173" s="242"/>
      <c r="AW173" s="242"/>
      <c r="AX173" s="242"/>
      <c r="AY173" s="242"/>
      <c r="AZ173" s="242"/>
      <c r="BA173" s="242"/>
      <c r="BB173" s="242"/>
      <c r="BC173" s="242"/>
      <c r="BD173" s="242"/>
      <c r="BE173" s="258"/>
      <c r="BF173" s="239"/>
      <c r="BG173" s="239"/>
      <c r="BH173" s="239"/>
      <c r="BI173" s="239"/>
      <c r="BJ173" s="239"/>
      <c r="BK173" s="239"/>
      <c r="BL173" s="239"/>
      <c r="BM173" s="239"/>
      <c r="BN173" s="239"/>
      <c r="BO173" s="239"/>
      <c r="BP173" s="239"/>
      <c r="BQ173" s="239"/>
      <c r="BR173" s="239"/>
      <c r="BS173" s="239"/>
      <c r="BT173" s="239"/>
      <c r="BU173" s="239"/>
      <c r="BV173" s="239"/>
      <c r="BW173" s="239"/>
      <c r="BX173" s="239"/>
      <c r="BY173" s="239"/>
      <c r="BZ173" s="239"/>
      <c r="CA173" s="239"/>
      <c r="CB173" s="239"/>
      <c r="CC173" s="239"/>
      <c r="CD173" s="239"/>
      <c r="CE173" s="239"/>
      <c r="CF173" s="239"/>
      <c r="CG173" s="239"/>
    </row>
    <row r="174" spans="1:85" ht="15.75" customHeight="1">
      <c r="A174" s="242"/>
      <c r="B174" s="242"/>
      <c r="C174" s="1165"/>
      <c r="D174" s="921"/>
      <c r="E174" s="921"/>
      <c r="F174" s="921"/>
      <c r="G174" s="921"/>
      <c r="H174" s="943"/>
      <c r="I174" s="1147"/>
      <c r="J174" s="921"/>
      <c r="K174" s="921"/>
      <c r="L174" s="921"/>
      <c r="M174" s="921"/>
      <c r="N174" s="1149"/>
      <c r="O174" s="242"/>
      <c r="P174" s="1160"/>
      <c r="Q174" s="893"/>
      <c r="R174" s="893"/>
      <c r="S174" s="893"/>
      <c r="T174" s="893"/>
      <c r="U174" s="893"/>
      <c r="V174" s="893"/>
      <c r="W174" s="893"/>
      <c r="X174" s="893"/>
      <c r="Y174" s="893"/>
      <c r="Z174" s="893"/>
      <c r="AA174" s="893"/>
      <c r="AB174" s="893"/>
      <c r="AC174" s="893"/>
      <c r="AD174" s="893"/>
      <c r="AE174" s="893"/>
      <c r="AF174" s="893"/>
      <c r="AG174" s="893"/>
      <c r="AH174" s="893"/>
      <c r="AI174" s="893"/>
      <c r="AJ174" s="893"/>
      <c r="AK174" s="893"/>
      <c r="AL174" s="893"/>
      <c r="AM174" s="893"/>
      <c r="AN174" s="893"/>
      <c r="AO174" s="1161"/>
      <c r="AP174" s="242"/>
      <c r="AQ174" s="242"/>
      <c r="AR174" s="242"/>
      <c r="AS174" s="242"/>
      <c r="AT174" s="242"/>
      <c r="AU174" s="242"/>
      <c r="AV174" s="242"/>
      <c r="AW174" s="242"/>
      <c r="AX174" s="242"/>
      <c r="AY174" s="242"/>
      <c r="AZ174" s="242"/>
      <c r="BA174" s="242"/>
      <c r="BB174" s="242"/>
      <c r="BC174" s="242"/>
      <c r="BD174" s="242"/>
      <c r="BE174" s="258"/>
      <c r="BF174" s="239"/>
      <c r="BG174" s="239"/>
      <c r="BH174" s="239"/>
      <c r="BI174" s="239"/>
      <c r="BJ174" s="239"/>
      <c r="BK174" s="239"/>
      <c r="BL174" s="239"/>
      <c r="BM174" s="239"/>
      <c r="BN174" s="239"/>
      <c r="BO174" s="239"/>
      <c r="BP174" s="239"/>
      <c r="BQ174" s="239"/>
      <c r="BR174" s="239"/>
      <c r="BS174" s="239"/>
      <c r="BT174" s="239"/>
      <c r="BU174" s="239"/>
      <c r="BV174" s="239"/>
      <c r="BW174" s="239"/>
      <c r="BX174" s="239"/>
      <c r="BY174" s="239"/>
      <c r="BZ174" s="239"/>
      <c r="CA174" s="239"/>
      <c r="CB174" s="239"/>
      <c r="CC174" s="239"/>
      <c r="CD174" s="239"/>
      <c r="CE174" s="239"/>
      <c r="CF174" s="239"/>
      <c r="CG174" s="239"/>
    </row>
    <row r="175" spans="1:85" ht="15.75" customHeight="1">
      <c r="A175" s="242"/>
      <c r="B175" s="242"/>
      <c r="C175" s="1284"/>
      <c r="D175" s="1154"/>
      <c r="E175" s="1154"/>
      <c r="F175" s="1154"/>
      <c r="G175" s="1154"/>
      <c r="H175" s="1190"/>
      <c r="I175" s="1291"/>
      <c r="J175" s="1154"/>
      <c r="K175" s="1154"/>
      <c r="L175" s="1154"/>
      <c r="M175" s="1154"/>
      <c r="N175" s="1155"/>
      <c r="O175" s="242"/>
      <c r="P175" s="1162"/>
      <c r="Q175" s="1163"/>
      <c r="R175" s="1163"/>
      <c r="S175" s="1163"/>
      <c r="T175" s="1163"/>
      <c r="U175" s="1163"/>
      <c r="V175" s="1163"/>
      <c r="W175" s="1163"/>
      <c r="X175" s="1163"/>
      <c r="Y175" s="1163"/>
      <c r="Z175" s="1163"/>
      <c r="AA175" s="1163"/>
      <c r="AB175" s="1163"/>
      <c r="AC175" s="1163"/>
      <c r="AD175" s="1163"/>
      <c r="AE175" s="1163"/>
      <c r="AF175" s="1163"/>
      <c r="AG175" s="1163"/>
      <c r="AH175" s="1163"/>
      <c r="AI175" s="1163"/>
      <c r="AJ175" s="1163"/>
      <c r="AK175" s="1163"/>
      <c r="AL175" s="1163"/>
      <c r="AM175" s="1163"/>
      <c r="AN175" s="1163"/>
      <c r="AO175" s="1164"/>
      <c r="AP175" s="242"/>
      <c r="AQ175" s="242"/>
      <c r="AR175" s="242"/>
      <c r="AS175" s="242"/>
      <c r="AT175" s="242"/>
      <c r="AU175" s="242"/>
      <c r="AV175" s="242"/>
      <c r="AW175" s="242"/>
      <c r="AX175" s="242"/>
      <c r="AY175" s="242"/>
      <c r="AZ175" s="242"/>
      <c r="BA175" s="242"/>
      <c r="BB175" s="242"/>
      <c r="BC175" s="242"/>
      <c r="BD175" s="242"/>
      <c r="BE175" s="258"/>
      <c r="BF175" s="239"/>
      <c r="BG175" s="239"/>
      <c r="BH175" s="239"/>
      <c r="BI175" s="239"/>
      <c r="BJ175" s="239"/>
      <c r="BK175" s="239"/>
      <c r="BL175" s="239"/>
      <c r="BM175" s="239"/>
      <c r="BN175" s="239"/>
      <c r="BO175" s="239"/>
      <c r="BP175" s="239"/>
      <c r="BQ175" s="239"/>
      <c r="BR175" s="239"/>
      <c r="BS175" s="239"/>
      <c r="BT175" s="239"/>
      <c r="BU175" s="239"/>
      <c r="BV175" s="239"/>
      <c r="BW175" s="239"/>
      <c r="BX175" s="239"/>
      <c r="BY175" s="239"/>
      <c r="BZ175" s="239"/>
      <c r="CA175" s="239"/>
      <c r="CB175" s="239"/>
      <c r="CC175" s="239"/>
      <c r="CD175" s="239"/>
      <c r="CE175" s="239"/>
      <c r="CF175" s="239"/>
      <c r="CG175" s="239"/>
    </row>
    <row r="176" spans="1:85" ht="15.75" customHeight="1">
      <c r="A176" s="242"/>
      <c r="B176" s="242"/>
      <c r="C176" s="242"/>
      <c r="D176" s="242"/>
      <c r="E176" s="242"/>
      <c r="F176" s="242"/>
      <c r="G176" s="242"/>
      <c r="H176" s="242"/>
      <c r="I176" s="242"/>
      <c r="J176" s="242"/>
      <c r="K176" s="242"/>
      <c r="L176" s="242"/>
      <c r="M176" s="242"/>
      <c r="N176" s="242"/>
      <c r="O176" s="242"/>
      <c r="P176" s="242"/>
      <c r="Q176" s="242"/>
      <c r="R176" s="242"/>
      <c r="S176" s="242"/>
      <c r="T176" s="242"/>
      <c r="U176" s="242"/>
      <c r="V176" s="242"/>
      <c r="W176" s="242"/>
      <c r="X176" s="242"/>
      <c r="Y176" s="242"/>
      <c r="Z176" s="242"/>
      <c r="AA176" s="242"/>
      <c r="AB176" s="242"/>
      <c r="AC176" s="242"/>
      <c r="AD176" s="242"/>
      <c r="AE176" s="242"/>
      <c r="AF176" s="242"/>
      <c r="AG176" s="242"/>
      <c r="AH176" s="242"/>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c r="BD176" s="242"/>
      <c r="BE176" s="258"/>
      <c r="BF176" s="239"/>
      <c r="BG176" s="239"/>
      <c r="BH176" s="239"/>
      <c r="BI176" s="239"/>
      <c r="BJ176" s="239"/>
      <c r="BK176" s="239"/>
      <c r="BL176" s="239"/>
      <c r="BM176" s="239"/>
      <c r="BN176" s="239"/>
      <c r="BO176" s="239"/>
      <c r="BP176" s="239"/>
      <c r="BQ176" s="239"/>
      <c r="BR176" s="239"/>
      <c r="BS176" s="239"/>
      <c r="BT176" s="239"/>
      <c r="BU176" s="239"/>
      <c r="BV176" s="239"/>
      <c r="BW176" s="239"/>
      <c r="BX176" s="239"/>
      <c r="BY176" s="239"/>
      <c r="BZ176" s="239"/>
      <c r="CA176" s="239"/>
      <c r="CB176" s="239"/>
      <c r="CC176" s="239"/>
      <c r="CD176" s="239"/>
      <c r="CE176" s="239"/>
      <c r="CF176" s="239"/>
      <c r="CG176" s="239"/>
    </row>
    <row r="177" spans="1:85" ht="15.75" customHeight="1">
      <c r="A177" s="242"/>
      <c r="B177" s="242"/>
      <c r="C177" s="1179" t="s">
        <v>1765</v>
      </c>
      <c r="D177" s="1180"/>
      <c r="E177" s="1180"/>
      <c r="F177" s="1180"/>
      <c r="G177" s="1180"/>
      <c r="H177" s="1180"/>
      <c r="I177" s="1180"/>
      <c r="J177" s="1180"/>
      <c r="K177" s="1180"/>
      <c r="L177" s="1180"/>
      <c r="M177" s="1180"/>
      <c r="N177" s="1180"/>
      <c r="O177" s="1180"/>
      <c r="P177" s="1180"/>
      <c r="Q177" s="1180"/>
      <c r="R177" s="1180"/>
      <c r="S177" s="1180"/>
      <c r="T177" s="1180"/>
      <c r="U177" s="1180"/>
      <c r="V177" s="1180"/>
      <c r="W177" s="1180"/>
      <c r="X177" s="1180"/>
      <c r="Y177" s="1180"/>
      <c r="Z177" s="1180"/>
      <c r="AA177" s="1180"/>
      <c r="AB177" s="1180"/>
      <c r="AC177" s="1180"/>
      <c r="AD177" s="1180"/>
      <c r="AE177" s="1184"/>
      <c r="AF177" s="242"/>
      <c r="AG177" s="242"/>
      <c r="AH177" s="1279"/>
      <c r="AI177" s="901"/>
      <c r="AJ177" s="901"/>
      <c r="AK177" s="901"/>
      <c r="AL177" s="901"/>
      <c r="AM177" s="901"/>
      <c r="AN177" s="901"/>
      <c r="AO177" s="901"/>
      <c r="AP177" s="901"/>
      <c r="AQ177" s="901"/>
      <c r="AR177" s="901"/>
      <c r="AS177" s="901"/>
      <c r="AT177" s="901"/>
      <c r="AU177" s="901"/>
      <c r="AV177" s="901"/>
      <c r="AW177" s="901"/>
      <c r="AX177" s="901"/>
      <c r="AY177" s="901"/>
      <c r="AZ177" s="901"/>
      <c r="BA177" s="901"/>
      <c r="BB177" s="901"/>
      <c r="BC177" s="901"/>
      <c r="BD177" s="901"/>
      <c r="BE177" s="902"/>
      <c r="BF177" s="239"/>
      <c r="BG177" s="239"/>
      <c r="BH177" s="239"/>
      <c r="BI177" s="239"/>
      <c r="BJ177" s="239"/>
      <c r="BK177" s="239"/>
      <c r="BL177" s="239"/>
      <c r="BM177" s="239"/>
      <c r="BN177" s="239"/>
      <c r="BO177" s="239"/>
      <c r="BP177" s="239"/>
      <c r="BQ177" s="239"/>
      <c r="BR177" s="239"/>
      <c r="BS177" s="239"/>
      <c r="BT177" s="239"/>
      <c r="BU177" s="239"/>
      <c r="BV177" s="239"/>
      <c r="BW177" s="239"/>
      <c r="BX177" s="239"/>
      <c r="BY177" s="239"/>
      <c r="BZ177" s="239"/>
      <c r="CA177" s="239"/>
      <c r="CB177" s="239"/>
      <c r="CC177" s="239"/>
      <c r="CD177" s="239"/>
      <c r="CE177" s="239"/>
      <c r="CF177" s="239"/>
      <c r="CG177" s="239"/>
    </row>
    <row r="178" spans="1:85" ht="15.75" customHeight="1">
      <c r="A178" s="242"/>
      <c r="B178" s="242"/>
      <c r="C178" s="1162"/>
      <c r="D178" s="1163"/>
      <c r="E178" s="1163"/>
      <c r="F178" s="1163"/>
      <c r="G178" s="1163"/>
      <c r="H178" s="1163"/>
      <c r="I178" s="1163"/>
      <c r="J178" s="1163"/>
      <c r="K178" s="1163"/>
      <c r="L178" s="1163"/>
      <c r="M178" s="1163"/>
      <c r="N178" s="1163"/>
      <c r="O178" s="1163"/>
      <c r="P178" s="1163"/>
      <c r="Q178" s="1163"/>
      <c r="R178" s="1163"/>
      <c r="S178" s="1163"/>
      <c r="T178" s="1163"/>
      <c r="U178" s="1163"/>
      <c r="V178" s="1163"/>
      <c r="W178" s="1163"/>
      <c r="X178" s="1163"/>
      <c r="Y178" s="1163"/>
      <c r="Z178" s="1163"/>
      <c r="AA178" s="1163"/>
      <c r="AB178" s="1163"/>
      <c r="AC178" s="1163"/>
      <c r="AD178" s="1163"/>
      <c r="AE178" s="1164"/>
      <c r="AF178" s="242"/>
      <c r="AG178" s="242"/>
      <c r="AH178" s="1048"/>
      <c r="AI178" s="893"/>
      <c r="AJ178" s="893"/>
      <c r="AK178" s="893"/>
      <c r="AL178" s="893"/>
      <c r="AM178" s="893"/>
      <c r="AN178" s="893"/>
      <c r="AO178" s="893"/>
      <c r="AP178" s="893"/>
      <c r="AQ178" s="893"/>
      <c r="AR178" s="893"/>
      <c r="AS178" s="893"/>
      <c r="AT178" s="893"/>
      <c r="AU178" s="893"/>
      <c r="AV178" s="893"/>
      <c r="AW178" s="893"/>
      <c r="AX178" s="893"/>
      <c r="AY178" s="893"/>
      <c r="AZ178" s="893"/>
      <c r="BA178" s="893"/>
      <c r="BB178" s="893"/>
      <c r="BC178" s="893"/>
      <c r="BD178" s="893"/>
      <c r="BE178" s="1049"/>
      <c r="BF178" s="239"/>
      <c r="BG178" s="239"/>
      <c r="BH178" s="239"/>
      <c r="BI178" s="239"/>
      <c r="BJ178" s="239"/>
      <c r="BK178" s="239"/>
      <c r="BL178" s="239"/>
      <c r="BM178" s="239"/>
      <c r="BN178" s="239"/>
      <c r="BO178" s="239"/>
      <c r="BP178" s="239"/>
      <c r="BQ178" s="239"/>
      <c r="BR178" s="239"/>
      <c r="BS178" s="239"/>
      <c r="BT178" s="239"/>
      <c r="BU178" s="239"/>
      <c r="BV178" s="239"/>
      <c r="BW178" s="239"/>
      <c r="BX178" s="239"/>
      <c r="BY178" s="239"/>
      <c r="BZ178" s="239"/>
      <c r="CA178" s="239"/>
      <c r="CB178" s="239"/>
      <c r="CC178" s="239"/>
      <c r="CD178" s="239"/>
      <c r="CE178" s="239"/>
      <c r="CF178" s="239"/>
      <c r="CG178" s="239"/>
    </row>
    <row r="179" spans="1:85" ht="15.75" customHeight="1">
      <c r="A179" s="242"/>
      <c r="B179" s="242"/>
      <c r="C179" s="1191" t="s">
        <v>1729</v>
      </c>
      <c r="D179" s="1177"/>
      <c r="E179" s="1177"/>
      <c r="F179" s="1177"/>
      <c r="G179" s="1177"/>
      <c r="H179" s="1177"/>
      <c r="I179" s="1177"/>
      <c r="J179" s="1177"/>
      <c r="K179" s="1177"/>
      <c r="L179" s="1177"/>
      <c r="M179" s="1192"/>
      <c r="N179" s="1280" t="s">
        <v>1768</v>
      </c>
      <c r="O179" s="1177"/>
      <c r="P179" s="1177"/>
      <c r="Q179" s="1177"/>
      <c r="R179" s="1177"/>
      <c r="S179" s="1177"/>
      <c r="T179" s="1192"/>
      <c r="U179" s="1280" t="s">
        <v>1729</v>
      </c>
      <c r="V179" s="1177"/>
      <c r="W179" s="1177"/>
      <c r="X179" s="1177"/>
      <c r="Y179" s="1177"/>
      <c r="Z179" s="1177"/>
      <c r="AA179" s="1177"/>
      <c r="AB179" s="1177"/>
      <c r="AC179" s="1177"/>
      <c r="AD179" s="1177"/>
      <c r="AE179" s="1178"/>
      <c r="AF179" s="242"/>
      <c r="AG179" s="242"/>
      <c r="AH179" s="1048"/>
      <c r="AI179" s="893"/>
      <c r="AJ179" s="893"/>
      <c r="AK179" s="893"/>
      <c r="AL179" s="893"/>
      <c r="AM179" s="893"/>
      <c r="AN179" s="893"/>
      <c r="AO179" s="893"/>
      <c r="AP179" s="893"/>
      <c r="AQ179" s="893"/>
      <c r="AR179" s="893"/>
      <c r="AS179" s="893"/>
      <c r="AT179" s="893"/>
      <c r="AU179" s="893"/>
      <c r="AV179" s="893"/>
      <c r="AW179" s="893"/>
      <c r="AX179" s="893"/>
      <c r="AY179" s="893"/>
      <c r="AZ179" s="893"/>
      <c r="BA179" s="893"/>
      <c r="BB179" s="893"/>
      <c r="BC179" s="893"/>
      <c r="BD179" s="893"/>
      <c r="BE179" s="1049"/>
      <c r="BF179" s="239"/>
      <c r="BG179" s="239"/>
      <c r="BH179" s="239"/>
      <c r="BI179" s="239"/>
      <c r="BJ179" s="239"/>
      <c r="BK179" s="239"/>
      <c r="BL179" s="239"/>
      <c r="BM179" s="239"/>
      <c r="BN179" s="239"/>
      <c r="BO179" s="239"/>
      <c r="BP179" s="239"/>
      <c r="BQ179" s="239"/>
      <c r="BR179" s="239"/>
      <c r="BS179" s="239"/>
      <c r="BT179" s="239"/>
      <c r="BU179" s="239"/>
      <c r="BV179" s="239"/>
      <c r="BW179" s="239"/>
      <c r="BX179" s="239"/>
      <c r="BY179" s="239"/>
      <c r="BZ179" s="239"/>
      <c r="CA179" s="239"/>
      <c r="CB179" s="239"/>
      <c r="CC179" s="239"/>
      <c r="CD179" s="239"/>
      <c r="CE179" s="239"/>
      <c r="CF179" s="239"/>
      <c r="CG179" s="239"/>
    </row>
    <row r="180" spans="1:85" ht="15.75" customHeight="1">
      <c r="A180" s="242"/>
      <c r="B180" s="242"/>
      <c r="C180" s="1262" t="s">
        <v>1770</v>
      </c>
      <c r="D180" s="921"/>
      <c r="E180" s="921"/>
      <c r="F180" s="921"/>
      <c r="G180" s="921"/>
      <c r="H180" s="921"/>
      <c r="I180" s="921"/>
      <c r="J180" s="921"/>
      <c r="K180" s="921"/>
      <c r="L180" s="921"/>
      <c r="M180" s="943"/>
      <c r="N180" s="1283">
        <f>'Sources and Uses Budget'!B105</f>
        <v>99176513</v>
      </c>
      <c r="O180" s="921"/>
      <c r="P180" s="921"/>
      <c r="Q180" s="921"/>
      <c r="R180" s="921"/>
      <c r="S180" s="921"/>
      <c r="T180" s="943"/>
      <c r="U180" s="1281"/>
      <c r="V180" s="921"/>
      <c r="W180" s="921"/>
      <c r="X180" s="921"/>
      <c r="Y180" s="921"/>
      <c r="Z180" s="921"/>
      <c r="AA180" s="921"/>
      <c r="AB180" s="921"/>
      <c r="AC180" s="921"/>
      <c r="AD180" s="921"/>
      <c r="AE180" s="1149"/>
      <c r="AF180" s="242"/>
      <c r="AG180" s="242"/>
      <c r="AH180" s="1048"/>
      <c r="AI180" s="893"/>
      <c r="AJ180" s="893"/>
      <c r="AK180" s="893"/>
      <c r="AL180" s="893"/>
      <c r="AM180" s="893"/>
      <c r="AN180" s="893"/>
      <c r="AO180" s="893"/>
      <c r="AP180" s="893"/>
      <c r="AQ180" s="893"/>
      <c r="AR180" s="893"/>
      <c r="AS180" s="893"/>
      <c r="AT180" s="893"/>
      <c r="AU180" s="893"/>
      <c r="AV180" s="893"/>
      <c r="AW180" s="893"/>
      <c r="AX180" s="893"/>
      <c r="AY180" s="893"/>
      <c r="AZ180" s="893"/>
      <c r="BA180" s="893"/>
      <c r="BB180" s="893"/>
      <c r="BC180" s="893"/>
      <c r="BD180" s="893"/>
      <c r="BE180" s="1049"/>
      <c r="BF180" s="239"/>
      <c r="BG180" s="239"/>
      <c r="BH180" s="239"/>
      <c r="BI180" s="239"/>
      <c r="BJ180" s="239"/>
      <c r="BK180" s="239"/>
      <c r="BL180" s="239"/>
      <c r="BM180" s="239"/>
      <c r="BN180" s="239"/>
      <c r="BO180" s="239"/>
      <c r="BP180" s="239"/>
      <c r="BQ180" s="239"/>
      <c r="BR180" s="239"/>
      <c r="BS180" s="239"/>
      <c r="BT180" s="239"/>
      <c r="BU180" s="239"/>
      <c r="BV180" s="239"/>
      <c r="BW180" s="239"/>
      <c r="BX180" s="239"/>
      <c r="BY180" s="239"/>
      <c r="BZ180" s="239"/>
      <c r="CA180" s="239"/>
      <c r="CB180" s="239"/>
      <c r="CC180" s="239"/>
      <c r="CD180" s="239"/>
      <c r="CE180" s="239"/>
      <c r="CF180" s="239"/>
      <c r="CG180" s="239"/>
    </row>
    <row r="181" spans="1:85" ht="15.75" customHeight="1">
      <c r="A181" s="242"/>
      <c r="B181" s="242"/>
      <c r="C181" s="1262" t="s">
        <v>1771</v>
      </c>
      <c r="D181" s="921"/>
      <c r="E181" s="921"/>
      <c r="F181" s="921"/>
      <c r="G181" s="921"/>
      <c r="H181" s="921"/>
      <c r="I181" s="921"/>
      <c r="J181" s="921"/>
      <c r="K181" s="921"/>
      <c r="L181" s="921"/>
      <c r="M181" s="943"/>
      <c r="N181" s="1283" t="e">
        <f ca="1">N180/J29</f>
        <v>#NAME?</v>
      </c>
      <c r="O181" s="921"/>
      <c r="P181" s="921"/>
      <c r="Q181" s="921"/>
      <c r="R181" s="921"/>
      <c r="S181" s="921"/>
      <c r="T181" s="943"/>
      <c r="U181" s="346"/>
      <c r="V181" s="346"/>
      <c r="W181" s="346"/>
      <c r="X181" s="346"/>
      <c r="Y181" s="346"/>
      <c r="Z181" s="346"/>
      <c r="AA181" s="346"/>
      <c r="AB181" s="346"/>
      <c r="AC181" s="346"/>
      <c r="AD181" s="346"/>
      <c r="AE181" s="347"/>
      <c r="AF181" s="242"/>
      <c r="AG181" s="242"/>
      <c r="AH181" s="1048"/>
      <c r="AI181" s="893"/>
      <c r="AJ181" s="893"/>
      <c r="AK181" s="893"/>
      <c r="AL181" s="893"/>
      <c r="AM181" s="893"/>
      <c r="AN181" s="893"/>
      <c r="AO181" s="893"/>
      <c r="AP181" s="893"/>
      <c r="AQ181" s="893"/>
      <c r="AR181" s="893"/>
      <c r="AS181" s="893"/>
      <c r="AT181" s="893"/>
      <c r="AU181" s="893"/>
      <c r="AV181" s="893"/>
      <c r="AW181" s="893"/>
      <c r="AX181" s="893"/>
      <c r="AY181" s="893"/>
      <c r="AZ181" s="893"/>
      <c r="BA181" s="893"/>
      <c r="BB181" s="893"/>
      <c r="BC181" s="893"/>
      <c r="BD181" s="893"/>
      <c r="BE181" s="1049"/>
      <c r="BF181" s="239"/>
      <c r="BG181" s="239"/>
      <c r="BH181" s="239"/>
      <c r="BI181" s="239"/>
      <c r="BJ181" s="239"/>
      <c r="BK181" s="239"/>
      <c r="BL181" s="239"/>
      <c r="BM181" s="239"/>
      <c r="BN181" s="239"/>
      <c r="BO181" s="239"/>
      <c r="BP181" s="239"/>
      <c r="BQ181" s="239"/>
      <c r="BR181" s="239"/>
      <c r="BS181" s="239"/>
      <c r="BT181" s="239"/>
      <c r="BU181" s="239"/>
      <c r="BV181" s="239"/>
      <c r="BW181" s="239"/>
      <c r="BX181" s="239"/>
      <c r="BY181" s="239"/>
      <c r="BZ181" s="239"/>
      <c r="CA181" s="239"/>
      <c r="CB181" s="239"/>
      <c r="CC181" s="239"/>
      <c r="CD181" s="239"/>
      <c r="CE181" s="239"/>
      <c r="CF181" s="239"/>
      <c r="CG181" s="239"/>
    </row>
    <row r="182" spans="1:85" ht="15.75" customHeight="1">
      <c r="A182" s="242"/>
      <c r="B182" s="242"/>
      <c r="C182" s="1262" t="s">
        <v>1773</v>
      </c>
      <c r="D182" s="921"/>
      <c r="E182" s="921"/>
      <c r="F182" s="921"/>
      <c r="G182" s="921"/>
      <c r="H182" s="921"/>
      <c r="I182" s="921"/>
      <c r="J182" s="921"/>
      <c r="K182" s="921"/>
      <c r="L182" s="921"/>
      <c r="M182" s="943"/>
      <c r="N182" s="1166">
        <v>0</v>
      </c>
      <c r="O182" s="921"/>
      <c r="P182" s="921"/>
      <c r="Q182" s="921"/>
      <c r="R182" s="921"/>
      <c r="S182" s="921"/>
      <c r="T182" s="943"/>
      <c r="U182" s="1207"/>
      <c r="V182" s="921"/>
      <c r="W182" s="921"/>
      <c r="X182" s="921"/>
      <c r="Y182" s="921"/>
      <c r="Z182" s="921"/>
      <c r="AA182" s="921"/>
      <c r="AB182" s="921"/>
      <c r="AC182" s="921"/>
      <c r="AD182" s="921"/>
      <c r="AE182" s="1149"/>
      <c r="AF182" s="242"/>
      <c r="AG182" s="242"/>
      <c r="AH182" s="1048"/>
      <c r="AI182" s="893"/>
      <c r="AJ182" s="893"/>
      <c r="AK182" s="893"/>
      <c r="AL182" s="893"/>
      <c r="AM182" s="893"/>
      <c r="AN182" s="893"/>
      <c r="AO182" s="893"/>
      <c r="AP182" s="893"/>
      <c r="AQ182" s="893"/>
      <c r="AR182" s="893"/>
      <c r="AS182" s="893"/>
      <c r="AT182" s="893"/>
      <c r="AU182" s="893"/>
      <c r="AV182" s="893"/>
      <c r="AW182" s="893"/>
      <c r="AX182" s="893"/>
      <c r="AY182" s="893"/>
      <c r="AZ182" s="893"/>
      <c r="BA182" s="893"/>
      <c r="BB182" s="893"/>
      <c r="BC182" s="893"/>
      <c r="BD182" s="893"/>
      <c r="BE182" s="1049"/>
      <c r="BF182" s="239"/>
      <c r="BG182" s="239"/>
      <c r="BH182" s="239"/>
      <c r="BI182" s="239"/>
      <c r="BJ182" s="239"/>
      <c r="BK182" s="239"/>
      <c r="BL182" s="239"/>
      <c r="BM182" s="239"/>
      <c r="BN182" s="239"/>
      <c r="BO182" s="239"/>
      <c r="BP182" s="239"/>
      <c r="BQ182" s="239"/>
      <c r="BR182" s="239"/>
      <c r="BS182" s="239"/>
      <c r="BT182" s="239"/>
      <c r="BU182" s="239"/>
      <c r="BV182" s="239"/>
      <c r="BW182" s="239"/>
      <c r="BX182" s="239"/>
      <c r="BY182" s="239"/>
      <c r="BZ182" s="239"/>
      <c r="CA182" s="239"/>
      <c r="CB182" s="239"/>
      <c r="CC182" s="239"/>
      <c r="CD182" s="239"/>
      <c r="CE182" s="239"/>
      <c r="CF182" s="239"/>
      <c r="CG182" s="239"/>
    </row>
    <row r="183" spans="1:85" ht="15.75" customHeight="1">
      <c r="A183" s="242"/>
      <c r="B183" s="242"/>
      <c r="C183" s="1262" t="s">
        <v>1778</v>
      </c>
      <c r="D183" s="921"/>
      <c r="E183" s="921"/>
      <c r="F183" s="921"/>
      <c r="G183" s="921"/>
      <c r="H183" s="921"/>
      <c r="I183" s="921"/>
      <c r="J183" s="921"/>
      <c r="K183" s="921"/>
      <c r="L183" s="921"/>
      <c r="M183" s="943"/>
      <c r="N183" s="1283">
        <f>SUM('Sources and Uses Budget'!B85:B86)</f>
        <v>200000</v>
      </c>
      <c r="O183" s="921"/>
      <c r="P183" s="921"/>
      <c r="Q183" s="921"/>
      <c r="R183" s="921"/>
      <c r="S183" s="921"/>
      <c r="T183" s="943"/>
      <c r="U183" s="1207"/>
      <c r="V183" s="921"/>
      <c r="W183" s="921"/>
      <c r="X183" s="921"/>
      <c r="Y183" s="921"/>
      <c r="Z183" s="921"/>
      <c r="AA183" s="921"/>
      <c r="AB183" s="921"/>
      <c r="AC183" s="921"/>
      <c r="AD183" s="921"/>
      <c r="AE183" s="1149"/>
      <c r="AF183" s="242"/>
      <c r="AG183" s="242"/>
      <c r="AH183" s="989"/>
      <c r="AI183" s="990"/>
      <c r="AJ183" s="990"/>
      <c r="AK183" s="990"/>
      <c r="AL183" s="990"/>
      <c r="AM183" s="990"/>
      <c r="AN183" s="990"/>
      <c r="AO183" s="990"/>
      <c r="AP183" s="990"/>
      <c r="AQ183" s="990"/>
      <c r="AR183" s="990"/>
      <c r="AS183" s="990"/>
      <c r="AT183" s="990"/>
      <c r="AU183" s="990"/>
      <c r="AV183" s="990"/>
      <c r="AW183" s="990"/>
      <c r="AX183" s="990"/>
      <c r="AY183" s="990"/>
      <c r="AZ183" s="990"/>
      <c r="BA183" s="990"/>
      <c r="BB183" s="990"/>
      <c r="BC183" s="990"/>
      <c r="BD183" s="990"/>
      <c r="BE183" s="991"/>
      <c r="BF183" s="239"/>
      <c r="BG183" s="239"/>
      <c r="BH183" s="239"/>
      <c r="BI183" s="239"/>
      <c r="BJ183" s="239"/>
      <c r="BK183" s="239"/>
      <c r="BL183" s="239"/>
      <c r="BM183" s="239"/>
      <c r="BN183" s="239"/>
      <c r="BO183" s="239"/>
      <c r="BP183" s="239"/>
      <c r="BQ183" s="239"/>
      <c r="BR183" s="239"/>
      <c r="BS183" s="239"/>
      <c r="BT183" s="239"/>
      <c r="BU183" s="239"/>
      <c r="BV183" s="239"/>
      <c r="BW183" s="239"/>
      <c r="BX183" s="239"/>
      <c r="BY183" s="239"/>
      <c r="BZ183" s="239"/>
      <c r="CA183" s="239"/>
      <c r="CB183" s="239"/>
      <c r="CC183" s="239"/>
      <c r="CD183" s="239"/>
      <c r="CE183" s="239"/>
      <c r="CF183" s="239"/>
      <c r="CG183" s="239"/>
    </row>
    <row r="184" spans="1:85" ht="15.75" customHeight="1">
      <c r="A184" s="242"/>
      <c r="B184" s="242"/>
      <c r="C184" s="1262" t="s">
        <v>1786</v>
      </c>
      <c r="D184" s="921"/>
      <c r="E184" s="921"/>
      <c r="F184" s="921"/>
      <c r="G184" s="921"/>
      <c r="H184" s="921"/>
      <c r="I184" s="921"/>
      <c r="J184" s="921"/>
      <c r="K184" s="921"/>
      <c r="L184" s="921"/>
      <c r="M184" s="943"/>
      <c r="N184" s="1283">
        <f>'Sources and Uses Budget'!B8</f>
        <v>6195898</v>
      </c>
      <c r="O184" s="921"/>
      <c r="P184" s="921"/>
      <c r="Q184" s="921"/>
      <c r="R184" s="921"/>
      <c r="S184" s="921"/>
      <c r="T184" s="943"/>
      <c r="U184" s="1207"/>
      <c r="V184" s="921"/>
      <c r="W184" s="921"/>
      <c r="X184" s="921"/>
      <c r="Y184" s="921"/>
      <c r="Z184" s="921"/>
      <c r="AA184" s="921"/>
      <c r="AB184" s="921"/>
      <c r="AC184" s="921"/>
      <c r="AD184" s="921"/>
      <c r="AE184" s="1149"/>
      <c r="AF184" s="242"/>
      <c r="AG184" s="242"/>
      <c r="AH184" s="1282" t="s">
        <v>1789</v>
      </c>
      <c r="AI184" s="1231"/>
      <c r="AJ184" s="1231"/>
      <c r="AK184" s="1231"/>
      <c r="AL184" s="1231"/>
      <c r="AM184" s="1231"/>
      <c r="AN184" s="1231"/>
      <c r="AO184" s="1231"/>
      <c r="AP184" s="1231"/>
      <c r="AQ184" s="1231"/>
      <c r="AR184" s="1231"/>
      <c r="AS184" s="1231"/>
      <c r="AT184" s="1231"/>
      <c r="AU184" s="1231"/>
      <c r="AV184" s="1231"/>
      <c r="AW184" s="1231"/>
      <c r="AX184" s="1231"/>
      <c r="AY184" s="1231"/>
      <c r="AZ184" s="1231"/>
      <c r="BA184" s="1231"/>
      <c r="BB184" s="1231"/>
      <c r="BC184" s="1231"/>
      <c r="BD184" s="1231"/>
      <c r="BE184" s="1232"/>
      <c r="BF184" s="239"/>
      <c r="BG184" s="239"/>
      <c r="BH184" s="239"/>
      <c r="BI184" s="239"/>
      <c r="BJ184" s="239"/>
      <c r="BK184" s="239"/>
      <c r="BL184" s="239"/>
      <c r="BM184" s="239"/>
      <c r="BN184" s="239"/>
      <c r="BO184" s="239"/>
      <c r="BP184" s="239"/>
      <c r="BQ184" s="239"/>
      <c r="BR184" s="239"/>
      <c r="BS184" s="239"/>
      <c r="BT184" s="239"/>
      <c r="BU184" s="239"/>
      <c r="BV184" s="239"/>
      <c r="BW184" s="239"/>
      <c r="BX184" s="239"/>
      <c r="BY184" s="239"/>
      <c r="BZ184" s="239"/>
      <c r="CA184" s="239"/>
      <c r="CB184" s="239"/>
      <c r="CC184" s="239"/>
      <c r="CD184" s="239"/>
      <c r="CE184" s="239"/>
      <c r="CF184" s="239"/>
      <c r="CG184" s="239"/>
    </row>
    <row r="185" spans="1:85" ht="15.75" customHeight="1">
      <c r="A185" s="242"/>
      <c r="B185" s="242"/>
      <c r="C185" s="1262" t="s">
        <v>1791</v>
      </c>
      <c r="D185" s="921"/>
      <c r="E185" s="921"/>
      <c r="F185" s="921"/>
      <c r="G185" s="921"/>
      <c r="H185" s="921"/>
      <c r="I185" s="921"/>
      <c r="J185" s="921"/>
      <c r="K185" s="921"/>
      <c r="L185" s="921"/>
      <c r="M185" s="943"/>
      <c r="N185" s="1166">
        <v>0</v>
      </c>
      <c r="O185" s="921"/>
      <c r="P185" s="921"/>
      <c r="Q185" s="921"/>
      <c r="R185" s="921"/>
      <c r="S185" s="921"/>
      <c r="T185" s="943"/>
      <c r="U185" s="1207"/>
      <c r="V185" s="921"/>
      <c r="W185" s="921"/>
      <c r="X185" s="921"/>
      <c r="Y185" s="921"/>
      <c r="Z185" s="921"/>
      <c r="AA185" s="921"/>
      <c r="AB185" s="921"/>
      <c r="AC185" s="921"/>
      <c r="AD185" s="921"/>
      <c r="AE185" s="1149"/>
      <c r="AF185" s="242"/>
      <c r="AG185" s="242"/>
      <c r="AH185" s="1259" t="s">
        <v>1789</v>
      </c>
      <c r="AI185" s="968"/>
      <c r="AJ185" s="968"/>
      <c r="AK185" s="968"/>
      <c r="AL185" s="968"/>
      <c r="AM185" s="968"/>
      <c r="AN185" s="968"/>
      <c r="AO185" s="968"/>
      <c r="AP185" s="968"/>
      <c r="AQ185" s="968"/>
      <c r="AR185" s="968"/>
      <c r="AS185" s="968"/>
      <c r="AT185" s="980"/>
      <c r="AU185" s="1260">
        <v>0</v>
      </c>
      <c r="AV185" s="968"/>
      <c r="AW185" s="968"/>
      <c r="AX185" s="968"/>
      <c r="AY185" s="968"/>
      <c r="AZ185" s="968"/>
      <c r="BA185" s="968"/>
      <c r="BB185" s="980"/>
      <c r="BC185" s="1261"/>
      <c r="BD185" s="968"/>
      <c r="BE185" s="1157"/>
      <c r="BF185" s="239"/>
      <c r="BG185" s="239"/>
      <c r="BH185" s="239"/>
      <c r="BI185" s="239"/>
      <c r="BJ185" s="239"/>
      <c r="BK185" s="239"/>
      <c r="BL185" s="239"/>
      <c r="BM185" s="239"/>
      <c r="BN185" s="239"/>
      <c r="BO185" s="239"/>
      <c r="BP185" s="239"/>
      <c r="BQ185" s="239"/>
      <c r="BR185" s="239"/>
      <c r="BS185" s="239"/>
      <c r="BT185" s="239"/>
      <c r="BU185" s="239"/>
      <c r="BV185" s="239"/>
      <c r="BW185" s="239"/>
      <c r="BX185" s="239"/>
      <c r="BY185" s="239"/>
      <c r="BZ185" s="239"/>
      <c r="CA185" s="239"/>
      <c r="CB185" s="239"/>
      <c r="CC185" s="239"/>
      <c r="CD185" s="239"/>
      <c r="CE185" s="239"/>
      <c r="CF185" s="239"/>
      <c r="CG185" s="239"/>
    </row>
    <row r="186" spans="1:85" ht="15.75" customHeight="1">
      <c r="A186" s="242"/>
      <c r="B186" s="242"/>
      <c r="C186" s="1262" t="s">
        <v>1795</v>
      </c>
      <c r="D186" s="921"/>
      <c r="E186" s="921"/>
      <c r="F186" s="921"/>
      <c r="G186" s="921"/>
      <c r="H186" s="921"/>
      <c r="I186" s="921"/>
      <c r="J186" s="921"/>
      <c r="K186" s="921"/>
      <c r="L186" s="921"/>
      <c r="M186" s="943"/>
      <c r="N186" s="1166">
        <v>0</v>
      </c>
      <c r="O186" s="921"/>
      <c r="P186" s="921"/>
      <c r="Q186" s="921"/>
      <c r="R186" s="921"/>
      <c r="S186" s="921"/>
      <c r="T186" s="943"/>
      <c r="U186" s="1207"/>
      <c r="V186" s="921"/>
      <c r="W186" s="921"/>
      <c r="X186" s="921"/>
      <c r="Y186" s="921"/>
      <c r="Z186" s="921"/>
      <c r="AA186" s="921"/>
      <c r="AB186" s="921"/>
      <c r="AC186" s="921"/>
      <c r="AD186" s="921"/>
      <c r="AE186" s="1149"/>
      <c r="AF186" s="242"/>
      <c r="AG186" s="242"/>
      <c r="AH186" s="1268" t="s">
        <v>1796</v>
      </c>
      <c r="AI186" s="921"/>
      <c r="AJ186" s="921"/>
      <c r="AK186" s="921"/>
      <c r="AL186" s="921"/>
      <c r="AM186" s="921"/>
      <c r="AN186" s="921"/>
      <c r="AO186" s="921"/>
      <c r="AP186" s="921"/>
      <c r="AQ186" s="921"/>
      <c r="AR186" s="921"/>
      <c r="AS186" s="921"/>
      <c r="AT186" s="943"/>
      <c r="AU186" s="1269"/>
      <c r="AV186" s="921"/>
      <c r="AW186" s="921"/>
      <c r="AX186" s="921"/>
      <c r="AY186" s="921"/>
      <c r="AZ186" s="921"/>
      <c r="BA186" s="921"/>
      <c r="BB186" s="943"/>
      <c r="BC186" s="1186"/>
      <c r="BD186" s="921"/>
      <c r="BE186" s="1149"/>
      <c r="BF186" s="239"/>
      <c r="BG186" s="239"/>
      <c r="BH186" s="239"/>
      <c r="BI186" s="239"/>
      <c r="BJ186" s="239"/>
      <c r="BK186" s="239"/>
      <c r="BL186" s="239"/>
      <c r="BM186" s="239"/>
      <c r="BN186" s="239"/>
      <c r="BO186" s="239"/>
      <c r="BP186" s="239"/>
      <c r="BQ186" s="239"/>
      <c r="BR186" s="239"/>
      <c r="BS186" s="239"/>
      <c r="BT186" s="239"/>
      <c r="BU186" s="239"/>
      <c r="BV186" s="239"/>
      <c r="BW186" s="239"/>
      <c r="BX186" s="239"/>
      <c r="BY186" s="239"/>
      <c r="BZ186" s="239"/>
      <c r="CA186" s="239"/>
      <c r="CB186" s="239"/>
      <c r="CC186" s="239"/>
      <c r="CD186" s="239"/>
      <c r="CE186" s="239"/>
      <c r="CF186" s="239"/>
      <c r="CG186" s="239"/>
    </row>
    <row r="187" spans="1:85" ht="15.75" customHeight="1">
      <c r="A187" s="242"/>
      <c r="B187" s="242"/>
      <c r="C187" s="1165" t="s">
        <v>808</v>
      </c>
      <c r="D187" s="943"/>
      <c r="E187" s="1207" t="s">
        <v>1745</v>
      </c>
      <c r="F187" s="921"/>
      <c r="G187" s="921"/>
      <c r="H187" s="921"/>
      <c r="I187" s="921"/>
      <c r="J187" s="921"/>
      <c r="K187" s="921"/>
      <c r="L187" s="921"/>
      <c r="M187" s="943"/>
      <c r="N187" s="1166">
        <v>0</v>
      </c>
      <c r="O187" s="921"/>
      <c r="P187" s="921"/>
      <c r="Q187" s="921"/>
      <c r="R187" s="921"/>
      <c r="S187" s="921"/>
      <c r="T187" s="943"/>
      <c r="U187" s="1207"/>
      <c r="V187" s="921"/>
      <c r="W187" s="921"/>
      <c r="X187" s="921"/>
      <c r="Y187" s="921"/>
      <c r="Z187" s="921"/>
      <c r="AA187" s="921"/>
      <c r="AB187" s="921"/>
      <c r="AC187" s="921"/>
      <c r="AD187" s="921"/>
      <c r="AE187" s="1149"/>
      <c r="AF187" s="242"/>
      <c r="AG187" s="242"/>
      <c r="AH187" s="1270" t="s">
        <v>1799</v>
      </c>
      <c r="AI187" s="921"/>
      <c r="AJ187" s="921"/>
      <c r="AK187" s="921"/>
      <c r="AL187" s="921"/>
      <c r="AM187" s="921"/>
      <c r="AN187" s="921"/>
      <c r="AO187" s="921"/>
      <c r="AP187" s="921"/>
      <c r="AQ187" s="921"/>
      <c r="AR187" s="921"/>
      <c r="AS187" s="921"/>
      <c r="AT187" s="943"/>
      <c r="AU187" s="1269">
        <f>SUM(AU185:BB186)</f>
        <v>0</v>
      </c>
      <c r="AV187" s="921"/>
      <c r="AW187" s="921"/>
      <c r="AX187" s="921"/>
      <c r="AY187" s="921"/>
      <c r="AZ187" s="921"/>
      <c r="BA187" s="921"/>
      <c r="BB187" s="943"/>
      <c r="BC187" s="1186"/>
      <c r="BD187" s="921"/>
      <c r="BE187" s="1149"/>
      <c r="BF187" s="239"/>
      <c r="BG187" s="239"/>
      <c r="BH187" s="239"/>
      <c r="BI187" s="239"/>
      <c r="BJ187" s="239"/>
      <c r="BK187" s="239"/>
      <c r="BL187" s="239"/>
      <c r="BM187" s="239"/>
      <c r="BN187" s="239"/>
      <c r="BO187" s="239"/>
      <c r="BP187" s="239"/>
      <c r="BQ187" s="239"/>
      <c r="BR187" s="239"/>
      <c r="BS187" s="239"/>
      <c r="BT187" s="239"/>
      <c r="BU187" s="239"/>
      <c r="BV187" s="239"/>
      <c r="BW187" s="239"/>
      <c r="BX187" s="239"/>
      <c r="BY187" s="239"/>
      <c r="BZ187" s="239"/>
      <c r="CA187" s="239"/>
      <c r="CB187" s="239"/>
      <c r="CC187" s="239"/>
      <c r="CD187" s="239"/>
      <c r="CE187" s="239"/>
      <c r="CF187" s="239"/>
      <c r="CG187" s="239"/>
    </row>
    <row r="188" spans="1:85" ht="15.75" customHeight="1">
      <c r="A188" s="242"/>
      <c r="B188" s="242"/>
      <c r="C188" s="1165" t="s">
        <v>808</v>
      </c>
      <c r="D188" s="943"/>
      <c r="E188" s="1207" t="s">
        <v>1745</v>
      </c>
      <c r="F188" s="921"/>
      <c r="G188" s="921"/>
      <c r="H188" s="921"/>
      <c r="I188" s="921"/>
      <c r="J188" s="921"/>
      <c r="K188" s="921"/>
      <c r="L188" s="921"/>
      <c r="M188" s="943"/>
      <c r="N188" s="1166">
        <v>0</v>
      </c>
      <c r="O188" s="921"/>
      <c r="P188" s="921"/>
      <c r="Q188" s="921"/>
      <c r="R188" s="921"/>
      <c r="S188" s="921"/>
      <c r="T188" s="943"/>
      <c r="U188" s="1207"/>
      <c r="V188" s="921"/>
      <c r="W188" s="921"/>
      <c r="X188" s="921"/>
      <c r="Y188" s="921"/>
      <c r="Z188" s="921"/>
      <c r="AA188" s="921"/>
      <c r="AB188" s="921"/>
      <c r="AC188" s="921"/>
      <c r="AD188" s="921"/>
      <c r="AE188" s="1149"/>
      <c r="AF188" s="242"/>
      <c r="AG188" s="242"/>
      <c r="AH188" s="358"/>
      <c r="AI188" s="359"/>
      <c r="AJ188" s="359"/>
      <c r="AK188" s="359"/>
      <c r="AL188" s="359"/>
      <c r="AM188" s="359"/>
      <c r="AN188" s="359"/>
      <c r="AO188" s="359"/>
      <c r="AP188" s="359"/>
      <c r="AQ188" s="359"/>
      <c r="AR188" s="359"/>
      <c r="AS188" s="359"/>
      <c r="AT188" s="359"/>
      <c r="AU188" s="359"/>
      <c r="AV188" s="359"/>
      <c r="AW188" s="359"/>
      <c r="AX188" s="359"/>
      <c r="AY188" s="359"/>
      <c r="AZ188" s="359"/>
      <c r="BA188" s="359"/>
      <c r="BB188" s="359"/>
      <c r="BC188" s="1271"/>
      <c r="BD188" s="1272"/>
      <c r="BE188" s="1273"/>
      <c r="BF188" s="239"/>
      <c r="BG188" s="239"/>
      <c r="BH188" s="239"/>
      <c r="BI188" s="239"/>
      <c r="BJ188" s="239"/>
      <c r="BK188" s="239"/>
      <c r="BL188" s="239"/>
      <c r="BM188" s="239"/>
      <c r="BN188" s="239"/>
      <c r="BO188" s="239"/>
      <c r="BP188" s="239"/>
      <c r="BQ188" s="239"/>
      <c r="BR188" s="239"/>
      <c r="BS188" s="239"/>
      <c r="BT188" s="239"/>
      <c r="BU188" s="239"/>
      <c r="BV188" s="239"/>
      <c r="BW188" s="239"/>
      <c r="BX188" s="239"/>
      <c r="BY188" s="239"/>
      <c r="BZ188" s="239"/>
      <c r="CA188" s="239"/>
      <c r="CB188" s="239"/>
      <c r="CC188" s="239"/>
      <c r="CD188" s="239"/>
      <c r="CE188" s="239"/>
      <c r="CF188" s="239"/>
      <c r="CG188" s="239"/>
    </row>
    <row r="189" spans="1:85" ht="15.75" customHeight="1">
      <c r="A189" s="242"/>
      <c r="B189" s="242"/>
      <c r="C189" s="1284" t="s">
        <v>808</v>
      </c>
      <c r="D189" s="1285"/>
      <c r="E189" s="1153" t="s">
        <v>1745</v>
      </c>
      <c r="F189" s="1154"/>
      <c r="G189" s="1154"/>
      <c r="H189" s="1154"/>
      <c r="I189" s="1154"/>
      <c r="J189" s="1154"/>
      <c r="K189" s="1154"/>
      <c r="L189" s="1154"/>
      <c r="M189" s="1155"/>
      <c r="N189" s="1286">
        <v>0</v>
      </c>
      <c r="O189" s="1154"/>
      <c r="P189" s="1154"/>
      <c r="Q189" s="1154"/>
      <c r="R189" s="1154"/>
      <c r="S189" s="1154"/>
      <c r="T189" s="1155"/>
      <c r="U189" s="1287"/>
      <c r="V189" s="1154"/>
      <c r="W189" s="1154"/>
      <c r="X189" s="1154"/>
      <c r="Y189" s="1154"/>
      <c r="Z189" s="1154"/>
      <c r="AA189" s="1154"/>
      <c r="AB189" s="1154"/>
      <c r="AC189" s="1154"/>
      <c r="AD189" s="1154"/>
      <c r="AE189" s="1155"/>
      <c r="AF189" s="242"/>
      <c r="AG189" s="242"/>
      <c r="AH189" s="1263" t="s">
        <v>1802</v>
      </c>
      <c r="AI189" s="1231"/>
      <c r="AJ189" s="1231"/>
      <c r="AK189" s="1231"/>
      <c r="AL189" s="1231"/>
      <c r="AM189" s="1231"/>
      <c r="AN189" s="1231"/>
      <c r="AO189" s="1231"/>
      <c r="AP189" s="1231"/>
      <c r="AQ189" s="1231"/>
      <c r="AR189" s="1231"/>
      <c r="AS189" s="1231"/>
      <c r="AT189" s="1264"/>
      <c r="AU189" s="1274"/>
      <c r="AV189" s="1231"/>
      <c r="AW189" s="1231"/>
      <c r="AX189" s="1231"/>
      <c r="AY189" s="1231"/>
      <c r="AZ189" s="1231"/>
      <c r="BA189" s="1231"/>
      <c r="BB189" s="1275"/>
      <c r="BC189" s="360"/>
      <c r="BD189" s="360"/>
      <c r="BE189" s="361"/>
      <c r="BF189" s="239"/>
      <c r="BG189" s="239"/>
      <c r="BH189" s="239"/>
      <c r="BI189" s="239"/>
      <c r="BJ189" s="239"/>
      <c r="BK189" s="239"/>
      <c r="BL189" s="239"/>
      <c r="BM189" s="239"/>
      <c r="BN189" s="239"/>
      <c r="BO189" s="239"/>
      <c r="BP189" s="239"/>
      <c r="BQ189" s="239"/>
      <c r="BR189" s="239"/>
      <c r="BS189" s="239"/>
      <c r="BT189" s="239"/>
      <c r="BU189" s="239"/>
      <c r="BV189" s="239"/>
      <c r="BW189" s="239"/>
      <c r="BX189" s="239"/>
      <c r="BY189" s="239"/>
      <c r="BZ189" s="239"/>
      <c r="CA189" s="239"/>
      <c r="CB189" s="239"/>
      <c r="CC189" s="239"/>
      <c r="CD189" s="239"/>
      <c r="CE189" s="239"/>
      <c r="CF189" s="239"/>
      <c r="CG189" s="239"/>
    </row>
    <row r="190" spans="1:85" ht="15.75" customHeight="1">
      <c r="A190" s="242"/>
      <c r="B190" s="242"/>
      <c r="C190" s="1276" t="s">
        <v>1804</v>
      </c>
      <c r="D190" s="1177"/>
      <c r="E190" s="1177"/>
      <c r="F190" s="1177"/>
      <c r="G190" s="1177"/>
      <c r="H190" s="1177"/>
      <c r="I190" s="1177"/>
      <c r="J190" s="1177"/>
      <c r="K190" s="1177"/>
      <c r="L190" s="1177"/>
      <c r="M190" s="1192"/>
      <c r="N190" s="1288">
        <f>SUM(N182:T189)</f>
        <v>6395898</v>
      </c>
      <c r="O190" s="1177"/>
      <c r="P190" s="1177"/>
      <c r="Q190" s="1177"/>
      <c r="R190" s="1177"/>
      <c r="S190" s="1177"/>
      <c r="T190" s="1178"/>
      <c r="U190" s="242"/>
      <c r="V190" s="242"/>
      <c r="W190" s="242"/>
      <c r="X190" s="242"/>
      <c r="Y190" s="242"/>
      <c r="Z190" s="242"/>
      <c r="AA190" s="242"/>
      <c r="AB190" s="242"/>
      <c r="AC190" s="242"/>
      <c r="AD190" s="242"/>
      <c r="AE190" s="242"/>
      <c r="AF190" s="242"/>
      <c r="AG190" s="242"/>
      <c r="AH190" s="1265" t="s">
        <v>1805</v>
      </c>
      <c r="AI190" s="901"/>
      <c r="AJ190" s="901"/>
      <c r="AK190" s="901"/>
      <c r="AL190" s="901"/>
      <c r="AM190" s="901"/>
      <c r="AN190" s="901"/>
      <c r="AO190" s="901"/>
      <c r="AP190" s="901"/>
      <c r="AQ190" s="901"/>
      <c r="AR190" s="901"/>
      <c r="AS190" s="901"/>
      <c r="AT190" s="901"/>
      <c r="AU190" s="901"/>
      <c r="AV190" s="901"/>
      <c r="AW190" s="901"/>
      <c r="AX190" s="901"/>
      <c r="AY190" s="901"/>
      <c r="AZ190" s="901"/>
      <c r="BA190" s="901"/>
      <c r="BB190" s="901"/>
      <c r="BC190" s="901"/>
      <c r="BD190" s="901"/>
      <c r="BE190" s="1228"/>
      <c r="BF190" s="239"/>
      <c r="BG190" s="239"/>
      <c r="BH190" s="239"/>
      <c r="BI190" s="239"/>
      <c r="BJ190" s="239"/>
      <c r="BK190" s="239"/>
      <c r="BL190" s="239"/>
      <c r="BM190" s="239"/>
      <c r="BN190" s="239"/>
      <c r="BO190" s="239"/>
      <c r="BP190" s="239"/>
      <c r="BQ190" s="239"/>
      <c r="BR190" s="239"/>
      <c r="BS190" s="239"/>
      <c r="BT190" s="239"/>
      <c r="BU190" s="239"/>
      <c r="BV190" s="239"/>
      <c r="BW190" s="239"/>
      <c r="BX190" s="239"/>
      <c r="BY190" s="239"/>
      <c r="BZ190" s="239"/>
      <c r="CA190" s="239"/>
      <c r="CB190" s="239"/>
      <c r="CC190" s="239"/>
      <c r="CD190" s="239"/>
      <c r="CE190" s="239"/>
      <c r="CF190" s="239"/>
      <c r="CG190" s="239"/>
    </row>
    <row r="191" spans="1:85" ht="15.75" customHeight="1">
      <c r="A191" s="242"/>
      <c r="B191" s="242"/>
      <c r="C191" s="1277" t="s">
        <v>1807</v>
      </c>
      <c r="D191" s="1154"/>
      <c r="E191" s="1154"/>
      <c r="F191" s="1154"/>
      <c r="G191" s="1154"/>
      <c r="H191" s="1154"/>
      <c r="I191" s="1154"/>
      <c r="J191" s="1154"/>
      <c r="K191" s="1154"/>
      <c r="L191" s="1154"/>
      <c r="M191" s="1190"/>
      <c r="N191" s="1278" t="e">
        <f ca="1">(N180-N190)/J29</f>
        <v>#NAME?</v>
      </c>
      <c r="O191" s="1154"/>
      <c r="P191" s="1154"/>
      <c r="Q191" s="1154"/>
      <c r="R191" s="1154"/>
      <c r="S191" s="1154"/>
      <c r="T191" s="1155"/>
      <c r="U191" s="259"/>
      <c r="V191" s="242"/>
      <c r="W191" s="242"/>
      <c r="X191" s="242"/>
      <c r="Y191" s="242"/>
      <c r="Z191" s="242"/>
      <c r="AA191" s="242"/>
      <c r="AB191" s="242"/>
      <c r="AC191" s="242"/>
      <c r="AD191" s="242"/>
      <c r="AE191" s="242"/>
      <c r="AF191" s="242"/>
      <c r="AG191" s="242"/>
      <c r="AH191" s="1162"/>
      <c r="AI191" s="1163"/>
      <c r="AJ191" s="1163"/>
      <c r="AK191" s="1163"/>
      <c r="AL191" s="1163"/>
      <c r="AM191" s="1163"/>
      <c r="AN191" s="1163"/>
      <c r="AO191" s="1163"/>
      <c r="AP191" s="1163"/>
      <c r="AQ191" s="1163"/>
      <c r="AR191" s="1163"/>
      <c r="AS191" s="1163"/>
      <c r="AT191" s="1163"/>
      <c r="AU191" s="1163"/>
      <c r="AV191" s="1163"/>
      <c r="AW191" s="1163"/>
      <c r="AX191" s="1163"/>
      <c r="AY191" s="1163"/>
      <c r="AZ191" s="1163"/>
      <c r="BA191" s="1163"/>
      <c r="BB191" s="1163"/>
      <c r="BC191" s="1163"/>
      <c r="BD191" s="1163"/>
      <c r="BE191" s="1164"/>
      <c r="BF191" s="239"/>
      <c r="BG191" s="239"/>
      <c r="BH191" s="239"/>
      <c r="BI191" s="239"/>
      <c r="BJ191" s="239"/>
      <c r="BK191" s="239"/>
      <c r="BL191" s="239"/>
      <c r="BM191" s="239"/>
      <c r="BN191" s="239"/>
      <c r="BO191" s="239"/>
      <c r="BP191" s="239"/>
      <c r="BQ191" s="239"/>
      <c r="BR191" s="239"/>
      <c r="BS191" s="239"/>
      <c r="BT191" s="239"/>
      <c r="BU191" s="239"/>
      <c r="BV191" s="239"/>
      <c r="BW191" s="239"/>
      <c r="BX191" s="239"/>
      <c r="BY191" s="239"/>
      <c r="BZ191" s="239"/>
      <c r="CA191" s="239"/>
      <c r="CB191" s="239"/>
      <c r="CC191" s="239"/>
      <c r="CD191" s="239"/>
      <c r="CE191" s="239"/>
      <c r="CF191" s="239"/>
      <c r="CG191" s="239"/>
    </row>
    <row r="192" spans="1:85" ht="15.75" customHeight="1">
      <c r="A192" s="242"/>
      <c r="B192" s="242"/>
      <c r="C192" s="242"/>
      <c r="D192" s="242"/>
      <c r="E192" s="242"/>
      <c r="F192" s="242"/>
      <c r="G192" s="24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1266"/>
      <c r="AI192" s="1118"/>
      <c r="AJ192" s="1118"/>
      <c r="AK192" s="1118"/>
      <c r="AL192" s="1118"/>
      <c r="AM192" s="1118"/>
      <c r="AN192" s="1118"/>
      <c r="AO192" s="1118"/>
      <c r="AP192" s="1118"/>
      <c r="AQ192" s="1118"/>
      <c r="AR192" s="1119"/>
      <c r="AS192" s="1267"/>
      <c r="AT192" s="1118"/>
      <c r="AU192" s="1118"/>
      <c r="AV192" s="1118"/>
      <c r="AW192" s="1118"/>
      <c r="AX192" s="1119"/>
      <c r="AY192" s="1267"/>
      <c r="AZ192" s="1118"/>
      <c r="BA192" s="1118"/>
      <c r="BB192" s="1118"/>
      <c r="BC192" s="1118"/>
      <c r="BD192" s="1119"/>
      <c r="BE192" s="258"/>
      <c r="BF192" s="239"/>
      <c r="BG192" s="239"/>
      <c r="BH192" s="239"/>
      <c r="BI192" s="239"/>
      <c r="BJ192" s="239"/>
      <c r="BK192" s="239"/>
      <c r="BL192" s="239"/>
      <c r="BM192" s="239"/>
      <c r="BN192" s="239"/>
      <c r="BO192" s="239"/>
      <c r="BP192" s="239"/>
      <c r="BQ192" s="239"/>
      <c r="BR192" s="239"/>
      <c r="BS192" s="239"/>
      <c r="BT192" s="239"/>
      <c r="BU192" s="239"/>
      <c r="BV192" s="239"/>
      <c r="BW192" s="239"/>
      <c r="BX192" s="239"/>
      <c r="BY192" s="239"/>
      <c r="BZ192" s="239"/>
      <c r="CA192" s="239"/>
      <c r="CB192" s="239"/>
      <c r="CC192" s="239"/>
      <c r="CD192" s="239"/>
      <c r="CE192" s="239"/>
      <c r="CF192" s="239"/>
      <c r="CG192" s="239"/>
    </row>
    <row r="193" spans="1:85" ht="15.75" customHeight="1">
      <c r="A193" s="242"/>
      <c r="B193" s="242"/>
      <c r="C193" s="242"/>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58"/>
      <c r="BF193" s="239"/>
      <c r="BG193" s="239"/>
      <c r="BH193" s="239"/>
      <c r="BI193" s="239"/>
      <c r="BJ193" s="239"/>
      <c r="BK193" s="239"/>
      <c r="BL193" s="239"/>
      <c r="BM193" s="239"/>
      <c r="BN193" s="239"/>
      <c r="BO193" s="239"/>
      <c r="BP193" s="239"/>
      <c r="BQ193" s="239"/>
      <c r="BR193" s="239"/>
      <c r="BS193" s="239"/>
      <c r="BT193" s="239"/>
      <c r="BU193" s="239"/>
      <c r="BV193" s="239"/>
      <c r="BW193" s="239"/>
      <c r="BX193" s="239"/>
      <c r="BY193" s="239"/>
      <c r="BZ193" s="239"/>
      <c r="CA193" s="239"/>
      <c r="CB193" s="239"/>
      <c r="CC193" s="239"/>
      <c r="CD193" s="239"/>
      <c r="CE193" s="239"/>
      <c r="CF193" s="239"/>
      <c r="CG193" s="239"/>
    </row>
    <row r="194" spans="1:85" ht="15.75" customHeight="1">
      <c r="A194" s="242"/>
      <c r="B194" s="242"/>
      <c r="C194" s="1251" t="s">
        <v>1813</v>
      </c>
      <c r="D194" s="1231"/>
      <c r="E194" s="1231"/>
      <c r="F194" s="1231"/>
      <c r="G194" s="1231"/>
      <c r="H194" s="1231"/>
      <c r="I194" s="1231"/>
      <c r="J194" s="1231"/>
      <c r="K194" s="1231"/>
      <c r="L194" s="1231"/>
      <c r="M194" s="1231"/>
      <c r="N194" s="1231"/>
      <c r="O194" s="1231"/>
      <c r="P194" s="1231"/>
      <c r="Q194" s="1231"/>
      <c r="R194" s="1231"/>
      <c r="S194" s="1231"/>
      <c r="T194" s="1231"/>
      <c r="U194" s="1231"/>
      <c r="V194" s="1231"/>
      <c r="W194" s="1231"/>
      <c r="X194" s="1231"/>
      <c r="Y194" s="1231"/>
      <c r="Z194" s="1231"/>
      <c r="AA194" s="1231"/>
      <c r="AB194" s="1231"/>
      <c r="AC194" s="1231"/>
      <c r="AD194" s="1231"/>
      <c r="AE194" s="123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c r="BD194" s="242"/>
      <c r="BE194" s="258"/>
      <c r="BF194" s="239"/>
      <c r="BG194" s="239"/>
      <c r="BH194" s="239"/>
      <c r="BI194" s="239"/>
      <c r="BJ194" s="239"/>
      <c r="BK194" s="239"/>
      <c r="BL194" s="239"/>
      <c r="BM194" s="239"/>
      <c r="BN194" s="239"/>
      <c r="BO194" s="239"/>
      <c r="BP194" s="239"/>
      <c r="BQ194" s="239"/>
      <c r="BR194" s="239"/>
      <c r="BS194" s="239"/>
      <c r="BT194" s="239"/>
      <c r="BU194" s="239"/>
      <c r="BV194" s="239"/>
      <c r="BW194" s="239"/>
      <c r="BX194" s="239"/>
      <c r="BY194" s="239"/>
      <c r="BZ194" s="239"/>
      <c r="CA194" s="239"/>
      <c r="CB194" s="239"/>
      <c r="CC194" s="239"/>
      <c r="CD194" s="239"/>
      <c r="CE194" s="239"/>
      <c r="CF194" s="239"/>
      <c r="CG194" s="239"/>
    </row>
    <row r="195" spans="1:85" ht="15.75" customHeight="1">
      <c r="A195" s="242"/>
      <c r="B195" s="242"/>
      <c r="C195" s="1252" t="s">
        <v>1815</v>
      </c>
      <c r="D195" s="968"/>
      <c r="E195" s="968"/>
      <c r="F195" s="968"/>
      <c r="G195" s="968"/>
      <c r="H195" s="968"/>
      <c r="I195" s="968"/>
      <c r="J195" s="968"/>
      <c r="K195" s="968"/>
      <c r="L195" s="968"/>
      <c r="M195" s="968"/>
      <c r="N195" s="980"/>
      <c r="O195" s="1253" t="s">
        <v>1816</v>
      </c>
      <c r="P195" s="968"/>
      <c r="Q195" s="968"/>
      <c r="R195" s="968"/>
      <c r="S195" s="968"/>
      <c r="T195" s="968"/>
      <c r="U195" s="968"/>
      <c r="V195" s="968"/>
      <c r="W195" s="980"/>
      <c r="X195" s="1253" t="s">
        <v>1817</v>
      </c>
      <c r="Y195" s="968"/>
      <c r="Z195" s="968"/>
      <c r="AA195" s="968"/>
      <c r="AB195" s="968"/>
      <c r="AC195" s="968"/>
      <c r="AD195" s="968"/>
      <c r="AE195" s="980"/>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58"/>
      <c r="BF195" s="239"/>
      <c r="BG195" s="239"/>
      <c r="BH195" s="239"/>
      <c r="BI195" s="239"/>
      <c r="BJ195" s="239"/>
      <c r="BK195" s="239"/>
      <c r="BL195" s="239"/>
      <c r="BM195" s="239"/>
      <c r="BN195" s="239"/>
      <c r="BO195" s="239"/>
      <c r="BP195" s="239"/>
      <c r="BQ195" s="239"/>
      <c r="BR195" s="239"/>
      <c r="BS195" s="239"/>
      <c r="BT195" s="239"/>
      <c r="BU195" s="239"/>
      <c r="BV195" s="239"/>
      <c r="BW195" s="239"/>
      <c r="BX195" s="239"/>
      <c r="BY195" s="239"/>
      <c r="BZ195" s="239"/>
      <c r="CA195" s="239"/>
      <c r="CB195" s="239"/>
      <c r="CC195" s="239"/>
      <c r="CD195" s="239"/>
      <c r="CE195" s="239"/>
      <c r="CF195" s="239"/>
      <c r="CG195" s="239"/>
    </row>
    <row r="196" spans="1:85" ht="15.75" customHeight="1">
      <c r="A196" s="242"/>
      <c r="B196" s="242"/>
      <c r="C196" s="1256" t="s">
        <v>1819</v>
      </c>
      <c r="D196" s="921"/>
      <c r="E196" s="921"/>
      <c r="F196" s="921"/>
      <c r="G196" s="921"/>
      <c r="H196" s="921"/>
      <c r="I196" s="921"/>
      <c r="J196" s="921"/>
      <c r="K196" s="921"/>
      <c r="L196" s="921"/>
      <c r="M196" s="921"/>
      <c r="N196" s="943"/>
      <c r="O196" s="1257" t="s">
        <v>1820</v>
      </c>
      <c r="P196" s="921"/>
      <c r="Q196" s="921"/>
      <c r="R196" s="921"/>
      <c r="S196" s="921"/>
      <c r="T196" s="921"/>
      <c r="U196" s="921"/>
      <c r="V196" s="921"/>
      <c r="W196" s="943"/>
      <c r="X196" s="1258">
        <v>0.03</v>
      </c>
      <c r="Y196" s="921"/>
      <c r="Z196" s="921"/>
      <c r="AA196" s="921"/>
      <c r="AB196" s="921"/>
      <c r="AC196" s="921"/>
      <c r="AD196" s="921"/>
      <c r="AE196" s="943"/>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58"/>
      <c r="BF196" s="239"/>
      <c r="BG196" s="239"/>
      <c r="BH196" s="239"/>
      <c r="BI196" s="239"/>
      <c r="BJ196" s="239"/>
      <c r="BK196" s="239"/>
      <c r="BL196" s="239"/>
      <c r="BM196" s="239"/>
      <c r="BN196" s="239"/>
      <c r="BO196" s="239"/>
      <c r="BP196" s="239"/>
      <c r="BQ196" s="239"/>
      <c r="BR196" s="239"/>
      <c r="BS196" s="239"/>
      <c r="BT196" s="239"/>
      <c r="BU196" s="239"/>
      <c r="BV196" s="239"/>
      <c r="BW196" s="239"/>
      <c r="BX196" s="239"/>
      <c r="BY196" s="239"/>
      <c r="BZ196" s="239"/>
      <c r="CA196" s="239"/>
      <c r="CB196" s="239"/>
      <c r="CC196" s="239"/>
      <c r="CD196" s="239"/>
      <c r="CE196" s="239"/>
      <c r="CF196" s="239"/>
      <c r="CG196" s="239"/>
    </row>
    <row r="197" spans="1:85" ht="15.75" customHeight="1">
      <c r="A197" s="242"/>
      <c r="B197" s="242"/>
      <c r="C197" s="1256" t="s">
        <v>1822</v>
      </c>
      <c r="D197" s="921"/>
      <c r="E197" s="921"/>
      <c r="F197" s="921"/>
      <c r="G197" s="921"/>
      <c r="H197" s="921"/>
      <c r="I197" s="921"/>
      <c r="J197" s="921"/>
      <c r="K197" s="921"/>
      <c r="L197" s="921"/>
      <c r="M197" s="921"/>
      <c r="N197" s="943"/>
      <c r="O197" s="1257" t="s">
        <v>1820</v>
      </c>
      <c r="P197" s="921"/>
      <c r="Q197" s="921"/>
      <c r="R197" s="921"/>
      <c r="S197" s="921"/>
      <c r="T197" s="921"/>
      <c r="U197" s="921"/>
      <c r="V197" s="921"/>
      <c r="W197" s="943"/>
      <c r="X197" s="1258">
        <v>0.03</v>
      </c>
      <c r="Y197" s="921"/>
      <c r="Z197" s="921"/>
      <c r="AA197" s="921"/>
      <c r="AB197" s="921"/>
      <c r="AC197" s="921"/>
      <c r="AD197" s="921"/>
      <c r="AE197" s="943"/>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42"/>
      <c r="BD197" s="242"/>
      <c r="BE197" s="258"/>
      <c r="BF197" s="239"/>
      <c r="BG197" s="239"/>
      <c r="BH197" s="239"/>
      <c r="BI197" s="239"/>
      <c r="BJ197" s="239"/>
      <c r="BK197" s="239"/>
      <c r="BL197" s="239"/>
      <c r="BM197" s="239"/>
      <c r="BN197" s="239"/>
      <c r="BO197" s="239"/>
      <c r="BP197" s="239"/>
      <c r="BQ197" s="239"/>
      <c r="BR197" s="239"/>
      <c r="BS197" s="239"/>
      <c r="BT197" s="239"/>
      <c r="BU197" s="239"/>
      <c r="BV197" s="239"/>
      <c r="BW197" s="239"/>
      <c r="BX197" s="239"/>
      <c r="BY197" s="239"/>
      <c r="BZ197" s="239"/>
      <c r="CA197" s="239"/>
      <c r="CB197" s="239"/>
      <c r="CC197" s="239"/>
      <c r="CD197" s="239"/>
      <c r="CE197" s="239"/>
      <c r="CF197" s="239"/>
      <c r="CG197" s="239"/>
    </row>
    <row r="198" spans="1:85" ht="15.75" customHeight="1">
      <c r="A198" s="242"/>
      <c r="B198" s="242"/>
      <c r="C198" s="1256" t="s">
        <v>1825</v>
      </c>
      <c r="D198" s="921"/>
      <c r="E198" s="921"/>
      <c r="F198" s="921"/>
      <c r="G198" s="921"/>
      <c r="H198" s="921"/>
      <c r="I198" s="921"/>
      <c r="J198" s="921"/>
      <c r="K198" s="921"/>
      <c r="L198" s="921"/>
      <c r="M198" s="921"/>
      <c r="N198" s="943"/>
      <c r="O198" s="1254">
        <f>SUM(O196:W197)</f>
        <v>0</v>
      </c>
      <c r="P198" s="961"/>
      <c r="Q198" s="961"/>
      <c r="R198" s="961"/>
      <c r="S198" s="961"/>
      <c r="T198" s="961"/>
      <c r="U198" s="961"/>
      <c r="V198" s="961"/>
      <c r="W198" s="962"/>
      <c r="X198" s="1255" t="s">
        <v>1826</v>
      </c>
      <c r="Y198" s="961"/>
      <c r="Z198" s="961"/>
      <c r="AA198" s="961"/>
      <c r="AB198" s="961"/>
      <c r="AC198" s="961"/>
      <c r="AD198" s="961"/>
      <c r="AE198" s="96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42"/>
      <c r="BD198" s="242"/>
      <c r="BE198" s="258"/>
      <c r="BF198" s="239"/>
      <c r="BG198" s="239"/>
      <c r="BH198" s="239"/>
      <c r="BI198" s="239"/>
      <c r="BJ198" s="239"/>
      <c r="BK198" s="239"/>
      <c r="BL198" s="239"/>
      <c r="BM198" s="239"/>
      <c r="BN198" s="239"/>
      <c r="BO198" s="239"/>
      <c r="BP198" s="239"/>
      <c r="BQ198" s="239"/>
      <c r="BR198" s="239"/>
      <c r="BS198" s="239"/>
      <c r="BT198" s="239"/>
      <c r="BU198" s="239"/>
      <c r="BV198" s="239"/>
      <c r="BW198" s="239"/>
      <c r="BX198" s="239"/>
      <c r="BY198" s="239"/>
      <c r="BZ198" s="239"/>
      <c r="CA198" s="239"/>
      <c r="CB198" s="239"/>
      <c r="CC198" s="239"/>
      <c r="CD198" s="239"/>
      <c r="CE198" s="239"/>
      <c r="CF198" s="239"/>
      <c r="CG198" s="239"/>
    </row>
    <row r="199" spans="1:85" ht="15.75" customHeight="1">
      <c r="A199" s="242"/>
      <c r="B199" s="242"/>
      <c r="C199" s="1229" t="s">
        <v>1827</v>
      </c>
      <c r="D199" s="921"/>
      <c r="E199" s="921"/>
      <c r="F199" s="921"/>
      <c r="G199" s="921"/>
      <c r="H199" s="921"/>
      <c r="I199" s="921"/>
      <c r="J199" s="921"/>
      <c r="K199" s="921"/>
      <c r="L199" s="921"/>
      <c r="M199" s="921"/>
      <c r="N199" s="921"/>
      <c r="O199" s="921"/>
      <c r="P199" s="921"/>
      <c r="Q199" s="921"/>
      <c r="R199" s="921"/>
      <c r="S199" s="921"/>
      <c r="T199" s="921"/>
      <c r="U199" s="921"/>
      <c r="V199" s="921"/>
      <c r="W199" s="921"/>
      <c r="X199" s="921"/>
      <c r="Y199" s="921"/>
      <c r="Z199" s="921"/>
      <c r="AA199" s="921"/>
      <c r="AB199" s="921"/>
      <c r="AC199" s="921"/>
      <c r="AD199" s="921"/>
      <c r="AE199" s="943"/>
      <c r="AF199" s="242"/>
      <c r="AG199" s="242"/>
      <c r="AH199" s="242"/>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c r="BD199" s="242"/>
      <c r="BE199" s="258"/>
      <c r="BF199" s="239"/>
      <c r="BG199" s="239"/>
      <c r="BH199" s="239"/>
      <c r="BI199" s="239"/>
      <c r="BJ199" s="239"/>
      <c r="BK199" s="239"/>
      <c r="BL199" s="239"/>
      <c r="BM199" s="239"/>
      <c r="BN199" s="239"/>
      <c r="BO199" s="239"/>
      <c r="BP199" s="239"/>
      <c r="BQ199" s="239"/>
      <c r="BR199" s="239"/>
      <c r="BS199" s="239"/>
      <c r="BT199" s="239"/>
      <c r="BU199" s="239"/>
      <c r="BV199" s="239"/>
      <c r="BW199" s="239"/>
      <c r="BX199" s="239"/>
      <c r="BY199" s="239"/>
      <c r="BZ199" s="239"/>
      <c r="CA199" s="239"/>
      <c r="CB199" s="239"/>
      <c r="CC199" s="239"/>
      <c r="CD199" s="239"/>
      <c r="CE199" s="239"/>
      <c r="CF199" s="239"/>
      <c r="CG199" s="239"/>
    </row>
    <row r="200" spans="1:85" ht="15.75" customHeight="1">
      <c r="A200" s="242"/>
      <c r="B200" s="242"/>
      <c r="C200" s="242"/>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c r="BD200" s="242"/>
      <c r="BE200" s="258"/>
      <c r="BF200" s="239"/>
      <c r="BG200" s="239"/>
      <c r="BH200" s="239"/>
      <c r="BI200" s="239"/>
      <c r="BJ200" s="239"/>
      <c r="BK200" s="239"/>
      <c r="BL200" s="239"/>
      <c r="BM200" s="239"/>
      <c r="BN200" s="239"/>
      <c r="BO200" s="239"/>
      <c r="BP200" s="239"/>
      <c r="BQ200" s="239"/>
      <c r="BR200" s="239"/>
      <c r="BS200" s="239"/>
      <c r="BT200" s="239"/>
      <c r="BU200" s="239"/>
      <c r="BV200" s="239"/>
      <c r="BW200" s="239"/>
      <c r="BX200" s="239"/>
      <c r="BY200" s="239"/>
      <c r="BZ200" s="239"/>
      <c r="CA200" s="239"/>
      <c r="CB200" s="239"/>
      <c r="CC200" s="239"/>
      <c r="CD200" s="239"/>
      <c r="CE200" s="239"/>
      <c r="CF200" s="239"/>
      <c r="CG200" s="239"/>
    </row>
    <row r="201" spans="1:85" ht="15.75" customHeight="1">
      <c r="A201" s="242"/>
      <c r="B201" s="242"/>
      <c r="C201" s="1230" t="s">
        <v>1829</v>
      </c>
      <c r="D201" s="1231"/>
      <c r="E201" s="1231"/>
      <c r="F201" s="1231"/>
      <c r="G201" s="1231"/>
      <c r="H201" s="1231"/>
      <c r="I201" s="1231"/>
      <c r="J201" s="1231"/>
      <c r="K201" s="1231"/>
      <c r="L201" s="1231"/>
      <c r="M201" s="1231"/>
      <c r="N201" s="1231"/>
      <c r="O201" s="1231"/>
      <c r="P201" s="1231"/>
      <c r="Q201" s="1231"/>
      <c r="R201" s="1231"/>
      <c r="S201" s="1231"/>
      <c r="T201" s="1231"/>
      <c r="U201" s="1231"/>
      <c r="V201" s="1231"/>
      <c r="W201" s="1231"/>
      <c r="X201" s="1231"/>
      <c r="Y201" s="1231"/>
      <c r="Z201" s="1231"/>
      <c r="AA201" s="1231"/>
      <c r="AB201" s="1231"/>
      <c r="AC201" s="1231"/>
      <c r="AD201" s="1231"/>
      <c r="AE201" s="1231"/>
      <c r="AF201" s="1231"/>
      <c r="AG201" s="1231"/>
      <c r="AH201" s="1231"/>
      <c r="AI201" s="1231"/>
      <c r="AJ201" s="1231"/>
      <c r="AK201" s="1232"/>
      <c r="AL201" s="242"/>
      <c r="AM201" s="242"/>
      <c r="AN201" s="242"/>
      <c r="AO201" s="242"/>
      <c r="AP201" s="242"/>
      <c r="AQ201" s="242"/>
      <c r="AR201" s="242"/>
      <c r="AS201" s="242"/>
      <c r="AT201" s="242"/>
      <c r="AU201" s="242"/>
      <c r="AV201" s="242"/>
      <c r="AW201" s="242"/>
      <c r="AX201" s="242"/>
      <c r="AY201" s="242"/>
      <c r="AZ201" s="242"/>
      <c r="BA201" s="242"/>
      <c r="BB201" s="242"/>
      <c r="BC201" s="242"/>
      <c r="BD201" s="242"/>
      <c r="BE201" s="258"/>
      <c r="BF201" s="239"/>
      <c r="BG201" s="239"/>
      <c r="BH201" s="239"/>
      <c r="BI201" s="239"/>
      <c r="BJ201" s="239"/>
      <c r="BK201" s="239"/>
      <c r="BL201" s="239"/>
      <c r="BM201" s="239"/>
      <c r="BN201" s="239"/>
      <c r="BO201" s="239"/>
      <c r="BP201" s="239"/>
      <c r="BQ201" s="239"/>
      <c r="BR201" s="239"/>
      <c r="BS201" s="239"/>
      <c r="BT201" s="239"/>
      <c r="BU201" s="239"/>
      <c r="BV201" s="239"/>
      <c r="BW201" s="239"/>
      <c r="BX201" s="239"/>
      <c r="BY201" s="239"/>
      <c r="BZ201" s="239"/>
      <c r="CA201" s="239"/>
      <c r="CB201" s="239"/>
      <c r="CC201" s="239"/>
      <c r="CD201" s="239"/>
      <c r="CE201" s="239"/>
      <c r="CF201" s="239"/>
      <c r="CG201" s="239"/>
    </row>
    <row r="202" spans="1:85" ht="15.75" customHeight="1">
      <c r="A202" s="242"/>
      <c r="B202" s="242"/>
      <c r="C202" s="1233" t="s">
        <v>1832</v>
      </c>
      <c r="D202" s="901"/>
      <c r="E202" s="901"/>
      <c r="F202" s="1234"/>
      <c r="G202" s="1227" t="s">
        <v>1834</v>
      </c>
      <c r="H202" s="901"/>
      <c r="I202" s="901"/>
      <c r="J202" s="901"/>
      <c r="K202" s="901"/>
      <c r="L202" s="901"/>
      <c r="M202" s="901"/>
      <c r="N202" s="901"/>
      <c r="O202" s="1234"/>
      <c r="P202" s="1235" t="s">
        <v>1835</v>
      </c>
      <c r="Q202" s="893"/>
      <c r="R202" s="893"/>
      <c r="S202" s="893"/>
      <c r="T202" s="959"/>
      <c r="U202" s="1236" t="s">
        <v>1836</v>
      </c>
      <c r="V202" s="893"/>
      <c r="W202" s="893"/>
      <c r="X202" s="959"/>
      <c r="Y202" s="1236" t="s">
        <v>1837</v>
      </c>
      <c r="Z202" s="893"/>
      <c r="AA202" s="893"/>
      <c r="AB202" s="959"/>
      <c r="AC202" s="1236" t="s">
        <v>1838</v>
      </c>
      <c r="AD202" s="893"/>
      <c r="AE202" s="893"/>
      <c r="AF202" s="959"/>
      <c r="AG202" s="1227" t="s">
        <v>1839</v>
      </c>
      <c r="AH202" s="901"/>
      <c r="AI202" s="901"/>
      <c r="AJ202" s="901"/>
      <c r="AK202" s="1228"/>
      <c r="AL202" s="242"/>
      <c r="AM202" s="242"/>
      <c r="AN202" s="242"/>
      <c r="AO202" s="242"/>
      <c r="AP202" s="242"/>
      <c r="AQ202" s="242"/>
      <c r="AR202" s="242"/>
      <c r="AS202" s="242"/>
      <c r="AT202" s="242"/>
      <c r="AU202" s="242"/>
      <c r="AV202" s="242"/>
      <c r="AW202" s="242"/>
      <c r="AX202" s="242"/>
      <c r="AY202" s="242"/>
      <c r="AZ202" s="242"/>
      <c r="BA202" s="242"/>
      <c r="BB202" s="242"/>
      <c r="BC202" s="242"/>
      <c r="BD202" s="242"/>
      <c r="BE202" s="258"/>
      <c r="BF202" s="239"/>
      <c r="BG202" s="239"/>
      <c r="BH202" s="239"/>
      <c r="BI202" s="239"/>
      <c r="BJ202" s="239"/>
      <c r="BK202" s="239"/>
      <c r="BL202" s="239"/>
      <c r="BM202" s="239"/>
      <c r="BN202" s="239"/>
      <c r="BO202" s="239"/>
      <c r="BP202" s="239"/>
      <c r="BQ202" s="239"/>
      <c r="BR202" s="239"/>
      <c r="BS202" s="239"/>
      <c r="BT202" s="239"/>
      <c r="BU202" s="239"/>
      <c r="BV202" s="239"/>
      <c r="BW202" s="239"/>
      <c r="BX202" s="239"/>
      <c r="BY202" s="239"/>
      <c r="BZ202" s="239"/>
      <c r="CA202" s="239"/>
      <c r="CB202" s="239"/>
      <c r="CC202" s="239"/>
      <c r="CD202" s="239"/>
      <c r="CE202" s="239"/>
      <c r="CF202" s="239"/>
      <c r="CG202" s="239"/>
    </row>
    <row r="203" spans="1:85" ht="15.75" customHeight="1">
      <c r="A203" s="242"/>
      <c r="B203" s="242"/>
      <c r="C203" s="1182"/>
      <c r="D203" s="961"/>
      <c r="E203" s="961"/>
      <c r="F203" s="962"/>
      <c r="G203" s="960"/>
      <c r="H203" s="961"/>
      <c r="I203" s="961"/>
      <c r="J203" s="961"/>
      <c r="K203" s="961"/>
      <c r="L203" s="961"/>
      <c r="M203" s="961"/>
      <c r="N203" s="961"/>
      <c r="O203" s="962"/>
      <c r="P203" s="960"/>
      <c r="Q203" s="961"/>
      <c r="R203" s="961"/>
      <c r="S203" s="961"/>
      <c r="T203" s="962"/>
      <c r="U203" s="960"/>
      <c r="V203" s="961"/>
      <c r="W203" s="961"/>
      <c r="X203" s="962"/>
      <c r="Y203" s="960"/>
      <c r="Z203" s="961"/>
      <c r="AA203" s="961"/>
      <c r="AB203" s="962"/>
      <c r="AC203" s="960"/>
      <c r="AD203" s="961"/>
      <c r="AE203" s="961"/>
      <c r="AF203" s="962"/>
      <c r="AG203" s="960"/>
      <c r="AH203" s="961"/>
      <c r="AI203" s="961"/>
      <c r="AJ203" s="961"/>
      <c r="AK203" s="1174"/>
      <c r="AL203" s="242"/>
      <c r="AM203" s="242"/>
      <c r="AN203" s="242"/>
      <c r="AO203" s="242"/>
      <c r="AP203" s="242"/>
      <c r="AQ203" s="242"/>
      <c r="AR203" s="242"/>
      <c r="AS203" s="242"/>
      <c r="AT203" s="242"/>
      <c r="AU203" s="242"/>
      <c r="AV203" s="242"/>
      <c r="AW203" s="242"/>
      <c r="AX203" s="242"/>
      <c r="AY203" s="242"/>
      <c r="AZ203" s="242"/>
      <c r="BA203" s="242"/>
      <c r="BB203" s="242"/>
      <c r="BC203" s="242"/>
      <c r="BD203" s="242"/>
      <c r="BE203" s="258"/>
      <c r="BF203" s="239"/>
      <c r="BG203" s="239"/>
      <c r="BH203" s="239"/>
      <c r="BI203" s="239"/>
      <c r="BJ203" s="239"/>
      <c r="BK203" s="239"/>
      <c r="BL203" s="239"/>
      <c r="BM203" s="239"/>
      <c r="BN203" s="239"/>
      <c r="BO203" s="239"/>
      <c r="BP203" s="239"/>
      <c r="BQ203" s="239"/>
      <c r="BR203" s="239"/>
      <c r="BS203" s="239"/>
      <c r="BT203" s="239"/>
      <c r="BU203" s="239"/>
      <c r="BV203" s="239"/>
      <c r="BW203" s="239"/>
      <c r="BX203" s="239"/>
      <c r="BY203" s="239"/>
      <c r="BZ203" s="239"/>
      <c r="CA203" s="239"/>
      <c r="CB203" s="239"/>
      <c r="CC203" s="239"/>
      <c r="CD203" s="239"/>
      <c r="CE203" s="239"/>
      <c r="CF203" s="239"/>
      <c r="CG203" s="239"/>
    </row>
    <row r="204" spans="1:85" ht="15.75" customHeight="1">
      <c r="A204" s="242"/>
      <c r="B204" s="242"/>
      <c r="C204" s="1225">
        <v>1</v>
      </c>
      <c r="D204" s="921"/>
      <c r="E204" s="921"/>
      <c r="F204" s="943"/>
      <c r="G204" s="1186" t="s">
        <v>1842</v>
      </c>
      <c r="H204" s="921"/>
      <c r="I204" s="921"/>
      <c r="J204" s="921"/>
      <c r="K204" s="921"/>
      <c r="L204" s="921"/>
      <c r="M204" s="921"/>
      <c r="N204" s="921"/>
      <c r="O204" s="943"/>
      <c r="P204" s="1226"/>
      <c r="Q204" s="921"/>
      <c r="R204" s="921"/>
      <c r="S204" s="921"/>
      <c r="T204" s="943"/>
      <c r="U204" s="1217" t="s">
        <v>1842</v>
      </c>
      <c r="V204" s="921"/>
      <c r="W204" s="921"/>
      <c r="X204" s="943"/>
      <c r="Y204" s="1217" t="s">
        <v>1842</v>
      </c>
      <c r="Z204" s="921"/>
      <c r="AA204" s="921"/>
      <c r="AB204" s="943"/>
      <c r="AC204" s="1218" t="s">
        <v>1842</v>
      </c>
      <c r="AD204" s="921"/>
      <c r="AE204" s="921"/>
      <c r="AF204" s="943"/>
      <c r="AG204" s="1219"/>
      <c r="AH204" s="921"/>
      <c r="AI204" s="921"/>
      <c r="AJ204" s="921"/>
      <c r="AK204" s="1149"/>
      <c r="AL204" s="242"/>
      <c r="AM204" s="242"/>
      <c r="AN204" s="242"/>
      <c r="AO204" s="242"/>
      <c r="AP204" s="242"/>
      <c r="AQ204" s="242"/>
      <c r="AR204" s="242"/>
      <c r="AS204" s="242"/>
      <c r="AT204" s="242"/>
      <c r="AU204" s="242"/>
      <c r="AV204" s="242"/>
      <c r="AW204" s="242"/>
      <c r="AX204" s="242"/>
      <c r="AY204" s="242"/>
      <c r="AZ204" s="242"/>
      <c r="BA204" s="242"/>
      <c r="BB204" s="242"/>
      <c r="BC204" s="242"/>
      <c r="BD204" s="242"/>
      <c r="BE204" s="258"/>
      <c r="BF204" s="239"/>
      <c r="BG204" s="239"/>
      <c r="BH204" s="239"/>
      <c r="BI204" s="239"/>
      <c r="BJ204" s="239"/>
      <c r="BK204" s="239"/>
      <c r="BL204" s="239"/>
      <c r="BM204" s="239"/>
      <c r="BN204" s="239"/>
      <c r="BO204" s="239"/>
      <c r="BP204" s="239"/>
      <c r="BQ204" s="239"/>
      <c r="BR204" s="239"/>
      <c r="BS204" s="239"/>
      <c r="BT204" s="239"/>
      <c r="BU204" s="239"/>
      <c r="BV204" s="239"/>
      <c r="BW204" s="239"/>
      <c r="BX204" s="239"/>
      <c r="BY204" s="239"/>
      <c r="BZ204" s="239"/>
      <c r="CA204" s="239"/>
      <c r="CB204" s="239"/>
      <c r="CC204" s="239"/>
      <c r="CD204" s="239"/>
      <c r="CE204" s="239"/>
      <c r="CF204" s="239"/>
      <c r="CG204" s="239"/>
    </row>
    <row r="205" spans="1:85" ht="15.75" customHeight="1">
      <c r="A205" s="242"/>
      <c r="B205" s="242"/>
      <c r="C205" s="1225">
        <v>2</v>
      </c>
      <c r="D205" s="921"/>
      <c r="E205" s="921"/>
      <c r="F205" s="943"/>
      <c r="G205" s="1186" t="s">
        <v>1842</v>
      </c>
      <c r="H205" s="921"/>
      <c r="I205" s="921"/>
      <c r="J205" s="921"/>
      <c r="K205" s="921"/>
      <c r="L205" s="921"/>
      <c r="M205" s="921"/>
      <c r="N205" s="921"/>
      <c r="O205" s="943"/>
      <c r="P205" s="1226"/>
      <c r="Q205" s="921"/>
      <c r="R205" s="921"/>
      <c r="S205" s="921"/>
      <c r="T205" s="943"/>
      <c r="U205" s="1217" t="s">
        <v>1842</v>
      </c>
      <c r="V205" s="921"/>
      <c r="W205" s="921"/>
      <c r="X205" s="943"/>
      <c r="Y205" s="1217" t="s">
        <v>1842</v>
      </c>
      <c r="Z205" s="921"/>
      <c r="AA205" s="921"/>
      <c r="AB205" s="943"/>
      <c r="AC205" s="1218" t="s">
        <v>1842</v>
      </c>
      <c r="AD205" s="921"/>
      <c r="AE205" s="921"/>
      <c r="AF205" s="943"/>
      <c r="AG205" s="1219"/>
      <c r="AH205" s="921"/>
      <c r="AI205" s="921"/>
      <c r="AJ205" s="921"/>
      <c r="AK205" s="1149"/>
      <c r="AL205" s="242"/>
      <c r="AM205" s="242"/>
      <c r="AN205" s="242"/>
      <c r="AO205" s="242"/>
      <c r="AP205" s="242"/>
      <c r="AQ205" s="242"/>
      <c r="AR205" s="242"/>
      <c r="AS205" s="242"/>
      <c r="AT205" s="242"/>
      <c r="AU205" s="242"/>
      <c r="AV205" s="242"/>
      <c r="AW205" s="242"/>
      <c r="AX205" s="242"/>
      <c r="AY205" s="242"/>
      <c r="AZ205" s="242"/>
      <c r="BA205" s="242"/>
      <c r="BB205" s="242"/>
      <c r="BC205" s="242"/>
      <c r="BD205" s="242"/>
      <c r="BE205" s="258"/>
      <c r="BF205" s="239"/>
      <c r="BG205" s="239"/>
      <c r="BH205" s="239"/>
      <c r="BI205" s="239"/>
      <c r="BJ205" s="239"/>
      <c r="BK205" s="239"/>
      <c r="BL205" s="239"/>
      <c r="BM205" s="239"/>
      <c r="BN205" s="239"/>
      <c r="BO205" s="239"/>
      <c r="BP205" s="239"/>
      <c r="BQ205" s="239"/>
      <c r="BR205" s="239"/>
      <c r="BS205" s="239"/>
      <c r="BT205" s="239"/>
      <c r="BU205" s="239"/>
      <c r="BV205" s="239"/>
      <c r="BW205" s="239"/>
      <c r="BX205" s="239"/>
      <c r="BY205" s="239"/>
      <c r="BZ205" s="239"/>
      <c r="CA205" s="239"/>
      <c r="CB205" s="239"/>
      <c r="CC205" s="239"/>
      <c r="CD205" s="239"/>
      <c r="CE205" s="239"/>
      <c r="CF205" s="239"/>
      <c r="CG205" s="239"/>
    </row>
    <row r="206" spans="1:85" ht="15.75" customHeight="1">
      <c r="A206" s="242"/>
      <c r="B206" s="242"/>
      <c r="C206" s="1225">
        <v>3</v>
      </c>
      <c r="D206" s="921"/>
      <c r="E206" s="921"/>
      <c r="F206" s="943"/>
      <c r="G206" s="1186" t="s">
        <v>1842</v>
      </c>
      <c r="H206" s="921"/>
      <c r="I206" s="921"/>
      <c r="J206" s="921"/>
      <c r="K206" s="921"/>
      <c r="L206" s="921"/>
      <c r="M206" s="921"/>
      <c r="N206" s="921"/>
      <c r="O206" s="943"/>
      <c r="P206" s="1226"/>
      <c r="Q206" s="921"/>
      <c r="R206" s="921"/>
      <c r="S206" s="921"/>
      <c r="T206" s="943"/>
      <c r="U206" s="1217" t="s">
        <v>1842</v>
      </c>
      <c r="V206" s="921"/>
      <c r="W206" s="921"/>
      <c r="X206" s="943"/>
      <c r="Y206" s="1217" t="s">
        <v>1842</v>
      </c>
      <c r="Z206" s="921"/>
      <c r="AA206" s="921"/>
      <c r="AB206" s="943"/>
      <c r="AC206" s="1218" t="s">
        <v>1842</v>
      </c>
      <c r="AD206" s="921"/>
      <c r="AE206" s="921"/>
      <c r="AF206" s="943"/>
      <c r="AG206" s="1219"/>
      <c r="AH206" s="921"/>
      <c r="AI206" s="921"/>
      <c r="AJ206" s="921"/>
      <c r="AK206" s="1149"/>
      <c r="AL206" s="242"/>
      <c r="AM206" s="242"/>
      <c r="AN206" s="242"/>
      <c r="AO206" s="242"/>
      <c r="AP206" s="242"/>
      <c r="AQ206" s="242"/>
      <c r="AR206" s="242"/>
      <c r="AS206" s="242"/>
      <c r="AT206" s="242"/>
      <c r="AU206" s="242"/>
      <c r="AV206" s="242"/>
      <c r="AW206" s="242"/>
      <c r="AX206" s="242"/>
      <c r="AY206" s="242"/>
      <c r="AZ206" s="242"/>
      <c r="BA206" s="242"/>
      <c r="BB206" s="242"/>
      <c r="BC206" s="242"/>
      <c r="BD206" s="242"/>
      <c r="BE206" s="258"/>
      <c r="BF206" s="239"/>
      <c r="BG206" s="239"/>
      <c r="BH206" s="239"/>
      <c r="BI206" s="239"/>
      <c r="BJ206" s="239"/>
      <c r="BK206" s="239"/>
      <c r="BL206" s="239"/>
      <c r="BM206" s="239"/>
      <c r="BN206" s="239"/>
      <c r="BO206" s="239"/>
      <c r="BP206" s="239"/>
      <c r="BQ206" s="239"/>
      <c r="BR206" s="239"/>
      <c r="BS206" s="239"/>
      <c r="BT206" s="239"/>
      <c r="BU206" s="239"/>
      <c r="BV206" s="239"/>
      <c r="BW206" s="239"/>
      <c r="BX206" s="239"/>
      <c r="BY206" s="239"/>
      <c r="BZ206" s="239"/>
      <c r="CA206" s="239"/>
      <c r="CB206" s="239"/>
      <c r="CC206" s="239"/>
      <c r="CD206" s="239"/>
      <c r="CE206" s="239"/>
      <c r="CF206" s="239"/>
      <c r="CG206" s="239"/>
    </row>
    <row r="207" spans="1:85" ht="15.75" customHeight="1">
      <c r="A207" s="242"/>
      <c r="B207" s="242"/>
      <c r="C207" s="1225">
        <v>4</v>
      </c>
      <c r="D207" s="921"/>
      <c r="E207" s="921"/>
      <c r="F207" s="943"/>
      <c r="G207" s="1186" t="s">
        <v>1842</v>
      </c>
      <c r="H207" s="921"/>
      <c r="I207" s="921"/>
      <c r="J207" s="921"/>
      <c r="K207" s="921"/>
      <c r="L207" s="921"/>
      <c r="M207" s="921"/>
      <c r="N207" s="921"/>
      <c r="O207" s="943"/>
      <c r="P207" s="1226"/>
      <c r="Q207" s="921"/>
      <c r="R207" s="921"/>
      <c r="S207" s="921"/>
      <c r="T207" s="943"/>
      <c r="U207" s="1217" t="s">
        <v>1842</v>
      </c>
      <c r="V207" s="921"/>
      <c r="W207" s="921"/>
      <c r="X207" s="943"/>
      <c r="Y207" s="1217" t="s">
        <v>1842</v>
      </c>
      <c r="Z207" s="921"/>
      <c r="AA207" s="921"/>
      <c r="AB207" s="943"/>
      <c r="AC207" s="1218" t="s">
        <v>1842</v>
      </c>
      <c r="AD207" s="921"/>
      <c r="AE207" s="921"/>
      <c r="AF207" s="943"/>
      <c r="AG207" s="1219"/>
      <c r="AH207" s="921"/>
      <c r="AI207" s="921"/>
      <c r="AJ207" s="921"/>
      <c r="AK207" s="1149"/>
      <c r="AL207" s="242"/>
      <c r="AM207" s="242"/>
      <c r="AN207" s="242"/>
      <c r="AO207" s="242"/>
      <c r="AP207" s="242"/>
      <c r="AQ207" s="242"/>
      <c r="AR207" s="242"/>
      <c r="AS207" s="242"/>
      <c r="AT207" s="242"/>
      <c r="AU207" s="242"/>
      <c r="AV207" s="242"/>
      <c r="AW207" s="242"/>
      <c r="AX207" s="242"/>
      <c r="AY207" s="242"/>
      <c r="AZ207" s="242"/>
      <c r="BA207" s="242"/>
      <c r="BB207" s="242"/>
      <c r="BC207" s="242"/>
      <c r="BD207" s="242"/>
      <c r="BE207" s="258"/>
      <c r="BF207" s="239"/>
      <c r="BG207" s="239"/>
      <c r="BH207" s="239"/>
      <c r="BI207" s="239"/>
      <c r="BJ207" s="239"/>
      <c r="BK207" s="239"/>
      <c r="BL207" s="239"/>
      <c r="BM207" s="239"/>
      <c r="BN207" s="239"/>
      <c r="BO207" s="239"/>
      <c r="BP207" s="239"/>
      <c r="BQ207" s="239"/>
      <c r="BR207" s="239"/>
      <c r="BS207" s="239"/>
      <c r="BT207" s="239"/>
      <c r="BU207" s="239"/>
      <c r="BV207" s="239"/>
      <c r="BW207" s="239"/>
      <c r="BX207" s="239"/>
      <c r="BY207" s="239"/>
      <c r="BZ207" s="239"/>
      <c r="CA207" s="239"/>
      <c r="CB207" s="239"/>
      <c r="CC207" s="239"/>
      <c r="CD207" s="239"/>
      <c r="CE207" s="239"/>
      <c r="CF207" s="239"/>
      <c r="CG207" s="239"/>
    </row>
    <row r="208" spans="1:85" ht="15.75" customHeight="1">
      <c r="A208" s="242"/>
      <c r="B208" s="242"/>
      <c r="C208" s="1225">
        <v>5</v>
      </c>
      <c r="D208" s="921"/>
      <c r="E208" s="921"/>
      <c r="F208" s="943"/>
      <c r="G208" s="1186" t="s">
        <v>1842</v>
      </c>
      <c r="H208" s="921"/>
      <c r="I208" s="921"/>
      <c r="J208" s="921"/>
      <c r="K208" s="921"/>
      <c r="L208" s="921"/>
      <c r="M208" s="921"/>
      <c r="N208" s="921"/>
      <c r="O208" s="943"/>
      <c r="P208" s="1226"/>
      <c r="Q208" s="921"/>
      <c r="R208" s="921"/>
      <c r="S208" s="921"/>
      <c r="T208" s="943"/>
      <c r="U208" s="1217" t="s">
        <v>1842</v>
      </c>
      <c r="V208" s="921"/>
      <c r="W208" s="921"/>
      <c r="X208" s="943"/>
      <c r="Y208" s="1217" t="s">
        <v>1842</v>
      </c>
      <c r="Z208" s="921"/>
      <c r="AA208" s="921"/>
      <c r="AB208" s="943"/>
      <c r="AC208" s="1218" t="s">
        <v>1842</v>
      </c>
      <c r="AD208" s="921"/>
      <c r="AE208" s="921"/>
      <c r="AF208" s="943"/>
      <c r="AG208" s="1219"/>
      <c r="AH208" s="921"/>
      <c r="AI208" s="921"/>
      <c r="AJ208" s="921"/>
      <c r="AK208" s="1149"/>
      <c r="AL208" s="242"/>
      <c r="AM208" s="242"/>
      <c r="AN208" s="242"/>
      <c r="AO208" s="242"/>
      <c r="AP208" s="242"/>
      <c r="AQ208" s="242"/>
      <c r="AR208" s="242"/>
      <c r="AS208" s="242"/>
      <c r="AT208" s="242"/>
      <c r="AU208" s="242"/>
      <c r="AV208" s="242"/>
      <c r="AW208" s="242"/>
      <c r="AX208" s="242"/>
      <c r="AY208" s="242"/>
      <c r="AZ208" s="242"/>
      <c r="BA208" s="242"/>
      <c r="BB208" s="242"/>
      <c r="BC208" s="242"/>
      <c r="BD208" s="242"/>
      <c r="BE208" s="258"/>
      <c r="BF208" s="239"/>
      <c r="BG208" s="239"/>
      <c r="BH208" s="239"/>
      <c r="BI208" s="239"/>
      <c r="BJ208" s="239"/>
      <c r="BK208" s="239"/>
      <c r="BL208" s="239"/>
      <c r="BM208" s="239"/>
      <c r="BN208" s="239"/>
      <c r="BO208" s="239"/>
      <c r="BP208" s="239"/>
      <c r="BQ208" s="239"/>
      <c r="BR208" s="239"/>
      <c r="BS208" s="239"/>
      <c r="BT208" s="239"/>
      <c r="BU208" s="239"/>
      <c r="BV208" s="239"/>
      <c r="BW208" s="239"/>
      <c r="BX208" s="239"/>
      <c r="BY208" s="239"/>
      <c r="BZ208" s="239"/>
      <c r="CA208" s="239"/>
      <c r="CB208" s="239"/>
      <c r="CC208" s="239"/>
      <c r="CD208" s="239"/>
      <c r="CE208" s="239"/>
      <c r="CF208" s="239"/>
      <c r="CG208" s="239"/>
    </row>
    <row r="209" spans="1:85" ht="15.75" customHeight="1">
      <c r="A209" s="242"/>
      <c r="B209" s="242"/>
      <c r="C209" s="1225">
        <v>6</v>
      </c>
      <c r="D209" s="921"/>
      <c r="E209" s="921"/>
      <c r="F209" s="943"/>
      <c r="G209" s="1186" t="s">
        <v>1842</v>
      </c>
      <c r="H209" s="921"/>
      <c r="I209" s="921"/>
      <c r="J209" s="921"/>
      <c r="K209" s="921"/>
      <c r="L209" s="921"/>
      <c r="M209" s="921"/>
      <c r="N209" s="921"/>
      <c r="O209" s="943"/>
      <c r="P209" s="1226"/>
      <c r="Q209" s="921"/>
      <c r="R209" s="921"/>
      <c r="S209" s="921"/>
      <c r="T209" s="943"/>
      <c r="U209" s="1217"/>
      <c r="V209" s="921"/>
      <c r="W209" s="921"/>
      <c r="X209" s="943"/>
      <c r="Y209" s="1217"/>
      <c r="Z209" s="921"/>
      <c r="AA209" s="921"/>
      <c r="AB209" s="943"/>
      <c r="AC209" s="1218" t="s">
        <v>1842</v>
      </c>
      <c r="AD209" s="921"/>
      <c r="AE209" s="921"/>
      <c r="AF209" s="943"/>
      <c r="AG209" s="1219"/>
      <c r="AH209" s="921"/>
      <c r="AI209" s="921"/>
      <c r="AJ209" s="921"/>
      <c r="AK209" s="1149"/>
      <c r="AL209" s="242"/>
      <c r="AM209" s="242"/>
      <c r="AN209" s="242"/>
      <c r="AO209" s="242"/>
      <c r="AP209" s="242"/>
      <c r="AQ209" s="242"/>
      <c r="AR209" s="242"/>
      <c r="AS209" s="242"/>
      <c r="AT209" s="242"/>
      <c r="AU209" s="242"/>
      <c r="AV209" s="242"/>
      <c r="AW209" s="242"/>
      <c r="AX209" s="242"/>
      <c r="AY209" s="242"/>
      <c r="AZ209" s="242"/>
      <c r="BA209" s="242"/>
      <c r="BB209" s="242"/>
      <c r="BC209" s="242"/>
      <c r="BD209" s="242"/>
      <c r="BE209" s="258"/>
      <c r="BF209" s="239"/>
      <c r="BG209" s="239"/>
      <c r="BH209" s="239"/>
      <c r="BI209" s="239"/>
      <c r="BJ209" s="239"/>
      <c r="BK209" s="239"/>
      <c r="BL209" s="239"/>
      <c r="BM209" s="239"/>
      <c r="BN209" s="239"/>
      <c r="BO209" s="239"/>
      <c r="BP209" s="239"/>
      <c r="BQ209" s="239"/>
      <c r="BR209" s="239"/>
      <c r="BS209" s="239"/>
      <c r="BT209" s="239"/>
      <c r="BU209" s="239"/>
      <c r="BV209" s="239"/>
      <c r="BW209" s="239"/>
      <c r="BX209" s="239"/>
      <c r="BY209" s="239"/>
      <c r="BZ209" s="239"/>
      <c r="CA209" s="239"/>
      <c r="CB209" s="239"/>
      <c r="CC209" s="239"/>
      <c r="CD209" s="239"/>
      <c r="CE209" s="239"/>
      <c r="CF209" s="239"/>
      <c r="CG209" s="239"/>
    </row>
    <row r="210" spans="1:85" ht="15.75" customHeight="1">
      <c r="A210" s="242"/>
      <c r="B210" s="242"/>
      <c r="C210" s="1225">
        <v>7</v>
      </c>
      <c r="D210" s="921"/>
      <c r="E210" s="921"/>
      <c r="F210" s="943"/>
      <c r="G210" s="1186"/>
      <c r="H210" s="921"/>
      <c r="I210" s="921"/>
      <c r="J210" s="921"/>
      <c r="K210" s="921"/>
      <c r="L210" s="921"/>
      <c r="M210" s="921"/>
      <c r="N210" s="921"/>
      <c r="O210" s="943"/>
      <c r="P210" s="1226"/>
      <c r="Q210" s="921"/>
      <c r="R210" s="921"/>
      <c r="S210" s="921"/>
      <c r="T210" s="943"/>
      <c r="U210" s="1217"/>
      <c r="V210" s="921"/>
      <c r="W210" s="921"/>
      <c r="X210" s="943"/>
      <c r="Y210" s="1217"/>
      <c r="Z210" s="921"/>
      <c r="AA210" s="921"/>
      <c r="AB210" s="943"/>
      <c r="AC210" s="1218" t="s">
        <v>1842</v>
      </c>
      <c r="AD210" s="921"/>
      <c r="AE210" s="921"/>
      <c r="AF210" s="943"/>
      <c r="AG210" s="1219"/>
      <c r="AH210" s="921"/>
      <c r="AI210" s="921"/>
      <c r="AJ210" s="921"/>
      <c r="AK210" s="1149"/>
      <c r="AL210" s="242"/>
      <c r="AM210" s="242"/>
      <c r="AN210" s="242"/>
      <c r="AO210" s="242"/>
      <c r="AP210" s="242"/>
      <c r="AQ210" s="242"/>
      <c r="AR210" s="242"/>
      <c r="AS210" s="242"/>
      <c r="AT210" s="242"/>
      <c r="AU210" s="242"/>
      <c r="AV210" s="242"/>
      <c r="AW210" s="242"/>
      <c r="AX210" s="242"/>
      <c r="AY210" s="242"/>
      <c r="AZ210" s="242"/>
      <c r="BA210" s="242"/>
      <c r="BB210" s="242"/>
      <c r="BC210" s="242"/>
      <c r="BD210" s="242"/>
      <c r="BE210" s="258"/>
      <c r="BF210" s="239"/>
      <c r="BG210" s="239"/>
      <c r="BH210" s="239"/>
      <c r="BI210" s="239"/>
      <c r="BJ210" s="239"/>
      <c r="BK210" s="239"/>
      <c r="BL210" s="239"/>
      <c r="BM210" s="239"/>
      <c r="BN210" s="239"/>
      <c r="BO210" s="239"/>
      <c r="BP210" s="239"/>
      <c r="BQ210" s="239"/>
      <c r="BR210" s="239"/>
      <c r="BS210" s="239"/>
      <c r="BT210" s="239"/>
      <c r="BU210" s="239"/>
      <c r="BV210" s="239"/>
      <c r="BW210" s="239"/>
      <c r="BX210" s="239"/>
      <c r="BY210" s="239"/>
      <c r="BZ210" s="239"/>
      <c r="CA210" s="239"/>
      <c r="CB210" s="239"/>
      <c r="CC210" s="239"/>
      <c r="CD210" s="239"/>
      <c r="CE210" s="239"/>
      <c r="CF210" s="239"/>
      <c r="CG210" s="239"/>
    </row>
    <row r="211" spans="1:85" ht="15.75" customHeight="1">
      <c r="A211" s="242"/>
      <c r="B211" s="242"/>
      <c r="C211" s="1220" t="s">
        <v>1862</v>
      </c>
      <c r="D211" s="921"/>
      <c r="E211" s="921"/>
      <c r="F211" s="921"/>
      <c r="G211" s="921"/>
      <c r="H211" s="921"/>
      <c r="I211" s="921"/>
      <c r="J211" s="921"/>
      <c r="K211" s="921"/>
      <c r="L211" s="921"/>
      <c r="M211" s="921"/>
      <c r="N211" s="921"/>
      <c r="O211" s="943"/>
      <c r="P211" s="1221"/>
      <c r="Q211" s="921"/>
      <c r="R211" s="921"/>
      <c r="S211" s="921"/>
      <c r="T211" s="943"/>
      <c r="U211" s="1222">
        <f>-SUM(U204:U210)</f>
        <v>0</v>
      </c>
      <c r="V211" s="921"/>
      <c r="W211" s="921"/>
      <c r="X211" s="943"/>
      <c r="Y211" s="1222">
        <f>-SUM(Y204:Y210)</f>
        <v>0</v>
      </c>
      <c r="Z211" s="921"/>
      <c r="AA211" s="921"/>
      <c r="AB211" s="943"/>
      <c r="AC211" s="1223">
        <f>-SUM(AC204:AC210)</f>
        <v>0</v>
      </c>
      <c r="AD211" s="921"/>
      <c r="AE211" s="921"/>
      <c r="AF211" s="943"/>
      <c r="AG211" s="1224"/>
      <c r="AH211" s="921"/>
      <c r="AI211" s="921"/>
      <c r="AJ211" s="921"/>
      <c r="AK211" s="1149"/>
      <c r="AL211" s="242"/>
      <c r="AM211" s="242"/>
      <c r="AN211" s="242"/>
      <c r="AO211" s="242"/>
      <c r="AP211" s="242"/>
      <c r="AQ211" s="242"/>
      <c r="AR211" s="242"/>
      <c r="AS211" s="242"/>
      <c r="AT211" s="242"/>
      <c r="AU211" s="242"/>
      <c r="AV211" s="242"/>
      <c r="AW211" s="242"/>
      <c r="AX211" s="242"/>
      <c r="AY211" s="242"/>
      <c r="AZ211" s="242"/>
      <c r="BA211" s="242"/>
      <c r="BB211" s="242"/>
      <c r="BC211" s="242"/>
      <c r="BD211" s="242"/>
      <c r="BE211" s="258"/>
      <c r="BF211" s="239"/>
      <c r="BG211" s="239"/>
      <c r="BH211" s="239"/>
      <c r="BI211" s="239"/>
      <c r="BJ211" s="239"/>
      <c r="BK211" s="239"/>
      <c r="BL211" s="239"/>
      <c r="BM211" s="239"/>
      <c r="BN211" s="239"/>
      <c r="BO211" s="239"/>
      <c r="BP211" s="239"/>
      <c r="BQ211" s="239"/>
      <c r="BR211" s="239"/>
      <c r="BS211" s="239"/>
      <c r="BT211" s="239"/>
      <c r="BU211" s="239"/>
      <c r="BV211" s="239"/>
      <c r="BW211" s="239"/>
      <c r="BX211" s="239"/>
      <c r="BY211" s="239"/>
      <c r="BZ211" s="239"/>
      <c r="CA211" s="239"/>
      <c r="CB211" s="239"/>
      <c r="CC211" s="239"/>
      <c r="CD211" s="239"/>
      <c r="CE211" s="239"/>
      <c r="CF211" s="239"/>
      <c r="CG211" s="239"/>
    </row>
    <row r="212" spans="1:85" ht="15.75" customHeight="1">
      <c r="A212" s="242"/>
      <c r="B212" s="242"/>
      <c r="C212" s="242" t="s">
        <v>1863</v>
      </c>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c r="BD212" s="242"/>
      <c r="BE212" s="258"/>
      <c r="BF212" s="239"/>
      <c r="BG212" s="239"/>
      <c r="BH212" s="239"/>
      <c r="BI212" s="239"/>
      <c r="BJ212" s="239"/>
      <c r="BK212" s="239"/>
      <c r="BL212" s="239"/>
      <c r="BM212" s="239"/>
      <c r="BN212" s="239"/>
      <c r="BO212" s="239"/>
      <c r="BP212" s="239"/>
      <c r="BQ212" s="239"/>
      <c r="BR212" s="239"/>
      <c r="BS212" s="239"/>
      <c r="BT212" s="239"/>
      <c r="BU212" s="239"/>
      <c r="BV212" s="239"/>
      <c r="BW212" s="239"/>
      <c r="BX212" s="239"/>
      <c r="BY212" s="239"/>
      <c r="BZ212" s="239"/>
      <c r="CA212" s="239"/>
      <c r="CB212" s="239"/>
      <c r="CC212" s="239"/>
      <c r="CD212" s="239"/>
      <c r="CE212" s="239"/>
      <c r="CF212" s="239"/>
      <c r="CG212" s="239"/>
    </row>
    <row r="213" spans="1:85" ht="15.75" customHeight="1">
      <c r="A213" s="242"/>
      <c r="B213" s="242"/>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c r="BD213" s="242"/>
      <c r="BE213" s="258"/>
      <c r="BF213" s="239"/>
      <c r="BG213" s="239"/>
      <c r="BH213" s="239"/>
      <c r="BI213" s="239"/>
      <c r="BJ213" s="239"/>
      <c r="BK213" s="239"/>
      <c r="BL213" s="239"/>
      <c r="BM213" s="239"/>
      <c r="BN213" s="239"/>
      <c r="BO213" s="239"/>
      <c r="BP213" s="239"/>
      <c r="BQ213" s="239"/>
      <c r="BR213" s="239"/>
      <c r="BS213" s="239"/>
      <c r="BT213" s="239"/>
      <c r="BU213" s="239"/>
      <c r="BV213" s="239"/>
      <c r="BW213" s="239"/>
      <c r="BX213" s="239"/>
      <c r="BY213" s="239"/>
      <c r="BZ213" s="239"/>
      <c r="CA213" s="239"/>
      <c r="CB213" s="239"/>
      <c r="CC213" s="239"/>
      <c r="CD213" s="239"/>
      <c r="CE213" s="239"/>
      <c r="CF213" s="239"/>
      <c r="CG213" s="239"/>
    </row>
    <row r="214" spans="1:85" ht="15.75" customHeight="1">
      <c r="A214" s="242"/>
      <c r="B214" s="242"/>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c r="BD214" s="242"/>
      <c r="BE214" s="258"/>
      <c r="BF214" s="239"/>
      <c r="BG214" s="239"/>
      <c r="BH214" s="239"/>
      <c r="BI214" s="239"/>
      <c r="BJ214" s="239"/>
      <c r="BK214" s="239"/>
      <c r="BL214" s="239"/>
      <c r="BM214" s="239"/>
      <c r="BN214" s="239"/>
      <c r="BO214" s="239"/>
      <c r="BP214" s="239"/>
      <c r="BQ214" s="239"/>
      <c r="BR214" s="239"/>
      <c r="BS214" s="239"/>
      <c r="BT214" s="239"/>
      <c r="BU214" s="239"/>
      <c r="BV214" s="239"/>
      <c r="BW214" s="239"/>
      <c r="BX214" s="239"/>
      <c r="BY214" s="239"/>
      <c r="BZ214" s="239"/>
      <c r="CA214" s="239"/>
      <c r="CB214" s="239"/>
      <c r="CC214" s="239"/>
      <c r="CD214" s="239"/>
      <c r="CE214" s="239"/>
      <c r="CF214" s="239"/>
      <c r="CG214" s="239"/>
    </row>
    <row r="215" spans="1:85" ht="15.75" customHeight="1">
      <c r="A215" s="242"/>
      <c r="B215" s="242"/>
      <c r="C215" s="242"/>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58"/>
      <c r="BF215" s="239"/>
      <c r="BG215" s="239"/>
      <c r="BH215" s="239"/>
      <c r="BI215" s="239"/>
      <c r="BJ215" s="239"/>
      <c r="BK215" s="239"/>
      <c r="BL215" s="239"/>
      <c r="BM215" s="239"/>
      <c r="BN215" s="239"/>
      <c r="BO215" s="239"/>
      <c r="BP215" s="239"/>
      <c r="BQ215" s="239"/>
      <c r="BR215" s="239"/>
      <c r="BS215" s="239"/>
      <c r="BT215" s="239"/>
      <c r="BU215" s="239"/>
      <c r="BV215" s="239"/>
      <c r="BW215" s="239"/>
      <c r="BX215" s="239"/>
      <c r="BY215" s="239"/>
      <c r="BZ215" s="239"/>
      <c r="CA215" s="239"/>
      <c r="CB215" s="239"/>
      <c r="CC215" s="239"/>
      <c r="CD215" s="239"/>
      <c r="CE215" s="239"/>
      <c r="CF215" s="239"/>
      <c r="CG215" s="239"/>
    </row>
    <row r="216" spans="1:85" ht="15.75" customHeight="1">
      <c r="A216" s="242"/>
      <c r="B216" s="1249" t="s">
        <v>1865</v>
      </c>
      <c r="C216" s="1200"/>
      <c r="D216" s="1200"/>
      <c r="E216" s="1200"/>
      <c r="F216" s="1200"/>
      <c r="G216" s="1200"/>
      <c r="H216" s="1200"/>
      <c r="I216" s="1200"/>
      <c r="J216" s="1200"/>
      <c r="K216" s="1200"/>
      <c r="L216" s="1200"/>
      <c r="M216" s="1200"/>
      <c r="N216" s="1200"/>
      <c r="O216" s="1200"/>
      <c r="P216" s="1200"/>
      <c r="Q216" s="1200"/>
      <c r="R216" s="1200"/>
      <c r="S216" s="1200"/>
      <c r="T216" s="1200"/>
      <c r="U216" s="1200"/>
      <c r="V216" s="1200"/>
      <c r="W216" s="1200"/>
      <c r="X216" s="1200"/>
      <c r="Y216" s="1200"/>
      <c r="Z216" s="1200"/>
      <c r="AA216" s="1200"/>
      <c r="AB216" s="1200"/>
      <c r="AC216" s="1200"/>
      <c r="AD216" s="1200"/>
      <c r="AE216" s="1200"/>
      <c r="AF216" s="1200"/>
      <c r="AG216" s="1200"/>
      <c r="AH216" s="1200"/>
      <c r="AI216" s="1200"/>
      <c r="AJ216" s="1200"/>
      <c r="AK216" s="1200"/>
      <c r="AL216" s="1200"/>
      <c r="AM216" s="1200"/>
      <c r="AN216" s="1200"/>
      <c r="AO216" s="1200"/>
      <c r="AP216" s="1200"/>
      <c r="AQ216" s="1200"/>
      <c r="AR216" s="1200"/>
      <c r="AS216" s="1200"/>
      <c r="AT216" s="1200"/>
      <c r="AU216" s="1200"/>
      <c r="AV216" s="1200"/>
      <c r="AW216" s="1200"/>
      <c r="AX216" s="1200"/>
      <c r="AY216" s="1200"/>
      <c r="AZ216" s="1200"/>
      <c r="BA216" s="1200"/>
      <c r="BB216" s="1200"/>
      <c r="BC216" s="1200"/>
      <c r="BD216" s="1201"/>
      <c r="BE216" s="258"/>
      <c r="BF216" s="239"/>
      <c r="BG216" s="239"/>
      <c r="BH216" s="239"/>
      <c r="BI216" s="239"/>
      <c r="BJ216" s="239"/>
      <c r="BK216" s="239"/>
      <c r="BL216" s="239"/>
      <c r="BM216" s="239"/>
      <c r="BN216" s="239"/>
      <c r="BO216" s="239"/>
      <c r="BP216" s="239"/>
      <c r="BQ216" s="239"/>
      <c r="BR216" s="239"/>
      <c r="BS216" s="239"/>
      <c r="BT216" s="239"/>
      <c r="BU216" s="239"/>
      <c r="BV216" s="239"/>
      <c r="BW216" s="239"/>
      <c r="BX216" s="239"/>
      <c r="BY216" s="239"/>
      <c r="BZ216" s="239"/>
      <c r="CA216" s="239"/>
      <c r="CB216" s="239"/>
      <c r="CC216" s="239"/>
      <c r="CD216" s="239"/>
      <c r="CE216" s="239"/>
      <c r="CF216" s="239"/>
      <c r="CG216" s="239"/>
    </row>
    <row r="217" spans="1:85" ht="15.75" customHeight="1">
      <c r="A217" s="242"/>
      <c r="B217" s="1250"/>
      <c r="C217" s="1118"/>
      <c r="D217" s="1118"/>
      <c r="E217" s="1118"/>
      <c r="F217" s="1118"/>
      <c r="G217" s="1118"/>
      <c r="H217" s="1118"/>
      <c r="I217" s="1118"/>
      <c r="J217" s="1118"/>
      <c r="K217" s="1118"/>
      <c r="L217" s="1118"/>
      <c r="M217" s="1118"/>
      <c r="N217" s="1118"/>
      <c r="O217" s="1118"/>
      <c r="P217" s="1118"/>
      <c r="Q217" s="1118"/>
      <c r="R217" s="1118"/>
      <c r="S217" s="1118"/>
      <c r="T217" s="1118"/>
      <c r="U217" s="1118"/>
      <c r="V217" s="1118"/>
      <c r="W217" s="1118"/>
      <c r="X217" s="1118"/>
      <c r="Y217" s="1118"/>
      <c r="Z217" s="1118"/>
      <c r="AA217" s="1118"/>
      <c r="AB217" s="1118"/>
      <c r="AC217" s="1118"/>
      <c r="AD217" s="1118"/>
      <c r="AE217" s="1118"/>
      <c r="AF217" s="1118"/>
      <c r="AG217" s="1118"/>
      <c r="AH217" s="1118"/>
      <c r="AI217" s="1118"/>
      <c r="AJ217" s="1118"/>
      <c r="AK217" s="1118"/>
      <c r="AL217" s="1118"/>
      <c r="AM217" s="1118"/>
      <c r="AN217" s="1118"/>
      <c r="AO217" s="1118"/>
      <c r="AP217" s="1118"/>
      <c r="AQ217" s="1118"/>
      <c r="AR217" s="1118"/>
      <c r="AS217" s="1118"/>
      <c r="AT217" s="1118"/>
      <c r="AU217" s="1118"/>
      <c r="AV217" s="1118"/>
      <c r="AW217" s="1118"/>
      <c r="AX217" s="1118"/>
      <c r="AY217" s="1118"/>
      <c r="AZ217" s="1118"/>
      <c r="BA217" s="1118"/>
      <c r="BB217" s="1118"/>
      <c r="BC217" s="1118"/>
      <c r="BD217" s="1238"/>
      <c r="BE217" s="258"/>
      <c r="BF217" s="239"/>
      <c r="BG217" s="239"/>
      <c r="BH217" s="239"/>
      <c r="BI217" s="239"/>
      <c r="BJ217" s="239"/>
      <c r="BK217" s="239"/>
      <c r="BL217" s="239"/>
      <c r="BM217" s="239"/>
      <c r="BN217" s="239"/>
      <c r="BO217" s="239"/>
      <c r="BP217" s="239"/>
      <c r="BQ217" s="239"/>
      <c r="BR217" s="239"/>
      <c r="BS217" s="239"/>
      <c r="BT217" s="239"/>
      <c r="BU217" s="239"/>
      <c r="BV217" s="239"/>
      <c r="BW217" s="239"/>
      <c r="BX217" s="239"/>
      <c r="BY217" s="239"/>
      <c r="BZ217" s="239"/>
      <c r="CA217" s="239"/>
      <c r="CB217" s="239"/>
      <c r="CC217" s="239"/>
      <c r="CD217" s="239"/>
      <c r="CE217" s="239"/>
      <c r="CF217" s="239"/>
      <c r="CG217" s="239"/>
    </row>
    <row r="218" spans="1:85" ht="15.75" customHeight="1">
      <c r="A218" s="242"/>
      <c r="B218" s="1237" t="s">
        <v>1868</v>
      </c>
      <c r="C218" s="1118"/>
      <c r="D218" s="1118"/>
      <c r="E218" s="1118"/>
      <c r="F218" s="1118"/>
      <c r="G218" s="1118"/>
      <c r="H218" s="1118"/>
      <c r="I218" s="1118"/>
      <c r="J218" s="1118"/>
      <c r="K218" s="1118"/>
      <c r="L218" s="1118"/>
      <c r="M218" s="1118"/>
      <c r="N218" s="1118"/>
      <c r="O218" s="1118"/>
      <c r="P218" s="1118"/>
      <c r="Q218" s="1118"/>
      <c r="R218" s="1118"/>
      <c r="S218" s="1118"/>
      <c r="T218" s="1118"/>
      <c r="U218" s="1118"/>
      <c r="V218" s="1118"/>
      <c r="W218" s="1118"/>
      <c r="X218" s="1118"/>
      <c r="Y218" s="1118"/>
      <c r="Z218" s="1118"/>
      <c r="AA218" s="1118"/>
      <c r="AB218" s="1118"/>
      <c r="AC218" s="1118"/>
      <c r="AD218" s="1118"/>
      <c r="AE218" s="1118"/>
      <c r="AF218" s="1118"/>
      <c r="AG218" s="1118"/>
      <c r="AH218" s="1118"/>
      <c r="AI218" s="1118"/>
      <c r="AJ218" s="1118"/>
      <c r="AK218" s="1118"/>
      <c r="AL218" s="1118"/>
      <c r="AM218" s="1118"/>
      <c r="AN218" s="1118"/>
      <c r="AO218" s="1118"/>
      <c r="AP218" s="1118"/>
      <c r="AQ218" s="1118"/>
      <c r="AR218" s="1118"/>
      <c r="AS218" s="1118"/>
      <c r="AT218" s="1118"/>
      <c r="AU218" s="1118"/>
      <c r="AV218" s="1118"/>
      <c r="AW218" s="1118"/>
      <c r="AX218" s="1118"/>
      <c r="AY218" s="1118"/>
      <c r="AZ218" s="1118"/>
      <c r="BA218" s="1118"/>
      <c r="BB218" s="1118"/>
      <c r="BC218" s="1118"/>
      <c r="BD218" s="1238"/>
      <c r="BE218" s="258"/>
      <c r="BF218" s="239"/>
      <c r="BG218" s="239"/>
      <c r="BH218" s="239"/>
      <c r="BI218" s="239"/>
      <c r="BJ218" s="239"/>
      <c r="BK218" s="239"/>
      <c r="BL218" s="239"/>
      <c r="BM218" s="239"/>
      <c r="BN218" s="239"/>
      <c r="BO218" s="239"/>
      <c r="BP218" s="239"/>
      <c r="BQ218" s="239"/>
      <c r="BR218" s="239"/>
      <c r="BS218" s="239"/>
      <c r="BT218" s="239"/>
      <c r="BU218" s="239"/>
      <c r="BV218" s="239"/>
      <c r="BW218" s="239"/>
      <c r="BX218" s="239"/>
      <c r="BY218" s="239"/>
      <c r="BZ218" s="239"/>
      <c r="CA218" s="239"/>
      <c r="CB218" s="239"/>
      <c r="CC218" s="239"/>
      <c r="CD218" s="239"/>
      <c r="CE218" s="239"/>
      <c r="CF218" s="239"/>
      <c r="CG218" s="239"/>
    </row>
    <row r="219" spans="1:85" ht="15.75" customHeight="1">
      <c r="A219" s="242"/>
      <c r="B219" s="1237" t="s">
        <v>1869</v>
      </c>
      <c r="C219" s="1118"/>
      <c r="D219" s="1118"/>
      <c r="E219" s="1118"/>
      <c r="F219" s="1118"/>
      <c r="G219" s="1118"/>
      <c r="H219" s="1118"/>
      <c r="I219" s="1118"/>
      <c r="J219" s="1118"/>
      <c r="K219" s="1118"/>
      <c r="L219" s="1118"/>
      <c r="M219" s="1118"/>
      <c r="N219" s="1118"/>
      <c r="O219" s="1118"/>
      <c r="P219" s="1118"/>
      <c r="Q219" s="1118"/>
      <c r="R219" s="1118"/>
      <c r="S219" s="1118"/>
      <c r="T219" s="1118"/>
      <c r="U219" s="1118"/>
      <c r="V219" s="1118"/>
      <c r="W219" s="1118"/>
      <c r="X219" s="1118"/>
      <c r="Y219" s="1118"/>
      <c r="Z219" s="1118"/>
      <c r="AA219" s="1118"/>
      <c r="AB219" s="1118"/>
      <c r="AC219" s="1118"/>
      <c r="AD219" s="1118"/>
      <c r="AE219" s="1118"/>
      <c r="AF219" s="1118"/>
      <c r="AG219" s="1118"/>
      <c r="AH219" s="1118"/>
      <c r="AI219" s="1118"/>
      <c r="AJ219" s="1118"/>
      <c r="AK219" s="1118"/>
      <c r="AL219" s="1118"/>
      <c r="AM219" s="1118"/>
      <c r="AN219" s="1118"/>
      <c r="AO219" s="1118"/>
      <c r="AP219" s="1118"/>
      <c r="AQ219" s="1118"/>
      <c r="AR219" s="1118"/>
      <c r="AS219" s="1118"/>
      <c r="AT219" s="1118"/>
      <c r="AU219" s="1118"/>
      <c r="AV219" s="1118"/>
      <c r="AW219" s="1118"/>
      <c r="AX219" s="1118"/>
      <c r="AY219" s="1118"/>
      <c r="AZ219" s="1118"/>
      <c r="BA219" s="1118"/>
      <c r="BB219" s="1118"/>
      <c r="BC219" s="1118"/>
      <c r="BD219" s="1238"/>
      <c r="BE219" s="258"/>
      <c r="BF219" s="239"/>
      <c r="BG219" s="239"/>
      <c r="BH219" s="239"/>
      <c r="BI219" s="239"/>
      <c r="BJ219" s="239"/>
      <c r="BK219" s="239"/>
      <c r="BL219" s="239"/>
      <c r="BM219" s="239"/>
      <c r="BN219" s="239"/>
      <c r="BO219" s="239"/>
      <c r="BP219" s="239"/>
      <c r="BQ219" s="239"/>
      <c r="BR219" s="239"/>
      <c r="BS219" s="239"/>
      <c r="BT219" s="239"/>
      <c r="BU219" s="239"/>
      <c r="BV219" s="239"/>
      <c r="BW219" s="239"/>
      <c r="BX219" s="239"/>
      <c r="BY219" s="239"/>
      <c r="BZ219" s="239"/>
      <c r="CA219" s="239"/>
      <c r="CB219" s="239"/>
      <c r="CC219" s="239"/>
      <c r="CD219" s="239"/>
      <c r="CE219" s="239"/>
      <c r="CF219" s="239"/>
      <c r="CG219" s="239"/>
    </row>
    <row r="220" spans="1:85" ht="15.75" customHeight="1">
      <c r="A220" s="242"/>
      <c r="B220" s="241"/>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c r="BD220" s="258"/>
      <c r="BE220" s="258"/>
      <c r="BF220" s="239"/>
      <c r="BG220" s="239"/>
      <c r="BH220" s="239"/>
      <c r="BI220" s="239"/>
      <c r="BJ220" s="239"/>
      <c r="BK220" s="239"/>
      <c r="BL220" s="239"/>
      <c r="BM220" s="239"/>
      <c r="BN220" s="239"/>
      <c r="BO220" s="239"/>
      <c r="BP220" s="239"/>
      <c r="BQ220" s="239"/>
      <c r="BR220" s="239"/>
      <c r="BS220" s="239"/>
      <c r="BT220" s="239"/>
      <c r="BU220" s="239"/>
      <c r="BV220" s="239"/>
      <c r="BW220" s="239"/>
      <c r="BX220" s="239"/>
      <c r="BY220" s="239"/>
      <c r="BZ220" s="239"/>
      <c r="CA220" s="239"/>
      <c r="CB220" s="239"/>
      <c r="CC220" s="239"/>
      <c r="CD220" s="239"/>
      <c r="CE220" s="239"/>
      <c r="CF220" s="239"/>
      <c r="CG220" s="239"/>
    </row>
    <row r="221" spans="1:85" ht="15.75" customHeight="1">
      <c r="A221" s="242"/>
      <c r="B221" s="1237" t="s">
        <v>1873</v>
      </c>
      <c r="C221" s="1118"/>
      <c r="D221" s="1118"/>
      <c r="E221" s="1118"/>
      <c r="F221" s="1118"/>
      <c r="G221" s="1118"/>
      <c r="H221" s="1118"/>
      <c r="I221" s="1118"/>
      <c r="J221" s="1118"/>
      <c r="K221" s="1118"/>
      <c r="L221" s="1118"/>
      <c r="M221" s="1118"/>
      <c r="N221" s="1118"/>
      <c r="O221" s="1118"/>
      <c r="P221" s="1118"/>
      <c r="Q221" s="1118"/>
      <c r="R221" s="1118"/>
      <c r="S221" s="1118"/>
      <c r="T221" s="1118"/>
      <c r="U221" s="1118"/>
      <c r="V221" s="1118"/>
      <c r="W221" s="1118"/>
      <c r="X221" s="1118"/>
      <c r="Y221" s="1118"/>
      <c r="Z221" s="1118"/>
      <c r="AA221" s="1118"/>
      <c r="AB221" s="1118"/>
      <c r="AC221" s="1118"/>
      <c r="AD221" s="1118"/>
      <c r="AE221" s="1118"/>
      <c r="AF221" s="1118"/>
      <c r="AG221" s="1118"/>
      <c r="AH221" s="1118"/>
      <c r="AI221" s="1118"/>
      <c r="AJ221" s="1118"/>
      <c r="AK221" s="1118"/>
      <c r="AL221" s="1118"/>
      <c r="AM221" s="1118"/>
      <c r="AN221" s="1118"/>
      <c r="AO221" s="1118"/>
      <c r="AP221" s="1118"/>
      <c r="AQ221" s="1118"/>
      <c r="AR221" s="1118"/>
      <c r="AS221" s="1118"/>
      <c r="AT221" s="1118"/>
      <c r="AU221" s="1118"/>
      <c r="AV221" s="1118"/>
      <c r="AW221" s="1118"/>
      <c r="AX221" s="1118"/>
      <c r="AY221" s="1118"/>
      <c r="AZ221" s="1118"/>
      <c r="BA221" s="1118"/>
      <c r="BB221" s="1118"/>
      <c r="BC221" s="1118"/>
      <c r="BD221" s="1238"/>
      <c r="BE221" s="258"/>
      <c r="BF221" s="239"/>
      <c r="BG221" s="239"/>
      <c r="BH221" s="239"/>
      <c r="BI221" s="239"/>
      <c r="BJ221" s="239"/>
      <c r="BK221" s="239"/>
      <c r="BL221" s="239"/>
      <c r="BM221" s="239"/>
      <c r="BN221" s="239"/>
      <c r="BO221" s="239"/>
      <c r="BP221" s="239"/>
      <c r="BQ221" s="239"/>
      <c r="BR221" s="239"/>
      <c r="BS221" s="239"/>
      <c r="BT221" s="239"/>
      <c r="BU221" s="239"/>
      <c r="BV221" s="239"/>
      <c r="BW221" s="239"/>
      <c r="BX221" s="239"/>
      <c r="BY221" s="239"/>
      <c r="BZ221" s="239"/>
      <c r="CA221" s="239"/>
      <c r="CB221" s="239"/>
      <c r="CC221" s="239"/>
      <c r="CD221" s="239"/>
      <c r="CE221" s="239"/>
      <c r="CF221" s="239"/>
      <c r="CG221" s="239"/>
    </row>
    <row r="222" spans="1:85" ht="15.75" customHeight="1">
      <c r="A222" s="242"/>
      <c r="B222" s="376"/>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42"/>
      <c r="BD222" s="258"/>
      <c r="BE222" s="258"/>
      <c r="BF222" s="239"/>
      <c r="BG222" s="239"/>
      <c r="BH222" s="239"/>
      <c r="BI222" s="239"/>
      <c r="BJ222" s="239"/>
      <c r="BK222" s="239"/>
      <c r="BL222" s="239"/>
      <c r="BM222" s="239"/>
      <c r="BN222" s="239"/>
      <c r="BO222" s="239"/>
      <c r="BP222" s="239"/>
      <c r="BQ222" s="239"/>
      <c r="BR222" s="239"/>
      <c r="BS222" s="239"/>
      <c r="BT222" s="239"/>
      <c r="BU222" s="239"/>
      <c r="BV222" s="239"/>
      <c r="BW222" s="239"/>
      <c r="BX222" s="239"/>
      <c r="BY222" s="239"/>
      <c r="BZ222" s="239"/>
      <c r="CA222" s="239"/>
      <c r="CB222" s="239"/>
      <c r="CC222" s="239"/>
      <c r="CD222" s="239"/>
      <c r="CE222" s="239"/>
      <c r="CF222" s="239"/>
      <c r="CG222" s="239"/>
    </row>
    <row r="223" spans="1:85" ht="15.75" customHeight="1">
      <c r="A223" s="242"/>
      <c r="B223" s="377"/>
      <c r="C223" s="242"/>
      <c r="D223" s="242"/>
      <c r="E223" s="242"/>
      <c r="F223" s="242"/>
      <c r="G223" s="242"/>
      <c r="H223" s="243" t="s">
        <v>1876</v>
      </c>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42"/>
      <c r="BD223" s="258"/>
      <c r="BE223" s="258"/>
      <c r="BF223" s="239"/>
      <c r="BG223" s="239"/>
      <c r="BH223" s="239"/>
      <c r="BI223" s="239"/>
      <c r="BJ223" s="239"/>
      <c r="BK223" s="239"/>
      <c r="BL223" s="239"/>
      <c r="BM223" s="239"/>
      <c r="BN223" s="239"/>
      <c r="BO223" s="239"/>
      <c r="BP223" s="239"/>
      <c r="BQ223" s="239"/>
      <c r="BR223" s="239"/>
      <c r="BS223" s="239"/>
      <c r="BT223" s="239"/>
      <c r="BU223" s="239"/>
      <c r="BV223" s="239"/>
      <c r="BW223" s="239"/>
      <c r="BX223" s="239"/>
      <c r="BY223" s="239"/>
      <c r="BZ223" s="239"/>
      <c r="CA223" s="239"/>
      <c r="CB223" s="239"/>
      <c r="CC223" s="239"/>
      <c r="CD223" s="239"/>
      <c r="CE223" s="239"/>
      <c r="CF223" s="239"/>
      <c r="CG223" s="239"/>
    </row>
    <row r="224" spans="1:85" ht="15.75" customHeight="1">
      <c r="A224" s="242"/>
      <c r="B224" s="377"/>
      <c r="C224" s="242"/>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58"/>
      <c r="BE224" s="258"/>
      <c r="BF224" s="239"/>
      <c r="BG224" s="239"/>
      <c r="BH224" s="239"/>
      <c r="BI224" s="239"/>
      <c r="BJ224" s="239"/>
      <c r="BK224" s="239"/>
      <c r="BL224" s="239"/>
      <c r="BM224" s="239"/>
      <c r="BN224" s="239"/>
      <c r="BO224" s="239"/>
      <c r="BP224" s="239"/>
      <c r="BQ224" s="239"/>
      <c r="BR224" s="239"/>
      <c r="BS224" s="239"/>
      <c r="BT224" s="239"/>
      <c r="BU224" s="239"/>
      <c r="BV224" s="239"/>
      <c r="BW224" s="239"/>
      <c r="BX224" s="239"/>
      <c r="BY224" s="239"/>
      <c r="BZ224" s="239"/>
      <c r="CA224" s="239"/>
      <c r="CB224" s="239"/>
      <c r="CC224" s="239"/>
      <c r="CD224" s="239"/>
      <c r="CE224" s="239"/>
      <c r="CF224" s="239"/>
      <c r="CG224" s="239"/>
    </row>
    <row r="225" spans="1:85" ht="15.75" customHeight="1">
      <c r="A225" s="242"/>
      <c r="B225" s="377"/>
      <c r="C225" s="242"/>
      <c r="D225" s="242"/>
      <c r="E225" s="242"/>
      <c r="F225" s="242"/>
      <c r="G225" s="242"/>
      <c r="H225" s="1239" t="s">
        <v>1877</v>
      </c>
      <c r="I225" s="1118"/>
      <c r="J225" s="1118"/>
      <c r="K225" s="1118"/>
      <c r="L225" s="1118"/>
      <c r="M225" s="1118"/>
      <c r="N225" s="1118"/>
      <c r="O225" s="1118"/>
      <c r="P225" s="1118"/>
      <c r="Q225" s="1118"/>
      <c r="R225" s="1118"/>
      <c r="S225" s="1118"/>
      <c r="T225" s="1118"/>
      <c r="U225" s="1118"/>
      <c r="V225" s="1118"/>
      <c r="W225" s="1118"/>
      <c r="X225" s="1118"/>
      <c r="Y225" s="1118"/>
      <c r="Z225" s="1118"/>
      <c r="AA225" s="1118"/>
      <c r="AB225" s="1118"/>
      <c r="AC225" s="1118"/>
      <c r="AD225" s="1118"/>
      <c r="AE225" s="1118"/>
      <c r="AF225" s="1118"/>
      <c r="AG225" s="1118"/>
      <c r="AH225" s="1118"/>
      <c r="AI225" s="1118"/>
      <c r="AJ225" s="1118"/>
      <c r="AK225" s="1118"/>
      <c r="AL225" s="1118"/>
      <c r="AM225" s="1118"/>
      <c r="AN225" s="1118"/>
      <c r="AO225" s="1118"/>
      <c r="AP225" s="1118"/>
      <c r="AQ225" s="1118"/>
      <c r="AR225" s="1118"/>
      <c r="AS225" s="1118"/>
      <c r="AT225" s="1118"/>
      <c r="AU225" s="1118"/>
      <c r="AV225" s="1118"/>
      <c r="AW225" s="1118"/>
      <c r="AX225" s="1118"/>
      <c r="AY225" s="1119"/>
      <c r="AZ225" s="242"/>
      <c r="BA225" s="242"/>
      <c r="BB225" s="242"/>
      <c r="BC225" s="242"/>
      <c r="BD225" s="258"/>
      <c r="BE225" s="258"/>
      <c r="BF225" s="239"/>
      <c r="BG225" s="239"/>
      <c r="BH225" s="239"/>
      <c r="BI225" s="239"/>
      <c r="BJ225" s="239"/>
      <c r="BK225" s="239"/>
      <c r="BL225" s="239"/>
      <c r="BM225" s="239"/>
      <c r="BN225" s="239"/>
      <c r="BO225" s="239"/>
      <c r="BP225" s="239"/>
      <c r="BQ225" s="239"/>
      <c r="BR225" s="239"/>
      <c r="BS225" s="239"/>
      <c r="BT225" s="239"/>
      <c r="BU225" s="239"/>
      <c r="BV225" s="239"/>
      <c r="BW225" s="239"/>
      <c r="BX225" s="239"/>
      <c r="BY225" s="239"/>
      <c r="BZ225" s="239"/>
      <c r="CA225" s="239"/>
      <c r="CB225" s="239"/>
      <c r="CC225" s="239"/>
      <c r="CD225" s="239"/>
      <c r="CE225" s="239"/>
      <c r="CF225" s="239"/>
      <c r="CG225" s="239"/>
    </row>
    <row r="226" spans="1:85" ht="15.75" customHeight="1">
      <c r="A226" s="242"/>
      <c r="B226" s="377"/>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c r="BD226" s="258"/>
      <c r="BE226" s="258"/>
      <c r="BF226" s="239"/>
      <c r="BG226" s="239"/>
      <c r="BH226" s="239"/>
      <c r="BI226" s="239"/>
      <c r="BJ226" s="239"/>
      <c r="BK226" s="239"/>
      <c r="BL226" s="239"/>
      <c r="BM226" s="239"/>
      <c r="BN226" s="239"/>
      <c r="BO226" s="239"/>
      <c r="BP226" s="239"/>
      <c r="BQ226" s="239"/>
      <c r="BR226" s="239"/>
      <c r="BS226" s="239"/>
      <c r="BT226" s="239"/>
      <c r="BU226" s="239"/>
      <c r="BV226" s="239"/>
      <c r="BW226" s="239"/>
      <c r="BX226" s="239"/>
      <c r="BY226" s="239"/>
      <c r="BZ226" s="239"/>
      <c r="CA226" s="239"/>
      <c r="CB226" s="239"/>
      <c r="CC226" s="239"/>
      <c r="CD226" s="239"/>
      <c r="CE226" s="239"/>
      <c r="CF226" s="239"/>
      <c r="CG226" s="239"/>
    </row>
    <row r="227" spans="1:85" ht="15.75" customHeight="1">
      <c r="A227" s="242"/>
      <c r="B227" s="377"/>
      <c r="C227" s="242"/>
      <c r="D227" s="242"/>
      <c r="E227" s="242"/>
      <c r="F227" s="242"/>
      <c r="G227" s="242"/>
      <c r="H227" s="1240" t="s">
        <v>1879</v>
      </c>
      <c r="I227" s="901"/>
      <c r="J227" s="901"/>
      <c r="K227" s="901"/>
      <c r="L227" s="901"/>
      <c r="M227" s="901"/>
      <c r="N227" s="901"/>
      <c r="O227" s="901"/>
      <c r="P227" s="901"/>
      <c r="Q227" s="901"/>
      <c r="R227" s="901"/>
      <c r="S227" s="901"/>
      <c r="T227" s="901"/>
      <c r="U227" s="901"/>
      <c r="V227" s="901"/>
      <c r="W227" s="901"/>
      <c r="X227" s="901"/>
      <c r="Y227" s="901"/>
      <c r="Z227" s="901"/>
      <c r="AA227" s="901"/>
      <c r="AB227" s="901"/>
      <c r="AC227" s="901"/>
      <c r="AD227" s="901"/>
      <c r="AE227" s="901"/>
      <c r="AF227" s="901"/>
      <c r="AG227" s="901"/>
      <c r="AH227" s="901"/>
      <c r="AI227" s="901"/>
      <c r="AJ227" s="901"/>
      <c r="AK227" s="901"/>
      <c r="AL227" s="901"/>
      <c r="AM227" s="901"/>
      <c r="AN227" s="901"/>
      <c r="AO227" s="901"/>
      <c r="AP227" s="901"/>
      <c r="AQ227" s="901"/>
      <c r="AR227" s="901"/>
      <c r="AS227" s="901"/>
      <c r="AT227" s="901"/>
      <c r="AU227" s="901"/>
      <c r="AV227" s="901"/>
      <c r="AW227" s="901"/>
      <c r="AX227" s="901"/>
      <c r="AY227" s="901"/>
      <c r="AZ227" s="902"/>
      <c r="BA227" s="242"/>
      <c r="BB227" s="242"/>
      <c r="BC227" s="242"/>
      <c r="BD227" s="258"/>
      <c r="BE227" s="258"/>
      <c r="BF227" s="239"/>
      <c r="BG227" s="239"/>
      <c r="BH227" s="239"/>
      <c r="BI227" s="239"/>
      <c r="BJ227" s="239"/>
      <c r="BK227" s="239"/>
      <c r="BL227" s="239"/>
      <c r="BM227" s="239"/>
      <c r="BN227" s="239"/>
      <c r="BO227" s="239"/>
      <c r="BP227" s="239"/>
      <c r="BQ227" s="239"/>
      <c r="BR227" s="239"/>
      <c r="BS227" s="239"/>
      <c r="BT227" s="239"/>
      <c r="BU227" s="239"/>
      <c r="BV227" s="239"/>
      <c r="BW227" s="239"/>
      <c r="BX227" s="239"/>
      <c r="BY227" s="239"/>
      <c r="BZ227" s="239"/>
      <c r="CA227" s="239"/>
      <c r="CB227" s="239"/>
      <c r="CC227" s="239"/>
      <c r="CD227" s="239"/>
      <c r="CE227" s="239"/>
      <c r="CF227" s="239"/>
      <c r="CG227" s="239"/>
    </row>
    <row r="228" spans="1:85" ht="15.75" customHeight="1">
      <c r="A228" s="242"/>
      <c r="B228" s="241"/>
      <c r="C228" s="242"/>
      <c r="D228" s="242"/>
      <c r="E228" s="242"/>
      <c r="F228" s="242"/>
      <c r="G228" s="242"/>
      <c r="H228" s="1048"/>
      <c r="I228" s="893"/>
      <c r="J228" s="893"/>
      <c r="K228" s="893"/>
      <c r="L228" s="893"/>
      <c r="M228" s="893"/>
      <c r="N228" s="893"/>
      <c r="O228" s="893"/>
      <c r="P228" s="893"/>
      <c r="Q228" s="893"/>
      <c r="R228" s="893"/>
      <c r="S228" s="893"/>
      <c r="T228" s="893"/>
      <c r="U228" s="893"/>
      <c r="V228" s="893"/>
      <c r="W228" s="893"/>
      <c r="X228" s="893"/>
      <c r="Y228" s="893"/>
      <c r="Z228" s="893"/>
      <c r="AA228" s="893"/>
      <c r="AB228" s="893"/>
      <c r="AC228" s="893"/>
      <c r="AD228" s="893"/>
      <c r="AE228" s="893"/>
      <c r="AF228" s="893"/>
      <c r="AG228" s="893"/>
      <c r="AH228" s="893"/>
      <c r="AI228" s="893"/>
      <c r="AJ228" s="893"/>
      <c r="AK228" s="893"/>
      <c r="AL228" s="893"/>
      <c r="AM228" s="893"/>
      <c r="AN228" s="893"/>
      <c r="AO228" s="893"/>
      <c r="AP228" s="893"/>
      <c r="AQ228" s="893"/>
      <c r="AR228" s="893"/>
      <c r="AS228" s="893"/>
      <c r="AT228" s="893"/>
      <c r="AU228" s="893"/>
      <c r="AV228" s="893"/>
      <c r="AW228" s="893"/>
      <c r="AX228" s="893"/>
      <c r="AY228" s="893"/>
      <c r="AZ228" s="1049"/>
      <c r="BA228" s="242"/>
      <c r="BB228" s="242"/>
      <c r="BC228" s="242"/>
      <c r="BD228" s="258"/>
      <c r="BE228" s="258"/>
      <c r="BF228" s="239"/>
      <c r="BG228" s="239"/>
      <c r="BH228" s="239"/>
      <c r="BI228" s="239"/>
      <c r="BJ228" s="239"/>
      <c r="BK228" s="239"/>
      <c r="BL228" s="239"/>
      <c r="BM228" s="239"/>
      <c r="BN228" s="239"/>
      <c r="BO228" s="239"/>
      <c r="BP228" s="239"/>
      <c r="BQ228" s="239"/>
      <c r="BR228" s="239"/>
      <c r="BS228" s="239"/>
      <c r="BT228" s="239"/>
      <c r="BU228" s="239"/>
      <c r="BV228" s="239"/>
      <c r="BW228" s="239"/>
      <c r="BX228" s="239"/>
      <c r="BY228" s="239"/>
      <c r="BZ228" s="239"/>
      <c r="CA228" s="239"/>
      <c r="CB228" s="239"/>
      <c r="CC228" s="239"/>
      <c r="CD228" s="239"/>
      <c r="CE228" s="239"/>
      <c r="CF228" s="239"/>
      <c r="CG228" s="239"/>
    </row>
    <row r="229" spans="1:85" ht="15.75" customHeight="1">
      <c r="A229" s="242"/>
      <c r="B229" s="241"/>
      <c r="C229" s="242"/>
      <c r="D229" s="242"/>
      <c r="E229" s="242"/>
      <c r="F229" s="242"/>
      <c r="G229" s="242"/>
      <c r="H229" s="1048"/>
      <c r="I229" s="893"/>
      <c r="J229" s="893"/>
      <c r="K229" s="893"/>
      <c r="L229" s="893"/>
      <c r="M229" s="893"/>
      <c r="N229" s="893"/>
      <c r="O229" s="893"/>
      <c r="P229" s="893"/>
      <c r="Q229" s="893"/>
      <c r="R229" s="893"/>
      <c r="S229" s="893"/>
      <c r="T229" s="893"/>
      <c r="U229" s="893"/>
      <c r="V229" s="893"/>
      <c r="W229" s="893"/>
      <c r="X229" s="893"/>
      <c r="Y229" s="893"/>
      <c r="Z229" s="893"/>
      <c r="AA229" s="893"/>
      <c r="AB229" s="893"/>
      <c r="AC229" s="893"/>
      <c r="AD229" s="893"/>
      <c r="AE229" s="893"/>
      <c r="AF229" s="893"/>
      <c r="AG229" s="893"/>
      <c r="AH229" s="893"/>
      <c r="AI229" s="893"/>
      <c r="AJ229" s="893"/>
      <c r="AK229" s="893"/>
      <c r="AL229" s="893"/>
      <c r="AM229" s="893"/>
      <c r="AN229" s="893"/>
      <c r="AO229" s="893"/>
      <c r="AP229" s="893"/>
      <c r="AQ229" s="893"/>
      <c r="AR229" s="893"/>
      <c r="AS229" s="893"/>
      <c r="AT229" s="893"/>
      <c r="AU229" s="893"/>
      <c r="AV229" s="893"/>
      <c r="AW229" s="893"/>
      <c r="AX229" s="893"/>
      <c r="AY229" s="893"/>
      <c r="AZ229" s="1049"/>
      <c r="BA229" s="242"/>
      <c r="BB229" s="242"/>
      <c r="BC229" s="242"/>
      <c r="BD229" s="258"/>
      <c r="BE229" s="258"/>
      <c r="BF229" s="239"/>
      <c r="BG229" s="239"/>
      <c r="BH229" s="239"/>
      <c r="BI229" s="239"/>
      <c r="BJ229" s="239"/>
      <c r="BK229" s="239"/>
      <c r="BL229" s="239"/>
      <c r="BM229" s="239"/>
      <c r="BN229" s="239"/>
      <c r="BO229" s="239"/>
      <c r="BP229" s="239"/>
      <c r="BQ229" s="239"/>
      <c r="BR229" s="239"/>
      <c r="BS229" s="239"/>
      <c r="BT229" s="239"/>
      <c r="BU229" s="239"/>
      <c r="BV229" s="239"/>
      <c r="BW229" s="239"/>
      <c r="BX229" s="239"/>
      <c r="BY229" s="239"/>
      <c r="BZ229" s="239"/>
      <c r="CA229" s="239"/>
      <c r="CB229" s="239"/>
      <c r="CC229" s="239"/>
      <c r="CD229" s="239"/>
      <c r="CE229" s="239"/>
      <c r="CF229" s="239"/>
      <c r="CG229" s="239"/>
    </row>
    <row r="230" spans="1:85" ht="15.75" customHeight="1">
      <c r="A230" s="242"/>
      <c r="B230" s="241"/>
      <c r="C230" s="242"/>
      <c r="D230" s="242"/>
      <c r="E230" s="242"/>
      <c r="F230" s="242"/>
      <c r="G230" s="242"/>
      <c r="H230" s="989"/>
      <c r="I230" s="990"/>
      <c r="J230" s="990"/>
      <c r="K230" s="990"/>
      <c r="L230" s="990"/>
      <c r="M230" s="990"/>
      <c r="N230" s="990"/>
      <c r="O230" s="990"/>
      <c r="P230" s="990"/>
      <c r="Q230" s="990"/>
      <c r="R230" s="990"/>
      <c r="S230" s="990"/>
      <c r="T230" s="990"/>
      <c r="U230" s="990"/>
      <c r="V230" s="990"/>
      <c r="W230" s="990"/>
      <c r="X230" s="990"/>
      <c r="Y230" s="990"/>
      <c r="Z230" s="990"/>
      <c r="AA230" s="990"/>
      <c r="AB230" s="990"/>
      <c r="AC230" s="990"/>
      <c r="AD230" s="990"/>
      <c r="AE230" s="990"/>
      <c r="AF230" s="990"/>
      <c r="AG230" s="990"/>
      <c r="AH230" s="990"/>
      <c r="AI230" s="990"/>
      <c r="AJ230" s="990"/>
      <c r="AK230" s="990"/>
      <c r="AL230" s="990"/>
      <c r="AM230" s="990"/>
      <c r="AN230" s="990"/>
      <c r="AO230" s="990"/>
      <c r="AP230" s="990"/>
      <c r="AQ230" s="990"/>
      <c r="AR230" s="990"/>
      <c r="AS230" s="990"/>
      <c r="AT230" s="990"/>
      <c r="AU230" s="990"/>
      <c r="AV230" s="990"/>
      <c r="AW230" s="990"/>
      <c r="AX230" s="990"/>
      <c r="AY230" s="990"/>
      <c r="AZ230" s="991"/>
      <c r="BA230" s="242"/>
      <c r="BB230" s="242"/>
      <c r="BC230" s="242"/>
      <c r="BD230" s="258"/>
      <c r="BE230" s="258"/>
      <c r="BF230" s="239"/>
      <c r="BG230" s="239"/>
      <c r="BH230" s="239"/>
      <c r="BI230" s="239"/>
      <c r="BJ230" s="239"/>
      <c r="BK230" s="239"/>
      <c r="BL230" s="239"/>
      <c r="BM230" s="239"/>
      <c r="BN230" s="239"/>
      <c r="BO230" s="239"/>
      <c r="BP230" s="239"/>
      <c r="BQ230" s="239"/>
      <c r="BR230" s="239"/>
      <c r="BS230" s="239"/>
      <c r="BT230" s="239"/>
      <c r="BU230" s="239"/>
      <c r="BV230" s="239"/>
      <c r="BW230" s="239"/>
      <c r="BX230" s="239"/>
      <c r="BY230" s="239"/>
      <c r="BZ230" s="239"/>
      <c r="CA230" s="239"/>
      <c r="CB230" s="239"/>
      <c r="CC230" s="239"/>
      <c r="CD230" s="239"/>
      <c r="CE230" s="239"/>
      <c r="CF230" s="239"/>
      <c r="CG230" s="239"/>
    </row>
    <row r="231" spans="1:85" ht="15.75" customHeight="1">
      <c r="A231" s="242"/>
      <c r="B231" s="241"/>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242"/>
      <c r="AF231" s="242"/>
      <c r="AG231" s="242"/>
      <c r="AH231" s="242"/>
      <c r="AI231" s="242"/>
      <c r="AJ231" s="242"/>
      <c r="AK231" s="242"/>
      <c r="AL231" s="242"/>
      <c r="AM231" s="242"/>
      <c r="AN231" s="242"/>
      <c r="AO231" s="242"/>
      <c r="AP231" s="242"/>
      <c r="AQ231" s="242"/>
      <c r="AR231" s="242"/>
      <c r="AS231" s="242"/>
      <c r="AT231" s="242"/>
      <c r="AU231" s="242"/>
      <c r="AV231" s="242"/>
      <c r="AW231" s="242"/>
      <c r="AX231" s="242"/>
      <c r="AY231" s="242"/>
      <c r="AZ231" s="242"/>
      <c r="BA231" s="242"/>
      <c r="BB231" s="242"/>
      <c r="BC231" s="242"/>
      <c r="BD231" s="258"/>
      <c r="BE231" s="258"/>
      <c r="BF231" s="239"/>
      <c r="BG231" s="239"/>
      <c r="BH231" s="239"/>
      <c r="BI231" s="239"/>
      <c r="BJ231" s="239"/>
      <c r="BK231" s="239"/>
      <c r="BL231" s="239"/>
      <c r="BM231" s="239"/>
      <c r="BN231" s="239"/>
      <c r="BO231" s="239"/>
      <c r="BP231" s="239"/>
      <c r="BQ231" s="239"/>
      <c r="BR231" s="239"/>
      <c r="BS231" s="239"/>
      <c r="BT231" s="239"/>
      <c r="BU231" s="239"/>
      <c r="BV231" s="239"/>
      <c r="BW231" s="239"/>
      <c r="BX231" s="239"/>
      <c r="BY231" s="239"/>
      <c r="BZ231" s="239"/>
      <c r="CA231" s="239"/>
      <c r="CB231" s="239"/>
      <c r="CC231" s="239"/>
      <c r="CD231" s="239"/>
      <c r="CE231" s="239"/>
      <c r="CF231" s="239"/>
      <c r="CG231" s="239"/>
    </row>
    <row r="232" spans="1:85" ht="15.75" customHeight="1">
      <c r="A232" s="242"/>
      <c r="B232" s="384"/>
      <c r="C232" s="385"/>
      <c r="D232" s="385"/>
      <c r="E232" s="385"/>
      <c r="F232" s="385"/>
      <c r="G232" s="385"/>
      <c r="H232" s="1245" t="s">
        <v>1887</v>
      </c>
      <c r="I232" s="1168"/>
      <c r="J232" s="1168"/>
      <c r="K232" s="1168"/>
      <c r="L232" s="1168"/>
      <c r="M232" s="1168"/>
      <c r="N232" s="1168"/>
      <c r="O232" s="1168"/>
      <c r="P232" s="1168"/>
      <c r="Q232" s="1168"/>
      <c r="R232" s="1168"/>
      <c r="S232" s="1168"/>
      <c r="T232" s="1168"/>
      <c r="U232" s="1168"/>
      <c r="V232" s="1168"/>
      <c r="W232" s="1168"/>
      <c r="X232" s="1168"/>
      <c r="Y232" s="1168"/>
      <c r="Z232" s="1168"/>
      <c r="AA232" s="1168"/>
      <c r="AB232" s="1168"/>
      <c r="AC232" s="1168"/>
      <c r="AD232" s="1168"/>
      <c r="AE232" s="1168"/>
      <c r="AF232" s="1168"/>
      <c r="AG232" s="1168"/>
      <c r="AH232" s="1168"/>
      <c r="AI232" s="1168"/>
      <c r="AJ232" s="1168"/>
      <c r="AK232" s="1168"/>
      <c r="AL232" s="1168"/>
      <c r="AM232" s="1168"/>
      <c r="AN232" s="1168"/>
      <c r="AO232" s="1168"/>
      <c r="AP232" s="1168"/>
      <c r="AQ232" s="1168"/>
      <c r="AR232" s="1168"/>
      <c r="AS232" s="1168"/>
      <c r="AT232" s="1168"/>
      <c r="AU232" s="1168"/>
      <c r="AV232" s="1246"/>
      <c r="AW232" s="385"/>
      <c r="AX232" s="385"/>
      <c r="AY232" s="385"/>
      <c r="AZ232" s="385"/>
      <c r="BA232" s="385"/>
      <c r="BB232" s="385"/>
      <c r="BC232" s="385"/>
      <c r="BD232" s="387"/>
      <c r="BE232" s="258"/>
      <c r="BF232" s="239"/>
      <c r="BG232" s="239"/>
      <c r="BH232" s="239"/>
      <c r="BI232" s="239"/>
      <c r="BJ232" s="239"/>
      <c r="BK232" s="239"/>
      <c r="BL232" s="239"/>
      <c r="BM232" s="239"/>
      <c r="BN232" s="239"/>
      <c r="BO232" s="239"/>
      <c r="BP232" s="239"/>
      <c r="BQ232" s="239"/>
      <c r="BR232" s="239"/>
      <c r="BS232" s="239"/>
      <c r="BT232" s="239"/>
      <c r="BU232" s="239"/>
      <c r="BV232" s="239"/>
      <c r="BW232" s="239"/>
      <c r="BX232" s="239"/>
      <c r="BY232" s="239"/>
      <c r="BZ232" s="239"/>
      <c r="CA232" s="239"/>
      <c r="CB232" s="239"/>
      <c r="CC232" s="239"/>
      <c r="CD232" s="239"/>
      <c r="CE232" s="239"/>
      <c r="CF232" s="239"/>
      <c r="CG232" s="239"/>
    </row>
    <row r="233" spans="1:85" ht="15.75" customHeight="1">
      <c r="A233" s="242"/>
      <c r="B233" s="388"/>
      <c r="C233" s="296"/>
      <c r="D233" s="296"/>
      <c r="E233" s="296"/>
      <c r="F233" s="296"/>
      <c r="G233" s="296"/>
      <c r="H233" s="296"/>
      <c r="I233" s="296"/>
      <c r="J233" s="296"/>
      <c r="K233" s="296"/>
      <c r="L233" s="296"/>
      <c r="M233" s="296"/>
      <c r="N233" s="296"/>
      <c r="O233" s="296"/>
      <c r="P233" s="296"/>
      <c r="Q233" s="296"/>
      <c r="R233" s="296"/>
      <c r="S233" s="296"/>
      <c r="T233" s="296"/>
      <c r="U233" s="296"/>
      <c r="V233" s="296"/>
      <c r="W233" s="296"/>
      <c r="X233" s="296"/>
      <c r="Y233" s="296"/>
      <c r="Z233" s="296"/>
      <c r="AA233" s="296"/>
      <c r="AB233" s="296"/>
      <c r="AC233" s="296"/>
      <c r="AD233" s="296"/>
      <c r="AE233" s="296"/>
      <c r="AF233" s="296"/>
      <c r="AG233" s="296"/>
      <c r="AH233" s="296"/>
      <c r="AI233" s="296"/>
      <c r="AJ233" s="296"/>
      <c r="AK233" s="296"/>
      <c r="AL233" s="296"/>
      <c r="AM233" s="296"/>
      <c r="AN233" s="296"/>
      <c r="AO233" s="296"/>
      <c r="AP233" s="296"/>
      <c r="AQ233" s="296"/>
      <c r="AR233" s="296"/>
      <c r="AS233" s="296"/>
      <c r="AT233" s="296"/>
      <c r="AU233" s="296"/>
      <c r="AV233" s="296"/>
      <c r="AW233" s="296"/>
      <c r="AX233" s="296"/>
      <c r="AY233" s="296"/>
      <c r="AZ233" s="296"/>
      <c r="BA233" s="296"/>
      <c r="BB233" s="296"/>
      <c r="BC233" s="296"/>
      <c r="BD233" s="389"/>
      <c r="BE233" s="258"/>
      <c r="BF233" s="239"/>
      <c r="BG233" s="239"/>
      <c r="BH233" s="239"/>
      <c r="BI233" s="239"/>
      <c r="BJ233" s="239"/>
      <c r="BK233" s="239"/>
      <c r="BL233" s="239"/>
      <c r="BM233" s="239"/>
      <c r="BN233" s="239"/>
      <c r="BO233" s="239"/>
      <c r="BP233" s="239"/>
      <c r="BQ233" s="239"/>
      <c r="BR233" s="239"/>
      <c r="BS233" s="239"/>
      <c r="BT233" s="239"/>
      <c r="BU233" s="239"/>
      <c r="BV233" s="239"/>
      <c r="BW233" s="239"/>
      <c r="BX233" s="239"/>
      <c r="BY233" s="239"/>
      <c r="BZ233" s="239"/>
      <c r="CA233" s="239"/>
      <c r="CB233" s="239"/>
      <c r="CC233" s="239"/>
      <c r="CD233" s="239"/>
      <c r="CE233" s="239"/>
      <c r="CF233" s="239"/>
      <c r="CG233" s="239"/>
    </row>
    <row r="234" spans="1:85" ht="30" customHeight="1">
      <c r="A234" s="242"/>
      <c r="B234" s="388"/>
      <c r="C234" s="296"/>
      <c r="D234" s="296"/>
      <c r="E234" s="296"/>
      <c r="F234" s="296"/>
      <c r="G234" s="296"/>
      <c r="H234" s="1247" t="s">
        <v>1890</v>
      </c>
      <c r="I234" s="1118"/>
      <c r="J234" s="1118"/>
      <c r="K234" s="1119"/>
      <c r="L234" s="296"/>
      <c r="M234" s="296"/>
      <c r="N234" s="296"/>
      <c r="O234" s="296"/>
      <c r="P234" s="296"/>
      <c r="Q234" s="296"/>
      <c r="R234" s="296"/>
      <c r="S234" s="1248"/>
      <c r="T234" s="1231"/>
      <c r="U234" s="1231"/>
      <c r="V234" s="1231"/>
      <c r="W234" s="1231"/>
      <c r="X234" s="1231"/>
      <c r="Y234" s="1231"/>
      <c r="Z234" s="1231"/>
      <c r="AA234" s="1231"/>
      <c r="AB234" s="1231"/>
      <c r="AC234" s="1231"/>
      <c r="AD234" s="1231"/>
      <c r="AE234" s="1231"/>
      <c r="AF234" s="1231"/>
      <c r="AG234" s="1231"/>
      <c r="AH234" s="1231"/>
      <c r="AI234" s="1231"/>
      <c r="AJ234" s="1232"/>
      <c r="AK234" s="296"/>
      <c r="AL234" s="296"/>
      <c r="AM234" s="296"/>
      <c r="AN234" s="296"/>
      <c r="AO234" s="296"/>
      <c r="AP234" s="296"/>
      <c r="AQ234" s="296"/>
      <c r="AR234" s="296"/>
      <c r="AS234" s="296"/>
      <c r="AT234" s="296"/>
      <c r="AU234" s="296"/>
      <c r="AV234" s="296"/>
      <c r="AW234" s="296"/>
      <c r="AX234" s="296"/>
      <c r="AY234" s="296"/>
      <c r="AZ234" s="296"/>
      <c r="BA234" s="296"/>
      <c r="BB234" s="296"/>
      <c r="BC234" s="296"/>
      <c r="BD234" s="389"/>
      <c r="BE234" s="258"/>
      <c r="BF234" s="239"/>
      <c r="BG234" s="239"/>
      <c r="BH234" s="239"/>
      <c r="BI234" s="239"/>
      <c r="BJ234" s="239"/>
      <c r="BK234" s="239"/>
      <c r="BL234" s="239"/>
      <c r="BM234" s="239"/>
      <c r="BN234" s="239"/>
      <c r="BO234" s="239"/>
      <c r="BP234" s="239"/>
      <c r="BQ234" s="239"/>
      <c r="BR234" s="239"/>
      <c r="BS234" s="239"/>
      <c r="BT234" s="239"/>
      <c r="BU234" s="239"/>
      <c r="BV234" s="239"/>
      <c r="BW234" s="239"/>
      <c r="BX234" s="239"/>
      <c r="BY234" s="239"/>
      <c r="BZ234" s="239"/>
      <c r="CA234" s="239"/>
      <c r="CB234" s="239"/>
      <c r="CC234" s="239"/>
      <c r="CD234" s="239"/>
      <c r="CE234" s="239"/>
      <c r="CF234" s="239"/>
      <c r="CG234" s="239"/>
    </row>
    <row r="235" spans="1:85" ht="15.75" customHeight="1">
      <c r="A235" s="242"/>
      <c r="B235" s="388"/>
      <c r="C235" s="296"/>
      <c r="D235" s="296"/>
      <c r="E235" s="296"/>
      <c r="F235" s="296"/>
      <c r="G235" s="296"/>
      <c r="H235" s="390"/>
      <c r="I235" s="390"/>
      <c r="J235" s="390"/>
      <c r="K235" s="390"/>
      <c r="L235" s="296"/>
      <c r="M235" s="296"/>
      <c r="N235" s="296"/>
      <c r="O235" s="296"/>
      <c r="P235" s="296"/>
      <c r="Q235" s="296"/>
      <c r="R235" s="296"/>
      <c r="S235" s="296"/>
      <c r="T235" s="296"/>
      <c r="U235" s="296"/>
      <c r="V235" s="296"/>
      <c r="W235" s="296"/>
      <c r="X235" s="296"/>
      <c r="Y235" s="296"/>
      <c r="Z235" s="296"/>
      <c r="AA235" s="296"/>
      <c r="AB235" s="296"/>
      <c r="AC235" s="296"/>
      <c r="AD235" s="296"/>
      <c r="AE235" s="296"/>
      <c r="AF235" s="296"/>
      <c r="AG235" s="296"/>
      <c r="AH235" s="296"/>
      <c r="AI235" s="296"/>
      <c r="AJ235" s="296"/>
      <c r="AK235" s="296"/>
      <c r="AL235" s="296"/>
      <c r="AM235" s="296"/>
      <c r="AN235" s="296"/>
      <c r="AO235" s="296"/>
      <c r="AP235" s="296"/>
      <c r="AQ235" s="296"/>
      <c r="AR235" s="296"/>
      <c r="AS235" s="296"/>
      <c r="AT235" s="296"/>
      <c r="AU235" s="296"/>
      <c r="AV235" s="296"/>
      <c r="AW235" s="296"/>
      <c r="AX235" s="296"/>
      <c r="AY235" s="296"/>
      <c r="AZ235" s="296"/>
      <c r="BA235" s="296"/>
      <c r="BB235" s="296"/>
      <c r="BC235" s="296"/>
      <c r="BD235" s="389"/>
      <c r="BE235" s="258"/>
      <c r="BF235" s="239"/>
      <c r="BG235" s="239"/>
      <c r="BH235" s="239"/>
      <c r="BI235" s="239"/>
      <c r="BJ235" s="239"/>
      <c r="BK235" s="239"/>
      <c r="BL235" s="239"/>
      <c r="BM235" s="239"/>
      <c r="BN235" s="239"/>
      <c r="BO235" s="239"/>
      <c r="BP235" s="239"/>
      <c r="BQ235" s="239"/>
      <c r="BR235" s="239"/>
      <c r="BS235" s="239"/>
      <c r="BT235" s="239"/>
      <c r="BU235" s="239"/>
      <c r="BV235" s="239"/>
      <c r="BW235" s="239"/>
      <c r="BX235" s="239"/>
      <c r="BY235" s="239"/>
      <c r="BZ235" s="239"/>
      <c r="CA235" s="239"/>
      <c r="CB235" s="239"/>
      <c r="CC235" s="239"/>
      <c r="CD235" s="239"/>
      <c r="CE235" s="239"/>
      <c r="CF235" s="239"/>
      <c r="CG235" s="239"/>
    </row>
    <row r="236" spans="1:85" ht="15.75" customHeight="1">
      <c r="A236" s="242"/>
      <c r="B236" s="388"/>
      <c r="C236" s="296"/>
      <c r="D236" s="296"/>
      <c r="E236" s="296"/>
      <c r="F236" s="296"/>
      <c r="G236" s="296"/>
      <c r="H236" s="1247" t="s">
        <v>1581</v>
      </c>
      <c r="I236" s="1118"/>
      <c r="J236" s="1119"/>
      <c r="K236" s="390"/>
      <c r="L236" s="296"/>
      <c r="M236" s="296"/>
      <c r="N236" s="296"/>
      <c r="O236" s="296"/>
      <c r="P236" s="296"/>
      <c r="Q236" s="296"/>
      <c r="R236" s="296"/>
      <c r="S236" s="1242"/>
      <c r="T236" s="1231"/>
      <c r="U236" s="1231"/>
      <c r="V236" s="1231"/>
      <c r="W236" s="1231"/>
      <c r="X236" s="1231"/>
      <c r="Y236" s="1231"/>
      <c r="Z236" s="1231"/>
      <c r="AA236" s="1231"/>
      <c r="AB236" s="1231"/>
      <c r="AC236" s="1231"/>
      <c r="AD236" s="1231"/>
      <c r="AE236" s="1231"/>
      <c r="AF236" s="1231"/>
      <c r="AG236" s="1231"/>
      <c r="AH236" s="1231"/>
      <c r="AI236" s="1231"/>
      <c r="AJ236" s="1232"/>
      <c r="AK236" s="296"/>
      <c r="AL236" s="296"/>
      <c r="AM236" s="296"/>
      <c r="AN236" s="296"/>
      <c r="AO236" s="296"/>
      <c r="AP236" s="296"/>
      <c r="AQ236" s="296"/>
      <c r="AR236" s="296"/>
      <c r="AS236" s="296"/>
      <c r="AT236" s="296"/>
      <c r="AU236" s="296"/>
      <c r="AV236" s="296"/>
      <c r="AW236" s="296"/>
      <c r="AX236" s="296"/>
      <c r="AY236" s="296"/>
      <c r="AZ236" s="296"/>
      <c r="BA236" s="296"/>
      <c r="BB236" s="296"/>
      <c r="BC236" s="296"/>
      <c r="BD236" s="389"/>
      <c r="BE236" s="258"/>
      <c r="BF236" s="239"/>
      <c r="BG236" s="239"/>
      <c r="BH236" s="239"/>
      <c r="BI236" s="239"/>
      <c r="BJ236" s="239"/>
      <c r="BK236" s="239"/>
      <c r="BL236" s="239"/>
      <c r="BM236" s="239"/>
      <c r="BN236" s="239"/>
      <c r="BO236" s="239"/>
      <c r="BP236" s="239"/>
      <c r="BQ236" s="239"/>
      <c r="BR236" s="239"/>
      <c r="BS236" s="239"/>
      <c r="BT236" s="239"/>
      <c r="BU236" s="239"/>
      <c r="BV236" s="239"/>
      <c r="BW236" s="239"/>
      <c r="BX236" s="239"/>
      <c r="BY236" s="239"/>
      <c r="BZ236" s="239"/>
      <c r="CA236" s="239"/>
      <c r="CB236" s="239"/>
      <c r="CC236" s="239"/>
      <c r="CD236" s="239"/>
      <c r="CE236" s="239"/>
      <c r="CF236" s="239"/>
      <c r="CG236" s="239"/>
    </row>
    <row r="237" spans="1:85" ht="15.75" customHeight="1">
      <c r="A237" s="242"/>
      <c r="B237" s="388"/>
      <c r="C237" s="296"/>
      <c r="D237" s="296"/>
      <c r="E237" s="296"/>
      <c r="F237" s="296"/>
      <c r="G237" s="296"/>
      <c r="H237" s="390"/>
      <c r="I237" s="390"/>
      <c r="J237" s="390"/>
      <c r="K237" s="390"/>
      <c r="L237" s="296"/>
      <c r="M237" s="296"/>
      <c r="N237" s="296"/>
      <c r="O237" s="296"/>
      <c r="P237" s="296"/>
      <c r="Q237" s="296"/>
      <c r="R237" s="296"/>
      <c r="S237" s="296"/>
      <c r="T237" s="296"/>
      <c r="U237" s="296"/>
      <c r="V237" s="296"/>
      <c r="W237" s="296"/>
      <c r="X237" s="296"/>
      <c r="Y237" s="296"/>
      <c r="Z237" s="296"/>
      <c r="AA237" s="296"/>
      <c r="AB237" s="296"/>
      <c r="AC237" s="296"/>
      <c r="AD237" s="296"/>
      <c r="AE237" s="296"/>
      <c r="AF237" s="296"/>
      <c r="AG237" s="296"/>
      <c r="AH237" s="296"/>
      <c r="AI237" s="296"/>
      <c r="AJ237" s="296"/>
      <c r="AK237" s="296"/>
      <c r="AL237" s="296"/>
      <c r="AM237" s="296"/>
      <c r="AN237" s="296"/>
      <c r="AO237" s="296"/>
      <c r="AP237" s="296"/>
      <c r="AQ237" s="296"/>
      <c r="AR237" s="296"/>
      <c r="AS237" s="296"/>
      <c r="AT237" s="296"/>
      <c r="AU237" s="296"/>
      <c r="AV237" s="296"/>
      <c r="AW237" s="296"/>
      <c r="AX237" s="296"/>
      <c r="AY237" s="296"/>
      <c r="AZ237" s="296"/>
      <c r="BA237" s="296"/>
      <c r="BB237" s="296"/>
      <c r="BC237" s="296"/>
      <c r="BD237" s="389"/>
      <c r="BE237" s="258"/>
      <c r="BF237" s="239"/>
      <c r="BG237" s="239"/>
      <c r="BH237" s="239"/>
      <c r="BI237" s="239"/>
      <c r="BJ237" s="239"/>
      <c r="BK237" s="239"/>
      <c r="BL237" s="239"/>
      <c r="BM237" s="239"/>
      <c r="BN237" s="239"/>
      <c r="BO237" s="239"/>
      <c r="BP237" s="239"/>
      <c r="BQ237" s="239"/>
      <c r="BR237" s="239"/>
      <c r="BS237" s="239"/>
      <c r="BT237" s="239"/>
      <c r="BU237" s="239"/>
      <c r="BV237" s="239"/>
      <c r="BW237" s="239"/>
      <c r="BX237" s="239"/>
      <c r="BY237" s="239"/>
      <c r="BZ237" s="239"/>
      <c r="CA237" s="239"/>
      <c r="CB237" s="239"/>
      <c r="CC237" s="239"/>
      <c r="CD237" s="239"/>
      <c r="CE237" s="239"/>
      <c r="CF237" s="239"/>
      <c r="CG237" s="239"/>
    </row>
    <row r="238" spans="1:85" ht="15.75" customHeight="1">
      <c r="A238" s="242"/>
      <c r="B238" s="388"/>
      <c r="C238" s="296"/>
      <c r="D238" s="296"/>
      <c r="E238" s="296"/>
      <c r="F238" s="296"/>
      <c r="G238" s="296"/>
      <c r="H238" s="1247" t="s">
        <v>851</v>
      </c>
      <c r="I238" s="1119"/>
      <c r="J238" s="390"/>
      <c r="K238" s="390"/>
      <c r="L238" s="296"/>
      <c r="M238" s="296"/>
      <c r="N238" s="296"/>
      <c r="O238" s="296"/>
      <c r="P238" s="296"/>
      <c r="Q238" s="296"/>
      <c r="R238" s="296"/>
      <c r="S238" s="1242"/>
      <c r="T238" s="1231"/>
      <c r="U238" s="1231"/>
      <c r="V238" s="1231"/>
      <c r="W238" s="1231"/>
      <c r="X238" s="1231"/>
      <c r="Y238" s="1231"/>
      <c r="Z238" s="1231"/>
      <c r="AA238" s="1231"/>
      <c r="AB238" s="1231"/>
      <c r="AC238" s="1231"/>
      <c r="AD238" s="1231"/>
      <c r="AE238" s="1231"/>
      <c r="AF238" s="1231"/>
      <c r="AG238" s="1231"/>
      <c r="AH238" s="1231"/>
      <c r="AI238" s="1231"/>
      <c r="AJ238" s="1232"/>
      <c r="AK238" s="296"/>
      <c r="AL238" s="296"/>
      <c r="AM238" s="296"/>
      <c r="AN238" s="296"/>
      <c r="AO238" s="296"/>
      <c r="AP238" s="296"/>
      <c r="AQ238" s="296"/>
      <c r="AR238" s="296"/>
      <c r="AS238" s="296"/>
      <c r="AT238" s="296"/>
      <c r="AU238" s="296"/>
      <c r="AV238" s="296"/>
      <c r="AW238" s="296"/>
      <c r="AX238" s="296"/>
      <c r="AY238" s="296"/>
      <c r="AZ238" s="296"/>
      <c r="BA238" s="296"/>
      <c r="BB238" s="296"/>
      <c r="BC238" s="296"/>
      <c r="BD238" s="389"/>
      <c r="BE238" s="258"/>
      <c r="BF238" s="239"/>
      <c r="BG238" s="239"/>
      <c r="BH238" s="239"/>
      <c r="BI238" s="239"/>
      <c r="BJ238" s="239"/>
      <c r="BK238" s="239"/>
      <c r="BL238" s="239"/>
      <c r="BM238" s="239"/>
      <c r="BN238" s="239"/>
      <c r="BO238" s="239"/>
      <c r="BP238" s="239"/>
      <c r="BQ238" s="239"/>
      <c r="BR238" s="239"/>
      <c r="BS238" s="239"/>
      <c r="BT238" s="239"/>
      <c r="BU238" s="239"/>
      <c r="BV238" s="239"/>
      <c r="BW238" s="239"/>
      <c r="BX238" s="239"/>
      <c r="BY238" s="239"/>
      <c r="BZ238" s="239"/>
      <c r="CA238" s="239"/>
      <c r="CB238" s="239"/>
      <c r="CC238" s="239"/>
      <c r="CD238" s="239"/>
      <c r="CE238" s="239"/>
      <c r="CF238" s="239"/>
      <c r="CG238" s="239"/>
    </row>
    <row r="239" spans="1:85" ht="15.75" customHeight="1">
      <c r="A239" s="242"/>
      <c r="B239" s="388"/>
      <c r="C239" s="296"/>
      <c r="D239" s="296"/>
      <c r="E239" s="296"/>
      <c r="F239" s="296"/>
      <c r="G239" s="296"/>
      <c r="H239" s="296"/>
      <c r="I239" s="296"/>
      <c r="J239" s="296"/>
      <c r="K239" s="296"/>
      <c r="L239" s="296"/>
      <c r="M239" s="296"/>
      <c r="N239" s="296"/>
      <c r="O239" s="296"/>
      <c r="P239" s="296"/>
      <c r="Q239" s="296"/>
      <c r="R239" s="296"/>
      <c r="S239" s="296"/>
      <c r="T239" s="296"/>
      <c r="U239" s="296"/>
      <c r="V239" s="296"/>
      <c r="W239" s="296"/>
      <c r="X239" s="296"/>
      <c r="Y239" s="296"/>
      <c r="Z239" s="296"/>
      <c r="AA239" s="296"/>
      <c r="AB239" s="296"/>
      <c r="AC239" s="296"/>
      <c r="AD239" s="296"/>
      <c r="AE239" s="296"/>
      <c r="AF239" s="296"/>
      <c r="AG239" s="296"/>
      <c r="AH239" s="296"/>
      <c r="AI239" s="296"/>
      <c r="AJ239" s="296"/>
      <c r="AK239" s="296"/>
      <c r="AL239" s="296"/>
      <c r="AM239" s="296"/>
      <c r="AN239" s="296"/>
      <c r="AO239" s="296"/>
      <c r="AP239" s="296"/>
      <c r="AQ239" s="296"/>
      <c r="AR239" s="296"/>
      <c r="AS239" s="296"/>
      <c r="AT239" s="296"/>
      <c r="AU239" s="296"/>
      <c r="AV239" s="296"/>
      <c r="AW239" s="296"/>
      <c r="AX239" s="296"/>
      <c r="AY239" s="296"/>
      <c r="AZ239" s="296"/>
      <c r="BA239" s="296"/>
      <c r="BB239" s="296"/>
      <c r="BC239" s="296"/>
      <c r="BD239" s="389"/>
      <c r="BE239" s="258"/>
      <c r="BF239" s="239"/>
      <c r="BG239" s="239"/>
      <c r="BH239" s="239"/>
      <c r="BI239" s="239"/>
      <c r="BJ239" s="239"/>
      <c r="BK239" s="239"/>
      <c r="BL239" s="239"/>
      <c r="BM239" s="239"/>
      <c r="BN239" s="239"/>
      <c r="BO239" s="239"/>
      <c r="BP239" s="239"/>
      <c r="BQ239" s="239"/>
      <c r="BR239" s="239"/>
      <c r="BS239" s="239"/>
      <c r="BT239" s="239"/>
      <c r="BU239" s="239"/>
      <c r="BV239" s="239"/>
      <c r="BW239" s="239"/>
      <c r="BX239" s="239"/>
      <c r="BY239" s="239"/>
      <c r="BZ239" s="239"/>
      <c r="CA239" s="239"/>
      <c r="CB239" s="239"/>
      <c r="CC239" s="239"/>
      <c r="CD239" s="239"/>
      <c r="CE239" s="239"/>
      <c r="CF239" s="239"/>
      <c r="CG239" s="239"/>
    </row>
    <row r="240" spans="1:85" ht="15.75" customHeight="1">
      <c r="A240" s="242"/>
      <c r="B240" s="388"/>
      <c r="C240" s="296"/>
      <c r="D240" s="296"/>
      <c r="E240" s="296"/>
      <c r="F240" s="296"/>
      <c r="G240" s="296"/>
      <c r="H240" s="1241" t="s">
        <v>1897</v>
      </c>
      <c r="I240" s="1118"/>
      <c r="J240" s="1118"/>
      <c r="K240" s="1118"/>
      <c r="L240" s="1118"/>
      <c r="M240" s="1118"/>
      <c r="N240" s="1118"/>
      <c r="O240" s="1119"/>
      <c r="P240" s="296"/>
      <c r="Q240" s="296"/>
      <c r="R240" s="296"/>
      <c r="S240" s="1242"/>
      <c r="T240" s="1231"/>
      <c r="U240" s="1231"/>
      <c r="V240" s="1231"/>
      <c r="W240" s="1231"/>
      <c r="X240" s="1231"/>
      <c r="Y240" s="1231"/>
      <c r="Z240" s="1231"/>
      <c r="AA240" s="1231"/>
      <c r="AB240" s="1231"/>
      <c r="AC240" s="1231"/>
      <c r="AD240" s="1231"/>
      <c r="AE240" s="1231"/>
      <c r="AF240" s="1231"/>
      <c r="AG240" s="1231"/>
      <c r="AH240" s="1231"/>
      <c r="AI240" s="1231"/>
      <c r="AJ240" s="1232"/>
      <c r="AK240" s="296"/>
      <c r="AL240" s="296"/>
      <c r="AM240" s="296"/>
      <c r="AN240" s="296"/>
      <c r="AO240" s="296"/>
      <c r="AP240" s="296"/>
      <c r="AQ240" s="296"/>
      <c r="AR240" s="296"/>
      <c r="AS240" s="296"/>
      <c r="AT240" s="296"/>
      <c r="AU240" s="296"/>
      <c r="AV240" s="296"/>
      <c r="AW240" s="296"/>
      <c r="AX240" s="296"/>
      <c r="AY240" s="296"/>
      <c r="AZ240" s="296"/>
      <c r="BA240" s="296"/>
      <c r="BB240" s="296"/>
      <c r="BC240" s="296"/>
      <c r="BD240" s="389"/>
      <c r="BE240" s="258"/>
      <c r="BF240" s="239"/>
      <c r="BG240" s="239"/>
      <c r="BH240" s="239"/>
      <c r="BI240" s="239"/>
      <c r="BJ240" s="239"/>
      <c r="BK240" s="239"/>
      <c r="BL240" s="239"/>
      <c r="BM240" s="239"/>
      <c r="BN240" s="239"/>
      <c r="BO240" s="239"/>
      <c r="BP240" s="239"/>
      <c r="BQ240" s="239"/>
      <c r="BR240" s="239"/>
      <c r="BS240" s="239"/>
      <c r="BT240" s="239"/>
      <c r="BU240" s="239"/>
      <c r="BV240" s="239"/>
      <c r="BW240" s="239"/>
      <c r="BX240" s="239"/>
      <c r="BY240" s="239"/>
      <c r="BZ240" s="239"/>
      <c r="CA240" s="239"/>
      <c r="CB240" s="239"/>
      <c r="CC240" s="239"/>
      <c r="CD240" s="239"/>
      <c r="CE240" s="239"/>
      <c r="CF240" s="239"/>
      <c r="CG240" s="239"/>
    </row>
    <row r="241" spans="1:85" ht="15.75" customHeight="1">
      <c r="A241" s="242"/>
      <c r="B241" s="388"/>
      <c r="C241" s="296"/>
      <c r="D241" s="296"/>
      <c r="E241" s="296"/>
      <c r="F241" s="296"/>
      <c r="G241" s="296"/>
      <c r="H241" s="296"/>
      <c r="I241" s="296"/>
      <c r="J241" s="296"/>
      <c r="K241" s="296"/>
      <c r="L241" s="296"/>
      <c r="M241" s="296"/>
      <c r="N241" s="296"/>
      <c r="O241" s="296"/>
      <c r="P241" s="296"/>
      <c r="Q241" s="296"/>
      <c r="R241" s="296"/>
      <c r="S241" s="296"/>
      <c r="T241" s="296"/>
      <c r="U241" s="296"/>
      <c r="V241" s="296"/>
      <c r="W241" s="296"/>
      <c r="X241" s="296"/>
      <c r="Y241" s="296"/>
      <c r="Z241" s="296"/>
      <c r="AA241" s="296"/>
      <c r="AB241" s="296"/>
      <c r="AC241" s="296"/>
      <c r="AD241" s="296"/>
      <c r="AE241" s="296"/>
      <c r="AF241" s="296"/>
      <c r="AG241" s="296"/>
      <c r="AH241" s="296"/>
      <c r="AI241" s="296"/>
      <c r="AJ241" s="296"/>
      <c r="AK241" s="296"/>
      <c r="AL241" s="296"/>
      <c r="AM241" s="296"/>
      <c r="AN241" s="296"/>
      <c r="AO241" s="296"/>
      <c r="AP241" s="296"/>
      <c r="AQ241" s="296"/>
      <c r="AR241" s="296"/>
      <c r="AS241" s="296"/>
      <c r="AT241" s="296"/>
      <c r="AU241" s="296"/>
      <c r="AV241" s="296"/>
      <c r="AW241" s="296"/>
      <c r="AX241" s="296"/>
      <c r="AY241" s="296"/>
      <c r="AZ241" s="296"/>
      <c r="BA241" s="296"/>
      <c r="BB241" s="296"/>
      <c r="BC241" s="296"/>
      <c r="BD241" s="389"/>
      <c r="BE241" s="258"/>
      <c r="BF241" s="239"/>
      <c r="BG241" s="239"/>
      <c r="BH241" s="239"/>
      <c r="BI241" s="239"/>
      <c r="BJ241" s="239"/>
      <c r="BK241" s="239"/>
      <c r="BL241" s="239"/>
      <c r="BM241" s="239"/>
      <c r="BN241" s="239"/>
      <c r="BO241" s="239"/>
      <c r="BP241" s="239"/>
      <c r="BQ241" s="239"/>
      <c r="BR241" s="239"/>
      <c r="BS241" s="239"/>
      <c r="BT241" s="239"/>
      <c r="BU241" s="239"/>
      <c r="BV241" s="239"/>
      <c r="BW241" s="239"/>
      <c r="BX241" s="239"/>
      <c r="BY241" s="239"/>
      <c r="BZ241" s="239"/>
      <c r="CA241" s="239"/>
      <c r="CB241" s="239"/>
      <c r="CC241" s="239"/>
      <c r="CD241" s="239"/>
      <c r="CE241" s="239"/>
      <c r="CF241" s="239"/>
      <c r="CG241" s="239"/>
    </row>
    <row r="242" spans="1:85" ht="15.75" customHeight="1">
      <c r="A242" s="242"/>
      <c r="B242" s="388"/>
      <c r="C242" s="296"/>
      <c r="D242" s="296"/>
      <c r="E242" s="296"/>
      <c r="F242" s="296"/>
      <c r="G242" s="296"/>
      <c r="H242" s="1243" t="s">
        <v>1899</v>
      </c>
      <c r="I242" s="1119"/>
      <c r="J242" s="296"/>
      <c r="K242" s="296"/>
      <c r="L242" s="296"/>
      <c r="M242" s="296"/>
      <c r="N242" s="296"/>
      <c r="O242" s="296"/>
      <c r="P242" s="296"/>
      <c r="Q242" s="296"/>
      <c r="R242" s="296"/>
      <c r="S242" s="1244"/>
      <c r="T242" s="1231"/>
      <c r="U242" s="1231"/>
      <c r="V242" s="1231"/>
      <c r="W242" s="1231"/>
      <c r="X242" s="1231"/>
      <c r="Y242" s="1231"/>
      <c r="Z242" s="1231"/>
      <c r="AA242" s="1231"/>
      <c r="AB242" s="1231"/>
      <c r="AC242" s="1231"/>
      <c r="AD242" s="1231"/>
      <c r="AE242" s="1231"/>
      <c r="AF242" s="1231"/>
      <c r="AG242" s="1231"/>
      <c r="AH242" s="1231"/>
      <c r="AI242" s="1231"/>
      <c r="AJ242" s="1232"/>
      <c r="AK242" s="296"/>
      <c r="AL242" s="296"/>
      <c r="AM242" s="296"/>
      <c r="AN242" s="296"/>
      <c r="AO242" s="296"/>
      <c r="AP242" s="296"/>
      <c r="AQ242" s="296"/>
      <c r="AR242" s="296"/>
      <c r="AS242" s="296"/>
      <c r="AT242" s="296"/>
      <c r="AU242" s="296"/>
      <c r="AV242" s="296"/>
      <c r="AW242" s="296"/>
      <c r="AX242" s="296"/>
      <c r="AY242" s="296"/>
      <c r="AZ242" s="296"/>
      <c r="BA242" s="296"/>
      <c r="BB242" s="296"/>
      <c r="BC242" s="296"/>
      <c r="BD242" s="389"/>
      <c r="BE242" s="258"/>
      <c r="BF242" s="239"/>
      <c r="BG242" s="239"/>
      <c r="BH242" s="239"/>
      <c r="BI242" s="239"/>
      <c r="BJ242" s="239"/>
      <c r="BK242" s="239"/>
      <c r="BL242" s="239"/>
      <c r="BM242" s="239"/>
      <c r="BN242" s="239"/>
      <c r="BO242" s="239"/>
      <c r="BP242" s="239"/>
      <c r="BQ242" s="239"/>
      <c r="BR242" s="239"/>
      <c r="BS242" s="239"/>
      <c r="BT242" s="239"/>
      <c r="BU242" s="239"/>
      <c r="BV242" s="239"/>
      <c r="BW242" s="239"/>
      <c r="BX242" s="239"/>
      <c r="BY242" s="239"/>
      <c r="BZ242" s="239"/>
      <c r="CA242" s="239"/>
      <c r="CB242" s="239"/>
      <c r="CC242" s="239"/>
      <c r="CD242" s="239"/>
      <c r="CE242" s="239"/>
      <c r="CF242" s="239"/>
      <c r="CG242" s="239"/>
    </row>
    <row r="243" spans="1:85" ht="15.75" customHeight="1">
      <c r="A243" s="242"/>
      <c r="B243" s="395"/>
      <c r="C243" s="396"/>
      <c r="D243" s="396"/>
      <c r="E243" s="396"/>
      <c r="F243" s="396"/>
      <c r="G243" s="396"/>
      <c r="H243" s="396"/>
      <c r="I243" s="396"/>
      <c r="J243" s="396"/>
      <c r="K243" s="396"/>
      <c r="L243" s="396"/>
      <c r="M243" s="396"/>
      <c r="N243" s="396"/>
      <c r="O243" s="396"/>
      <c r="P243" s="396"/>
      <c r="Q243" s="396"/>
      <c r="R243" s="396"/>
      <c r="S243" s="396"/>
      <c r="T243" s="396"/>
      <c r="U243" s="396"/>
      <c r="V243" s="396"/>
      <c r="W243" s="396"/>
      <c r="X243" s="396"/>
      <c r="Y243" s="396"/>
      <c r="Z243" s="396"/>
      <c r="AA243" s="396"/>
      <c r="AB243" s="396"/>
      <c r="AC243" s="396"/>
      <c r="AD243" s="396"/>
      <c r="AE243" s="396"/>
      <c r="AF243" s="396"/>
      <c r="AG243" s="396"/>
      <c r="AH243" s="396"/>
      <c r="AI243" s="396"/>
      <c r="AJ243" s="396"/>
      <c r="AK243" s="396"/>
      <c r="AL243" s="396"/>
      <c r="AM243" s="396"/>
      <c r="AN243" s="396"/>
      <c r="AO243" s="396"/>
      <c r="AP243" s="396"/>
      <c r="AQ243" s="396"/>
      <c r="AR243" s="396"/>
      <c r="AS243" s="396"/>
      <c r="AT243" s="396"/>
      <c r="AU243" s="396"/>
      <c r="AV243" s="396"/>
      <c r="AW243" s="396"/>
      <c r="AX243" s="396"/>
      <c r="AY243" s="396"/>
      <c r="AZ243" s="396"/>
      <c r="BA243" s="396"/>
      <c r="BB243" s="396"/>
      <c r="BC243" s="396"/>
      <c r="BD243" s="397"/>
      <c r="BE243" s="258"/>
      <c r="BF243" s="239"/>
      <c r="BG243" s="239"/>
      <c r="BH243" s="239"/>
      <c r="BI243" s="239"/>
      <c r="BJ243" s="239"/>
      <c r="BK243" s="239"/>
      <c r="BL243" s="239"/>
      <c r="BM243" s="239"/>
      <c r="BN243" s="239"/>
      <c r="BO243" s="239"/>
      <c r="BP243" s="239"/>
      <c r="BQ243" s="239"/>
      <c r="BR243" s="239"/>
      <c r="BS243" s="239"/>
      <c r="BT243" s="239"/>
      <c r="BU243" s="239"/>
      <c r="BV243" s="239"/>
      <c r="BW243" s="239"/>
      <c r="BX243" s="239"/>
      <c r="BY243" s="239"/>
      <c r="BZ243" s="239"/>
      <c r="CA243" s="239"/>
      <c r="CB243" s="239"/>
      <c r="CC243" s="239"/>
      <c r="CD243" s="239"/>
      <c r="CE243" s="239"/>
      <c r="CF243" s="239"/>
      <c r="CG243" s="239"/>
    </row>
    <row r="244" spans="1:85" ht="15.75" customHeight="1">
      <c r="A244" s="385"/>
      <c r="B244" s="385"/>
      <c r="C244" s="385"/>
      <c r="D244" s="385"/>
      <c r="E244" s="385"/>
      <c r="F244" s="385"/>
      <c r="G244" s="385"/>
      <c r="H244" s="385"/>
      <c r="I244" s="385"/>
      <c r="J244" s="385"/>
      <c r="K244" s="385"/>
      <c r="L244" s="385"/>
      <c r="M244" s="385"/>
      <c r="N244" s="385"/>
      <c r="O244" s="385"/>
      <c r="P244" s="385"/>
      <c r="Q244" s="385"/>
      <c r="R244" s="385"/>
      <c r="S244" s="385"/>
      <c r="T244" s="385"/>
      <c r="U244" s="385"/>
      <c r="V244" s="385"/>
      <c r="W244" s="385"/>
      <c r="X244" s="385"/>
      <c r="Y244" s="385"/>
      <c r="Z244" s="385"/>
      <c r="AA244" s="385"/>
      <c r="AB244" s="385"/>
      <c r="AC244" s="385"/>
      <c r="AD244" s="385"/>
      <c r="AE244" s="385"/>
      <c r="AF244" s="385"/>
      <c r="AG244" s="385"/>
      <c r="AH244" s="385"/>
      <c r="AI244" s="385"/>
      <c r="AJ244" s="385"/>
      <c r="AK244" s="385"/>
      <c r="AL244" s="385"/>
      <c r="AM244" s="385"/>
      <c r="AN244" s="385"/>
      <c r="AO244" s="385"/>
      <c r="AP244" s="385"/>
      <c r="AQ244" s="385"/>
      <c r="AR244" s="385"/>
      <c r="AS244" s="385"/>
      <c r="AT244" s="385"/>
      <c r="AU244" s="385"/>
      <c r="AV244" s="385"/>
      <c r="AW244" s="385"/>
      <c r="AX244" s="385"/>
      <c r="AY244" s="385"/>
      <c r="AZ244" s="385"/>
      <c r="BA244" s="385"/>
      <c r="BB244" s="385"/>
      <c r="BC244" s="385"/>
      <c r="BD244" s="385"/>
      <c r="BE244" s="387"/>
      <c r="BF244" s="239"/>
      <c r="BG244" s="239"/>
      <c r="BH244" s="239"/>
      <c r="BI244" s="239"/>
      <c r="BJ244" s="239"/>
      <c r="BK244" s="239"/>
      <c r="BL244" s="239"/>
      <c r="BM244" s="239"/>
      <c r="BN244" s="239"/>
      <c r="BO244" s="239"/>
      <c r="BP244" s="239"/>
      <c r="BQ244" s="239"/>
      <c r="BR244" s="239"/>
      <c r="BS244" s="239"/>
      <c r="BT244" s="239"/>
      <c r="BU244" s="239"/>
      <c r="BV244" s="239"/>
      <c r="BW244" s="239"/>
      <c r="BX244" s="239"/>
      <c r="BY244" s="239"/>
      <c r="BZ244" s="239"/>
      <c r="CA244" s="239"/>
      <c r="CB244" s="239"/>
      <c r="CC244" s="239"/>
      <c r="CD244" s="239"/>
      <c r="CE244" s="239"/>
      <c r="CF244" s="239"/>
      <c r="CG244" s="239"/>
    </row>
    <row r="245" spans="1:85" ht="15.75" customHeight="1">
      <c r="A245" s="239"/>
      <c r="B245" s="239"/>
      <c r="C245" s="239"/>
      <c r="D245" s="239"/>
      <c r="E245" s="239"/>
      <c r="F245" s="239"/>
      <c r="G245" s="239"/>
      <c r="H245" s="239"/>
      <c r="I245" s="239"/>
      <c r="J245" s="239"/>
      <c r="K245" s="239"/>
      <c r="L245" s="239"/>
      <c r="M245" s="239"/>
      <c r="N245" s="239"/>
      <c r="O245" s="239"/>
      <c r="P245" s="239"/>
      <c r="Q245" s="239"/>
      <c r="R245" s="239"/>
      <c r="S245" s="239"/>
      <c r="T245" s="239"/>
      <c r="U245" s="239"/>
      <c r="V245" s="239"/>
      <c r="W245" s="239"/>
      <c r="X245" s="239"/>
      <c r="Y245" s="239"/>
      <c r="Z245" s="239"/>
      <c r="AA245" s="239"/>
      <c r="AB245" s="239"/>
      <c r="AC245" s="239"/>
      <c r="AD245" s="239"/>
      <c r="AE245" s="239"/>
      <c r="AF245" s="239"/>
      <c r="AG245" s="239"/>
      <c r="AH245" s="239"/>
      <c r="AI245" s="239"/>
      <c r="AJ245" s="239"/>
      <c r="AK245" s="239"/>
      <c r="AL245" s="239"/>
      <c r="AM245" s="239"/>
      <c r="AN245" s="239"/>
      <c r="AO245" s="239"/>
      <c r="AP245" s="239"/>
      <c r="AQ245" s="239"/>
      <c r="AR245" s="239"/>
      <c r="AS245" s="239"/>
      <c r="AT245" s="239"/>
      <c r="AU245" s="239"/>
      <c r="AV245" s="239"/>
      <c r="AW245" s="239"/>
      <c r="AX245" s="239"/>
      <c r="AY245" s="239"/>
      <c r="AZ245" s="239"/>
      <c r="BA245" s="239"/>
      <c r="BB245" s="239"/>
      <c r="BC245" s="239"/>
      <c r="BD245" s="239"/>
      <c r="BE245" s="239"/>
      <c r="BF245" s="239"/>
      <c r="BG245" s="239"/>
      <c r="BH245" s="239"/>
      <c r="BI245" s="239"/>
      <c r="BJ245" s="239"/>
      <c r="BK245" s="239"/>
      <c r="BL245" s="239"/>
      <c r="BM245" s="239"/>
      <c r="BN245" s="239"/>
      <c r="BO245" s="239"/>
      <c r="BP245" s="239"/>
      <c r="BQ245" s="239"/>
      <c r="BR245" s="239"/>
      <c r="BS245" s="239"/>
      <c r="BT245" s="239"/>
      <c r="BU245" s="239"/>
      <c r="BV245" s="239"/>
      <c r="BW245" s="239"/>
      <c r="BX245" s="239"/>
      <c r="BY245" s="239"/>
      <c r="BZ245" s="239"/>
      <c r="CA245" s="239"/>
      <c r="CB245" s="239"/>
      <c r="CC245" s="239"/>
      <c r="CD245" s="239"/>
      <c r="CE245" s="239"/>
      <c r="CF245" s="239"/>
      <c r="CG245" s="239"/>
    </row>
    <row r="246" spans="1:85" ht="15.75" customHeight="1">
      <c r="A246" s="239"/>
      <c r="B246" s="239"/>
      <c r="C246" s="239"/>
      <c r="D246" s="239"/>
      <c r="E246" s="239"/>
      <c r="F246" s="239"/>
      <c r="G246" s="239"/>
      <c r="H246" s="239"/>
      <c r="I246" s="239"/>
      <c r="J246" s="239"/>
      <c r="K246" s="239"/>
      <c r="L246" s="239"/>
      <c r="M246" s="239"/>
      <c r="N246" s="239"/>
      <c r="O246" s="239"/>
      <c r="P246" s="239"/>
      <c r="Q246" s="239"/>
      <c r="R246" s="239"/>
      <c r="S246" s="239"/>
      <c r="T246" s="239"/>
      <c r="U246" s="239"/>
      <c r="V246" s="239"/>
      <c r="W246" s="239"/>
      <c r="X246" s="239"/>
      <c r="Y246" s="239"/>
      <c r="Z246" s="239"/>
      <c r="AA246" s="239"/>
      <c r="AB246" s="239"/>
      <c r="AC246" s="239"/>
      <c r="AD246" s="239"/>
      <c r="AE246" s="239"/>
      <c r="AF246" s="239"/>
      <c r="AG246" s="239"/>
      <c r="AH246" s="239"/>
      <c r="AI246" s="239"/>
      <c r="AJ246" s="239"/>
      <c r="AK246" s="239"/>
      <c r="AL246" s="239"/>
      <c r="AM246" s="239"/>
      <c r="AN246" s="239"/>
      <c r="AO246" s="239"/>
      <c r="AP246" s="239"/>
      <c r="AQ246" s="239"/>
      <c r="AR246" s="239"/>
      <c r="AS246" s="239"/>
      <c r="AT246" s="239"/>
      <c r="AU246" s="239"/>
      <c r="AV246" s="239"/>
      <c r="AW246" s="239"/>
      <c r="AX246" s="239"/>
      <c r="AY246" s="239"/>
      <c r="AZ246" s="239"/>
      <c r="BA246" s="239"/>
      <c r="BB246" s="239"/>
      <c r="BC246" s="239"/>
      <c r="BD246" s="239"/>
      <c r="BE246" s="239"/>
      <c r="BF246" s="239"/>
      <c r="BG246" s="239"/>
      <c r="BH246" s="239"/>
      <c r="BI246" s="239"/>
      <c r="BJ246" s="239"/>
      <c r="BK246" s="239"/>
      <c r="BL246" s="239"/>
      <c r="BM246" s="239"/>
      <c r="BN246" s="239"/>
      <c r="BO246" s="239"/>
      <c r="BP246" s="239"/>
      <c r="BQ246" s="239"/>
      <c r="BR246" s="239"/>
      <c r="BS246" s="239"/>
      <c r="BT246" s="239"/>
      <c r="BU246" s="239"/>
      <c r="BV246" s="239"/>
      <c r="BW246" s="239"/>
      <c r="BX246" s="239"/>
      <c r="BY246" s="239"/>
      <c r="BZ246" s="239"/>
      <c r="CA246" s="239"/>
      <c r="CB246" s="239"/>
      <c r="CC246" s="239"/>
      <c r="CD246" s="239"/>
      <c r="CE246" s="239"/>
      <c r="CF246" s="239"/>
      <c r="CG246" s="239"/>
    </row>
    <row r="247" spans="1:85" ht="15.75" customHeight="1">
      <c r="A247" s="239"/>
      <c r="B247" s="239"/>
      <c r="C247" s="239"/>
      <c r="D247" s="240"/>
      <c r="E247" s="239"/>
      <c r="F247" s="239"/>
      <c r="G247" s="239"/>
      <c r="H247" s="239"/>
      <c r="I247" s="239"/>
      <c r="J247" s="239"/>
      <c r="K247" s="239"/>
      <c r="L247" s="239"/>
      <c r="M247" s="239"/>
      <c r="N247" s="239"/>
      <c r="O247" s="239"/>
      <c r="P247" s="239"/>
      <c r="Q247" s="239"/>
      <c r="R247" s="239"/>
      <c r="S247" s="239"/>
      <c r="T247" s="239"/>
      <c r="U247" s="239"/>
      <c r="V247" s="239"/>
      <c r="W247" s="239"/>
      <c r="X247" s="239"/>
      <c r="Y247" s="239"/>
      <c r="Z247" s="239"/>
      <c r="AA247" s="239"/>
      <c r="AB247" s="239"/>
      <c r="AC247" s="239"/>
      <c r="AD247" s="239"/>
      <c r="AE247" s="239"/>
      <c r="AF247" s="239"/>
      <c r="AG247" s="239"/>
      <c r="AH247" s="239"/>
      <c r="AI247" s="239"/>
      <c r="AJ247" s="239"/>
      <c r="AK247" s="239"/>
      <c r="AL247" s="239"/>
      <c r="AM247" s="239"/>
      <c r="AN247" s="239"/>
      <c r="AO247" s="239"/>
      <c r="AP247" s="239"/>
      <c r="AQ247" s="239"/>
      <c r="AR247" s="239"/>
      <c r="AS247" s="239"/>
      <c r="AT247" s="239"/>
      <c r="AU247" s="239"/>
      <c r="AV247" s="239"/>
      <c r="AW247" s="239"/>
      <c r="AX247" s="239"/>
      <c r="AY247" s="239"/>
      <c r="AZ247" s="239"/>
      <c r="BA247" s="239"/>
      <c r="BB247" s="239"/>
      <c r="BC247" s="239"/>
      <c r="BD247" s="239"/>
      <c r="BE247" s="239"/>
      <c r="BF247" s="239"/>
      <c r="BG247" s="239"/>
      <c r="BH247" s="239"/>
      <c r="BI247" s="239"/>
      <c r="BJ247" s="239"/>
      <c r="BK247" s="239"/>
      <c r="BL247" s="239"/>
      <c r="BM247" s="239"/>
      <c r="BN247" s="239"/>
      <c r="BO247" s="239"/>
      <c r="BP247" s="239"/>
      <c r="BQ247" s="239"/>
      <c r="BR247" s="239"/>
      <c r="BS247" s="239"/>
      <c r="BT247" s="239"/>
      <c r="BU247" s="239"/>
      <c r="BV247" s="239"/>
      <c r="BW247" s="239"/>
      <c r="BX247" s="239"/>
      <c r="BY247" s="239"/>
      <c r="BZ247" s="239"/>
      <c r="CA247" s="239"/>
      <c r="CB247" s="239"/>
      <c r="CC247" s="239"/>
      <c r="CD247" s="239"/>
      <c r="CE247" s="239"/>
      <c r="CF247" s="239"/>
      <c r="CG247" s="239"/>
    </row>
    <row r="248" spans="1:85" ht="15.75" customHeight="1">
      <c r="A248" s="239"/>
      <c r="B248" s="239"/>
      <c r="C248" s="239"/>
      <c r="D248" s="401"/>
      <c r="E248" s="239"/>
      <c r="F248" s="239"/>
      <c r="G248" s="239"/>
      <c r="H248" s="239"/>
      <c r="I248" s="239"/>
      <c r="J248" s="239"/>
      <c r="K248" s="239"/>
      <c r="L248" s="239"/>
      <c r="M248" s="239"/>
      <c r="N248" s="239"/>
      <c r="O248" s="239"/>
      <c r="P248" s="239"/>
      <c r="Q248" s="239"/>
      <c r="R248" s="239"/>
      <c r="S248" s="239"/>
      <c r="T248" s="239"/>
      <c r="U248" s="239"/>
      <c r="V248" s="239"/>
      <c r="W248" s="239"/>
      <c r="X248" s="239"/>
      <c r="Y248" s="239"/>
      <c r="Z248" s="239"/>
      <c r="AA248" s="239"/>
      <c r="AB248" s="239"/>
      <c r="AC248" s="239"/>
      <c r="AD248" s="239"/>
      <c r="AE248" s="239"/>
      <c r="AF248" s="239"/>
      <c r="AG248" s="239"/>
      <c r="AH248" s="239"/>
      <c r="AI248" s="239"/>
      <c r="AJ248" s="239"/>
      <c r="AK248" s="239"/>
      <c r="AL248" s="239"/>
      <c r="AM248" s="239"/>
      <c r="AN248" s="239"/>
      <c r="AO248" s="239"/>
      <c r="AP248" s="239"/>
      <c r="AQ248" s="239"/>
      <c r="AR248" s="239"/>
      <c r="AS248" s="239"/>
      <c r="AT248" s="239"/>
      <c r="AU248" s="239"/>
      <c r="AV248" s="239"/>
      <c r="AW248" s="239"/>
      <c r="AX248" s="239"/>
      <c r="AY248" s="239"/>
      <c r="AZ248" s="239"/>
      <c r="BA248" s="239"/>
      <c r="BB248" s="239"/>
      <c r="BC248" s="239"/>
      <c r="BD248" s="239"/>
      <c r="BE248" s="239"/>
      <c r="BF248" s="239"/>
      <c r="BG248" s="239"/>
      <c r="BH248" s="239"/>
      <c r="BI248" s="239"/>
      <c r="BJ248" s="239"/>
      <c r="BK248" s="239"/>
      <c r="BL248" s="239"/>
      <c r="BM248" s="239"/>
      <c r="BN248" s="239"/>
      <c r="BO248" s="239"/>
      <c r="BP248" s="239"/>
      <c r="BQ248" s="239"/>
      <c r="BR248" s="239"/>
      <c r="BS248" s="239"/>
      <c r="BT248" s="239"/>
      <c r="BU248" s="239"/>
      <c r="BV248" s="239"/>
      <c r="BW248" s="239"/>
      <c r="BX248" s="239"/>
      <c r="BY248" s="239"/>
      <c r="BZ248" s="239"/>
      <c r="CA248" s="239"/>
      <c r="CB248" s="239"/>
      <c r="CC248" s="239"/>
      <c r="CD248" s="239"/>
      <c r="CE248" s="239"/>
      <c r="CF248" s="239"/>
      <c r="CG248" s="239"/>
    </row>
    <row r="249" spans="1:85" ht="15.75" customHeight="1">
      <c r="A249" s="239"/>
      <c r="B249" s="239"/>
      <c r="C249" s="239"/>
      <c r="D249" s="240"/>
      <c r="E249" s="239"/>
      <c r="F249" s="239"/>
      <c r="G249" s="239"/>
      <c r="H249" s="239"/>
      <c r="I249" s="239"/>
      <c r="J249" s="239"/>
      <c r="K249" s="239"/>
      <c r="L249" s="239"/>
      <c r="M249" s="239"/>
      <c r="N249" s="239"/>
      <c r="O249" s="239"/>
      <c r="P249" s="239"/>
      <c r="Q249" s="239"/>
      <c r="R249" s="239"/>
      <c r="S249" s="239"/>
      <c r="T249" s="239"/>
      <c r="U249" s="239"/>
      <c r="V249" s="239"/>
      <c r="W249" s="239"/>
      <c r="X249" s="239"/>
      <c r="Y249" s="239"/>
      <c r="Z249" s="239"/>
      <c r="AA249" s="239"/>
      <c r="AB249" s="239"/>
      <c r="AC249" s="239"/>
      <c r="AD249" s="239"/>
      <c r="AE249" s="239"/>
      <c r="AF249" s="239"/>
      <c r="AG249" s="239"/>
      <c r="AH249" s="239"/>
      <c r="AI249" s="239"/>
      <c r="AJ249" s="239"/>
      <c r="AK249" s="239"/>
      <c r="AL249" s="239"/>
      <c r="AM249" s="239"/>
      <c r="AN249" s="239"/>
      <c r="AO249" s="239"/>
      <c r="AP249" s="239"/>
      <c r="AQ249" s="239"/>
      <c r="AR249" s="239"/>
      <c r="AS249" s="239"/>
      <c r="AT249" s="239"/>
      <c r="AU249" s="239"/>
      <c r="AV249" s="239"/>
      <c r="AW249" s="239"/>
      <c r="AX249" s="239"/>
      <c r="AY249" s="239"/>
      <c r="AZ249" s="239"/>
      <c r="BA249" s="239"/>
      <c r="BB249" s="239"/>
      <c r="BC249" s="239"/>
      <c r="BD249" s="239"/>
      <c r="BE249" s="239"/>
      <c r="BF249" s="239"/>
      <c r="BG249" s="239"/>
      <c r="BH249" s="239"/>
      <c r="BI249" s="239"/>
      <c r="BJ249" s="239"/>
      <c r="BK249" s="239"/>
      <c r="BL249" s="239"/>
      <c r="BM249" s="239"/>
      <c r="BN249" s="239"/>
      <c r="BO249" s="239"/>
      <c r="BP249" s="239"/>
      <c r="BQ249" s="239"/>
      <c r="BR249" s="239"/>
      <c r="BS249" s="239"/>
      <c r="BT249" s="239"/>
      <c r="BU249" s="239"/>
      <c r="BV249" s="239"/>
      <c r="BW249" s="239"/>
      <c r="BX249" s="239"/>
      <c r="BY249" s="239"/>
      <c r="BZ249" s="239"/>
      <c r="CA249" s="239"/>
      <c r="CB249" s="239"/>
      <c r="CC249" s="239"/>
      <c r="CD249" s="239"/>
      <c r="CE249" s="239"/>
      <c r="CF249" s="239"/>
      <c r="CG249" s="239"/>
    </row>
    <row r="250" spans="1:85" ht="15.75" customHeight="1">
      <c r="A250" s="239"/>
      <c r="B250" s="239"/>
      <c r="C250" s="239"/>
      <c r="D250" s="240"/>
      <c r="E250" s="239"/>
      <c r="F250" s="239"/>
      <c r="G250" s="239"/>
      <c r="H250" s="239"/>
      <c r="I250" s="239"/>
      <c r="J250" s="239"/>
      <c r="K250" s="239"/>
      <c r="L250" s="239"/>
      <c r="M250" s="239"/>
      <c r="N250" s="239"/>
      <c r="O250" s="239"/>
      <c r="P250" s="239"/>
      <c r="Q250" s="239"/>
      <c r="R250" s="239"/>
      <c r="S250" s="239"/>
      <c r="T250" s="239"/>
      <c r="U250" s="239"/>
      <c r="V250" s="239"/>
      <c r="W250" s="239"/>
      <c r="X250" s="239"/>
      <c r="Y250" s="239"/>
      <c r="Z250" s="239"/>
      <c r="AA250" s="239"/>
      <c r="AB250" s="239"/>
      <c r="AC250" s="239"/>
      <c r="AD250" s="239"/>
      <c r="AE250" s="239"/>
      <c r="AF250" s="239"/>
      <c r="AG250" s="239"/>
      <c r="AH250" s="239"/>
      <c r="AI250" s="239"/>
      <c r="AJ250" s="239"/>
      <c r="AK250" s="239"/>
      <c r="AL250" s="239"/>
      <c r="AM250" s="239"/>
      <c r="AN250" s="239"/>
      <c r="AO250" s="239"/>
      <c r="AP250" s="239"/>
      <c r="AQ250" s="239"/>
      <c r="AR250" s="239"/>
      <c r="AS250" s="239"/>
      <c r="AT250" s="239"/>
      <c r="AU250" s="239"/>
      <c r="AV250" s="239"/>
      <c r="AW250" s="239"/>
      <c r="AX250" s="239"/>
      <c r="AY250" s="239"/>
      <c r="AZ250" s="239"/>
      <c r="BA250" s="239"/>
      <c r="BB250" s="239"/>
      <c r="BC250" s="239"/>
      <c r="BD250" s="239"/>
      <c r="BE250" s="239"/>
      <c r="BF250" s="239"/>
      <c r="BG250" s="239"/>
      <c r="BH250" s="239"/>
      <c r="BI250" s="239"/>
      <c r="BJ250" s="239"/>
      <c r="BK250" s="239"/>
      <c r="BL250" s="239"/>
      <c r="BM250" s="239"/>
      <c r="BN250" s="239"/>
      <c r="BO250" s="239"/>
      <c r="BP250" s="239"/>
      <c r="BQ250" s="239"/>
      <c r="BR250" s="239"/>
      <c r="BS250" s="239"/>
      <c r="BT250" s="239"/>
      <c r="BU250" s="239"/>
      <c r="BV250" s="239"/>
      <c r="BW250" s="239"/>
      <c r="BX250" s="239"/>
      <c r="BY250" s="239"/>
      <c r="BZ250" s="239"/>
      <c r="CA250" s="239"/>
      <c r="CB250" s="239"/>
      <c r="CC250" s="239"/>
      <c r="CD250" s="239"/>
      <c r="CE250" s="239"/>
      <c r="CF250" s="239"/>
      <c r="CG250" s="239"/>
    </row>
    <row r="251" spans="1:85" ht="15.75" customHeight="1">
      <c r="A251" s="239"/>
      <c r="B251" s="239"/>
      <c r="C251" s="239"/>
      <c r="D251" s="239"/>
      <c r="E251" s="239"/>
      <c r="F251" s="239"/>
      <c r="G251" s="239"/>
      <c r="H251" s="239"/>
      <c r="I251" s="239"/>
      <c r="J251" s="239"/>
      <c r="K251" s="239"/>
      <c r="L251" s="239"/>
      <c r="M251" s="239"/>
      <c r="N251" s="239"/>
      <c r="O251" s="239"/>
      <c r="P251" s="239"/>
      <c r="Q251" s="239"/>
      <c r="R251" s="239" t="s">
        <v>9</v>
      </c>
      <c r="S251" s="239"/>
      <c r="T251" s="239"/>
      <c r="U251" s="239"/>
      <c r="V251" s="239"/>
      <c r="W251" s="239"/>
      <c r="X251" s="239"/>
      <c r="Y251" s="239"/>
      <c r="Z251" s="239"/>
      <c r="AA251" s="239"/>
      <c r="AB251" s="239"/>
      <c r="AC251" s="239"/>
      <c r="AD251" s="239"/>
      <c r="AE251" s="239"/>
      <c r="AF251" s="239"/>
      <c r="AG251" s="239"/>
      <c r="AH251" s="239"/>
      <c r="AI251" s="239"/>
      <c r="AJ251" s="239"/>
      <c r="AK251" s="239"/>
      <c r="AL251" s="239"/>
      <c r="AM251" s="239"/>
      <c r="AN251" s="239"/>
      <c r="AO251" s="239"/>
      <c r="AP251" s="239"/>
      <c r="AQ251" s="239"/>
      <c r="AR251" s="239"/>
      <c r="AS251" s="239"/>
      <c r="AT251" s="239"/>
      <c r="AU251" s="239"/>
      <c r="AV251" s="239"/>
      <c r="AW251" s="239"/>
      <c r="AX251" s="239"/>
      <c r="AY251" s="239"/>
      <c r="AZ251" s="239"/>
      <c r="BA251" s="239"/>
      <c r="BB251" s="239"/>
      <c r="BC251" s="239"/>
      <c r="BD251" s="239"/>
      <c r="BE251" s="239"/>
      <c r="BF251" s="239"/>
      <c r="BG251" s="239"/>
      <c r="BH251" s="239"/>
      <c r="BI251" s="239"/>
      <c r="BJ251" s="239"/>
      <c r="BK251" s="239"/>
      <c r="BL251" s="239"/>
      <c r="BM251" s="239"/>
      <c r="BN251" s="239"/>
      <c r="BO251" s="239"/>
      <c r="BP251" s="239"/>
      <c r="BQ251" s="239"/>
      <c r="BR251" s="239"/>
      <c r="BS251" s="239"/>
      <c r="BT251" s="239"/>
      <c r="BU251" s="239"/>
      <c r="BV251" s="239"/>
      <c r="BW251" s="239"/>
      <c r="BX251" s="239"/>
      <c r="BY251" s="239"/>
      <c r="BZ251" s="239"/>
      <c r="CA251" s="239"/>
      <c r="CB251" s="239"/>
      <c r="CC251" s="239"/>
      <c r="CD251" s="239"/>
      <c r="CE251" s="239"/>
      <c r="CF251" s="239"/>
      <c r="CG251" s="239"/>
    </row>
    <row r="252" spans="1:85" ht="15.75" customHeight="1">
      <c r="A252" s="239"/>
      <c r="B252" s="239"/>
      <c r="C252" s="239"/>
      <c r="D252" s="239"/>
      <c r="E252" s="239"/>
      <c r="F252" s="239"/>
      <c r="G252" s="239"/>
      <c r="H252" s="239"/>
      <c r="I252" s="239"/>
      <c r="J252" s="239"/>
      <c r="K252" s="239"/>
      <c r="L252" s="239"/>
      <c r="M252" s="239"/>
      <c r="N252" s="239"/>
      <c r="O252" s="239"/>
      <c r="P252" s="239"/>
      <c r="Q252" s="239"/>
      <c r="R252" s="239"/>
      <c r="S252" s="239"/>
      <c r="T252" s="239"/>
      <c r="U252" s="239"/>
      <c r="V252" s="239"/>
      <c r="W252" s="239"/>
      <c r="X252" s="239"/>
      <c r="Y252" s="239"/>
      <c r="Z252" s="239"/>
      <c r="AA252" s="239"/>
      <c r="AB252" s="239"/>
      <c r="AC252" s="239"/>
      <c r="AD252" s="239"/>
      <c r="AE252" s="239"/>
      <c r="AF252" s="239"/>
      <c r="AG252" s="239"/>
      <c r="AH252" s="239"/>
      <c r="AI252" s="239"/>
      <c r="AJ252" s="239"/>
      <c r="AK252" s="239"/>
      <c r="AL252" s="239"/>
      <c r="AM252" s="239"/>
      <c r="AN252" s="239"/>
      <c r="AO252" s="239"/>
      <c r="AP252" s="239"/>
      <c r="AQ252" s="239"/>
      <c r="AR252" s="239"/>
      <c r="AS252" s="239"/>
      <c r="AT252" s="239"/>
      <c r="AU252" s="239"/>
      <c r="AV252" s="239"/>
      <c r="AW252" s="239"/>
      <c r="AX252" s="239"/>
      <c r="AY252" s="239"/>
      <c r="AZ252" s="239"/>
      <c r="BA252" s="239"/>
      <c r="BB252" s="239"/>
      <c r="BC252" s="239"/>
      <c r="BD252" s="239"/>
      <c r="BE252" s="239"/>
      <c r="BF252" s="239"/>
      <c r="BG252" s="239"/>
      <c r="BH252" s="239"/>
      <c r="BI252" s="239"/>
      <c r="BJ252" s="239"/>
      <c r="BK252" s="239"/>
      <c r="BL252" s="239"/>
      <c r="BM252" s="239"/>
      <c r="BN252" s="239"/>
      <c r="BO252" s="239"/>
      <c r="BP252" s="239"/>
      <c r="BQ252" s="239"/>
      <c r="BR252" s="239"/>
      <c r="BS252" s="239"/>
      <c r="BT252" s="239"/>
      <c r="BU252" s="239"/>
      <c r="BV252" s="239"/>
      <c r="BW252" s="239"/>
      <c r="BX252" s="239"/>
      <c r="BY252" s="239"/>
      <c r="BZ252" s="239"/>
      <c r="CA252" s="239"/>
      <c r="CB252" s="239"/>
      <c r="CC252" s="239"/>
      <c r="CD252" s="239"/>
      <c r="CE252" s="239"/>
      <c r="CF252" s="239"/>
      <c r="CG252" s="239"/>
    </row>
    <row r="253" spans="1:85" ht="15.75" customHeight="1">
      <c r="A253" s="239"/>
      <c r="B253" s="239"/>
      <c r="C253" s="239"/>
      <c r="D253" s="239"/>
      <c r="E253" s="239"/>
      <c r="F253" s="239"/>
      <c r="G253" s="239"/>
      <c r="H253" s="239"/>
      <c r="I253" s="239"/>
      <c r="J253" s="239"/>
      <c r="K253" s="239"/>
      <c r="L253" s="239"/>
      <c r="M253" s="239"/>
      <c r="N253" s="239"/>
      <c r="O253" s="239"/>
      <c r="P253" s="239"/>
      <c r="Q253" s="239"/>
      <c r="R253" s="239"/>
      <c r="S253" s="239"/>
      <c r="T253" s="239"/>
      <c r="U253" s="239"/>
      <c r="V253" s="239"/>
      <c r="W253" s="239"/>
      <c r="X253" s="239"/>
      <c r="Y253" s="239"/>
      <c r="Z253" s="239"/>
      <c r="AA253" s="239"/>
      <c r="AB253" s="239"/>
      <c r="AC253" s="239"/>
      <c r="AD253" s="239"/>
      <c r="AE253" s="239"/>
      <c r="AF253" s="239"/>
      <c r="AG253" s="239"/>
      <c r="AH253" s="239"/>
      <c r="AI253" s="239"/>
      <c r="AJ253" s="239"/>
      <c r="AK253" s="239"/>
      <c r="AL253" s="239"/>
      <c r="AM253" s="239"/>
      <c r="AN253" s="239"/>
      <c r="AO253" s="239"/>
      <c r="AP253" s="239"/>
      <c r="AQ253" s="239"/>
      <c r="AR253" s="239"/>
      <c r="AS253" s="239"/>
      <c r="AT253" s="239"/>
      <c r="AU253" s="239"/>
      <c r="AV253" s="239"/>
      <c r="AW253" s="239"/>
      <c r="AX253" s="239"/>
      <c r="AY253" s="239"/>
      <c r="AZ253" s="239"/>
      <c r="BA253" s="239"/>
      <c r="BB253" s="239"/>
      <c r="BC253" s="239"/>
      <c r="BD253" s="239"/>
      <c r="BE253" s="239"/>
      <c r="BF253" s="239"/>
      <c r="BG253" s="239"/>
      <c r="BH253" s="239"/>
      <c r="BI253" s="239"/>
      <c r="BJ253" s="239"/>
      <c r="BK253" s="239"/>
      <c r="BL253" s="239"/>
      <c r="BM253" s="239"/>
      <c r="BN253" s="239"/>
      <c r="BO253" s="239"/>
      <c r="BP253" s="239"/>
      <c r="BQ253" s="239"/>
      <c r="BR253" s="239"/>
      <c r="BS253" s="239"/>
      <c r="BT253" s="239"/>
      <c r="BU253" s="239"/>
      <c r="BV253" s="239"/>
      <c r="BW253" s="239"/>
      <c r="BX253" s="239"/>
      <c r="BY253" s="239"/>
      <c r="BZ253" s="239"/>
      <c r="CA253" s="239"/>
      <c r="CB253" s="239"/>
      <c r="CC253" s="239"/>
      <c r="CD253" s="239"/>
      <c r="CE253" s="239"/>
      <c r="CF253" s="239"/>
      <c r="CG253" s="239"/>
    </row>
    <row r="254" spans="1:85" ht="15.75" customHeight="1">
      <c r="A254" s="239"/>
      <c r="B254" s="239"/>
      <c r="C254" s="239"/>
      <c r="D254" s="239"/>
      <c r="E254" s="239"/>
      <c r="F254" s="239"/>
      <c r="G254" s="239"/>
      <c r="H254" s="239"/>
      <c r="I254" s="239"/>
      <c r="J254" s="239"/>
      <c r="K254" s="239"/>
      <c r="L254" s="239"/>
      <c r="M254" s="239"/>
      <c r="N254" s="239"/>
      <c r="O254" s="239"/>
      <c r="P254" s="239"/>
      <c r="Q254" s="239"/>
      <c r="R254" s="239"/>
      <c r="S254" s="239"/>
      <c r="T254" s="239"/>
      <c r="U254" s="239"/>
      <c r="V254" s="239"/>
      <c r="W254" s="239"/>
      <c r="X254" s="239"/>
      <c r="Y254" s="239"/>
      <c r="Z254" s="239"/>
      <c r="AA254" s="239"/>
      <c r="AB254" s="239"/>
      <c r="AC254" s="239"/>
      <c r="AD254" s="239"/>
      <c r="AE254" s="239"/>
      <c r="AF254" s="239"/>
      <c r="AG254" s="239"/>
      <c r="AH254" s="239"/>
      <c r="AI254" s="239"/>
      <c r="AJ254" s="239"/>
      <c r="AK254" s="239"/>
      <c r="AL254" s="239"/>
      <c r="AM254" s="239"/>
      <c r="AN254" s="239"/>
      <c r="AO254" s="239"/>
      <c r="AP254" s="239"/>
      <c r="AQ254" s="239"/>
      <c r="AR254" s="239"/>
      <c r="AS254" s="239"/>
      <c r="AT254" s="239"/>
      <c r="AU254" s="239"/>
      <c r="AV254" s="239"/>
      <c r="AW254" s="239"/>
      <c r="AX254" s="239"/>
      <c r="AY254" s="239"/>
      <c r="AZ254" s="239"/>
      <c r="BA254" s="239"/>
      <c r="BB254" s="239"/>
      <c r="BC254" s="239"/>
      <c r="BD254" s="239"/>
      <c r="BE254" s="239"/>
      <c r="BF254" s="239"/>
      <c r="BG254" s="239"/>
      <c r="BH254" s="239"/>
      <c r="BI254" s="239"/>
      <c r="BJ254" s="239"/>
      <c r="BK254" s="239"/>
      <c r="BL254" s="239"/>
      <c r="BM254" s="239"/>
      <c r="BN254" s="239"/>
      <c r="BO254" s="239"/>
      <c r="BP254" s="239"/>
      <c r="BQ254" s="239"/>
      <c r="BR254" s="239"/>
      <c r="BS254" s="239"/>
      <c r="BT254" s="239"/>
      <c r="BU254" s="239"/>
      <c r="BV254" s="239"/>
      <c r="BW254" s="239"/>
      <c r="BX254" s="239"/>
      <c r="BY254" s="239"/>
      <c r="BZ254" s="239"/>
      <c r="CA254" s="239"/>
      <c r="CB254" s="239"/>
      <c r="CC254" s="239"/>
      <c r="CD254" s="239"/>
      <c r="CE254" s="239"/>
      <c r="CF254" s="239"/>
      <c r="CG254" s="239"/>
    </row>
    <row r="255" spans="1:85" ht="15.75" customHeight="1">
      <c r="A255" s="239"/>
      <c r="B255" s="239"/>
      <c r="C255" s="239"/>
      <c r="D255" s="239"/>
      <c r="E255" s="239"/>
      <c r="F255" s="239"/>
      <c r="G255" s="239"/>
      <c r="H255" s="239"/>
      <c r="I255" s="239"/>
      <c r="J255" s="239"/>
      <c r="K255" s="239"/>
      <c r="L255" s="239"/>
      <c r="M255" s="239"/>
      <c r="N255" s="239"/>
      <c r="O255" s="239"/>
      <c r="P255" s="239"/>
      <c r="Q255" s="239"/>
      <c r="R255" s="239"/>
      <c r="S255" s="239"/>
      <c r="T255" s="239"/>
      <c r="U255" s="239"/>
      <c r="V255" s="239"/>
      <c r="W255" s="239"/>
      <c r="X255" s="239"/>
      <c r="Y255" s="239"/>
      <c r="Z255" s="239"/>
      <c r="AA255" s="239"/>
      <c r="AB255" s="239"/>
      <c r="AC255" s="239"/>
      <c r="AD255" s="239"/>
      <c r="AE255" s="239"/>
      <c r="AF255" s="239"/>
      <c r="AG255" s="239"/>
      <c r="AH255" s="239"/>
      <c r="AI255" s="239"/>
      <c r="AJ255" s="239"/>
      <c r="AK255" s="239"/>
      <c r="AL255" s="239"/>
      <c r="AM255" s="239"/>
      <c r="AN255" s="239"/>
      <c r="AO255" s="239"/>
      <c r="AP255" s="239"/>
      <c r="AQ255" s="239"/>
      <c r="AR255" s="239"/>
      <c r="AS255" s="239"/>
      <c r="AT255" s="239"/>
      <c r="AU255" s="239"/>
      <c r="AV255" s="239"/>
      <c r="AW255" s="239"/>
      <c r="AX255" s="239"/>
      <c r="AY255" s="239"/>
      <c r="AZ255" s="239"/>
      <c r="BA255" s="239"/>
      <c r="BB255" s="239"/>
      <c r="BC255" s="239"/>
      <c r="BD255" s="239"/>
      <c r="BE255" s="239"/>
      <c r="BF255" s="239"/>
      <c r="BG255" s="239"/>
      <c r="BH255" s="239"/>
      <c r="BI255" s="239"/>
      <c r="BJ255" s="239"/>
      <c r="BK255" s="239"/>
      <c r="BL255" s="239"/>
      <c r="BM255" s="239"/>
      <c r="BN255" s="239"/>
      <c r="BO255" s="239"/>
      <c r="BP255" s="239"/>
      <c r="BQ255" s="239"/>
      <c r="BR255" s="239"/>
      <c r="BS255" s="239"/>
      <c r="BT255" s="239"/>
      <c r="BU255" s="239"/>
      <c r="BV255" s="239"/>
      <c r="BW255" s="239"/>
      <c r="BX255" s="239"/>
      <c r="BY255" s="239"/>
      <c r="BZ255" s="239"/>
      <c r="CA255" s="239"/>
      <c r="CB255" s="239"/>
      <c r="CC255" s="239"/>
      <c r="CD255" s="239"/>
      <c r="CE255" s="239"/>
      <c r="CF255" s="239"/>
      <c r="CG255" s="239"/>
    </row>
    <row r="256" spans="1:85" ht="15.75" customHeight="1">
      <c r="A256" s="239"/>
      <c r="B256" s="239"/>
      <c r="C256" s="239"/>
      <c r="D256" s="239"/>
      <c r="E256" s="239"/>
      <c r="F256" s="239"/>
      <c r="G256" s="239"/>
      <c r="H256" s="239"/>
      <c r="I256" s="239"/>
      <c r="J256" s="239"/>
      <c r="K256" s="239"/>
      <c r="L256" s="239"/>
      <c r="M256" s="239"/>
      <c r="N256" s="239"/>
      <c r="O256" s="239"/>
      <c r="P256" s="239"/>
      <c r="Q256" s="239"/>
      <c r="R256" s="239"/>
      <c r="S256" s="239"/>
      <c r="T256" s="239"/>
      <c r="U256" s="239"/>
      <c r="V256" s="239"/>
      <c r="W256" s="239"/>
      <c r="X256" s="239"/>
      <c r="Y256" s="239"/>
      <c r="Z256" s="239"/>
      <c r="AA256" s="239"/>
      <c r="AB256" s="239"/>
      <c r="AC256" s="239"/>
      <c r="AD256" s="239"/>
      <c r="AE256" s="239"/>
      <c r="AF256" s="239"/>
      <c r="AG256" s="239"/>
      <c r="AH256" s="239"/>
      <c r="AI256" s="239"/>
      <c r="AJ256" s="239"/>
      <c r="AK256" s="239"/>
      <c r="AL256" s="239"/>
      <c r="AM256" s="239"/>
      <c r="AN256" s="239"/>
      <c r="AO256" s="239"/>
      <c r="AP256" s="239"/>
      <c r="AQ256" s="239"/>
      <c r="AR256" s="239"/>
      <c r="AS256" s="239"/>
      <c r="AT256" s="239"/>
      <c r="AU256" s="239"/>
      <c r="AV256" s="239"/>
      <c r="AW256" s="239"/>
      <c r="AX256" s="239"/>
      <c r="AY256" s="239"/>
      <c r="AZ256" s="239"/>
      <c r="BA256" s="239"/>
      <c r="BB256" s="239"/>
      <c r="BC256" s="239"/>
      <c r="BD256" s="239"/>
      <c r="BE256" s="239"/>
      <c r="BF256" s="239"/>
      <c r="BG256" s="239"/>
      <c r="BH256" s="239"/>
      <c r="BI256" s="239"/>
      <c r="BJ256" s="239"/>
      <c r="BK256" s="239"/>
      <c r="BL256" s="239"/>
      <c r="BM256" s="239"/>
      <c r="BN256" s="239"/>
      <c r="BO256" s="239"/>
      <c r="BP256" s="239"/>
      <c r="BQ256" s="239"/>
      <c r="BR256" s="239"/>
      <c r="BS256" s="239"/>
      <c r="BT256" s="239"/>
      <c r="BU256" s="239"/>
      <c r="BV256" s="239"/>
      <c r="BW256" s="239"/>
      <c r="BX256" s="239"/>
      <c r="BY256" s="239"/>
      <c r="BZ256" s="239"/>
      <c r="CA256" s="239"/>
      <c r="CB256" s="239"/>
      <c r="CC256" s="239"/>
      <c r="CD256" s="239"/>
      <c r="CE256" s="239"/>
      <c r="CF256" s="239"/>
      <c r="CG256" s="239"/>
    </row>
    <row r="257" spans="1:85" ht="15.75" customHeight="1">
      <c r="A257" s="239"/>
      <c r="B257" s="239"/>
      <c r="C257" s="239"/>
      <c r="D257" s="239"/>
      <c r="E257" s="239"/>
      <c r="F257" s="239"/>
      <c r="G257" s="239"/>
      <c r="H257" s="239"/>
      <c r="I257" s="239"/>
      <c r="J257" s="239"/>
      <c r="K257" s="239"/>
      <c r="L257" s="239"/>
      <c r="M257" s="239"/>
      <c r="N257" s="239"/>
      <c r="O257" s="239"/>
      <c r="P257" s="239"/>
      <c r="Q257" s="239"/>
      <c r="R257" s="239"/>
      <c r="S257" s="239"/>
      <c r="T257" s="239"/>
      <c r="U257" s="239"/>
      <c r="V257" s="239"/>
      <c r="W257" s="239"/>
      <c r="X257" s="239"/>
      <c r="Y257" s="239"/>
      <c r="Z257" s="239"/>
      <c r="AA257" s="239"/>
      <c r="AB257" s="239"/>
      <c r="AC257" s="239"/>
      <c r="AD257" s="239"/>
      <c r="AE257" s="239"/>
      <c r="AF257" s="239"/>
      <c r="AG257" s="239"/>
      <c r="AH257" s="239"/>
      <c r="AI257" s="239"/>
      <c r="AJ257" s="239"/>
      <c r="AK257" s="239"/>
      <c r="AL257" s="239"/>
      <c r="AM257" s="239"/>
      <c r="AN257" s="239"/>
      <c r="AO257" s="239"/>
      <c r="AP257" s="239"/>
      <c r="AQ257" s="239"/>
      <c r="AR257" s="239"/>
      <c r="AS257" s="239"/>
      <c r="AT257" s="239"/>
      <c r="AU257" s="239"/>
      <c r="AV257" s="239"/>
      <c r="AW257" s="239"/>
      <c r="AX257" s="239"/>
      <c r="AY257" s="239"/>
      <c r="AZ257" s="239"/>
      <c r="BA257" s="239"/>
      <c r="BB257" s="239"/>
      <c r="BC257" s="239"/>
      <c r="BD257" s="239"/>
      <c r="BE257" s="239"/>
      <c r="BF257" s="239"/>
      <c r="BG257" s="239"/>
      <c r="BH257" s="239"/>
      <c r="BI257" s="239"/>
      <c r="BJ257" s="239"/>
      <c r="BK257" s="239"/>
      <c r="BL257" s="239"/>
      <c r="BM257" s="239"/>
      <c r="BN257" s="239"/>
      <c r="BO257" s="239"/>
      <c r="BP257" s="239"/>
      <c r="BQ257" s="239"/>
      <c r="BR257" s="239"/>
      <c r="BS257" s="239"/>
      <c r="BT257" s="239"/>
      <c r="BU257" s="239"/>
      <c r="BV257" s="239"/>
      <c r="BW257" s="239"/>
      <c r="BX257" s="239"/>
      <c r="BY257" s="239"/>
      <c r="BZ257" s="239"/>
      <c r="CA257" s="239"/>
      <c r="CB257" s="239"/>
      <c r="CC257" s="239"/>
      <c r="CD257" s="239"/>
      <c r="CE257" s="239"/>
      <c r="CF257" s="239"/>
      <c r="CG257" s="239"/>
    </row>
    <row r="258" spans="1:85" ht="15.75" customHeight="1">
      <c r="A258" s="239"/>
      <c r="B258" s="239"/>
      <c r="C258" s="239"/>
      <c r="D258" s="239"/>
      <c r="E258" s="239"/>
      <c r="F258" s="239"/>
      <c r="G258" s="239"/>
      <c r="H258" s="239"/>
      <c r="I258" s="239"/>
      <c r="J258" s="239"/>
      <c r="K258" s="239"/>
      <c r="L258" s="239"/>
      <c r="M258" s="239"/>
      <c r="N258" s="239"/>
      <c r="O258" s="239"/>
      <c r="P258" s="239"/>
      <c r="Q258" s="239"/>
      <c r="R258" s="239"/>
      <c r="S258" s="239"/>
      <c r="T258" s="239"/>
      <c r="U258" s="239"/>
      <c r="V258" s="239"/>
      <c r="W258" s="239"/>
      <c r="X258" s="239"/>
      <c r="Y258" s="239"/>
      <c r="Z258" s="239"/>
      <c r="AA258" s="239"/>
      <c r="AB258" s="239"/>
      <c r="AC258" s="239"/>
      <c r="AD258" s="239"/>
      <c r="AE258" s="239"/>
      <c r="AF258" s="239"/>
      <c r="AG258" s="239"/>
      <c r="AH258" s="239"/>
      <c r="AI258" s="239"/>
      <c r="AJ258" s="239"/>
      <c r="AK258" s="239"/>
      <c r="AL258" s="239"/>
      <c r="AM258" s="239"/>
      <c r="AN258" s="239"/>
      <c r="AO258" s="239"/>
      <c r="AP258" s="239"/>
      <c r="AQ258" s="239"/>
      <c r="AR258" s="239"/>
      <c r="AS258" s="239"/>
      <c r="AT258" s="239"/>
      <c r="AU258" s="239"/>
      <c r="AV258" s="239"/>
      <c r="AW258" s="239"/>
      <c r="AX258" s="239"/>
      <c r="AY258" s="239"/>
      <c r="AZ258" s="239"/>
      <c r="BA258" s="239"/>
      <c r="BB258" s="239"/>
      <c r="BC258" s="239"/>
      <c r="BD258" s="239"/>
      <c r="BE258" s="239"/>
      <c r="BF258" s="239"/>
      <c r="BG258" s="239"/>
      <c r="BH258" s="239"/>
      <c r="BI258" s="239"/>
      <c r="BJ258" s="239"/>
      <c r="BK258" s="239"/>
      <c r="BL258" s="239"/>
      <c r="BM258" s="239"/>
      <c r="BN258" s="239"/>
      <c r="BO258" s="239"/>
      <c r="BP258" s="239"/>
      <c r="BQ258" s="239"/>
      <c r="BR258" s="239"/>
      <c r="BS258" s="239"/>
      <c r="BT258" s="239"/>
      <c r="BU258" s="239"/>
      <c r="BV258" s="239"/>
      <c r="BW258" s="239"/>
      <c r="BX258" s="239"/>
      <c r="BY258" s="239"/>
      <c r="BZ258" s="239"/>
      <c r="CA258" s="239"/>
      <c r="CB258" s="239"/>
      <c r="CC258" s="239"/>
      <c r="CD258" s="239"/>
      <c r="CE258" s="239"/>
      <c r="CF258" s="239"/>
      <c r="CG258" s="239"/>
    </row>
    <row r="259" spans="1:85" ht="15.75" customHeight="1">
      <c r="A259" s="239"/>
      <c r="B259" s="239"/>
      <c r="C259" s="239"/>
      <c r="D259" s="239"/>
      <c r="E259" s="239"/>
      <c r="F259" s="239"/>
      <c r="G259" s="239"/>
      <c r="H259" s="239"/>
      <c r="I259" s="239"/>
      <c r="J259" s="239"/>
      <c r="K259" s="239"/>
      <c r="L259" s="239"/>
      <c r="M259" s="239"/>
      <c r="N259" s="239"/>
      <c r="O259" s="239"/>
      <c r="P259" s="239"/>
      <c r="Q259" s="239"/>
      <c r="R259" s="239"/>
      <c r="S259" s="239"/>
      <c r="T259" s="239"/>
      <c r="U259" s="239"/>
      <c r="V259" s="239"/>
      <c r="W259" s="239"/>
      <c r="X259" s="239"/>
      <c r="Y259" s="239"/>
      <c r="Z259" s="239"/>
      <c r="AA259" s="239"/>
      <c r="AB259" s="239"/>
      <c r="AC259" s="239"/>
      <c r="AD259" s="239"/>
      <c r="AE259" s="239"/>
      <c r="AF259" s="239"/>
      <c r="AG259" s="239"/>
      <c r="AH259" s="239"/>
      <c r="AI259" s="239"/>
      <c r="AJ259" s="239"/>
      <c r="AK259" s="239"/>
      <c r="AL259" s="239"/>
      <c r="AM259" s="239"/>
      <c r="AN259" s="239"/>
      <c r="AO259" s="239"/>
      <c r="AP259" s="239"/>
      <c r="AQ259" s="239"/>
      <c r="AR259" s="239"/>
      <c r="AS259" s="239"/>
      <c r="AT259" s="239"/>
      <c r="AU259" s="239"/>
      <c r="AV259" s="239"/>
      <c r="AW259" s="239"/>
      <c r="AX259" s="239"/>
      <c r="AY259" s="239"/>
      <c r="AZ259" s="239"/>
      <c r="BA259" s="239"/>
      <c r="BB259" s="239"/>
      <c r="BC259" s="239"/>
      <c r="BD259" s="239"/>
      <c r="BE259" s="239"/>
      <c r="BF259" s="239"/>
      <c r="BG259" s="239"/>
      <c r="BH259" s="239"/>
      <c r="BI259" s="239"/>
      <c r="BJ259" s="239"/>
      <c r="BK259" s="239"/>
      <c r="BL259" s="239"/>
      <c r="BM259" s="239"/>
      <c r="BN259" s="239"/>
      <c r="BO259" s="239"/>
      <c r="BP259" s="239"/>
      <c r="BQ259" s="239"/>
      <c r="BR259" s="239"/>
      <c r="BS259" s="239"/>
      <c r="BT259" s="239"/>
      <c r="BU259" s="239"/>
      <c r="BV259" s="239"/>
      <c r="BW259" s="239"/>
      <c r="BX259" s="239"/>
      <c r="BY259" s="239"/>
      <c r="BZ259" s="239"/>
      <c r="CA259" s="239"/>
      <c r="CB259" s="239"/>
      <c r="CC259" s="239"/>
      <c r="CD259" s="239"/>
      <c r="CE259" s="239"/>
      <c r="CF259" s="239"/>
      <c r="CG259" s="239"/>
    </row>
    <row r="260" spans="1:85" ht="15.75" customHeight="1">
      <c r="A260" s="239"/>
      <c r="B260" s="239"/>
      <c r="C260" s="239"/>
      <c r="D260" s="239"/>
      <c r="E260" s="239"/>
      <c r="F260" s="239"/>
      <c r="G260" s="239"/>
      <c r="H260" s="239"/>
      <c r="I260" s="239"/>
      <c r="J260" s="239"/>
      <c r="K260" s="239"/>
      <c r="L260" s="239"/>
      <c r="M260" s="239"/>
      <c r="N260" s="239"/>
      <c r="O260" s="239"/>
      <c r="P260" s="239"/>
      <c r="Q260" s="239"/>
      <c r="R260" s="239"/>
      <c r="S260" s="239"/>
      <c r="T260" s="239"/>
      <c r="U260" s="239"/>
      <c r="V260" s="239"/>
      <c r="W260" s="239"/>
      <c r="X260" s="239"/>
      <c r="Y260" s="239"/>
      <c r="Z260" s="239"/>
      <c r="AA260" s="239"/>
      <c r="AB260" s="239"/>
      <c r="AC260" s="239"/>
      <c r="AD260" s="239"/>
      <c r="AE260" s="239"/>
      <c r="AF260" s="239"/>
      <c r="AG260" s="239"/>
      <c r="AH260" s="239"/>
      <c r="AI260" s="239"/>
      <c r="AJ260" s="239"/>
      <c r="AK260" s="239"/>
      <c r="AL260" s="239"/>
      <c r="AM260" s="239"/>
      <c r="AN260" s="239"/>
      <c r="AO260" s="239"/>
      <c r="AP260" s="239"/>
      <c r="AQ260" s="239"/>
      <c r="AR260" s="239"/>
      <c r="AS260" s="239"/>
      <c r="AT260" s="239"/>
      <c r="AU260" s="239"/>
      <c r="AV260" s="239"/>
      <c r="AW260" s="239"/>
      <c r="AX260" s="239"/>
      <c r="AY260" s="239"/>
      <c r="AZ260" s="239"/>
      <c r="BA260" s="239"/>
      <c r="BB260" s="239"/>
      <c r="BC260" s="239"/>
      <c r="BD260" s="239"/>
      <c r="BE260" s="239"/>
      <c r="BF260" s="239"/>
      <c r="BG260" s="239"/>
      <c r="BH260" s="239"/>
      <c r="BI260" s="239"/>
      <c r="BJ260" s="239"/>
      <c r="BK260" s="239"/>
      <c r="BL260" s="239"/>
      <c r="BM260" s="239"/>
      <c r="BN260" s="239"/>
      <c r="BO260" s="239"/>
      <c r="BP260" s="239"/>
      <c r="BQ260" s="239"/>
      <c r="BR260" s="239"/>
      <c r="BS260" s="239"/>
      <c r="BT260" s="239"/>
      <c r="BU260" s="239"/>
      <c r="BV260" s="239"/>
      <c r="BW260" s="239"/>
      <c r="BX260" s="239"/>
      <c r="BY260" s="239"/>
      <c r="BZ260" s="239"/>
      <c r="CA260" s="239"/>
      <c r="CB260" s="239"/>
      <c r="CC260" s="239"/>
      <c r="CD260" s="239"/>
      <c r="CE260" s="239"/>
      <c r="CF260" s="239"/>
      <c r="CG260" s="239"/>
    </row>
    <row r="261" spans="1:85" ht="15.75" customHeight="1">
      <c r="A261" s="239"/>
      <c r="B261" s="239"/>
      <c r="C261" s="239"/>
      <c r="D261" s="239"/>
      <c r="E261" s="239"/>
      <c r="F261" s="239"/>
      <c r="G261" s="239"/>
      <c r="H261" s="239"/>
      <c r="I261" s="239"/>
      <c r="J261" s="239"/>
      <c r="K261" s="239"/>
      <c r="L261" s="239"/>
      <c r="M261" s="239"/>
      <c r="N261" s="239"/>
      <c r="O261" s="239"/>
      <c r="P261" s="239"/>
      <c r="Q261" s="239"/>
      <c r="R261" s="239"/>
      <c r="S261" s="239"/>
      <c r="T261" s="239"/>
      <c r="U261" s="239"/>
      <c r="V261" s="239"/>
      <c r="W261" s="239"/>
      <c r="X261" s="239"/>
      <c r="Y261" s="239"/>
      <c r="Z261" s="239"/>
      <c r="AA261" s="239"/>
      <c r="AB261" s="239"/>
      <c r="AC261" s="239"/>
      <c r="AD261" s="239"/>
      <c r="AE261" s="239"/>
      <c r="AF261" s="239"/>
      <c r="AG261" s="239"/>
      <c r="AH261" s="239"/>
      <c r="AI261" s="239"/>
      <c r="AJ261" s="239"/>
      <c r="AK261" s="239"/>
      <c r="AL261" s="239"/>
      <c r="AM261" s="239"/>
      <c r="AN261" s="239"/>
      <c r="AO261" s="239"/>
      <c r="AP261" s="239"/>
      <c r="AQ261" s="239"/>
      <c r="AR261" s="239"/>
      <c r="AS261" s="239"/>
      <c r="AT261" s="239"/>
      <c r="AU261" s="239"/>
      <c r="AV261" s="239"/>
      <c r="AW261" s="239"/>
      <c r="AX261" s="239"/>
      <c r="AY261" s="239"/>
      <c r="AZ261" s="239"/>
      <c r="BA261" s="239"/>
      <c r="BB261" s="239"/>
      <c r="BC261" s="239"/>
      <c r="BD261" s="239"/>
      <c r="BE261" s="239"/>
      <c r="BF261" s="239"/>
      <c r="BG261" s="239"/>
      <c r="BH261" s="239"/>
      <c r="BI261" s="239"/>
      <c r="BJ261" s="239"/>
      <c r="BK261" s="239"/>
      <c r="BL261" s="239"/>
      <c r="BM261" s="239"/>
      <c r="BN261" s="239"/>
      <c r="BO261" s="239"/>
      <c r="BP261" s="239"/>
      <c r="BQ261" s="239"/>
      <c r="BR261" s="239"/>
      <c r="BS261" s="239"/>
      <c r="BT261" s="239"/>
      <c r="BU261" s="239"/>
      <c r="BV261" s="239"/>
      <c r="BW261" s="239"/>
      <c r="BX261" s="239"/>
      <c r="BY261" s="239"/>
      <c r="BZ261" s="239"/>
      <c r="CA261" s="239"/>
      <c r="CB261" s="239"/>
      <c r="CC261" s="239"/>
      <c r="CD261" s="239"/>
      <c r="CE261" s="239"/>
      <c r="CF261" s="239"/>
      <c r="CG261" s="239"/>
    </row>
    <row r="262" spans="1:85" ht="15.75" customHeight="1">
      <c r="A262" s="239"/>
      <c r="B262" s="239"/>
      <c r="C262" s="239"/>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c r="AE262" s="239"/>
      <c r="AF262" s="239"/>
      <c r="AG262" s="239"/>
      <c r="AH262" s="239"/>
      <c r="AI262" s="239"/>
      <c r="AJ262" s="239"/>
      <c r="AK262" s="239"/>
      <c r="AL262" s="239"/>
      <c r="AM262" s="239"/>
      <c r="AN262" s="239"/>
      <c r="AO262" s="239"/>
      <c r="AP262" s="239"/>
      <c r="AQ262" s="239"/>
      <c r="AR262" s="239"/>
      <c r="AS262" s="239"/>
      <c r="AT262" s="239"/>
      <c r="AU262" s="239"/>
      <c r="AV262" s="239"/>
      <c r="AW262" s="239"/>
      <c r="AX262" s="239"/>
      <c r="AY262" s="239"/>
      <c r="AZ262" s="239"/>
      <c r="BA262" s="239"/>
      <c r="BB262" s="239"/>
      <c r="BC262" s="239"/>
      <c r="BD262" s="239"/>
      <c r="BE262" s="239"/>
      <c r="BF262" s="239"/>
      <c r="BG262" s="239"/>
      <c r="BH262" s="239"/>
      <c r="BI262" s="239"/>
      <c r="BJ262" s="239"/>
      <c r="BK262" s="239"/>
      <c r="BL262" s="239"/>
      <c r="BM262" s="239"/>
      <c r="BN262" s="239"/>
      <c r="BO262" s="239"/>
      <c r="BP262" s="239"/>
      <c r="BQ262" s="239"/>
      <c r="BR262" s="239"/>
      <c r="BS262" s="239"/>
      <c r="BT262" s="239"/>
      <c r="BU262" s="239"/>
      <c r="BV262" s="239"/>
      <c r="BW262" s="239"/>
      <c r="BX262" s="239"/>
      <c r="BY262" s="239"/>
      <c r="BZ262" s="239"/>
      <c r="CA262" s="239"/>
      <c r="CB262" s="239"/>
      <c r="CC262" s="239"/>
      <c r="CD262" s="239"/>
      <c r="CE262" s="239"/>
      <c r="CF262" s="239"/>
      <c r="CG262" s="239"/>
    </row>
    <row r="263" spans="1:85" ht="15.75" customHeight="1">
      <c r="A263" s="239"/>
      <c r="B263" s="239"/>
      <c r="C263" s="239"/>
      <c r="D263" s="239"/>
      <c r="E263" s="239"/>
      <c r="F263" s="239"/>
      <c r="G263" s="239"/>
      <c r="H263" s="239"/>
      <c r="I263" s="239"/>
      <c r="J263" s="239"/>
      <c r="K263" s="239"/>
      <c r="L263" s="239"/>
      <c r="M263" s="239"/>
      <c r="N263" s="239"/>
      <c r="O263" s="239"/>
      <c r="P263" s="239"/>
      <c r="Q263" s="239"/>
      <c r="R263" s="239"/>
      <c r="S263" s="239"/>
      <c r="T263" s="239"/>
      <c r="U263" s="239"/>
      <c r="V263" s="239"/>
      <c r="W263" s="239"/>
      <c r="X263" s="239"/>
      <c r="Y263" s="239"/>
      <c r="Z263" s="239"/>
      <c r="AA263" s="239"/>
      <c r="AB263" s="239"/>
      <c r="AC263" s="239"/>
      <c r="AD263" s="239"/>
      <c r="AE263" s="239"/>
      <c r="AF263" s="239"/>
      <c r="AG263" s="239"/>
      <c r="AH263" s="239"/>
      <c r="AI263" s="239"/>
      <c r="AJ263" s="239"/>
      <c r="AK263" s="239"/>
      <c r="AL263" s="239"/>
      <c r="AM263" s="239"/>
      <c r="AN263" s="239"/>
      <c r="AO263" s="239"/>
      <c r="AP263" s="239"/>
      <c r="AQ263" s="239"/>
      <c r="AR263" s="239"/>
      <c r="AS263" s="239"/>
      <c r="AT263" s="239"/>
      <c r="AU263" s="239"/>
      <c r="AV263" s="239"/>
      <c r="AW263" s="239"/>
      <c r="AX263" s="239"/>
      <c r="AY263" s="239"/>
      <c r="AZ263" s="239"/>
      <c r="BA263" s="239"/>
      <c r="BB263" s="239"/>
      <c r="BC263" s="239"/>
      <c r="BD263" s="239"/>
      <c r="BE263" s="239"/>
      <c r="BF263" s="239"/>
      <c r="BG263" s="239"/>
      <c r="BH263" s="239"/>
      <c r="BI263" s="239"/>
      <c r="BJ263" s="239"/>
      <c r="BK263" s="239"/>
      <c r="BL263" s="239"/>
      <c r="BM263" s="239"/>
      <c r="BN263" s="239"/>
      <c r="BO263" s="239"/>
      <c r="BP263" s="239"/>
      <c r="BQ263" s="239"/>
      <c r="BR263" s="239"/>
      <c r="BS263" s="239"/>
      <c r="BT263" s="239"/>
      <c r="BU263" s="239"/>
      <c r="BV263" s="239"/>
      <c r="BW263" s="239"/>
      <c r="BX263" s="239"/>
      <c r="BY263" s="239"/>
      <c r="BZ263" s="239"/>
      <c r="CA263" s="239"/>
      <c r="CB263" s="239"/>
      <c r="CC263" s="239"/>
      <c r="CD263" s="239"/>
      <c r="CE263" s="239"/>
      <c r="CF263" s="239"/>
      <c r="CG263" s="239"/>
    </row>
    <row r="264" spans="1:85" ht="15.75" customHeight="1">
      <c r="A264" s="239"/>
      <c r="B264" s="239"/>
      <c r="C264" s="239"/>
      <c r="D264" s="239"/>
      <c r="E264" s="239"/>
      <c r="F264" s="239"/>
      <c r="G264" s="239"/>
      <c r="H264" s="239"/>
      <c r="I264" s="239"/>
      <c r="J264" s="239"/>
      <c r="K264" s="239"/>
      <c r="L264" s="239"/>
      <c r="M264" s="239"/>
      <c r="N264" s="239"/>
      <c r="O264" s="239"/>
      <c r="P264" s="239"/>
      <c r="Q264" s="239"/>
      <c r="R264" s="239"/>
      <c r="S264" s="239"/>
      <c r="T264" s="239"/>
      <c r="U264" s="239"/>
      <c r="V264" s="239"/>
      <c r="W264" s="239"/>
      <c r="X264" s="239"/>
      <c r="Y264" s="239"/>
      <c r="Z264" s="239"/>
      <c r="AA264" s="239"/>
      <c r="AB264" s="239"/>
      <c r="AC264" s="239"/>
      <c r="AD264" s="239"/>
      <c r="AE264" s="239"/>
      <c r="AF264" s="239"/>
      <c r="AG264" s="239"/>
      <c r="AH264" s="239"/>
      <c r="AI264" s="239"/>
      <c r="AJ264" s="239"/>
      <c r="AK264" s="239"/>
      <c r="AL264" s="239"/>
      <c r="AM264" s="239"/>
      <c r="AN264" s="239"/>
      <c r="AO264" s="239"/>
      <c r="AP264" s="239"/>
      <c r="AQ264" s="239"/>
      <c r="AR264" s="239"/>
      <c r="AS264" s="239"/>
      <c r="AT264" s="239"/>
      <c r="AU264" s="239"/>
      <c r="AV264" s="239"/>
      <c r="AW264" s="239"/>
      <c r="AX264" s="239"/>
      <c r="AY264" s="239"/>
      <c r="AZ264" s="239"/>
      <c r="BA264" s="239"/>
      <c r="BB264" s="239"/>
      <c r="BC264" s="239"/>
      <c r="BD264" s="239"/>
      <c r="BE264" s="239"/>
      <c r="BF264" s="239"/>
      <c r="BG264" s="239"/>
      <c r="BH264" s="239"/>
      <c r="BI264" s="239"/>
      <c r="BJ264" s="239"/>
      <c r="BK264" s="239"/>
      <c r="BL264" s="239"/>
      <c r="BM264" s="239"/>
      <c r="BN264" s="239"/>
      <c r="BO264" s="239"/>
      <c r="BP264" s="239"/>
      <c r="BQ264" s="239"/>
      <c r="BR264" s="239"/>
      <c r="BS264" s="239"/>
      <c r="BT264" s="239"/>
      <c r="BU264" s="239"/>
      <c r="BV264" s="239"/>
      <c r="BW264" s="239"/>
      <c r="BX264" s="239"/>
      <c r="BY264" s="239"/>
      <c r="BZ264" s="239"/>
      <c r="CA264" s="239"/>
      <c r="CB264" s="239"/>
      <c r="CC264" s="239"/>
      <c r="CD264" s="239"/>
      <c r="CE264" s="239"/>
      <c r="CF264" s="239"/>
      <c r="CG264" s="239"/>
    </row>
    <row r="265" spans="1:85" ht="15.75" customHeight="1">
      <c r="A265" s="239"/>
      <c r="B265" s="239"/>
      <c r="C265" s="239"/>
      <c r="D265" s="239"/>
      <c r="E265" s="239"/>
      <c r="F265" s="239"/>
      <c r="G265" s="239"/>
      <c r="H265" s="239"/>
      <c r="I265" s="239"/>
      <c r="J265" s="239"/>
      <c r="K265" s="239"/>
      <c r="L265" s="239"/>
      <c r="M265" s="239"/>
      <c r="N265" s="239"/>
      <c r="O265" s="239"/>
      <c r="P265" s="239"/>
      <c r="Q265" s="239"/>
      <c r="R265" s="239"/>
      <c r="S265" s="239"/>
      <c r="T265" s="239"/>
      <c r="U265" s="239"/>
      <c r="V265" s="239"/>
      <c r="W265" s="239"/>
      <c r="X265" s="239"/>
      <c r="Y265" s="239"/>
      <c r="Z265" s="239"/>
      <c r="AA265" s="239"/>
      <c r="AB265" s="239"/>
      <c r="AC265" s="239"/>
      <c r="AD265" s="239"/>
      <c r="AE265" s="239"/>
      <c r="AF265" s="239"/>
      <c r="AG265" s="239"/>
      <c r="AH265" s="239"/>
      <c r="AI265" s="239"/>
      <c r="AJ265" s="239"/>
      <c r="AK265" s="239"/>
      <c r="AL265" s="239"/>
      <c r="AM265" s="239"/>
      <c r="AN265" s="239"/>
      <c r="AO265" s="239"/>
      <c r="AP265" s="239"/>
      <c r="AQ265" s="239"/>
      <c r="AR265" s="239"/>
      <c r="AS265" s="239"/>
      <c r="AT265" s="239"/>
      <c r="AU265" s="239"/>
      <c r="AV265" s="239"/>
      <c r="AW265" s="239"/>
      <c r="AX265" s="239"/>
      <c r="AY265" s="239"/>
      <c r="AZ265" s="239"/>
      <c r="BA265" s="239"/>
      <c r="BB265" s="239"/>
      <c r="BC265" s="239"/>
      <c r="BD265" s="239"/>
      <c r="BE265" s="239"/>
      <c r="BF265" s="239"/>
      <c r="BG265" s="239"/>
      <c r="BH265" s="239"/>
      <c r="BI265" s="239"/>
      <c r="BJ265" s="239"/>
      <c r="BK265" s="239"/>
      <c r="BL265" s="239"/>
      <c r="BM265" s="239"/>
      <c r="BN265" s="239"/>
      <c r="BO265" s="239"/>
      <c r="BP265" s="239"/>
      <c r="BQ265" s="239"/>
      <c r="BR265" s="239"/>
      <c r="BS265" s="239"/>
      <c r="BT265" s="239"/>
      <c r="BU265" s="239"/>
      <c r="BV265" s="239"/>
      <c r="BW265" s="239"/>
      <c r="BX265" s="239"/>
      <c r="BY265" s="239"/>
      <c r="BZ265" s="239"/>
      <c r="CA265" s="239"/>
      <c r="CB265" s="239"/>
      <c r="CC265" s="239"/>
      <c r="CD265" s="239"/>
      <c r="CE265" s="239"/>
      <c r="CF265" s="239"/>
      <c r="CG265" s="239"/>
    </row>
    <row r="266" spans="1:85" ht="15.75" customHeight="1">
      <c r="A266" s="239"/>
      <c r="B266" s="239"/>
      <c r="C266" s="239"/>
      <c r="D266" s="239"/>
      <c r="E266" s="239"/>
      <c r="F266" s="239"/>
      <c r="G266" s="239"/>
      <c r="H266" s="239"/>
      <c r="I266" s="239"/>
      <c r="J266" s="239"/>
      <c r="K266" s="239"/>
      <c r="L266" s="239"/>
      <c r="M266" s="239"/>
      <c r="N266" s="239"/>
      <c r="O266" s="239"/>
      <c r="P266" s="239"/>
      <c r="Q266" s="239"/>
      <c r="R266" s="239"/>
      <c r="S266" s="239"/>
      <c r="T266" s="239"/>
      <c r="U266" s="239"/>
      <c r="V266" s="239"/>
      <c r="W266" s="239"/>
      <c r="X266" s="239"/>
      <c r="Y266" s="239"/>
      <c r="Z266" s="239"/>
      <c r="AA266" s="239"/>
      <c r="AB266" s="239"/>
      <c r="AC266" s="239"/>
      <c r="AD266" s="239"/>
      <c r="AE266" s="239"/>
      <c r="AF266" s="239"/>
      <c r="AG266" s="239"/>
      <c r="AH266" s="239"/>
      <c r="AI266" s="239"/>
      <c r="AJ266" s="239"/>
      <c r="AK266" s="239"/>
      <c r="AL266" s="239"/>
      <c r="AM266" s="239"/>
      <c r="AN266" s="239"/>
      <c r="AO266" s="239"/>
      <c r="AP266" s="239"/>
      <c r="AQ266" s="239"/>
      <c r="AR266" s="239"/>
      <c r="AS266" s="239"/>
      <c r="AT266" s="239"/>
      <c r="AU266" s="239"/>
      <c r="AV266" s="239"/>
      <c r="AW266" s="239"/>
      <c r="AX266" s="239"/>
      <c r="AY266" s="239"/>
      <c r="AZ266" s="239"/>
      <c r="BA266" s="239"/>
      <c r="BB266" s="239"/>
      <c r="BC266" s="239"/>
      <c r="BD266" s="239"/>
      <c r="BE266" s="239"/>
      <c r="BF266" s="239"/>
      <c r="BG266" s="239"/>
      <c r="BH266" s="239"/>
      <c r="BI266" s="239"/>
      <c r="BJ266" s="239"/>
      <c r="BK266" s="239"/>
      <c r="BL266" s="239"/>
      <c r="BM266" s="239"/>
      <c r="BN266" s="239"/>
      <c r="BO266" s="239"/>
      <c r="BP266" s="239"/>
      <c r="BQ266" s="239"/>
      <c r="BR266" s="239"/>
      <c r="BS266" s="239"/>
      <c r="BT266" s="239"/>
      <c r="BU266" s="239"/>
      <c r="BV266" s="239"/>
      <c r="BW266" s="239"/>
      <c r="BX266" s="239"/>
      <c r="BY266" s="239"/>
      <c r="BZ266" s="239"/>
      <c r="CA266" s="239"/>
      <c r="CB266" s="239"/>
      <c r="CC266" s="239"/>
      <c r="CD266" s="239"/>
      <c r="CE266" s="239"/>
      <c r="CF266" s="239"/>
      <c r="CG266" s="239"/>
    </row>
    <row r="267" spans="1:85" ht="15.75" customHeight="1">
      <c r="A267" s="239"/>
      <c r="B267" s="239"/>
      <c r="C267" s="239"/>
      <c r="D267" s="239"/>
      <c r="E267" s="239"/>
      <c r="F267" s="239"/>
      <c r="G267" s="239"/>
      <c r="H267" s="239"/>
      <c r="I267" s="239"/>
      <c r="J267" s="239"/>
      <c r="K267" s="239"/>
      <c r="L267" s="239"/>
      <c r="M267" s="239"/>
      <c r="N267" s="239"/>
      <c r="O267" s="239"/>
      <c r="P267" s="239"/>
      <c r="Q267" s="239"/>
      <c r="R267" s="239"/>
      <c r="S267" s="239"/>
      <c r="T267" s="239"/>
      <c r="U267" s="239"/>
      <c r="V267" s="239"/>
      <c r="W267" s="239"/>
      <c r="X267" s="239"/>
      <c r="Y267" s="239"/>
      <c r="Z267" s="239"/>
      <c r="AA267" s="239"/>
      <c r="AB267" s="239"/>
      <c r="AC267" s="239"/>
      <c r="AD267" s="239"/>
      <c r="AE267" s="239"/>
      <c r="AF267" s="239"/>
      <c r="AG267" s="239"/>
      <c r="AH267" s="239"/>
      <c r="AI267" s="239"/>
      <c r="AJ267" s="239"/>
      <c r="AK267" s="239"/>
      <c r="AL267" s="239"/>
      <c r="AM267" s="239"/>
      <c r="AN267" s="239"/>
      <c r="AO267" s="239"/>
      <c r="AP267" s="239"/>
      <c r="AQ267" s="239"/>
      <c r="AR267" s="239"/>
      <c r="AS267" s="239"/>
      <c r="AT267" s="239"/>
      <c r="AU267" s="239"/>
      <c r="AV267" s="239"/>
      <c r="AW267" s="239"/>
      <c r="AX267" s="239"/>
      <c r="AY267" s="239"/>
      <c r="AZ267" s="239"/>
      <c r="BA267" s="239"/>
      <c r="BB267" s="239"/>
      <c r="BC267" s="239"/>
      <c r="BD267" s="239"/>
      <c r="BE267" s="239"/>
      <c r="BF267" s="239"/>
      <c r="BG267" s="239"/>
      <c r="BH267" s="239"/>
      <c r="BI267" s="239"/>
      <c r="BJ267" s="239"/>
      <c r="BK267" s="239"/>
      <c r="BL267" s="239"/>
      <c r="BM267" s="239"/>
      <c r="BN267" s="239"/>
      <c r="BO267" s="239"/>
      <c r="BP267" s="239"/>
      <c r="BQ267" s="239"/>
      <c r="BR267" s="239"/>
      <c r="BS267" s="239"/>
      <c r="BT267" s="239"/>
      <c r="BU267" s="239"/>
      <c r="BV267" s="239"/>
      <c r="BW267" s="239"/>
      <c r="BX267" s="239"/>
      <c r="BY267" s="239"/>
      <c r="BZ267" s="239"/>
      <c r="CA267" s="239"/>
      <c r="CB267" s="239"/>
      <c r="CC267" s="239"/>
      <c r="CD267" s="239"/>
      <c r="CE267" s="239"/>
      <c r="CF267" s="239"/>
      <c r="CG267" s="239"/>
    </row>
    <row r="268" spans="1:85" ht="15.75" customHeight="1">
      <c r="A268" s="239"/>
      <c r="B268" s="239"/>
      <c r="C268" s="239"/>
      <c r="D268" s="239"/>
      <c r="E268" s="239"/>
      <c r="F268" s="239"/>
      <c r="G268" s="239"/>
      <c r="H268" s="239"/>
      <c r="I268" s="239"/>
      <c r="J268" s="239"/>
      <c r="K268" s="239"/>
      <c r="L268" s="239"/>
      <c r="M268" s="239"/>
      <c r="N268" s="239"/>
      <c r="O268" s="239"/>
      <c r="P268" s="239"/>
      <c r="Q268" s="239"/>
      <c r="R268" s="239"/>
      <c r="S268" s="239"/>
      <c r="T268" s="239"/>
      <c r="U268" s="239"/>
      <c r="V268" s="239"/>
      <c r="W268" s="239"/>
      <c r="X268" s="239"/>
      <c r="Y268" s="239"/>
      <c r="Z268" s="239"/>
      <c r="AA268" s="239"/>
      <c r="AB268" s="239"/>
      <c r="AC268" s="239"/>
      <c r="AD268" s="239"/>
      <c r="AE268" s="239"/>
      <c r="AF268" s="239"/>
      <c r="AG268" s="239"/>
      <c r="AH268" s="239"/>
      <c r="AI268" s="239"/>
      <c r="AJ268" s="239"/>
      <c r="AK268" s="239"/>
      <c r="AL268" s="239"/>
      <c r="AM268" s="239"/>
      <c r="AN268" s="239"/>
      <c r="AO268" s="239"/>
      <c r="AP268" s="239"/>
      <c r="AQ268" s="239"/>
      <c r="AR268" s="239"/>
      <c r="AS268" s="239"/>
      <c r="AT268" s="239"/>
      <c r="AU268" s="239"/>
      <c r="AV268" s="239"/>
      <c r="AW268" s="239"/>
      <c r="AX268" s="239"/>
      <c r="AY268" s="239"/>
      <c r="AZ268" s="239"/>
      <c r="BA268" s="239"/>
      <c r="BB268" s="239"/>
      <c r="BC268" s="239"/>
      <c r="BD268" s="239"/>
      <c r="BE268" s="239"/>
      <c r="BF268" s="239"/>
      <c r="BG268" s="239"/>
      <c r="BH268" s="239"/>
      <c r="BI268" s="239"/>
      <c r="BJ268" s="239"/>
      <c r="BK268" s="239"/>
      <c r="BL268" s="239"/>
      <c r="BM268" s="239"/>
      <c r="BN268" s="239"/>
      <c r="BO268" s="239"/>
      <c r="BP268" s="239"/>
      <c r="BQ268" s="239"/>
      <c r="BR268" s="239"/>
      <c r="BS268" s="239"/>
      <c r="BT268" s="239"/>
      <c r="BU268" s="239"/>
      <c r="BV268" s="239"/>
      <c r="BW268" s="239"/>
      <c r="BX268" s="239"/>
      <c r="BY268" s="239"/>
      <c r="BZ268" s="239"/>
      <c r="CA268" s="239"/>
      <c r="CB268" s="239"/>
      <c r="CC268" s="239"/>
      <c r="CD268" s="239"/>
      <c r="CE268" s="239"/>
      <c r="CF268" s="239"/>
      <c r="CG268" s="239"/>
    </row>
    <row r="269" spans="1:85" ht="15.75" customHeight="1">
      <c r="A269" s="239"/>
      <c r="B269" s="239"/>
      <c r="C269" s="239"/>
      <c r="D269" s="239"/>
      <c r="E269" s="239"/>
      <c r="F269" s="239"/>
      <c r="G269" s="239"/>
      <c r="H269" s="239"/>
      <c r="I269" s="239"/>
      <c r="J269" s="239"/>
      <c r="K269" s="239"/>
      <c r="L269" s="239"/>
      <c r="M269" s="239"/>
      <c r="N269" s="239"/>
      <c r="O269" s="239"/>
      <c r="P269" s="239"/>
      <c r="Q269" s="239"/>
      <c r="R269" s="239"/>
      <c r="S269" s="239"/>
      <c r="T269" s="239"/>
      <c r="U269" s="239"/>
      <c r="V269" s="239"/>
      <c r="W269" s="239"/>
      <c r="X269" s="239"/>
      <c r="Y269" s="239"/>
      <c r="Z269" s="239"/>
      <c r="AA269" s="239"/>
      <c r="AB269" s="239"/>
      <c r="AC269" s="239"/>
      <c r="AD269" s="239"/>
      <c r="AE269" s="239"/>
      <c r="AF269" s="239"/>
      <c r="AG269" s="239"/>
      <c r="AH269" s="239"/>
      <c r="AI269" s="239"/>
      <c r="AJ269" s="239"/>
      <c r="AK269" s="239"/>
      <c r="AL269" s="239"/>
      <c r="AM269" s="239"/>
      <c r="AN269" s="239"/>
      <c r="AO269" s="239"/>
      <c r="AP269" s="239"/>
      <c r="AQ269" s="239"/>
      <c r="AR269" s="239"/>
      <c r="AS269" s="239"/>
      <c r="AT269" s="239"/>
      <c r="AU269" s="239"/>
      <c r="AV269" s="239"/>
      <c r="AW269" s="239"/>
      <c r="AX269" s="239"/>
      <c r="AY269" s="239"/>
      <c r="AZ269" s="239"/>
      <c r="BA269" s="239"/>
      <c r="BB269" s="239"/>
      <c r="BC269" s="239"/>
      <c r="BD269" s="239"/>
      <c r="BE269" s="239"/>
      <c r="BF269" s="239"/>
      <c r="BG269" s="239"/>
      <c r="BH269" s="239"/>
      <c r="BI269" s="239"/>
      <c r="BJ269" s="239"/>
      <c r="BK269" s="239"/>
      <c r="BL269" s="239"/>
      <c r="BM269" s="239"/>
      <c r="BN269" s="239"/>
      <c r="BO269" s="239"/>
      <c r="BP269" s="239"/>
      <c r="BQ269" s="239"/>
      <c r="BR269" s="239"/>
      <c r="BS269" s="239"/>
      <c r="BT269" s="239"/>
      <c r="BU269" s="239"/>
      <c r="BV269" s="239"/>
      <c r="BW269" s="239"/>
      <c r="BX269" s="239"/>
      <c r="BY269" s="239"/>
      <c r="BZ269" s="239"/>
      <c r="CA269" s="239"/>
      <c r="CB269" s="239"/>
      <c r="CC269" s="239"/>
      <c r="CD269" s="239"/>
      <c r="CE269" s="239"/>
      <c r="CF269" s="239"/>
      <c r="CG269" s="239"/>
    </row>
    <row r="270" spans="1:85" ht="15.75" customHeight="1">
      <c r="A270" s="239"/>
      <c r="B270" s="239"/>
      <c r="C270" s="239"/>
      <c r="D270" s="239"/>
      <c r="E270" s="239"/>
      <c r="F270" s="239"/>
      <c r="G270" s="239"/>
      <c r="H270" s="239"/>
      <c r="I270" s="239"/>
      <c r="J270" s="239"/>
      <c r="K270" s="239"/>
      <c r="L270" s="239"/>
      <c r="M270" s="239"/>
      <c r="N270" s="239"/>
      <c r="O270" s="239"/>
      <c r="P270" s="239"/>
      <c r="Q270" s="239"/>
      <c r="R270" s="239"/>
      <c r="S270" s="239"/>
      <c r="T270" s="239"/>
      <c r="U270" s="239"/>
      <c r="V270" s="239"/>
      <c r="W270" s="239"/>
      <c r="X270" s="239"/>
      <c r="Y270" s="239"/>
      <c r="Z270" s="239"/>
      <c r="AA270" s="239"/>
      <c r="AB270" s="239"/>
      <c r="AC270" s="239"/>
      <c r="AD270" s="239"/>
      <c r="AE270" s="239"/>
      <c r="AF270" s="239"/>
      <c r="AG270" s="239"/>
      <c r="AH270" s="239"/>
      <c r="AI270" s="239"/>
      <c r="AJ270" s="239"/>
      <c r="AK270" s="239"/>
      <c r="AL270" s="239"/>
      <c r="AM270" s="239"/>
      <c r="AN270" s="239"/>
      <c r="AO270" s="239"/>
      <c r="AP270" s="239"/>
      <c r="AQ270" s="239"/>
      <c r="AR270" s="239"/>
      <c r="AS270" s="239"/>
      <c r="AT270" s="239"/>
      <c r="AU270" s="239"/>
      <c r="AV270" s="239"/>
      <c r="AW270" s="239"/>
      <c r="AX270" s="239"/>
      <c r="AY270" s="239"/>
      <c r="AZ270" s="239"/>
      <c r="BA270" s="239"/>
      <c r="BB270" s="239"/>
      <c r="BC270" s="239"/>
      <c r="BD270" s="239"/>
      <c r="BE270" s="239"/>
      <c r="BF270" s="239"/>
      <c r="BG270" s="239"/>
      <c r="BH270" s="239"/>
      <c r="BI270" s="239"/>
      <c r="BJ270" s="239"/>
      <c r="BK270" s="239"/>
      <c r="BL270" s="239"/>
      <c r="BM270" s="239"/>
      <c r="BN270" s="239"/>
      <c r="BO270" s="239"/>
      <c r="BP270" s="239"/>
      <c r="BQ270" s="239"/>
      <c r="BR270" s="239"/>
      <c r="BS270" s="239"/>
      <c r="BT270" s="239"/>
      <c r="BU270" s="239"/>
      <c r="BV270" s="239"/>
      <c r="BW270" s="239"/>
      <c r="BX270" s="239"/>
      <c r="BY270" s="239"/>
      <c r="BZ270" s="239"/>
      <c r="CA270" s="239"/>
      <c r="CB270" s="239"/>
      <c r="CC270" s="239"/>
      <c r="CD270" s="239"/>
      <c r="CE270" s="239"/>
      <c r="CF270" s="239"/>
      <c r="CG270" s="239"/>
    </row>
    <row r="271" spans="1:85" ht="15.75" customHeight="1">
      <c r="A271" s="239"/>
      <c r="B271" s="239"/>
      <c r="C271" s="239"/>
      <c r="D271" s="239"/>
      <c r="E271" s="239"/>
      <c r="F271" s="239"/>
      <c r="G271" s="239"/>
      <c r="H271" s="239"/>
      <c r="I271" s="239"/>
      <c r="J271" s="239"/>
      <c r="K271" s="239"/>
      <c r="L271" s="239"/>
      <c r="M271" s="239"/>
      <c r="N271" s="239"/>
      <c r="O271" s="239"/>
      <c r="P271" s="239"/>
      <c r="Q271" s="239"/>
      <c r="R271" s="239"/>
      <c r="S271" s="239"/>
      <c r="T271" s="239"/>
      <c r="U271" s="239"/>
      <c r="V271" s="239"/>
      <c r="W271" s="239"/>
      <c r="X271" s="239"/>
      <c r="Y271" s="239"/>
      <c r="Z271" s="239"/>
      <c r="AA271" s="239"/>
      <c r="AB271" s="239"/>
      <c r="AC271" s="239"/>
      <c r="AD271" s="239"/>
      <c r="AE271" s="239"/>
      <c r="AF271" s="239"/>
      <c r="AG271" s="239"/>
      <c r="AH271" s="239"/>
      <c r="AI271" s="239"/>
      <c r="AJ271" s="239"/>
      <c r="AK271" s="239"/>
      <c r="AL271" s="239"/>
      <c r="AM271" s="239"/>
      <c r="AN271" s="239"/>
      <c r="AO271" s="239"/>
      <c r="AP271" s="239"/>
      <c r="AQ271" s="239"/>
      <c r="AR271" s="239"/>
      <c r="AS271" s="239"/>
      <c r="AT271" s="239"/>
      <c r="AU271" s="239"/>
      <c r="AV271" s="239"/>
      <c r="AW271" s="239"/>
      <c r="AX271" s="239"/>
      <c r="AY271" s="239"/>
      <c r="AZ271" s="239"/>
      <c r="BA271" s="239"/>
      <c r="BB271" s="239"/>
      <c r="BC271" s="239"/>
      <c r="BD271" s="239"/>
      <c r="BE271" s="239"/>
      <c r="BF271" s="239"/>
      <c r="BG271" s="239"/>
      <c r="BH271" s="239"/>
      <c r="BI271" s="239"/>
      <c r="BJ271" s="239"/>
      <c r="BK271" s="239"/>
      <c r="BL271" s="239"/>
      <c r="BM271" s="239"/>
      <c r="BN271" s="239"/>
      <c r="BO271" s="239"/>
      <c r="BP271" s="239"/>
      <c r="BQ271" s="239"/>
      <c r="BR271" s="239"/>
      <c r="BS271" s="239"/>
      <c r="BT271" s="239"/>
      <c r="BU271" s="239"/>
      <c r="BV271" s="239"/>
      <c r="BW271" s="239"/>
      <c r="BX271" s="239"/>
      <c r="BY271" s="239"/>
      <c r="BZ271" s="239"/>
      <c r="CA271" s="239"/>
      <c r="CB271" s="239"/>
      <c r="CC271" s="239"/>
      <c r="CD271" s="239"/>
      <c r="CE271" s="239"/>
      <c r="CF271" s="239"/>
      <c r="CG271" s="239"/>
    </row>
    <row r="272" spans="1:85" ht="15.75" customHeight="1">
      <c r="A272" s="239"/>
      <c r="B272" s="239"/>
      <c r="C272" s="239"/>
      <c r="D272" s="239"/>
      <c r="E272" s="239"/>
      <c r="F272" s="239"/>
      <c r="G272" s="239"/>
      <c r="H272" s="239"/>
      <c r="I272" s="239"/>
      <c r="J272" s="239"/>
      <c r="K272" s="239"/>
      <c r="L272" s="239"/>
      <c r="M272" s="239"/>
      <c r="N272" s="239"/>
      <c r="O272" s="239"/>
      <c r="P272" s="239"/>
      <c r="Q272" s="239"/>
      <c r="R272" s="239"/>
      <c r="S272" s="239"/>
      <c r="T272" s="239"/>
      <c r="U272" s="239"/>
      <c r="V272" s="239"/>
      <c r="W272" s="239"/>
      <c r="X272" s="239"/>
      <c r="Y272" s="239"/>
      <c r="Z272" s="239"/>
      <c r="AA272" s="239"/>
      <c r="AB272" s="239"/>
      <c r="AC272" s="239"/>
      <c r="AD272" s="239"/>
      <c r="AE272" s="239"/>
      <c r="AF272" s="239"/>
      <c r="AG272" s="239"/>
      <c r="AH272" s="239"/>
      <c r="AI272" s="239"/>
      <c r="AJ272" s="239"/>
      <c r="AK272" s="239"/>
      <c r="AL272" s="239"/>
      <c r="AM272" s="239"/>
      <c r="AN272" s="239"/>
      <c r="AO272" s="239"/>
      <c r="AP272" s="239"/>
      <c r="AQ272" s="239"/>
      <c r="AR272" s="239"/>
      <c r="AS272" s="239"/>
      <c r="AT272" s="239"/>
      <c r="AU272" s="239"/>
      <c r="AV272" s="239"/>
      <c r="AW272" s="239"/>
      <c r="AX272" s="239"/>
      <c r="AY272" s="239"/>
      <c r="AZ272" s="239"/>
      <c r="BA272" s="239"/>
      <c r="BB272" s="239"/>
      <c r="BC272" s="239"/>
      <c r="BD272" s="239"/>
      <c r="BE272" s="239"/>
      <c r="BF272" s="239"/>
      <c r="BG272" s="239"/>
      <c r="BH272" s="239"/>
      <c r="BI272" s="239"/>
      <c r="BJ272" s="239"/>
      <c r="BK272" s="239"/>
      <c r="BL272" s="239"/>
      <c r="BM272" s="239"/>
      <c r="BN272" s="239"/>
      <c r="BO272" s="239"/>
      <c r="BP272" s="239"/>
      <c r="BQ272" s="239"/>
      <c r="BR272" s="239"/>
      <c r="BS272" s="239"/>
      <c r="BT272" s="239"/>
      <c r="BU272" s="239"/>
      <c r="BV272" s="239"/>
      <c r="BW272" s="239"/>
      <c r="BX272" s="239"/>
      <c r="BY272" s="239"/>
      <c r="BZ272" s="239"/>
      <c r="CA272" s="239"/>
      <c r="CB272" s="239"/>
      <c r="CC272" s="239"/>
      <c r="CD272" s="239"/>
      <c r="CE272" s="239"/>
      <c r="CF272" s="239"/>
      <c r="CG272" s="239"/>
    </row>
    <row r="273" spans="1:85" ht="15.75" customHeight="1">
      <c r="A273" s="239"/>
      <c r="B273" s="239"/>
      <c r="C273" s="239"/>
      <c r="D273" s="239"/>
      <c r="E273" s="239"/>
      <c r="F273" s="239"/>
      <c r="G273" s="239"/>
      <c r="H273" s="239"/>
      <c r="I273" s="239"/>
      <c r="J273" s="239"/>
      <c r="K273" s="239"/>
      <c r="L273" s="239"/>
      <c r="M273" s="239"/>
      <c r="N273" s="239"/>
      <c r="O273" s="239"/>
      <c r="P273" s="239"/>
      <c r="Q273" s="239"/>
      <c r="R273" s="239"/>
      <c r="S273" s="239"/>
      <c r="T273" s="239"/>
      <c r="U273" s="239"/>
      <c r="V273" s="239"/>
      <c r="W273" s="239"/>
      <c r="X273" s="239"/>
      <c r="Y273" s="239"/>
      <c r="Z273" s="239"/>
      <c r="AA273" s="239"/>
      <c r="AB273" s="239"/>
      <c r="AC273" s="239"/>
      <c r="AD273" s="239"/>
      <c r="AE273" s="239"/>
      <c r="AF273" s="239"/>
      <c r="AG273" s="239"/>
      <c r="AH273" s="239"/>
      <c r="AI273" s="239"/>
      <c r="AJ273" s="239"/>
      <c r="AK273" s="239"/>
      <c r="AL273" s="239"/>
      <c r="AM273" s="239"/>
      <c r="AN273" s="239"/>
      <c r="AO273" s="239"/>
      <c r="AP273" s="239"/>
      <c r="AQ273" s="239"/>
      <c r="AR273" s="239"/>
      <c r="AS273" s="239"/>
      <c r="AT273" s="239"/>
      <c r="AU273" s="239"/>
      <c r="AV273" s="239"/>
      <c r="AW273" s="239"/>
      <c r="AX273" s="239"/>
      <c r="AY273" s="239"/>
      <c r="AZ273" s="239"/>
      <c r="BA273" s="239"/>
      <c r="BB273" s="239"/>
      <c r="BC273" s="239"/>
      <c r="BD273" s="239"/>
      <c r="BE273" s="239"/>
      <c r="BF273" s="239"/>
      <c r="BG273" s="239"/>
      <c r="BH273" s="239"/>
      <c r="BI273" s="239"/>
      <c r="BJ273" s="239"/>
      <c r="BK273" s="239"/>
      <c r="BL273" s="239"/>
      <c r="BM273" s="239"/>
      <c r="BN273" s="239"/>
      <c r="BO273" s="239"/>
      <c r="BP273" s="239"/>
      <c r="BQ273" s="239"/>
      <c r="BR273" s="239"/>
      <c r="BS273" s="239"/>
      <c r="BT273" s="239"/>
      <c r="BU273" s="239"/>
      <c r="BV273" s="239"/>
      <c r="BW273" s="239"/>
      <c r="BX273" s="239"/>
      <c r="BY273" s="239"/>
      <c r="BZ273" s="239"/>
      <c r="CA273" s="239"/>
      <c r="CB273" s="239"/>
      <c r="CC273" s="239"/>
      <c r="CD273" s="239"/>
      <c r="CE273" s="239"/>
      <c r="CF273" s="239"/>
      <c r="CG273" s="239"/>
    </row>
    <row r="274" spans="1:85" ht="15.75" customHeight="1">
      <c r="A274" s="239"/>
      <c r="B274" s="239"/>
      <c r="C274" s="239"/>
      <c r="D274" s="239"/>
      <c r="E274" s="239"/>
      <c r="F274" s="239"/>
      <c r="G274" s="239"/>
      <c r="H274" s="239"/>
      <c r="I274" s="239"/>
      <c r="J274" s="239"/>
      <c r="K274" s="239"/>
      <c r="L274" s="239"/>
      <c r="M274" s="239"/>
      <c r="N274" s="239"/>
      <c r="O274" s="239"/>
      <c r="P274" s="239"/>
      <c r="Q274" s="239"/>
      <c r="R274" s="239"/>
      <c r="S274" s="239"/>
      <c r="T274" s="239"/>
      <c r="U274" s="239"/>
      <c r="V274" s="239"/>
      <c r="W274" s="239"/>
      <c r="X274" s="239"/>
      <c r="Y274" s="239"/>
      <c r="Z274" s="239"/>
      <c r="AA274" s="239"/>
      <c r="AB274" s="239"/>
      <c r="AC274" s="239"/>
      <c r="AD274" s="239"/>
      <c r="AE274" s="239"/>
      <c r="AF274" s="239"/>
      <c r="AG274" s="239"/>
      <c r="AH274" s="239"/>
      <c r="AI274" s="239"/>
      <c r="AJ274" s="239"/>
      <c r="AK274" s="239"/>
      <c r="AL274" s="239"/>
      <c r="AM274" s="239"/>
      <c r="AN274" s="239"/>
      <c r="AO274" s="239"/>
      <c r="AP274" s="239"/>
      <c r="AQ274" s="239"/>
      <c r="AR274" s="239"/>
      <c r="AS274" s="239"/>
      <c r="AT274" s="239"/>
      <c r="AU274" s="239"/>
      <c r="AV274" s="239"/>
      <c r="AW274" s="239"/>
      <c r="AX274" s="239"/>
      <c r="AY274" s="239"/>
      <c r="AZ274" s="239"/>
      <c r="BA274" s="239"/>
      <c r="BB274" s="239"/>
      <c r="BC274" s="239"/>
      <c r="BD274" s="239"/>
      <c r="BE274" s="239"/>
      <c r="BF274" s="239"/>
      <c r="BG274" s="239"/>
      <c r="BH274" s="239"/>
      <c r="BI274" s="239"/>
      <c r="BJ274" s="239"/>
      <c r="BK274" s="239"/>
      <c r="BL274" s="239"/>
      <c r="BM274" s="239"/>
      <c r="BN274" s="239"/>
      <c r="BO274" s="239"/>
      <c r="BP274" s="239"/>
      <c r="BQ274" s="239"/>
      <c r="BR274" s="239"/>
      <c r="BS274" s="239"/>
      <c r="BT274" s="239"/>
      <c r="BU274" s="239"/>
      <c r="BV274" s="239"/>
      <c r="BW274" s="239"/>
      <c r="BX274" s="239"/>
      <c r="BY274" s="239"/>
      <c r="BZ274" s="239"/>
      <c r="CA274" s="239"/>
      <c r="CB274" s="239"/>
      <c r="CC274" s="239"/>
      <c r="CD274" s="239"/>
      <c r="CE274" s="239"/>
      <c r="CF274" s="239"/>
      <c r="CG274" s="239"/>
    </row>
    <row r="275" spans="1:85" ht="15.75" customHeight="1">
      <c r="A275" s="239"/>
      <c r="B275" s="239"/>
      <c r="C275" s="239"/>
      <c r="D275" s="239"/>
      <c r="E275" s="239"/>
      <c r="F275" s="239"/>
      <c r="G275" s="239"/>
      <c r="H275" s="239"/>
      <c r="I275" s="239"/>
      <c r="J275" s="239"/>
      <c r="K275" s="239"/>
      <c r="L275" s="239"/>
      <c r="M275" s="239"/>
      <c r="N275" s="239"/>
      <c r="O275" s="239"/>
      <c r="P275" s="239"/>
      <c r="Q275" s="239"/>
      <c r="R275" s="239"/>
      <c r="S275" s="239"/>
      <c r="T275" s="239"/>
      <c r="U275" s="239"/>
      <c r="V275" s="239"/>
      <c r="W275" s="239"/>
      <c r="X275" s="239"/>
      <c r="Y275" s="239"/>
      <c r="Z275" s="239"/>
      <c r="AA275" s="239"/>
      <c r="AB275" s="239"/>
      <c r="AC275" s="239"/>
      <c r="AD275" s="239"/>
      <c r="AE275" s="239"/>
      <c r="AF275" s="239"/>
      <c r="AG275" s="239"/>
      <c r="AH275" s="239"/>
      <c r="AI275" s="239"/>
      <c r="AJ275" s="239"/>
      <c r="AK275" s="239"/>
      <c r="AL275" s="239"/>
      <c r="AM275" s="239"/>
      <c r="AN275" s="239"/>
      <c r="AO275" s="239"/>
      <c r="AP275" s="239"/>
      <c r="AQ275" s="239"/>
      <c r="AR275" s="239"/>
      <c r="AS275" s="239"/>
      <c r="AT275" s="239"/>
      <c r="AU275" s="239"/>
      <c r="AV275" s="239"/>
      <c r="AW275" s="239"/>
      <c r="AX275" s="239"/>
      <c r="AY275" s="239"/>
      <c r="AZ275" s="239"/>
      <c r="BA275" s="239"/>
      <c r="BB275" s="239"/>
      <c r="BC275" s="239"/>
      <c r="BD275" s="239"/>
      <c r="BE275" s="239"/>
      <c r="BF275" s="239"/>
      <c r="BG275" s="239"/>
      <c r="BH275" s="239"/>
      <c r="BI275" s="239"/>
      <c r="BJ275" s="239"/>
      <c r="BK275" s="239"/>
      <c r="BL275" s="239"/>
      <c r="BM275" s="239"/>
      <c r="BN275" s="239"/>
      <c r="BO275" s="239"/>
      <c r="BP275" s="239"/>
      <c r="BQ275" s="239"/>
      <c r="BR275" s="239"/>
      <c r="BS275" s="239"/>
      <c r="BT275" s="239"/>
      <c r="BU275" s="239"/>
      <c r="BV275" s="239"/>
      <c r="BW275" s="239"/>
      <c r="BX275" s="239"/>
      <c r="BY275" s="239"/>
      <c r="BZ275" s="239"/>
      <c r="CA275" s="239"/>
      <c r="CB275" s="239"/>
      <c r="CC275" s="239"/>
      <c r="CD275" s="239"/>
      <c r="CE275" s="239"/>
      <c r="CF275" s="239"/>
      <c r="CG275" s="239"/>
    </row>
    <row r="276" spans="1:85" ht="15.75" customHeight="1">
      <c r="A276" s="239"/>
      <c r="B276" s="239"/>
      <c r="C276" s="239"/>
      <c r="D276" s="239"/>
      <c r="E276" s="239"/>
      <c r="F276" s="239"/>
      <c r="G276" s="239"/>
      <c r="H276" s="239"/>
      <c r="I276" s="239"/>
      <c r="J276" s="239"/>
      <c r="K276" s="239"/>
      <c r="L276" s="239"/>
      <c r="M276" s="239"/>
      <c r="N276" s="239"/>
      <c r="O276" s="239"/>
      <c r="P276" s="239"/>
      <c r="Q276" s="239"/>
      <c r="R276" s="239"/>
      <c r="S276" s="239"/>
      <c r="T276" s="239"/>
      <c r="U276" s="239"/>
      <c r="V276" s="239"/>
      <c r="W276" s="239"/>
      <c r="X276" s="239"/>
      <c r="Y276" s="239"/>
      <c r="Z276" s="239"/>
      <c r="AA276" s="239"/>
      <c r="AB276" s="239"/>
      <c r="AC276" s="239"/>
      <c r="AD276" s="239"/>
      <c r="AE276" s="239"/>
      <c r="AF276" s="239"/>
      <c r="AG276" s="239"/>
      <c r="AH276" s="239"/>
      <c r="AI276" s="239"/>
      <c r="AJ276" s="239"/>
      <c r="AK276" s="239"/>
      <c r="AL276" s="239"/>
      <c r="AM276" s="239"/>
      <c r="AN276" s="239"/>
      <c r="AO276" s="239"/>
      <c r="AP276" s="239"/>
      <c r="AQ276" s="239"/>
      <c r="AR276" s="239"/>
      <c r="AS276" s="239"/>
      <c r="AT276" s="239"/>
      <c r="AU276" s="239"/>
      <c r="AV276" s="239"/>
      <c r="AW276" s="239"/>
      <c r="AX276" s="239"/>
      <c r="AY276" s="239"/>
      <c r="AZ276" s="239"/>
      <c r="BA276" s="239"/>
      <c r="BB276" s="239"/>
      <c r="BC276" s="239"/>
      <c r="BD276" s="239"/>
      <c r="BE276" s="239"/>
      <c r="BF276" s="239"/>
      <c r="BG276" s="239"/>
      <c r="BH276" s="239"/>
      <c r="BI276" s="239"/>
      <c r="BJ276" s="239"/>
      <c r="BK276" s="239"/>
      <c r="BL276" s="239"/>
      <c r="BM276" s="239"/>
      <c r="BN276" s="239"/>
      <c r="BO276" s="239"/>
      <c r="BP276" s="239"/>
      <c r="BQ276" s="239"/>
      <c r="BR276" s="239"/>
      <c r="BS276" s="239"/>
      <c r="BT276" s="239"/>
      <c r="BU276" s="239"/>
      <c r="BV276" s="239"/>
      <c r="BW276" s="239"/>
      <c r="BX276" s="239"/>
      <c r="BY276" s="239"/>
      <c r="BZ276" s="239"/>
      <c r="CA276" s="239"/>
      <c r="CB276" s="239"/>
      <c r="CC276" s="239"/>
      <c r="CD276" s="239"/>
      <c r="CE276" s="239"/>
      <c r="CF276" s="239"/>
      <c r="CG276" s="239"/>
    </row>
    <row r="277" spans="1:85" ht="15.75" customHeight="1">
      <c r="A277" s="239"/>
      <c r="B277" s="239"/>
      <c r="C277" s="239"/>
      <c r="D277" s="239"/>
      <c r="E277" s="239"/>
      <c r="F277" s="239"/>
      <c r="G277" s="239"/>
      <c r="H277" s="239"/>
      <c r="I277" s="239"/>
      <c r="J277" s="239"/>
      <c r="K277" s="239"/>
      <c r="L277" s="239"/>
      <c r="M277" s="239"/>
      <c r="N277" s="239"/>
      <c r="O277" s="239"/>
      <c r="P277" s="239"/>
      <c r="Q277" s="239"/>
      <c r="R277" s="239"/>
      <c r="S277" s="239"/>
      <c r="T277" s="239"/>
      <c r="U277" s="239"/>
      <c r="V277" s="239"/>
      <c r="W277" s="239"/>
      <c r="X277" s="239"/>
      <c r="Y277" s="239"/>
      <c r="Z277" s="239"/>
      <c r="AA277" s="239"/>
      <c r="AB277" s="239"/>
      <c r="AC277" s="239"/>
      <c r="AD277" s="239"/>
      <c r="AE277" s="239"/>
      <c r="AF277" s="239"/>
      <c r="AG277" s="239"/>
      <c r="AH277" s="239"/>
      <c r="AI277" s="239"/>
      <c r="AJ277" s="239"/>
      <c r="AK277" s="239"/>
      <c r="AL277" s="239"/>
      <c r="AM277" s="239"/>
      <c r="AN277" s="239"/>
      <c r="AO277" s="239"/>
      <c r="AP277" s="239"/>
      <c r="AQ277" s="239"/>
      <c r="AR277" s="239"/>
      <c r="AS277" s="239"/>
      <c r="AT277" s="239"/>
      <c r="AU277" s="239"/>
      <c r="AV277" s="239"/>
      <c r="AW277" s="239"/>
      <c r="AX277" s="239"/>
      <c r="AY277" s="239"/>
      <c r="AZ277" s="239"/>
      <c r="BA277" s="239"/>
      <c r="BB277" s="239"/>
      <c r="BC277" s="239"/>
      <c r="BD277" s="239"/>
      <c r="BE277" s="239"/>
      <c r="BF277" s="239"/>
      <c r="BG277" s="239"/>
      <c r="BH277" s="239"/>
      <c r="BI277" s="239"/>
      <c r="BJ277" s="239"/>
      <c r="BK277" s="239"/>
      <c r="BL277" s="239"/>
      <c r="BM277" s="239"/>
      <c r="BN277" s="239"/>
      <c r="BO277" s="239"/>
      <c r="BP277" s="239"/>
      <c r="BQ277" s="239"/>
      <c r="BR277" s="239"/>
      <c r="BS277" s="239"/>
      <c r="BT277" s="239"/>
      <c r="BU277" s="239"/>
      <c r="BV277" s="239"/>
      <c r="BW277" s="239"/>
      <c r="BX277" s="239"/>
      <c r="BY277" s="239"/>
      <c r="BZ277" s="239"/>
      <c r="CA277" s="239"/>
      <c r="CB277" s="239"/>
      <c r="CC277" s="239"/>
      <c r="CD277" s="239"/>
      <c r="CE277" s="239"/>
      <c r="CF277" s="239"/>
      <c r="CG277" s="239"/>
    </row>
    <row r="278" spans="1:85" ht="15.75" customHeight="1">
      <c r="A278" s="239"/>
      <c r="B278" s="239"/>
      <c r="C278" s="239"/>
      <c r="D278" s="239"/>
      <c r="E278" s="239"/>
      <c r="F278" s="239"/>
      <c r="G278" s="239"/>
      <c r="H278" s="239"/>
      <c r="I278" s="239"/>
      <c r="J278" s="239"/>
      <c r="K278" s="239"/>
      <c r="L278" s="239"/>
      <c r="M278" s="239"/>
      <c r="N278" s="239"/>
      <c r="O278" s="239"/>
      <c r="P278" s="239"/>
      <c r="Q278" s="239"/>
      <c r="R278" s="239"/>
      <c r="S278" s="239"/>
      <c r="T278" s="239"/>
      <c r="U278" s="239"/>
      <c r="V278" s="239"/>
      <c r="W278" s="239"/>
      <c r="X278" s="239"/>
      <c r="Y278" s="239"/>
      <c r="Z278" s="239"/>
      <c r="AA278" s="239"/>
      <c r="AB278" s="239"/>
      <c r="AC278" s="239"/>
      <c r="AD278" s="239"/>
      <c r="AE278" s="239"/>
      <c r="AF278" s="239"/>
      <c r="AG278" s="239"/>
      <c r="AH278" s="239"/>
      <c r="AI278" s="239"/>
      <c r="AJ278" s="239"/>
      <c r="AK278" s="239"/>
      <c r="AL278" s="239"/>
      <c r="AM278" s="239"/>
      <c r="AN278" s="239"/>
      <c r="AO278" s="239"/>
      <c r="AP278" s="239"/>
      <c r="AQ278" s="239"/>
      <c r="AR278" s="239"/>
      <c r="AS278" s="239"/>
      <c r="AT278" s="239"/>
      <c r="AU278" s="239"/>
      <c r="AV278" s="239"/>
      <c r="AW278" s="239"/>
      <c r="AX278" s="239"/>
      <c r="AY278" s="239"/>
      <c r="AZ278" s="239"/>
      <c r="BA278" s="239"/>
      <c r="BB278" s="239"/>
      <c r="BC278" s="239"/>
      <c r="BD278" s="239"/>
      <c r="BE278" s="239"/>
      <c r="BF278" s="239"/>
      <c r="BG278" s="239"/>
      <c r="BH278" s="239"/>
      <c r="BI278" s="239"/>
      <c r="BJ278" s="239"/>
      <c r="BK278" s="239"/>
      <c r="BL278" s="239"/>
      <c r="BM278" s="239"/>
      <c r="BN278" s="239"/>
      <c r="BO278" s="239"/>
      <c r="BP278" s="239"/>
      <c r="BQ278" s="239"/>
      <c r="BR278" s="239"/>
      <c r="BS278" s="239"/>
      <c r="BT278" s="239"/>
      <c r="BU278" s="239"/>
      <c r="BV278" s="239"/>
      <c r="BW278" s="239"/>
      <c r="BX278" s="239"/>
      <c r="BY278" s="239"/>
      <c r="BZ278" s="239"/>
      <c r="CA278" s="239"/>
      <c r="CB278" s="239"/>
      <c r="CC278" s="239"/>
      <c r="CD278" s="239"/>
      <c r="CE278" s="239"/>
      <c r="CF278" s="239"/>
      <c r="CG278" s="239"/>
    </row>
    <row r="279" spans="1:85" ht="15.75" customHeight="1">
      <c r="A279" s="239"/>
      <c r="B279" s="239"/>
      <c r="C279" s="239"/>
      <c r="D279" s="239"/>
      <c r="E279" s="239"/>
      <c r="F279" s="239"/>
      <c r="G279" s="239"/>
      <c r="H279" s="239"/>
      <c r="I279" s="239"/>
      <c r="J279" s="239"/>
      <c r="K279" s="239"/>
      <c r="L279" s="239"/>
      <c r="M279" s="239"/>
      <c r="N279" s="239"/>
      <c r="O279" s="239"/>
      <c r="P279" s="239"/>
      <c r="Q279" s="239"/>
      <c r="R279" s="239"/>
      <c r="S279" s="239"/>
      <c r="T279" s="239"/>
      <c r="U279" s="239"/>
      <c r="V279" s="239"/>
      <c r="W279" s="239"/>
      <c r="X279" s="239"/>
      <c r="Y279" s="239"/>
      <c r="Z279" s="239"/>
      <c r="AA279" s="239"/>
      <c r="AB279" s="239"/>
      <c r="AC279" s="239"/>
      <c r="AD279" s="239"/>
      <c r="AE279" s="239"/>
      <c r="AF279" s="239"/>
      <c r="AG279" s="239"/>
      <c r="AH279" s="239"/>
      <c r="AI279" s="239"/>
      <c r="AJ279" s="239"/>
      <c r="AK279" s="239"/>
      <c r="AL279" s="239"/>
      <c r="AM279" s="239"/>
      <c r="AN279" s="239"/>
      <c r="AO279" s="239"/>
      <c r="AP279" s="239"/>
      <c r="AQ279" s="239"/>
      <c r="AR279" s="239"/>
      <c r="AS279" s="239"/>
      <c r="AT279" s="239"/>
      <c r="AU279" s="239"/>
      <c r="AV279" s="239"/>
      <c r="AW279" s="239"/>
      <c r="AX279" s="239"/>
      <c r="AY279" s="239"/>
      <c r="AZ279" s="239"/>
      <c r="BA279" s="239"/>
      <c r="BB279" s="239"/>
      <c r="BC279" s="239"/>
      <c r="BD279" s="239"/>
      <c r="BE279" s="239"/>
      <c r="BF279" s="239"/>
      <c r="BG279" s="239"/>
      <c r="BH279" s="239"/>
      <c r="BI279" s="239"/>
      <c r="BJ279" s="239"/>
      <c r="BK279" s="239"/>
      <c r="BL279" s="239"/>
      <c r="BM279" s="239"/>
      <c r="BN279" s="239"/>
      <c r="BO279" s="239"/>
      <c r="BP279" s="239"/>
      <c r="BQ279" s="239"/>
      <c r="BR279" s="239"/>
      <c r="BS279" s="239"/>
      <c r="BT279" s="239"/>
      <c r="BU279" s="239"/>
      <c r="BV279" s="239"/>
      <c r="BW279" s="239"/>
      <c r="BX279" s="239"/>
      <c r="BY279" s="239"/>
      <c r="BZ279" s="239"/>
      <c r="CA279" s="239"/>
      <c r="CB279" s="239"/>
      <c r="CC279" s="239"/>
      <c r="CD279" s="239"/>
      <c r="CE279" s="239"/>
      <c r="CF279" s="239"/>
      <c r="CG279" s="239"/>
    </row>
    <row r="280" spans="1:85" ht="15.75" customHeight="1">
      <c r="A280" s="239"/>
      <c r="B280" s="239"/>
      <c r="C280" s="239"/>
      <c r="D280" s="239"/>
      <c r="E280" s="239"/>
      <c r="F280" s="239"/>
      <c r="G280" s="239"/>
      <c r="H280" s="239"/>
      <c r="I280" s="239"/>
      <c r="J280" s="239"/>
      <c r="K280" s="239"/>
      <c r="L280" s="239"/>
      <c r="M280" s="239"/>
      <c r="N280" s="239"/>
      <c r="O280" s="239"/>
      <c r="P280" s="239"/>
      <c r="Q280" s="239"/>
      <c r="R280" s="239"/>
      <c r="S280" s="239"/>
      <c r="T280" s="239"/>
      <c r="U280" s="239"/>
      <c r="V280" s="239"/>
      <c r="W280" s="239"/>
      <c r="X280" s="239"/>
      <c r="Y280" s="239"/>
      <c r="Z280" s="239"/>
      <c r="AA280" s="239"/>
      <c r="AB280" s="239"/>
      <c r="AC280" s="239"/>
      <c r="AD280" s="239"/>
      <c r="AE280" s="239"/>
      <c r="AF280" s="239"/>
      <c r="AG280" s="239"/>
      <c r="AH280" s="239"/>
      <c r="AI280" s="239"/>
      <c r="AJ280" s="239"/>
      <c r="AK280" s="239"/>
      <c r="AL280" s="239"/>
      <c r="AM280" s="239"/>
      <c r="AN280" s="239"/>
      <c r="AO280" s="239"/>
      <c r="AP280" s="239"/>
      <c r="AQ280" s="239"/>
      <c r="AR280" s="239"/>
      <c r="AS280" s="239"/>
      <c r="AT280" s="239"/>
      <c r="AU280" s="239"/>
      <c r="AV280" s="239"/>
      <c r="AW280" s="239"/>
      <c r="AX280" s="239"/>
      <c r="AY280" s="239"/>
      <c r="AZ280" s="239"/>
      <c r="BA280" s="239"/>
      <c r="BB280" s="239"/>
      <c r="BC280" s="239"/>
      <c r="BD280" s="239"/>
      <c r="BE280" s="239"/>
      <c r="BF280" s="239"/>
      <c r="BG280" s="239"/>
      <c r="BH280" s="239"/>
      <c r="BI280" s="239"/>
      <c r="BJ280" s="239"/>
      <c r="BK280" s="239"/>
      <c r="BL280" s="239"/>
      <c r="BM280" s="239"/>
      <c r="BN280" s="239"/>
      <c r="BO280" s="239"/>
      <c r="BP280" s="239"/>
      <c r="BQ280" s="239"/>
      <c r="BR280" s="239"/>
      <c r="BS280" s="239"/>
      <c r="BT280" s="239"/>
      <c r="BU280" s="239"/>
      <c r="BV280" s="239"/>
      <c r="BW280" s="239"/>
      <c r="BX280" s="239"/>
      <c r="BY280" s="239"/>
      <c r="BZ280" s="239"/>
      <c r="CA280" s="239"/>
      <c r="CB280" s="239"/>
      <c r="CC280" s="239"/>
      <c r="CD280" s="239"/>
      <c r="CE280" s="239"/>
      <c r="CF280" s="239"/>
      <c r="CG280" s="239"/>
    </row>
    <row r="281" spans="1:85" ht="15.75" customHeight="1">
      <c r="A281" s="239"/>
      <c r="B281" s="239"/>
      <c r="C281" s="239"/>
      <c r="D281" s="239"/>
      <c r="E281" s="239"/>
      <c r="F281" s="239"/>
      <c r="G281" s="239"/>
      <c r="H281" s="239"/>
      <c r="I281" s="239"/>
      <c r="J281" s="239"/>
      <c r="K281" s="239"/>
      <c r="L281" s="239"/>
      <c r="M281" s="239"/>
      <c r="N281" s="239"/>
      <c r="O281" s="239"/>
      <c r="P281" s="239"/>
      <c r="Q281" s="239"/>
      <c r="R281" s="239"/>
      <c r="S281" s="239"/>
      <c r="T281" s="239"/>
      <c r="U281" s="239"/>
      <c r="V281" s="239"/>
      <c r="W281" s="239"/>
      <c r="X281" s="239"/>
      <c r="Y281" s="239"/>
      <c r="Z281" s="239"/>
      <c r="AA281" s="239"/>
      <c r="AB281" s="239"/>
      <c r="AC281" s="239"/>
      <c r="AD281" s="239"/>
      <c r="AE281" s="239"/>
      <c r="AF281" s="239"/>
      <c r="AG281" s="239"/>
      <c r="AH281" s="239"/>
      <c r="AI281" s="239"/>
      <c r="AJ281" s="239"/>
      <c r="AK281" s="239"/>
      <c r="AL281" s="239"/>
      <c r="AM281" s="239"/>
      <c r="AN281" s="239"/>
      <c r="AO281" s="239"/>
      <c r="AP281" s="239"/>
      <c r="AQ281" s="239"/>
      <c r="AR281" s="239"/>
      <c r="AS281" s="239"/>
      <c r="AT281" s="239"/>
      <c r="AU281" s="239"/>
      <c r="AV281" s="239"/>
      <c r="AW281" s="239"/>
      <c r="AX281" s="239"/>
      <c r="AY281" s="239"/>
      <c r="AZ281" s="239"/>
      <c r="BA281" s="239"/>
      <c r="BB281" s="239"/>
      <c r="BC281" s="239"/>
      <c r="BD281" s="239"/>
      <c r="BE281" s="239"/>
      <c r="BF281" s="239"/>
      <c r="BG281" s="239"/>
      <c r="BH281" s="239"/>
      <c r="BI281" s="239"/>
      <c r="BJ281" s="239"/>
      <c r="BK281" s="239"/>
      <c r="BL281" s="239"/>
      <c r="BM281" s="239"/>
      <c r="BN281" s="239"/>
      <c r="BO281" s="239"/>
      <c r="BP281" s="239"/>
      <c r="BQ281" s="239"/>
      <c r="BR281" s="239"/>
      <c r="BS281" s="239"/>
      <c r="BT281" s="239"/>
      <c r="BU281" s="239"/>
      <c r="BV281" s="239"/>
      <c r="BW281" s="239"/>
      <c r="BX281" s="239"/>
      <c r="BY281" s="239"/>
      <c r="BZ281" s="239"/>
      <c r="CA281" s="239"/>
      <c r="CB281" s="239"/>
      <c r="CC281" s="239"/>
      <c r="CD281" s="239"/>
      <c r="CE281" s="239"/>
      <c r="CF281" s="239"/>
      <c r="CG281" s="239"/>
    </row>
    <row r="282" spans="1:85" ht="15.75" customHeight="1">
      <c r="A282" s="239"/>
      <c r="B282" s="239"/>
      <c r="C282" s="239"/>
      <c r="D282" s="239"/>
      <c r="E282" s="239"/>
      <c r="F282" s="239"/>
      <c r="G282" s="239"/>
      <c r="H282" s="239"/>
      <c r="I282" s="239"/>
      <c r="J282" s="239"/>
      <c r="K282" s="239"/>
      <c r="L282" s="239"/>
      <c r="M282" s="239"/>
      <c r="N282" s="239"/>
      <c r="O282" s="239"/>
      <c r="P282" s="239"/>
      <c r="Q282" s="239"/>
      <c r="R282" s="239"/>
      <c r="S282" s="239"/>
      <c r="T282" s="239"/>
      <c r="U282" s="239"/>
      <c r="V282" s="239"/>
      <c r="W282" s="239"/>
      <c r="X282" s="239"/>
      <c r="Y282" s="239"/>
      <c r="Z282" s="239"/>
      <c r="AA282" s="239"/>
      <c r="AB282" s="239"/>
      <c r="AC282" s="239"/>
      <c r="AD282" s="239"/>
      <c r="AE282" s="239"/>
      <c r="AF282" s="239"/>
      <c r="AG282" s="239"/>
      <c r="AH282" s="239"/>
      <c r="AI282" s="239"/>
      <c r="AJ282" s="239"/>
      <c r="AK282" s="239"/>
      <c r="AL282" s="239"/>
      <c r="AM282" s="239"/>
      <c r="AN282" s="239"/>
      <c r="AO282" s="239"/>
      <c r="AP282" s="239"/>
      <c r="AQ282" s="239"/>
      <c r="AR282" s="239"/>
      <c r="AS282" s="239"/>
      <c r="AT282" s="239"/>
      <c r="AU282" s="239"/>
      <c r="AV282" s="239"/>
      <c r="AW282" s="239"/>
      <c r="AX282" s="239"/>
      <c r="AY282" s="239"/>
      <c r="AZ282" s="239"/>
      <c r="BA282" s="239"/>
      <c r="BB282" s="239"/>
      <c r="BC282" s="239"/>
      <c r="BD282" s="239"/>
      <c r="BE282" s="239"/>
      <c r="BF282" s="239"/>
      <c r="BG282" s="239"/>
      <c r="BH282" s="239"/>
      <c r="BI282" s="239"/>
      <c r="BJ282" s="239"/>
      <c r="BK282" s="239"/>
      <c r="BL282" s="239"/>
      <c r="BM282" s="239"/>
      <c r="BN282" s="239"/>
      <c r="BO282" s="239"/>
      <c r="BP282" s="239"/>
      <c r="BQ282" s="239"/>
      <c r="BR282" s="239"/>
      <c r="BS282" s="239"/>
      <c r="BT282" s="239"/>
      <c r="BU282" s="239"/>
      <c r="BV282" s="239"/>
      <c r="BW282" s="239"/>
      <c r="BX282" s="239"/>
      <c r="BY282" s="239"/>
      <c r="BZ282" s="239"/>
      <c r="CA282" s="239"/>
      <c r="CB282" s="239"/>
      <c r="CC282" s="239"/>
      <c r="CD282" s="239"/>
      <c r="CE282" s="239"/>
      <c r="CF282" s="239"/>
      <c r="CG282" s="239"/>
    </row>
    <row r="283" spans="1:85" ht="15.75" customHeight="1">
      <c r="A283" s="239"/>
      <c r="B283" s="239"/>
      <c r="C283" s="239"/>
      <c r="D283" s="239"/>
      <c r="E283" s="239"/>
      <c r="F283" s="239"/>
      <c r="G283" s="239"/>
      <c r="H283" s="239"/>
      <c r="I283" s="239"/>
      <c r="J283" s="239"/>
      <c r="K283" s="239"/>
      <c r="L283" s="239"/>
      <c r="M283" s="239"/>
      <c r="N283" s="239"/>
      <c r="O283" s="239"/>
      <c r="P283" s="239"/>
      <c r="Q283" s="239"/>
      <c r="R283" s="239"/>
      <c r="S283" s="239"/>
      <c r="T283" s="239"/>
      <c r="U283" s="239"/>
      <c r="V283" s="239"/>
      <c r="W283" s="239"/>
      <c r="X283" s="239"/>
      <c r="Y283" s="239"/>
      <c r="Z283" s="239"/>
      <c r="AA283" s="239"/>
      <c r="AB283" s="239"/>
      <c r="AC283" s="239"/>
      <c r="AD283" s="239"/>
      <c r="AE283" s="239"/>
      <c r="AF283" s="239"/>
      <c r="AG283" s="239"/>
      <c r="AH283" s="239"/>
      <c r="AI283" s="239"/>
      <c r="AJ283" s="239"/>
      <c r="AK283" s="239"/>
      <c r="AL283" s="239"/>
      <c r="AM283" s="239"/>
      <c r="AN283" s="239"/>
      <c r="AO283" s="239"/>
      <c r="AP283" s="239"/>
      <c r="AQ283" s="239"/>
      <c r="AR283" s="239"/>
      <c r="AS283" s="239"/>
      <c r="AT283" s="239"/>
      <c r="AU283" s="239"/>
      <c r="AV283" s="239"/>
      <c r="AW283" s="239"/>
      <c r="AX283" s="239"/>
      <c r="AY283" s="239"/>
      <c r="AZ283" s="239"/>
      <c r="BA283" s="239"/>
      <c r="BB283" s="239"/>
      <c r="BC283" s="239"/>
      <c r="BD283" s="239"/>
      <c r="BE283" s="239"/>
      <c r="BF283" s="239"/>
      <c r="BG283" s="239"/>
      <c r="BH283" s="239"/>
      <c r="BI283" s="239"/>
      <c r="BJ283" s="239"/>
      <c r="BK283" s="239"/>
      <c r="BL283" s="239"/>
      <c r="BM283" s="239"/>
      <c r="BN283" s="239"/>
      <c r="BO283" s="239"/>
      <c r="BP283" s="239"/>
      <c r="BQ283" s="239"/>
      <c r="BR283" s="239"/>
      <c r="BS283" s="239"/>
      <c r="BT283" s="239"/>
      <c r="BU283" s="239"/>
      <c r="BV283" s="239"/>
      <c r="BW283" s="239"/>
      <c r="BX283" s="239"/>
      <c r="BY283" s="239"/>
      <c r="BZ283" s="239"/>
      <c r="CA283" s="239"/>
      <c r="CB283" s="239"/>
      <c r="CC283" s="239"/>
      <c r="CD283" s="239"/>
      <c r="CE283" s="239"/>
      <c r="CF283" s="239"/>
      <c r="CG283" s="239"/>
    </row>
    <row r="284" spans="1:85" ht="15.75" customHeight="1">
      <c r="A284" s="239"/>
      <c r="B284" s="239"/>
      <c r="C284" s="239"/>
      <c r="D284" s="239"/>
      <c r="E284" s="239"/>
      <c r="F284" s="239"/>
      <c r="G284" s="239"/>
      <c r="H284" s="239"/>
      <c r="I284" s="239"/>
      <c r="J284" s="239"/>
      <c r="K284" s="239"/>
      <c r="L284" s="239"/>
      <c r="M284" s="239"/>
      <c r="N284" s="239"/>
      <c r="O284" s="239"/>
      <c r="P284" s="239"/>
      <c r="Q284" s="239"/>
      <c r="R284" s="239"/>
      <c r="S284" s="239"/>
      <c r="T284" s="239"/>
      <c r="U284" s="239"/>
      <c r="V284" s="239"/>
      <c r="W284" s="239"/>
      <c r="X284" s="239"/>
      <c r="Y284" s="239"/>
      <c r="Z284" s="239"/>
      <c r="AA284" s="239"/>
      <c r="AB284" s="239"/>
      <c r="AC284" s="239"/>
      <c r="AD284" s="239"/>
      <c r="AE284" s="239"/>
      <c r="AF284" s="239"/>
      <c r="AG284" s="239"/>
      <c r="AH284" s="239"/>
      <c r="AI284" s="239"/>
      <c r="AJ284" s="239"/>
      <c r="AK284" s="239"/>
      <c r="AL284" s="239"/>
      <c r="AM284" s="239"/>
      <c r="AN284" s="239"/>
      <c r="AO284" s="239"/>
      <c r="AP284" s="239"/>
      <c r="AQ284" s="239"/>
      <c r="AR284" s="239"/>
      <c r="AS284" s="239"/>
      <c r="AT284" s="239"/>
      <c r="AU284" s="239"/>
      <c r="AV284" s="239"/>
      <c r="AW284" s="239"/>
      <c r="AX284" s="239"/>
      <c r="AY284" s="239"/>
      <c r="AZ284" s="239"/>
      <c r="BA284" s="239"/>
      <c r="BB284" s="239"/>
      <c r="BC284" s="239"/>
      <c r="BD284" s="239"/>
      <c r="BE284" s="239"/>
      <c r="BF284" s="239"/>
      <c r="BG284" s="239"/>
      <c r="BH284" s="239"/>
      <c r="BI284" s="239"/>
      <c r="BJ284" s="239"/>
      <c r="BK284" s="239"/>
      <c r="BL284" s="239"/>
      <c r="BM284" s="239"/>
      <c r="BN284" s="239"/>
      <c r="BO284" s="239"/>
      <c r="BP284" s="239"/>
      <c r="BQ284" s="239"/>
      <c r="BR284" s="239"/>
      <c r="BS284" s="239"/>
      <c r="BT284" s="239"/>
      <c r="BU284" s="239"/>
      <c r="BV284" s="239"/>
      <c r="BW284" s="239"/>
      <c r="BX284" s="239"/>
      <c r="BY284" s="239"/>
      <c r="BZ284" s="239"/>
      <c r="CA284" s="239"/>
      <c r="CB284" s="239"/>
      <c r="CC284" s="239"/>
      <c r="CD284" s="239"/>
      <c r="CE284" s="239"/>
      <c r="CF284" s="239"/>
      <c r="CG284" s="239"/>
    </row>
    <row r="285" spans="1:85" ht="15.75" customHeight="1">
      <c r="A285" s="239"/>
      <c r="B285" s="239"/>
      <c r="C285" s="239"/>
      <c r="D285" s="239"/>
      <c r="E285" s="239"/>
      <c r="F285" s="239"/>
      <c r="G285" s="239"/>
      <c r="H285" s="239"/>
      <c r="I285" s="239"/>
      <c r="J285" s="239"/>
      <c r="K285" s="239"/>
      <c r="L285" s="239"/>
      <c r="M285" s="239"/>
      <c r="N285" s="239"/>
      <c r="O285" s="239"/>
      <c r="P285" s="239"/>
      <c r="Q285" s="239"/>
      <c r="R285" s="239"/>
      <c r="S285" s="239"/>
      <c r="T285" s="239"/>
      <c r="U285" s="239"/>
      <c r="V285" s="239"/>
      <c r="W285" s="239"/>
      <c r="X285" s="239"/>
      <c r="Y285" s="239"/>
      <c r="Z285" s="239"/>
      <c r="AA285" s="239"/>
      <c r="AB285" s="239"/>
      <c r="AC285" s="239"/>
      <c r="AD285" s="239"/>
      <c r="AE285" s="239"/>
      <c r="AF285" s="239"/>
      <c r="AG285" s="239"/>
      <c r="AH285" s="239"/>
      <c r="AI285" s="239"/>
      <c r="AJ285" s="239"/>
      <c r="AK285" s="239"/>
      <c r="AL285" s="239"/>
      <c r="AM285" s="239"/>
      <c r="AN285" s="239"/>
      <c r="AO285" s="239"/>
      <c r="AP285" s="239"/>
      <c r="AQ285" s="239"/>
      <c r="AR285" s="239"/>
      <c r="AS285" s="239"/>
      <c r="AT285" s="239"/>
      <c r="AU285" s="239"/>
      <c r="AV285" s="239"/>
      <c r="AW285" s="239"/>
      <c r="AX285" s="239"/>
      <c r="AY285" s="239"/>
      <c r="AZ285" s="239"/>
      <c r="BA285" s="239"/>
      <c r="BB285" s="239"/>
      <c r="BC285" s="239"/>
      <c r="BD285" s="239"/>
      <c r="BE285" s="239"/>
      <c r="BF285" s="239"/>
      <c r="BG285" s="239"/>
      <c r="BH285" s="239"/>
      <c r="BI285" s="239"/>
      <c r="BJ285" s="239"/>
      <c r="BK285" s="239"/>
      <c r="BL285" s="239"/>
      <c r="BM285" s="239"/>
      <c r="BN285" s="239"/>
      <c r="BO285" s="239"/>
      <c r="BP285" s="239"/>
      <c r="BQ285" s="239"/>
      <c r="BR285" s="239"/>
      <c r="BS285" s="239"/>
      <c r="BT285" s="239"/>
      <c r="BU285" s="239"/>
      <c r="BV285" s="239"/>
      <c r="BW285" s="239"/>
      <c r="BX285" s="239"/>
      <c r="BY285" s="239"/>
      <c r="BZ285" s="239"/>
      <c r="CA285" s="239"/>
      <c r="CB285" s="239"/>
      <c r="CC285" s="239"/>
      <c r="CD285" s="239"/>
      <c r="CE285" s="239"/>
      <c r="CF285" s="239"/>
      <c r="CG285" s="239"/>
    </row>
    <row r="286" spans="1:85" ht="15.75" customHeight="1">
      <c r="A286" s="239"/>
      <c r="B286" s="239"/>
      <c r="C286" s="239"/>
      <c r="D286" s="239"/>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39"/>
      <c r="AI286" s="239"/>
      <c r="AJ286" s="239"/>
      <c r="AK286" s="239"/>
      <c r="AL286" s="239"/>
      <c r="AM286" s="239"/>
      <c r="AN286" s="239"/>
      <c r="AO286" s="239"/>
      <c r="AP286" s="239"/>
      <c r="AQ286" s="239"/>
      <c r="AR286" s="239"/>
      <c r="AS286" s="239"/>
      <c r="AT286" s="239"/>
      <c r="AU286" s="239"/>
      <c r="AV286" s="239"/>
      <c r="AW286" s="239"/>
      <c r="AX286" s="239"/>
      <c r="AY286" s="239"/>
      <c r="AZ286" s="239"/>
      <c r="BA286" s="239"/>
      <c r="BB286" s="239"/>
      <c r="BC286" s="239"/>
      <c r="BD286" s="239"/>
      <c r="BE286" s="239"/>
      <c r="BF286" s="239"/>
      <c r="BG286" s="239"/>
      <c r="BH286" s="239"/>
      <c r="BI286" s="239"/>
      <c r="BJ286" s="239"/>
      <c r="BK286" s="239"/>
      <c r="BL286" s="239"/>
      <c r="BM286" s="239"/>
      <c r="BN286" s="239"/>
      <c r="BO286" s="239"/>
      <c r="BP286" s="239"/>
      <c r="BQ286" s="239"/>
      <c r="BR286" s="239"/>
      <c r="BS286" s="239"/>
      <c r="BT286" s="239"/>
      <c r="BU286" s="239"/>
      <c r="BV286" s="239"/>
      <c r="BW286" s="239"/>
      <c r="BX286" s="239"/>
      <c r="BY286" s="239"/>
      <c r="BZ286" s="239"/>
      <c r="CA286" s="239"/>
      <c r="CB286" s="239"/>
      <c r="CC286" s="239"/>
      <c r="CD286" s="239"/>
      <c r="CE286" s="239"/>
      <c r="CF286" s="239"/>
      <c r="CG286" s="239"/>
    </row>
    <row r="287" spans="1:85" ht="15.75" customHeight="1">
      <c r="A287" s="239"/>
      <c r="B287" s="239"/>
      <c r="C287" s="239"/>
      <c r="D287" s="239"/>
      <c r="E287" s="239"/>
      <c r="F287" s="239"/>
      <c r="G287" s="239"/>
      <c r="H287" s="239"/>
      <c r="I287" s="239"/>
      <c r="J287" s="239"/>
      <c r="K287" s="239"/>
      <c r="L287" s="239"/>
      <c r="M287" s="239"/>
      <c r="N287" s="239"/>
      <c r="O287" s="239"/>
      <c r="P287" s="239"/>
      <c r="Q287" s="239"/>
      <c r="R287" s="239"/>
      <c r="S287" s="239"/>
      <c r="T287" s="239"/>
      <c r="U287" s="239"/>
      <c r="V287" s="239"/>
      <c r="W287" s="239"/>
      <c r="X287" s="239"/>
      <c r="Y287" s="239"/>
      <c r="Z287" s="239"/>
      <c r="AA287" s="239"/>
      <c r="AB287" s="239"/>
      <c r="AC287" s="239"/>
      <c r="AD287" s="239"/>
      <c r="AE287" s="239"/>
      <c r="AF287" s="239"/>
      <c r="AG287" s="239"/>
      <c r="AH287" s="239"/>
      <c r="AI287" s="239"/>
      <c r="AJ287" s="239"/>
      <c r="AK287" s="239"/>
      <c r="AL287" s="239"/>
      <c r="AM287" s="239"/>
      <c r="AN287" s="239"/>
      <c r="AO287" s="239"/>
      <c r="AP287" s="239"/>
      <c r="AQ287" s="239"/>
      <c r="AR287" s="239"/>
      <c r="AS287" s="239"/>
      <c r="AT287" s="239"/>
      <c r="AU287" s="239"/>
      <c r="AV287" s="239"/>
      <c r="AW287" s="239"/>
      <c r="AX287" s="239"/>
      <c r="AY287" s="239"/>
      <c r="AZ287" s="239"/>
      <c r="BA287" s="239"/>
      <c r="BB287" s="239"/>
      <c r="BC287" s="239"/>
      <c r="BD287" s="239"/>
      <c r="BE287" s="239"/>
      <c r="BF287" s="239"/>
      <c r="BG287" s="239"/>
      <c r="BH287" s="239"/>
      <c r="BI287" s="239"/>
      <c r="BJ287" s="239"/>
      <c r="BK287" s="239"/>
      <c r="BL287" s="239"/>
      <c r="BM287" s="239"/>
      <c r="BN287" s="239"/>
      <c r="BO287" s="239"/>
      <c r="BP287" s="239"/>
      <c r="BQ287" s="239"/>
      <c r="BR287" s="239"/>
      <c r="BS287" s="239"/>
      <c r="BT287" s="239"/>
      <c r="BU287" s="239"/>
      <c r="BV287" s="239"/>
      <c r="BW287" s="239"/>
      <c r="BX287" s="239"/>
      <c r="BY287" s="239"/>
      <c r="BZ287" s="239"/>
      <c r="CA287" s="239"/>
      <c r="CB287" s="239"/>
      <c r="CC287" s="239"/>
      <c r="CD287" s="239"/>
      <c r="CE287" s="239"/>
      <c r="CF287" s="239"/>
      <c r="CG287" s="239"/>
    </row>
    <row r="288" spans="1:85" ht="15.75" customHeight="1">
      <c r="A288" s="239"/>
      <c r="B288" s="239"/>
      <c r="C288" s="239"/>
      <c r="D288" s="239"/>
      <c r="E288" s="239"/>
      <c r="F288" s="239"/>
      <c r="G288" s="239"/>
      <c r="H288" s="239"/>
      <c r="I288" s="239"/>
      <c r="J288" s="239"/>
      <c r="K288" s="239"/>
      <c r="L288" s="239"/>
      <c r="M288" s="239"/>
      <c r="N288" s="239"/>
      <c r="O288" s="239"/>
      <c r="P288" s="239"/>
      <c r="Q288" s="239"/>
      <c r="R288" s="239"/>
      <c r="S288" s="239"/>
      <c r="T288" s="239"/>
      <c r="U288" s="239"/>
      <c r="V288" s="239"/>
      <c r="W288" s="239"/>
      <c r="X288" s="239"/>
      <c r="Y288" s="239"/>
      <c r="Z288" s="239"/>
      <c r="AA288" s="239"/>
      <c r="AB288" s="239"/>
      <c r="AC288" s="239"/>
      <c r="AD288" s="239"/>
      <c r="AE288" s="239"/>
      <c r="AF288" s="239"/>
      <c r="AG288" s="239"/>
      <c r="AH288" s="239"/>
      <c r="AI288" s="239"/>
      <c r="AJ288" s="239"/>
      <c r="AK288" s="239"/>
      <c r="AL288" s="239"/>
      <c r="AM288" s="239"/>
      <c r="AN288" s="239"/>
      <c r="AO288" s="239"/>
      <c r="AP288" s="239"/>
      <c r="AQ288" s="239"/>
      <c r="AR288" s="239"/>
      <c r="AS288" s="239"/>
      <c r="AT288" s="239"/>
      <c r="AU288" s="239"/>
      <c r="AV288" s="239"/>
      <c r="AW288" s="239"/>
      <c r="AX288" s="239"/>
      <c r="AY288" s="239"/>
      <c r="AZ288" s="239"/>
      <c r="BA288" s="239"/>
      <c r="BB288" s="239"/>
      <c r="BC288" s="239"/>
      <c r="BD288" s="239"/>
      <c r="BE288" s="239"/>
      <c r="BF288" s="239"/>
      <c r="BG288" s="239"/>
      <c r="BH288" s="239"/>
      <c r="BI288" s="239"/>
      <c r="BJ288" s="239"/>
      <c r="BK288" s="239"/>
      <c r="BL288" s="239"/>
      <c r="BM288" s="239"/>
      <c r="BN288" s="239"/>
      <c r="BO288" s="239"/>
      <c r="BP288" s="239"/>
      <c r="BQ288" s="239"/>
      <c r="BR288" s="239"/>
      <c r="BS288" s="239"/>
      <c r="BT288" s="239"/>
      <c r="BU288" s="239"/>
      <c r="BV288" s="239"/>
      <c r="BW288" s="239"/>
      <c r="BX288" s="239"/>
      <c r="BY288" s="239"/>
      <c r="BZ288" s="239"/>
      <c r="CA288" s="239"/>
      <c r="CB288" s="239"/>
      <c r="CC288" s="239"/>
      <c r="CD288" s="239"/>
      <c r="CE288" s="239"/>
      <c r="CF288" s="239"/>
      <c r="CG288" s="239"/>
    </row>
    <row r="289" spans="1:85" ht="15.75" customHeight="1">
      <c r="A289" s="239"/>
      <c r="B289" s="239"/>
      <c r="C289" s="239"/>
      <c r="D289" s="239"/>
      <c r="E289" s="239"/>
      <c r="F289" s="239"/>
      <c r="G289" s="239"/>
      <c r="H289" s="239"/>
      <c r="I289" s="239"/>
      <c r="J289" s="239"/>
      <c r="K289" s="239"/>
      <c r="L289" s="239"/>
      <c r="M289" s="239"/>
      <c r="N289" s="239"/>
      <c r="O289" s="239"/>
      <c r="P289" s="239"/>
      <c r="Q289" s="239"/>
      <c r="R289" s="239"/>
      <c r="S289" s="239"/>
      <c r="T289" s="239"/>
      <c r="U289" s="239"/>
      <c r="V289" s="239"/>
      <c r="W289" s="239"/>
      <c r="X289" s="239"/>
      <c r="Y289" s="239"/>
      <c r="Z289" s="239"/>
      <c r="AA289" s="239"/>
      <c r="AB289" s="239"/>
      <c r="AC289" s="239"/>
      <c r="AD289" s="239"/>
      <c r="AE289" s="239"/>
      <c r="AF289" s="239"/>
      <c r="AG289" s="239"/>
      <c r="AH289" s="239"/>
      <c r="AI289" s="239"/>
      <c r="AJ289" s="239"/>
      <c r="AK289" s="239"/>
      <c r="AL289" s="239"/>
      <c r="AM289" s="239"/>
      <c r="AN289" s="239"/>
      <c r="AO289" s="239"/>
      <c r="AP289" s="239"/>
      <c r="AQ289" s="239"/>
      <c r="AR289" s="239"/>
      <c r="AS289" s="239"/>
      <c r="AT289" s="239"/>
      <c r="AU289" s="239"/>
      <c r="AV289" s="239"/>
      <c r="AW289" s="239"/>
      <c r="AX289" s="239"/>
      <c r="AY289" s="239"/>
      <c r="AZ289" s="239"/>
      <c r="BA289" s="239"/>
      <c r="BB289" s="239"/>
      <c r="BC289" s="239"/>
      <c r="BD289" s="239"/>
      <c r="BE289" s="239"/>
      <c r="BF289" s="239"/>
      <c r="BG289" s="239"/>
      <c r="BH289" s="239"/>
      <c r="BI289" s="239"/>
      <c r="BJ289" s="239"/>
      <c r="BK289" s="239"/>
      <c r="BL289" s="239"/>
      <c r="BM289" s="239"/>
      <c r="BN289" s="239"/>
      <c r="BO289" s="239"/>
      <c r="BP289" s="239"/>
      <c r="BQ289" s="239"/>
      <c r="BR289" s="239"/>
      <c r="BS289" s="239"/>
      <c r="BT289" s="239"/>
      <c r="BU289" s="239"/>
      <c r="BV289" s="239"/>
      <c r="BW289" s="239"/>
      <c r="BX289" s="239"/>
      <c r="BY289" s="239"/>
      <c r="BZ289" s="239"/>
      <c r="CA289" s="239"/>
      <c r="CB289" s="239"/>
      <c r="CC289" s="239"/>
      <c r="CD289" s="239"/>
      <c r="CE289" s="239"/>
      <c r="CF289" s="239"/>
      <c r="CG289" s="239"/>
    </row>
    <row r="290" spans="1:85" ht="15.75" customHeight="1">
      <c r="A290" s="239"/>
      <c r="B290" s="239"/>
      <c r="C290" s="239"/>
      <c r="D290" s="239"/>
      <c r="E290" s="239"/>
      <c r="F290" s="239"/>
      <c r="G290" s="239"/>
      <c r="H290" s="239"/>
      <c r="I290" s="239"/>
      <c r="J290" s="239"/>
      <c r="K290" s="239"/>
      <c r="L290" s="239"/>
      <c r="M290" s="239"/>
      <c r="N290" s="239"/>
      <c r="O290" s="239"/>
      <c r="P290" s="239"/>
      <c r="Q290" s="239"/>
      <c r="R290" s="239"/>
      <c r="S290" s="239"/>
      <c r="T290" s="239"/>
      <c r="U290" s="239"/>
      <c r="V290" s="239"/>
      <c r="W290" s="239"/>
      <c r="X290" s="239"/>
      <c r="Y290" s="239"/>
      <c r="Z290" s="239"/>
      <c r="AA290" s="239"/>
      <c r="AB290" s="239"/>
      <c r="AC290" s="239"/>
      <c r="AD290" s="239"/>
      <c r="AE290" s="239"/>
      <c r="AF290" s="239"/>
      <c r="AG290" s="239"/>
      <c r="AH290" s="239"/>
      <c r="AI290" s="239"/>
      <c r="AJ290" s="239"/>
      <c r="AK290" s="239"/>
      <c r="AL290" s="239"/>
      <c r="AM290" s="239"/>
      <c r="AN290" s="239"/>
      <c r="AO290" s="239"/>
      <c r="AP290" s="239"/>
      <c r="AQ290" s="239"/>
      <c r="AR290" s="239"/>
      <c r="AS290" s="239"/>
      <c r="AT290" s="239"/>
      <c r="AU290" s="239"/>
      <c r="AV290" s="239"/>
      <c r="AW290" s="239"/>
      <c r="AX290" s="239"/>
      <c r="AY290" s="239"/>
      <c r="AZ290" s="239"/>
      <c r="BA290" s="239"/>
      <c r="BB290" s="239"/>
      <c r="BC290" s="239"/>
      <c r="BD290" s="239"/>
      <c r="BE290" s="239"/>
      <c r="BF290" s="239"/>
      <c r="BG290" s="239"/>
      <c r="BH290" s="239"/>
      <c r="BI290" s="239"/>
      <c r="BJ290" s="239"/>
      <c r="BK290" s="239"/>
      <c r="BL290" s="239"/>
      <c r="BM290" s="239"/>
      <c r="BN290" s="239"/>
      <c r="BO290" s="239"/>
      <c r="BP290" s="239"/>
      <c r="BQ290" s="239"/>
      <c r="BR290" s="239"/>
      <c r="BS290" s="239"/>
      <c r="BT290" s="239"/>
      <c r="BU290" s="239"/>
      <c r="BV290" s="239"/>
      <c r="BW290" s="239"/>
      <c r="BX290" s="239"/>
      <c r="BY290" s="239"/>
      <c r="BZ290" s="239"/>
      <c r="CA290" s="239"/>
      <c r="CB290" s="239"/>
      <c r="CC290" s="239"/>
      <c r="CD290" s="239"/>
      <c r="CE290" s="239"/>
      <c r="CF290" s="239"/>
      <c r="CG290" s="239"/>
    </row>
    <row r="291" spans="1:85" ht="15.75" customHeight="1">
      <c r="A291" s="239"/>
      <c r="B291" s="239"/>
      <c r="C291" s="239"/>
      <c r="D291" s="239"/>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39"/>
      <c r="AG291" s="239"/>
      <c r="AH291" s="239"/>
      <c r="AI291" s="239"/>
      <c r="AJ291" s="239"/>
      <c r="AK291" s="239"/>
      <c r="AL291" s="239"/>
      <c r="AM291" s="239"/>
      <c r="AN291" s="239"/>
      <c r="AO291" s="239"/>
      <c r="AP291" s="239"/>
      <c r="AQ291" s="239"/>
      <c r="AR291" s="239"/>
      <c r="AS291" s="239"/>
      <c r="AT291" s="239"/>
      <c r="AU291" s="239"/>
      <c r="AV291" s="239"/>
      <c r="AW291" s="239"/>
      <c r="AX291" s="239"/>
      <c r="AY291" s="239"/>
      <c r="AZ291" s="239"/>
      <c r="BA291" s="239"/>
      <c r="BB291" s="239"/>
      <c r="BC291" s="239"/>
      <c r="BD291" s="239"/>
      <c r="BE291" s="239"/>
      <c r="BF291" s="239"/>
      <c r="BG291" s="239"/>
      <c r="BH291" s="239"/>
      <c r="BI291" s="239"/>
      <c r="BJ291" s="239"/>
      <c r="BK291" s="239"/>
      <c r="BL291" s="239"/>
      <c r="BM291" s="239"/>
      <c r="BN291" s="239"/>
      <c r="BO291" s="239"/>
      <c r="BP291" s="239"/>
      <c r="BQ291" s="239"/>
      <c r="BR291" s="239"/>
      <c r="BS291" s="239"/>
      <c r="BT291" s="239"/>
      <c r="BU291" s="239"/>
      <c r="BV291" s="239"/>
      <c r="BW291" s="239"/>
      <c r="BX291" s="239"/>
      <c r="BY291" s="239"/>
      <c r="BZ291" s="239"/>
      <c r="CA291" s="239"/>
      <c r="CB291" s="239"/>
      <c r="CC291" s="239"/>
      <c r="CD291" s="239"/>
      <c r="CE291" s="239"/>
      <c r="CF291" s="239"/>
      <c r="CG291" s="239"/>
    </row>
    <row r="292" spans="1:85" ht="15.75" customHeight="1">
      <c r="A292" s="239"/>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39"/>
      <c r="AG292" s="239"/>
      <c r="AH292" s="239"/>
      <c r="AI292" s="239"/>
      <c r="AJ292" s="239"/>
      <c r="AK292" s="239"/>
      <c r="AL292" s="239"/>
      <c r="AM292" s="239"/>
      <c r="AN292" s="239"/>
      <c r="AO292" s="239"/>
      <c r="AP292" s="239"/>
      <c r="AQ292" s="239"/>
      <c r="AR292" s="239"/>
      <c r="AS292" s="239"/>
      <c r="AT292" s="239"/>
      <c r="AU292" s="239"/>
      <c r="AV292" s="239"/>
      <c r="AW292" s="239"/>
      <c r="AX292" s="239"/>
      <c r="AY292" s="239"/>
      <c r="AZ292" s="239"/>
      <c r="BA292" s="239"/>
      <c r="BB292" s="239"/>
      <c r="BC292" s="239"/>
      <c r="BD292" s="239"/>
      <c r="BE292" s="239"/>
      <c r="BF292" s="239"/>
      <c r="BG292" s="239"/>
      <c r="BH292" s="239"/>
      <c r="BI292" s="239"/>
      <c r="BJ292" s="239"/>
      <c r="BK292" s="239"/>
      <c r="BL292" s="239"/>
      <c r="BM292" s="239"/>
      <c r="BN292" s="239"/>
      <c r="BO292" s="239"/>
      <c r="BP292" s="239"/>
      <c r="BQ292" s="239"/>
      <c r="BR292" s="239"/>
      <c r="BS292" s="239"/>
      <c r="BT292" s="239"/>
      <c r="BU292" s="239"/>
      <c r="BV292" s="239"/>
      <c r="BW292" s="239"/>
      <c r="BX292" s="239"/>
      <c r="BY292" s="239"/>
      <c r="BZ292" s="239"/>
      <c r="CA292" s="239"/>
      <c r="CB292" s="239"/>
      <c r="CC292" s="239"/>
      <c r="CD292" s="239"/>
      <c r="CE292" s="239"/>
      <c r="CF292" s="239"/>
      <c r="CG292" s="239"/>
    </row>
    <row r="293" spans="1:85" ht="15.75" customHeight="1">
      <c r="A293" s="239"/>
      <c r="B293" s="239"/>
      <c r="C293" s="239"/>
      <c r="D293" s="239"/>
      <c r="E293" s="239"/>
      <c r="F293" s="239"/>
      <c r="G293" s="239"/>
      <c r="H293" s="239"/>
      <c r="I293" s="239"/>
      <c r="J293" s="239"/>
      <c r="K293" s="239"/>
      <c r="L293" s="239"/>
      <c r="M293" s="239"/>
      <c r="N293" s="239"/>
      <c r="O293" s="239"/>
      <c r="P293" s="239"/>
      <c r="Q293" s="239"/>
      <c r="R293" s="239"/>
      <c r="S293" s="239"/>
      <c r="T293" s="239"/>
      <c r="U293" s="239"/>
      <c r="V293" s="239"/>
      <c r="W293" s="239"/>
      <c r="X293" s="239"/>
      <c r="Y293" s="239"/>
      <c r="Z293" s="239"/>
      <c r="AA293" s="239"/>
      <c r="AB293" s="239"/>
      <c r="AC293" s="239"/>
      <c r="AD293" s="239"/>
      <c r="AE293" s="239"/>
      <c r="AF293" s="239"/>
      <c r="AG293" s="239"/>
      <c r="AH293" s="239"/>
      <c r="AI293" s="239"/>
      <c r="AJ293" s="239"/>
      <c r="AK293" s="239"/>
      <c r="AL293" s="239"/>
      <c r="AM293" s="239"/>
      <c r="AN293" s="239"/>
      <c r="AO293" s="239"/>
      <c r="AP293" s="239"/>
      <c r="AQ293" s="239"/>
      <c r="AR293" s="239"/>
      <c r="AS293" s="239"/>
      <c r="AT293" s="239"/>
      <c r="AU293" s="239"/>
      <c r="AV293" s="239"/>
      <c r="AW293" s="239"/>
      <c r="AX293" s="239"/>
      <c r="AY293" s="239"/>
      <c r="AZ293" s="239"/>
      <c r="BA293" s="239"/>
      <c r="BB293" s="239"/>
      <c r="BC293" s="239"/>
      <c r="BD293" s="239"/>
      <c r="BE293" s="239"/>
      <c r="BF293" s="239"/>
      <c r="BG293" s="239"/>
      <c r="BH293" s="239"/>
      <c r="BI293" s="239"/>
      <c r="BJ293" s="239"/>
      <c r="BK293" s="239"/>
      <c r="BL293" s="239"/>
      <c r="BM293" s="239"/>
      <c r="BN293" s="239"/>
      <c r="BO293" s="239"/>
      <c r="BP293" s="239"/>
      <c r="BQ293" s="239"/>
      <c r="BR293" s="239"/>
      <c r="BS293" s="239"/>
      <c r="BT293" s="239"/>
      <c r="BU293" s="239"/>
      <c r="BV293" s="239"/>
      <c r="BW293" s="239"/>
      <c r="BX293" s="239"/>
      <c r="BY293" s="239"/>
      <c r="BZ293" s="239"/>
      <c r="CA293" s="239"/>
      <c r="CB293" s="239"/>
      <c r="CC293" s="239"/>
      <c r="CD293" s="239"/>
      <c r="CE293" s="239"/>
      <c r="CF293" s="239"/>
      <c r="CG293" s="239"/>
    </row>
    <row r="294" spans="1:85" ht="15.75" customHeight="1">
      <c r="A294" s="239"/>
      <c r="B294" s="239"/>
      <c r="C294" s="239"/>
      <c r="D294" s="239"/>
      <c r="E294" s="239"/>
      <c r="F294" s="239"/>
      <c r="G294" s="239"/>
      <c r="H294" s="239"/>
      <c r="I294" s="239"/>
      <c r="J294" s="239"/>
      <c r="K294" s="239"/>
      <c r="L294" s="239"/>
      <c r="M294" s="239"/>
      <c r="N294" s="239"/>
      <c r="O294" s="239"/>
      <c r="P294" s="239"/>
      <c r="Q294" s="239"/>
      <c r="R294" s="239"/>
      <c r="S294" s="239"/>
      <c r="T294" s="239"/>
      <c r="U294" s="239"/>
      <c r="V294" s="239"/>
      <c r="W294" s="239"/>
      <c r="X294" s="239"/>
      <c r="Y294" s="239"/>
      <c r="Z294" s="239"/>
      <c r="AA294" s="239"/>
      <c r="AB294" s="239"/>
      <c r="AC294" s="239"/>
      <c r="AD294" s="239"/>
      <c r="AE294" s="239"/>
      <c r="AF294" s="239"/>
      <c r="AG294" s="239"/>
      <c r="AH294" s="239"/>
      <c r="AI294" s="239"/>
      <c r="AJ294" s="239"/>
      <c r="AK294" s="239"/>
      <c r="AL294" s="239"/>
      <c r="AM294" s="239"/>
      <c r="AN294" s="239"/>
      <c r="AO294" s="239"/>
      <c r="AP294" s="239"/>
      <c r="AQ294" s="239"/>
      <c r="AR294" s="239"/>
      <c r="AS294" s="239"/>
      <c r="AT294" s="239"/>
      <c r="AU294" s="239"/>
      <c r="AV294" s="239"/>
      <c r="AW294" s="239"/>
      <c r="AX294" s="239"/>
      <c r="AY294" s="239"/>
      <c r="AZ294" s="239"/>
      <c r="BA294" s="239"/>
      <c r="BB294" s="239"/>
      <c r="BC294" s="239"/>
      <c r="BD294" s="239"/>
      <c r="BE294" s="239"/>
      <c r="BF294" s="239"/>
      <c r="BG294" s="239"/>
      <c r="BH294" s="239"/>
      <c r="BI294" s="239"/>
      <c r="BJ294" s="239"/>
      <c r="BK294" s="239"/>
      <c r="BL294" s="239"/>
      <c r="BM294" s="239"/>
      <c r="BN294" s="239"/>
      <c r="BO294" s="239"/>
      <c r="BP294" s="239"/>
      <c r="BQ294" s="239"/>
      <c r="BR294" s="239"/>
      <c r="BS294" s="239"/>
      <c r="BT294" s="239"/>
      <c r="BU294" s="239"/>
      <c r="BV294" s="239"/>
      <c r="BW294" s="239"/>
      <c r="BX294" s="239"/>
      <c r="BY294" s="239"/>
      <c r="BZ294" s="239"/>
      <c r="CA294" s="239"/>
      <c r="CB294" s="239"/>
      <c r="CC294" s="239"/>
      <c r="CD294" s="239"/>
      <c r="CE294" s="239"/>
      <c r="CF294" s="239"/>
      <c r="CG294" s="239"/>
    </row>
    <row r="295" spans="1:85" ht="15.75" customHeight="1">
      <c r="A295" s="239"/>
      <c r="B295" s="239"/>
      <c r="C295" s="239"/>
      <c r="D295" s="239"/>
      <c r="E295" s="239"/>
      <c r="F295" s="239"/>
      <c r="G295" s="239"/>
      <c r="H295" s="239"/>
      <c r="I295" s="239"/>
      <c r="J295" s="239"/>
      <c r="K295" s="239"/>
      <c r="L295" s="239"/>
      <c r="M295" s="239"/>
      <c r="N295" s="239"/>
      <c r="O295" s="239"/>
      <c r="P295" s="239"/>
      <c r="Q295" s="239"/>
      <c r="R295" s="239"/>
      <c r="S295" s="239"/>
      <c r="T295" s="239"/>
      <c r="U295" s="239"/>
      <c r="V295" s="239"/>
      <c r="W295" s="239"/>
      <c r="X295" s="239"/>
      <c r="Y295" s="239"/>
      <c r="Z295" s="239"/>
      <c r="AA295" s="239"/>
      <c r="AB295" s="239"/>
      <c r="AC295" s="239"/>
      <c r="AD295" s="239"/>
      <c r="AE295" s="239"/>
      <c r="AF295" s="239"/>
      <c r="AG295" s="239"/>
      <c r="AH295" s="239"/>
      <c r="AI295" s="239"/>
      <c r="AJ295" s="239"/>
      <c r="AK295" s="239"/>
      <c r="AL295" s="239"/>
      <c r="AM295" s="239"/>
      <c r="AN295" s="239"/>
      <c r="AO295" s="239"/>
      <c r="AP295" s="239"/>
      <c r="AQ295" s="239"/>
      <c r="AR295" s="239"/>
      <c r="AS295" s="239"/>
      <c r="AT295" s="239"/>
      <c r="AU295" s="239"/>
      <c r="AV295" s="239"/>
      <c r="AW295" s="239"/>
      <c r="AX295" s="239"/>
      <c r="AY295" s="239"/>
      <c r="AZ295" s="239"/>
      <c r="BA295" s="239"/>
      <c r="BB295" s="239"/>
      <c r="BC295" s="239"/>
      <c r="BD295" s="239"/>
      <c r="BE295" s="239"/>
      <c r="BF295" s="239"/>
      <c r="BG295" s="239"/>
      <c r="BH295" s="239"/>
      <c r="BI295" s="239"/>
      <c r="BJ295" s="239"/>
      <c r="BK295" s="239"/>
      <c r="BL295" s="239"/>
      <c r="BM295" s="239"/>
      <c r="BN295" s="239"/>
      <c r="BO295" s="239"/>
      <c r="BP295" s="239"/>
      <c r="BQ295" s="239"/>
      <c r="BR295" s="239"/>
      <c r="BS295" s="239"/>
      <c r="BT295" s="239"/>
      <c r="BU295" s="239"/>
      <c r="BV295" s="239"/>
      <c r="BW295" s="239"/>
      <c r="BX295" s="239"/>
      <c r="BY295" s="239"/>
      <c r="BZ295" s="239"/>
      <c r="CA295" s="239"/>
      <c r="CB295" s="239"/>
      <c r="CC295" s="239"/>
      <c r="CD295" s="239"/>
      <c r="CE295" s="239"/>
      <c r="CF295" s="239"/>
      <c r="CG295" s="239"/>
    </row>
    <row r="296" spans="1:85" ht="15.75" customHeight="1">
      <c r="A296" s="239"/>
      <c r="B296" s="239"/>
      <c r="C296" s="239"/>
      <c r="D296" s="239"/>
      <c r="E296" s="239"/>
      <c r="F296" s="239"/>
      <c r="G296" s="239"/>
      <c r="H296" s="239"/>
      <c r="I296" s="239"/>
      <c r="J296" s="239"/>
      <c r="K296" s="239"/>
      <c r="L296" s="239"/>
      <c r="M296" s="239"/>
      <c r="N296" s="239"/>
      <c r="O296" s="239"/>
      <c r="P296" s="239"/>
      <c r="Q296" s="239"/>
      <c r="R296" s="239"/>
      <c r="S296" s="239"/>
      <c r="T296" s="239"/>
      <c r="U296" s="239"/>
      <c r="V296" s="239"/>
      <c r="W296" s="239"/>
      <c r="X296" s="239"/>
      <c r="Y296" s="239"/>
      <c r="Z296" s="239"/>
      <c r="AA296" s="239"/>
      <c r="AB296" s="239"/>
      <c r="AC296" s="239"/>
      <c r="AD296" s="239"/>
      <c r="AE296" s="239"/>
      <c r="AF296" s="239"/>
      <c r="AG296" s="239"/>
      <c r="AH296" s="239"/>
      <c r="AI296" s="239"/>
      <c r="AJ296" s="239"/>
      <c r="AK296" s="239"/>
      <c r="AL296" s="239"/>
      <c r="AM296" s="239"/>
      <c r="AN296" s="239"/>
      <c r="AO296" s="239"/>
      <c r="AP296" s="239"/>
      <c r="AQ296" s="239"/>
      <c r="AR296" s="239"/>
      <c r="AS296" s="239"/>
      <c r="AT296" s="239"/>
      <c r="AU296" s="239"/>
      <c r="AV296" s="239"/>
      <c r="AW296" s="239"/>
      <c r="AX296" s="239"/>
      <c r="AY296" s="239"/>
      <c r="AZ296" s="239"/>
      <c r="BA296" s="239"/>
      <c r="BB296" s="239"/>
      <c r="BC296" s="239"/>
      <c r="BD296" s="239"/>
      <c r="BE296" s="239"/>
      <c r="BF296" s="239"/>
      <c r="BG296" s="239"/>
      <c r="BH296" s="239"/>
      <c r="BI296" s="239"/>
      <c r="BJ296" s="239"/>
      <c r="BK296" s="239"/>
      <c r="BL296" s="239"/>
      <c r="BM296" s="239"/>
      <c r="BN296" s="239"/>
      <c r="BO296" s="239"/>
      <c r="BP296" s="239"/>
      <c r="BQ296" s="239"/>
      <c r="BR296" s="239"/>
      <c r="BS296" s="239"/>
      <c r="BT296" s="239"/>
      <c r="BU296" s="239"/>
      <c r="BV296" s="239"/>
      <c r="BW296" s="239"/>
      <c r="BX296" s="239"/>
      <c r="BY296" s="239"/>
      <c r="BZ296" s="239"/>
      <c r="CA296" s="239"/>
      <c r="CB296" s="239"/>
      <c r="CC296" s="239"/>
      <c r="CD296" s="239"/>
      <c r="CE296" s="239"/>
      <c r="CF296" s="239"/>
      <c r="CG296" s="239"/>
    </row>
    <row r="297" spans="1:85" ht="15.75" customHeight="1">
      <c r="A297" s="239"/>
      <c r="B297" s="239"/>
      <c r="C297" s="239"/>
      <c r="D297" s="239"/>
      <c r="E297" s="239"/>
      <c r="F297" s="239"/>
      <c r="G297" s="239"/>
      <c r="H297" s="239"/>
      <c r="I297" s="239"/>
      <c r="J297" s="239"/>
      <c r="K297" s="239"/>
      <c r="L297" s="239"/>
      <c r="M297" s="239"/>
      <c r="N297" s="239"/>
      <c r="O297" s="239"/>
      <c r="P297" s="239"/>
      <c r="Q297" s="239"/>
      <c r="R297" s="239"/>
      <c r="S297" s="239"/>
      <c r="T297" s="239"/>
      <c r="U297" s="239"/>
      <c r="V297" s="239"/>
      <c r="W297" s="239"/>
      <c r="X297" s="239"/>
      <c r="Y297" s="239"/>
      <c r="Z297" s="239"/>
      <c r="AA297" s="239"/>
      <c r="AB297" s="239"/>
      <c r="AC297" s="239"/>
      <c r="AD297" s="239"/>
      <c r="AE297" s="239"/>
      <c r="AF297" s="239"/>
      <c r="AG297" s="239"/>
      <c r="AH297" s="239"/>
      <c r="AI297" s="239"/>
      <c r="AJ297" s="239"/>
      <c r="AK297" s="239"/>
      <c r="AL297" s="239"/>
      <c r="AM297" s="239"/>
      <c r="AN297" s="239"/>
      <c r="AO297" s="239"/>
      <c r="AP297" s="239"/>
      <c r="AQ297" s="239"/>
      <c r="AR297" s="239"/>
      <c r="AS297" s="239"/>
      <c r="AT297" s="239"/>
      <c r="AU297" s="239"/>
      <c r="AV297" s="239"/>
      <c r="AW297" s="239"/>
      <c r="AX297" s="239"/>
      <c r="AY297" s="239"/>
      <c r="AZ297" s="239"/>
      <c r="BA297" s="239"/>
      <c r="BB297" s="239"/>
      <c r="BC297" s="239"/>
      <c r="BD297" s="239"/>
      <c r="BE297" s="239"/>
      <c r="BF297" s="239"/>
      <c r="BG297" s="239"/>
      <c r="BH297" s="239"/>
      <c r="BI297" s="239"/>
      <c r="BJ297" s="239"/>
      <c r="BK297" s="239"/>
      <c r="BL297" s="239"/>
      <c r="BM297" s="239"/>
      <c r="BN297" s="239"/>
      <c r="BO297" s="239"/>
      <c r="BP297" s="239"/>
      <c r="BQ297" s="239"/>
      <c r="BR297" s="239"/>
      <c r="BS297" s="239"/>
      <c r="BT297" s="239"/>
      <c r="BU297" s="239"/>
      <c r="BV297" s="239"/>
      <c r="BW297" s="239"/>
      <c r="BX297" s="239"/>
      <c r="BY297" s="239"/>
      <c r="BZ297" s="239"/>
      <c r="CA297" s="239"/>
      <c r="CB297" s="239"/>
      <c r="CC297" s="239"/>
      <c r="CD297" s="239"/>
      <c r="CE297" s="239"/>
      <c r="CF297" s="239"/>
      <c r="CG297" s="239"/>
    </row>
    <row r="298" spans="1:85" ht="15.75" customHeight="1">
      <c r="A298" s="239"/>
      <c r="B298" s="239"/>
      <c r="C298" s="239"/>
      <c r="D298" s="239"/>
      <c r="E298" s="239"/>
      <c r="F298" s="239"/>
      <c r="G298" s="239"/>
      <c r="H298" s="239"/>
      <c r="I298" s="239"/>
      <c r="J298" s="239"/>
      <c r="K298" s="239"/>
      <c r="L298" s="239"/>
      <c r="M298" s="239"/>
      <c r="N298" s="239"/>
      <c r="O298" s="239"/>
      <c r="P298" s="239"/>
      <c r="Q298" s="239"/>
      <c r="R298" s="239"/>
      <c r="S298" s="239"/>
      <c r="T298" s="239"/>
      <c r="U298" s="239"/>
      <c r="V298" s="239"/>
      <c r="W298" s="239"/>
      <c r="X298" s="239"/>
      <c r="Y298" s="239"/>
      <c r="Z298" s="239"/>
      <c r="AA298" s="239"/>
      <c r="AB298" s="239"/>
      <c r="AC298" s="239"/>
      <c r="AD298" s="239"/>
      <c r="AE298" s="239"/>
      <c r="AF298" s="239"/>
      <c r="AG298" s="239"/>
      <c r="AH298" s="239"/>
      <c r="AI298" s="239"/>
      <c r="AJ298" s="239"/>
      <c r="AK298" s="239"/>
      <c r="AL298" s="239"/>
      <c r="AM298" s="239"/>
      <c r="AN298" s="239"/>
      <c r="AO298" s="239"/>
      <c r="AP298" s="239"/>
      <c r="AQ298" s="239"/>
      <c r="AR298" s="239"/>
      <c r="AS298" s="239"/>
      <c r="AT298" s="239"/>
      <c r="AU298" s="239"/>
      <c r="AV298" s="239"/>
      <c r="AW298" s="239"/>
      <c r="AX298" s="239"/>
      <c r="AY298" s="239"/>
      <c r="AZ298" s="239"/>
      <c r="BA298" s="239"/>
      <c r="BB298" s="239"/>
      <c r="BC298" s="239"/>
      <c r="BD298" s="239"/>
      <c r="BE298" s="239"/>
      <c r="BF298" s="239"/>
      <c r="BG298" s="239"/>
      <c r="BH298" s="239"/>
      <c r="BI298" s="239"/>
      <c r="BJ298" s="239"/>
      <c r="BK298" s="239"/>
      <c r="BL298" s="239"/>
      <c r="BM298" s="239"/>
      <c r="BN298" s="239"/>
      <c r="BO298" s="239"/>
      <c r="BP298" s="239"/>
      <c r="BQ298" s="239"/>
      <c r="BR298" s="239"/>
      <c r="BS298" s="239"/>
      <c r="BT298" s="239"/>
      <c r="BU298" s="239"/>
      <c r="BV298" s="239"/>
      <c r="BW298" s="239"/>
      <c r="BX298" s="239"/>
      <c r="BY298" s="239"/>
      <c r="BZ298" s="239"/>
      <c r="CA298" s="239"/>
      <c r="CB298" s="239"/>
      <c r="CC298" s="239"/>
      <c r="CD298" s="239"/>
      <c r="CE298" s="239"/>
      <c r="CF298" s="239"/>
      <c r="CG298" s="239"/>
    </row>
    <row r="299" spans="1:85" ht="15.75" customHeight="1">
      <c r="A299" s="239"/>
      <c r="B299" s="239"/>
      <c r="C299" s="239"/>
      <c r="D299" s="239"/>
      <c r="E299" s="239"/>
      <c r="F299" s="239"/>
      <c r="G299" s="239"/>
      <c r="H299" s="239"/>
      <c r="I299" s="239"/>
      <c r="J299" s="239"/>
      <c r="K299" s="239"/>
      <c r="L299" s="239"/>
      <c r="M299" s="239"/>
      <c r="N299" s="239"/>
      <c r="O299" s="239"/>
      <c r="P299" s="239"/>
      <c r="Q299" s="239"/>
      <c r="R299" s="239"/>
      <c r="S299" s="239"/>
      <c r="T299" s="239"/>
      <c r="U299" s="239"/>
      <c r="V299" s="239"/>
      <c r="W299" s="239"/>
      <c r="X299" s="239"/>
      <c r="Y299" s="239"/>
      <c r="Z299" s="239"/>
      <c r="AA299" s="239"/>
      <c r="AB299" s="239"/>
      <c r="AC299" s="239"/>
      <c r="AD299" s="239"/>
      <c r="AE299" s="239"/>
      <c r="AF299" s="239"/>
      <c r="AG299" s="239"/>
      <c r="AH299" s="239"/>
      <c r="AI299" s="239"/>
      <c r="AJ299" s="239"/>
      <c r="AK299" s="239"/>
      <c r="AL299" s="239"/>
      <c r="AM299" s="239"/>
      <c r="AN299" s="239"/>
      <c r="AO299" s="239"/>
      <c r="AP299" s="239"/>
      <c r="AQ299" s="239"/>
      <c r="AR299" s="239"/>
      <c r="AS299" s="239"/>
      <c r="AT299" s="239"/>
      <c r="AU299" s="239"/>
      <c r="AV299" s="239"/>
      <c r="AW299" s="239"/>
      <c r="AX299" s="239"/>
      <c r="AY299" s="239"/>
      <c r="AZ299" s="239"/>
      <c r="BA299" s="239"/>
      <c r="BB299" s="239"/>
      <c r="BC299" s="239"/>
      <c r="BD299" s="239"/>
      <c r="BE299" s="239"/>
      <c r="BF299" s="239"/>
      <c r="BG299" s="239"/>
      <c r="BH299" s="239"/>
      <c r="BI299" s="239"/>
      <c r="BJ299" s="239"/>
      <c r="BK299" s="239"/>
      <c r="BL299" s="239"/>
      <c r="BM299" s="239"/>
      <c r="BN299" s="239"/>
      <c r="BO299" s="239"/>
      <c r="BP299" s="239"/>
      <c r="BQ299" s="239"/>
      <c r="BR299" s="239"/>
      <c r="BS299" s="239"/>
      <c r="BT299" s="239"/>
      <c r="BU299" s="239"/>
      <c r="BV299" s="239"/>
      <c r="BW299" s="239"/>
      <c r="BX299" s="239"/>
      <c r="BY299" s="239"/>
      <c r="BZ299" s="239"/>
      <c r="CA299" s="239"/>
      <c r="CB299" s="239"/>
      <c r="CC299" s="239"/>
      <c r="CD299" s="239"/>
      <c r="CE299" s="239"/>
      <c r="CF299" s="239"/>
      <c r="CG299" s="239"/>
    </row>
    <row r="300" spans="1:85" ht="15.75" customHeight="1">
      <c r="A300" s="239"/>
      <c r="B300" s="239"/>
      <c r="C300" s="239"/>
      <c r="D300" s="239"/>
      <c r="E300" s="239"/>
      <c r="F300" s="239"/>
      <c r="G300" s="239"/>
      <c r="H300" s="239"/>
      <c r="I300" s="239"/>
      <c r="J300" s="239"/>
      <c r="K300" s="239"/>
      <c r="L300" s="239"/>
      <c r="M300" s="239"/>
      <c r="N300" s="239"/>
      <c r="O300" s="239"/>
      <c r="P300" s="239"/>
      <c r="Q300" s="239"/>
      <c r="R300" s="239"/>
      <c r="S300" s="239"/>
      <c r="T300" s="239"/>
      <c r="U300" s="239"/>
      <c r="V300" s="239"/>
      <c r="W300" s="239"/>
      <c r="X300" s="239"/>
      <c r="Y300" s="239"/>
      <c r="Z300" s="239"/>
      <c r="AA300" s="239"/>
      <c r="AB300" s="239"/>
      <c r="AC300" s="239"/>
      <c r="AD300" s="239"/>
      <c r="AE300" s="239"/>
      <c r="AF300" s="239"/>
      <c r="AG300" s="239"/>
      <c r="AH300" s="239"/>
      <c r="AI300" s="239"/>
      <c r="AJ300" s="239"/>
      <c r="AK300" s="239"/>
      <c r="AL300" s="239"/>
      <c r="AM300" s="239"/>
      <c r="AN300" s="239"/>
      <c r="AO300" s="239"/>
      <c r="AP300" s="239"/>
      <c r="AQ300" s="239"/>
      <c r="AR300" s="239"/>
      <c r="AS300" s="239"/>
      <c r="AT300" s="239"/>
      <c r="AU300" s="239"/>
      <c r="AV300" s="239"/>
      <c r="AW300" s="239"/>
      <c r="AX300" s="239"/>
      <c r="AY300" s="239"/>
      <c r="AZ300" s="239"/>
      <c r="BA300" s="239"/>
      <c r="BB300" s="239"/>
      <c r="BC300" s="239"/>
      <c r="BD300" s="239"/>
      <c r="BE300" s="239"/>
      <c r="BF300" s="239"/>
      <c r="BG300" s="239"/>
      <c r="BH300" s="239"/>
      <c r="BI300" s="239"/>
      <c r="BJ300" s="239"/>
      <c r="BK300" s="239"/>
      <c r="BL300" s="239"/>
      <c r="BM300" s="239"/>
      <c r="BN300" s="239"/>
      <c r="BO300" s="239"/>
      <c r="BP300" s="239"/>
      <c r="BQ300" s="239"/>
      <c r="BR300" s="239"/>
      <c r="BS300" s="239"/>
      <c r="BT300" s="239"/>
      <c r="BU300" s="239"/>
      <c r="BV300" s="239"/>
      <c r="BW300" s="239"/>
      <c r="BX300" s="239"/>
      <c r="BY300" s="239"/>
      <c r="BZ300" s="239"/>
      <c r="CA300" s="239"/>
      <c r="CB300" s="239"/>
      <c r="CC300" s="239"/>
      <c r="CD300" s="239"/>
      <c r="CE300" s="239"/>
      <c r="CF300" s="239"/>
      <c r="CG300" s="239"/>
    </row>
    <row r="301" spans="1:85" ht="15.75" customHeight="1">
      <c r="A301" s="239"/>
      <c r="B301" s="239"/>
      <c r="C301" s="239"/>
      <c r="D301" s="239"/>
      <c r="E301" s="239"/>
      <c r="F301" s="239"/>
      <c r="G301" s="239"/>
      <c r="H301" s="239"/>
      <c r="I301" s="239"/>
      <c r="J301" s="239"/>
      <c r="K301" s="239"/>
      <c r="L301" s="239"/>
      <c r="M301" s="239"/>
      <c r="N301" s="239"/>
      <c r="O301" s="239"/>
      <c r="P301" s="239"/>
      <c r="Q301" s="239"/>
      <c r="R301" s="239"/>
      <c r="S301" s="239"/>
      <c r="T301" s="239"/>
      <c r="U301" s="239"/>
      <c r="V301" s="239"/>
      <c r="W301" s="239"/>
      <c r="X301" s="239"/>
      <c r="Y301" s="239"/>
      <c r="Z301" s="239"/>
      <c r="AA301" s="239"/>
      <c r="AB301" s="239"/>
      <c r="AC301" s="239"/>
      <c r="AD301" s="239"/>
      <c r="AE301" s="239"/>
      <c r="AF301" s="239"/>
      <c r="AG301" s="239"/>
      <c r="AH301" s="239"/>
      <c r="AI301" s="239"/>
      <c r="AJ301" s="239"/>
      <c r="AK301" s="239"/>
      <c r="AL301" s="239"/>
      <c r="AM301" s="239"/>
      <c r="AN301" s="239"/>
      <c r="AO301" s="239"/>
      <c r="AP301" s="239"/>
      <c r="AQ301" s="239"/>
      <c r="AR301" s="239"/>
      <c r="AS301" s="239"/>
      <c r="AT301" s="239"/>
      <c r="AU301" s="239"/>
      <c r="AV301" s="239"/>
      <c r="AW301" s="239"/>
      <c r="AX301" s="239"/>
      <c r="AY301" s="239"/>
      <c r="AZ301" s="239"/>
      <c r="BA301" s="239"/>
      <c r="BB301" s="239"/>
      <c r="BC301" s="239"/>
      <c r="BD301" s="239"/>
      <c r="BE301" s="239"/>
      <c r="BF301" s="239"/>
      <c r="BG301" s="239"/>
      <c r="BH301" s="239"/>
      <c r="BI301" s="239"/>
      <c r="BJ301" s="239"/>
      <c r="BK301" s="239"/>
      <c r="BL301" s="239"/>
      <c r="BM301" s="239"/>
      <c r="BN301" s="239"/>
      <c r="BO301" s="239"/>
      <c r="BP301" s="239"/>
      <c r="BQ301" s="239"/>
      <c r="BR301" s="239"/>
      <c r="BS301" s="239"/>
      <c r="BT301" s="239"/>
      <c r="BU301" s="239"/>
      <c r="BV301" s="239"/>
      <c r="BW301" s="239"/>
      <c r="BX301" s="239"/>
      <c r="BY301" s="239"/>
      <c r="BZ301" s="239"/>
      <c r="CA301" s="239"/>
      <c r="CB301" s="239"/>
      <c r="CC301" s="239"/>
      <c r="CD301" s="239"/>
      <c r="CE301" s="239"/>
      <c r="CF301" s="239"/>
      <c r="CG301" s="239"/>
    </row>
    <row r="302" spans="1:85" ht="15.75" customHeight="1">
      <c r="A302" s="239"/>
      <c r="B302" s="239"/>
      <c r="C302" s="239"/>
      <c r="D302" s="239"/>
      <c r="E302" s="239"/>
      <c r="F302" s="239"/>
      <c r="G302" s="239"/>
      <c r="H302" s="239"/>
      <c r="I302" s="239"/>
      <c r="J302" s="239"/>
      <c r="K302" s="239"/>
      <c r="L302" s="239"/>
      <c r="M302" s="239"/>
      <c r="N302" s="239"/>
      <c r="O302" s="239"/>
      <c r="P302" s="239"/>
      <c r="Q302" s="239"/>
      <c r="R302" s="239"/>
      <c r="S302" s="239"/>
      <c r="T302" s="239"/>
      <c r="U302" s="239"/>
      <c r="V302" s="239"/>
      <c r="W302" s="239"/>
      <c r="X302" s="239"/>
      <c r="Y302" s="239"/>
      <c r="Z302" s="239"/>
      <c r="AA302" s="239"/>
      <c r="AB302" s="239"/>
      <c r="AC302" s="239"/>
      <c r="AD302" s="239"/>
      <c r="AE302" s="239"/>
      <c r="AF302" s="239"/>
      <c r="AG302" s="239"/>
      <c r="AH302" s="239"/>
      <c r="AI302" s="239"/>
      <c r="AJ302" s="239"/>
      <c r="AK302" s="239"/>
      <c r="AL302" s="239"/>
      <c r="AM302" s="239"/>
      <c r="AN302" s="239"/>
      <c r="AO302" s="239"/>
      <c r="AP302" s="239"/>
      <c r="AQ302" s="239"/>
      <c r="AR302" s="239"/>
      <c r="AS302" s="239"/>
      <c r="AT302" s="239"/>
      <c r="AU302" s="239"/>
      <c r="AV302" s="239"/>
      <c r="AW302" s="239"/>
      <c r="AX302" s="239"/>
      <c r="AY302" s="239"/>
      <c r="AZ302" s="239"/>
      <c r="BA302" s="239"/>
      <c r="BB302" s="239"/>
      <c r="BC302" s="239"/>
      <c r="BD302" s="239"/>
      <c r="BE302" s="239"/>
      <c r="BF302" s="239"/>
      <c r="BG302" s="239"/>
      <c r="BH302" s="239"/>
      <c r="BI302" s="239"/>
      <c r="BJ302" s="239"/>
      <c r="BK302" s="239"/>
      <c r="BL302" s="239"/>
      <c r="BM302" s="239"/>
      <c r="BN302" s="239"/>
      <c r="BO302" s="239"/>
      <c r="BP302" s="239"/>
      <c r="BQ302" s="239"/>
      <c r="BR302" s="239"/>
      <c r="BS302" s="239"/>
      <c r="BT302" s="239"/>
      <c r="BU302" s="239"/>
      <c r="BV302" s="239"/>
      <c r="BW302" s="239"/>
      <c r="BX302" s="239"/>
      <c r="BY302" s="239"/>
      <c r="BZ302" s="239"/>
      <c r="CA302" s="239"/>
      <c r="CB302" s="239"/>
      <c r="CC302" s="239"/>
      <c r="CD302" s="239"/>
      <c r="CE302" s="239"/>
      <c r="CF302" s="239"/>
      <c r="CG302" s="239"/>
    </row>
    <row r="303" spans="1:85" ht="15.75" customHeight="1">
      <c r="A303" s="239"/>
      <c r="B303" s="239"/>
      <c r="C303" s="239"/>
      <c r="D303" s="239"/>
      <c r="E303" s="239"/>
      <c r="F303" s="239"/>
      <c r="G303" s="239"/>
      <c r="H303" s="239"/>
      <c r="I303" s="239"/>
      <c r="J303" s="239"/>
      <c r="K303" s="239"/>
      <c r="L303" s="239"/>
      <c r="M303" s="239"/>
      <c r="N303" s="239"/>
      <c r="O303" s="239"/>
      <c r="P303" s="239"/>
      <c r="Q303" s="239"/>
      <c r="R303" s="239"/>
      <c r="S303" s="239"/>
      <c r="T303" s="239"/>
      <c r="U303" s="239"/>
      <c r="V303" s="239"/>
      <c r="W303" s="239"/>
      <c r="X303" s="239"/>
      <c r="Y303" s="239"/>
      <c r="Z303" s="239"/>
      <c r="AA303" s="239"/>
      <c r="AB303" s="239"/>
      <c r="AC303" s="239"/>
      <c r="AD303" s="239"/>
      <c r="AE303" s="239"/>
      <c r="AF303" s="239"/>
      <c r="AG303" s="239"/>
      <c r="AH303" s="239"/>
      <c r="AI303" s="239"/>
      <c r="AJ303" s="239"/>
      <c r="AK303" s="239"/>
      <c r="AL303" s="239"/>
      <c r="AM303" s="239"/>
      <c r="AN303" s="239"/>
      <c r="AO303" s="239"/>
      <c r="AP303" s="239"/>
      <c r="AQ303" s="239"/>
      <c r="AR303" s="239"/>
      <c r="AS303" s="239"/>
      <c r="AT303" s="239"/>
      <c r="AU303" s="239"/>
      <c r="AV303" s="239"/>
      <c r="AW303" s="239"/>
      <c r="AX303" s="239"/>
      <c r="AY303" s="239"/>
      <c r="AZ303" s="239"/>
      <c r="BA303" s="239"/>
      <c r="BB303" s="239"/>
      <c r="BC303" s="239"/>
      <c r="BD303" s="239"/>
      <c r="BE303" s="239"/>
      <c r="BF303" s="239"/>
      <c r="BG303" s="239"/>
      <c r="BH303" s="239"/>
      <c r="BI303" s="239"/>
      <c r="BJ303" s="239"/>
      <c r="BK303" s="239"/>
      <c r="BL303" s="239"/>
      <c r="BM303" s="239"/>
      <c r="BN303" s="239"/>
      <c r="BO303" s="239"/>
      <c r="BP303" s="239"/>
      <c r="BQ303" s="239"/>
      <c r="BR303" s="239"/>
      <c r="BS303" s="239"/>
      <c r="BT303" s="239"/>
      <c r="BU303" s="239"/>
      <c r="BV303" s="239"/>
      <c r="BW303" s="239"/>
      <c r="BX303" s="239"/>
      <c r="BY303" s="239"/>
      <c r="BZ303" s="239"/>
      <c r="CA303" s="239"/>
      <c r="CB303" s="239"/>
      <c r="CC303" s="239"/>
      <c r="CD303" s="239"/>
      <c r="CE303" s="239"/>
      <c r="CF303" s="239"/>
      <c r="CG303" s="239"/>
    </row>
    <row r="304" spans="1:85" ht="15.75" customHeight="1">
      <c r="A304" s="239"/>
      <c r="B304" s="239"/>
      <c r="C304" s="239"/>
      <c r="D304" s="239"/>
      <c r="E304" s="239"/>
      <c r="F304" s="239"/>
      <c r="G304" s="239"/>
      <c r="H304" s="239"/>
      <c r="I304" s="239"/>
      <c r="J304" s="239"/>
      <c r="K304" s="239"/>
      <c r="L304" s="239"/>
      <c r="M304" s="239"/>
      <c r="N304" s="239"/>
      <c r="O304" s="239"/>
      <c r="P304" s="239"/>
      <c r="Q304" s="239"/>
      <c r="R304" s="239"/>
      <c r="S304" s="239"/>
      <c r="T304" s="239"/>
      <c r="U304" s="239"/>
      <c r="V304" s="239"/>
      <c r="W304" s="239"/>
      <c r="X304" s="239"/>
      <c r="Y304" s="239"/>
      <c r="Z304" s="239"/>
      <c r="AA304" s="239"/>
      <c r="AB304" s="239"/>
      <c r="AC304" s="239"/>
      <c r="AD304" s="239"/>
      <c r="AE304" s="239"/>
      <c r="AF304" s="239"/>
      <c r="AG304" s="239"/>
      <c r="AH304" s="239"/>
      <c r="AI304" s="239"/>
      <c r="AJ304" s="239"/>
      <c r="AK304" s="239"/>
      <c r="AL304" s="239"/>
      <c r="AM304" s="239"/>
      <c r="AN304" s="239"/>
      <c r="AO304" s="239"/>
      <c r="AP304" s="239"/>
      <c r="AQ304" s="239"/>
      <c r="AR304" s="239"/>
      <c r="AS304" s="239"/>
      <c r="AT304" s="239"/>
      <c r="AU304" s="239"/>
      <c r="AV304" s="239"/>
      <c r="AW304" s="239"/>
      <c r="AX304" s="239"/>
      <c r="AY304" s="239"/>
      <c r="AZ304" s="239"/>
      <c r="BA304" s="239"/>
      <c r="BB304" s="239"/>
      <c r="BC304" s="239"/>
      <c r="BD304" s="239"/>
      <c r="BE304" s="239"/>
      <c r="BF304" s="239"/>
      <c r="BG304" s="239"/>
      <c r="BH304" s="239"/>
      <c r="BI304" s="239"/>
      <c r="BJ304" s="239"/>
      <c r="BK304" s="239"/>
      <c r="BL304" s="239"/>
      <c r="BM304" s="239"/>
      <c r="BN304" s="239"/>
      <c r="BO304" s="239"/>
      <c r="BP304" s="239"/>
      <c r="BQ304" s="239"/>
      <c r="BR304" s="239"/>
      <c r="BS304" s="239"/>
      <c r="BT304" s="239"/>
      <c r="BU304" s="239"/>
      <c r="BV304" s="239"/>
      <c r="BW304" s="239"/>
      <c r="BX304" s="239"/>
      <c r="BY304" s="239"/>
      <c r="BZ304" s="239"/>
      <c r="CA304" s="239"/>
      <c r="CB304" s="239"/>
      <c r="CC304" s="239"/>
      <c r="CD304" s="239"/>
      <c r="CE304" s="239"/>
      <c r="CF304" s="239"/>
      <c r="CG304" s="239"/>
    </row>
    <row r="305" spans="1:85" ht="15.75" customHeight="1">
      <c r="A305" s="239"/>
      <c r="B305" s="239"/>
      <c r="C305" s="239"/>
      <c r="D305" s="239"/>
      <c r="E305" s="239"/>
      <c r="F305" s="239"/>
      <c r="G305" s="239"/>
      <c r="H305" s="239"/>
      <c r="I305" s="239"/>
      <c r="J305" s="239"/>
      <c r="K305" s="239"/>
      <c r="L305" s="239"/>
      <c r="M305" s="239"/>
      <c r="N305" s="239"/>
      <c r="O305" s="239"/>
      <c r="P305" s="239"/>
      <c r="Q305" s="239"/>
      <c r="R305" s="239"/>
      <c r="S305" s="239"/>
      <c r="T305" s="239"/>
      <c r="U305" s="239"/>
      <c r="V305" s="239"/>
      <c r="W305" s="239"/>
      <c r="X305" s="239"/>
      <c r="Y305" s="239"/>
      <c r="Z305" s="239"/>
      <c r="AA305" s="239"/>
      <c r="AB305" s="239"/>
      <c r="AC305" s="239"/>
      <c r="AD305" s="239"/>
      <c r="AE305" s="239"/>
      <c r="AF305" s="239"/>
      <c r="AG305" s="239"/>
      <c r="AH305" s="239"/>
      <c r="AI305" s="239"/>
      <c r="AJ305" s="239"/>
      <c r="AK305" s="239"/>
      <c r="AL305" s="239"/>
      <c r="AM305" s="239"/>
      <c r="AN305" s="239"/>
      <c r="AO305" s="239"/>
      <c r="AP305" s="239"/>
      <c r="AQ305" s="239"/>
      <c r="AR305" s="239"/>
      <c r="AS305" s="239"/>
      <c r="AT305" s="239"/>
      <c r="AU305" s="239"/>
      <c r="AV305" s="239"/>
      <c r="AW305" s="239"/>
      <c r="AX305" s="239"/>
      <c r="AY305" s="239"/>
      <c r="AZ305" s="239"/>
      <c r="BA305" s="239"/>
      <c r="BB305" s="239"/>
      <c r="BC305" s="239"/>
      <c r="BD305" s="239"/>
      <c r="BE305" s="239"/>
      <c r="BF305" s="239"/>
      <c r="BG305" s="239"/>
      <c r="BH305" s="239"/>
      <c r="BI305" s="239"/>
      <c r="BJ305" s="239"/>
      <c r="BK305" s="239"/>
      <c r="BL305" s="239"/>
      <c r="BM305" s="239"/>
      <c r="BN305" s="239"/>
      <c r="BO305" s="239"/>
      <c r="BP305" s="239"/>
      <c r="BQ305" s="239"/>
      <c r="BR305" s="239"/>
      <c r="BS305" s="239"/>
      <c r="BT305" s="239"/>
      <c r="BU305" s="239"/>
      <c r="BV305" s="239"/>
      <c r="BW305" s="239"/>
      <c r="BX305" s="239"/>
      <c r="BY305" s="239"/>
      <c r="BZ305" s="239"/>
      <c r="CA305" s="239"/>
      <c r="CB305" s="239"/>
      <c r="CC305" s="239"/>
      <c r="CD305" s="239"/>
      <c r="CE305" s="239"/>
      <c r="CF305" s="239"/>
      <c r="CG305" s="239"/>
    </row>
    <row r="306" spans="1:85" ht="15.75" customHeight="1">
      <c r="A306" s="239"/>
      <c r="B306" s="239"/>
      <c r="C306" s="239"/>
      <c r="D306" s="239"/>
      <c r="E306" s="239"/>
      <c r="F306" s="239"/>
      <c r="G306" s="239"/>
      <c r="H306" s="239"/>
      <c r="I306" s="239"/>
      <c r="J306" s="239"/>
      <c r="K306" s="239"/>
      <c r="L306" s="239"/>
      <c r="M306" s="239"/>
      <c r="N306" s="239"/>
      <c r="O306" s="239"/>
      <c r="P306" s="239"/>
      <c r="Q306" s="239"/>
      <c r="R306" s="239"/>
      <c r="S306" s="239"/>
      <c r="T306" s="239"/>
      <c r="U306" s="239"/>
      <c r="V306" s="239"/>
      <c r="W306" s="239"/>
      <c r="X306" s="239"/>
      <c r="Y306" s="239"/>
      <c r="Z306" s="239"/>
      <c r="AA306" s="239"/>
      <c r="AB306" s="239"/>
      <c r="AC306" s="239"/>
      <c r="AD306" s="239"/>
      <c r="AE306" s="239"/>
      <c r="AF306" s="239"/>
      <c r="AG306" s="239"/>
      <c r="AH306" s="239"/>
      <c r="AI306" s="239"/>
      <c r="AJ306" s="239"/>
      <c r="AK306" s="239"/>
      <c r="AL306" s="239"/>
      <c r="AM306" s="239"/>
      <c r="AN306" s="239"/>
      <c r="AO306" s="239"/>
      <c r="AP306" s="239"/>
      <c r="AQ306" s="239"/>
      <c r="AR306" s="239"/>
      <c r="AS306" s="239"/>
      <c r="AT306" s="239"/>
      <c r="AU306" s="239"/>
      <c r="AV306" s="239"/>
      <c r="AW306" s="239"/>
      <c r="AX306" s="239"/>
      <c r="AY306" s="239"/>
      <c r="AZ306" s="239"/>
      <c r="BA306" s="239"/>
      <c r="BB306" s="239"/>
      <c r="BC306" s="239"/>
      <c r="BD306" s="239"/>
      <c r="BE306" s="239"/>
      <c r="BF306" s="239"/>
      <c r="BG306" s="239"/>
      <c r="BH306" s="239"/>
      <c r="BI306" s="239"/>
      <c r="BJ306" s="239"/>
      <c r="BK306" s="239"/>
      <c r="BL306" s="239"/>
      <c r="BM306" s="239"/>
      <c r="BN306" s="239"/>
      <c r="BO306" s="239"/>
      <c r="BP306" s="239"/>
      <c r="BQ306" s="239"/>
      <c r="BR306" s="239"/>
      <c r="BS306" s="239"/>
      <c r="BT306" s="239"/>
      <c r="BU306" s="239"/>
      <c r="BV306" s="239"/>
      <c r="BW306" s="239"/>
      <c r="BX306" s="239"/>
      <c r="BY306" s="239"/>
      <c r="BZ306" s="239"/>
      <c r="CA306" s="239"/>
      <c r="CB306" s="239"/>
      <c r="CC306" s="239"/>
      <c r="CD306" s="239"/>
      <c r="CE306" s="239"/>
      <c r="CF306" s="239"/>
      <c r="CG306" s="239"/>
    </row>
    <row r="307" spans="1:85" ht="15.75" customHeight="1">
      <c r="A307" s="239"/>
      <c r="B307" s="239"/>
      <c r="C307" s="239"/>
      <c r="D307" s="239"/>
      <c r="E307" s="239"/>
      <c r="F307" s="239"/>
      <c r="G307" s="239"/>
      <c r="H307" s="239"/>
      <c r="I307" s="239"/>
      <c r="J307" s="239"/>
      <c r="K307" s="239"/>
      <c r="L307" s="239"/>
      <c r="M307" s="239"/>
      <c r="N307" s="239"/>
      <c r="O307" s="239"/>
      <c r="P307" s="239"/>
      <c r="Q307" s="239"/>
      <c r="R307" s="239"/>
      <c r="S307" s="239"/>
      <c r="T307" s="239"/>
      <c r="U307" s="239"/>
      <c r="V307" s="239"/>
      <c r="W307" s="239"/>
      <c r="X307" s="239"/>
      <c r="Y307" s="239"/>
      <c r="Z307" s="239"/>
      <c r="AA307" s="239"/>
      <c r="AB307" s="239"/>
      <c r="AC307" s="239"/>
      <c r="AD307" s="239"/>
      <c r="AE307" s="239"/>
      <c r="AF307" s="239"/>
      <c r="AG307" s="239"/>
      <c r="AH307" s="239"/>
      <c r="AI307" s="239"/>
      <c r="AJ307" s="239"/>
      <c r="AK307" s="239"/>
      <c r="AL307" s="239"/>
      <c r="AM307" s="239"/>
      <c r="AN307" s="239"/>
      <c r="AO307" s="239"/>
      <c r="AP307" s="239"/>
      <c r="AQ307" s="239"/>
      <c r="AR307" s="239"/>
      <c r="AS307" s="239"/>
      <c r="AT307" s="239"/>
      <c r="AU307" s="239"/>
      <c r="AV307" s="239"/>
      <c r="AW307" s="239"/>
      <c r="AX307" s="239"/>
      <c r="AY307" s="239"/>
      <c r="AZ307" s="239"/>
      <c r="BA307" s="239"/>
      <c r="BB307" s="239"/>
      <c r="BC307" s="239"/>
      <c r="BD307" s="239"/>
      <c r="BE307" s="239"/>
      <c r="BF307" s="239"/>
      <c r="BG307" s="239"/>
      <c r="BH307" s="239"/>
      <c r="BI307" s="239"/>
      <c r="BJ307" s="239"/>
      <c r="BK307" s="239"/>
      <c r="BL307" s="239"/>
      <c r="BM307" s="239"/>
      <c r="BN307" s="239"/>
      <c r="BO307" s="239"/>
      <c r="BP307" s="239"/>
      <c r="BQ307" s="239"/>
      <c r="BR307" s="239"/>
      <c r="BS307" s="239"/>
      <c r="BT307" s="239"/>
      <c r="BU307" s="239"/>
      <c r="BV307" s="239"/>
      <c r="BW307" s="239"/>
      <c r="BX307" s="239"/>
      <c r="BY307" s="239"/>
      <c r="BZ307" s="239"/>
      <c r="CA307" s="239"/>
      <c r="CB307" s="239"/>
      <c r="CC307" s="239"/>
      <c r="CD307" s="239"/>
      <c r="CE307" s="239"/>
      <c r="CF307" s="239"/>
      <c r="CG307" s="239"/>
    </row>
    <row r="308" spans="1:85" ht="15.75" customHeight="1">
      <c r="A308" s="239"/>
      <c r="B308" s="239"/>
      <c r="C308" s="239"/>
      <c r="D308" s="239"/>
      <c r="E308" s="239"/>
      <c r="F308" s="239"/>
      <c r="G308" s="239"/>
      <c r="H308" s="239"/>
      <c r="I308" s="239"/>
      <c r="J308" s="239"/>
      <c r="K308" s="239"/>
      <c r="L308" s="239"/>
      <c r="M308" s="239"/>
      <c r="N308" s="239"/>
      <c r="O308" s="239"/>
      <c r="P308" s="239"/>
      <c r="Q308" s="239"/>
      <c r="R308" s="239"/>
      <c r="S308" s="239"/>
      <c r="T308" s="239"/>
      <c r="U308" s="239"/>
      <c r="V308" s="239"/>
      <c r="W308" s="239"/>
      <c r="X308" s="239"/>
      <c r="Y308" s="239"/>
      <c r="Z308" s="239"/>
      <c r="AA308" s="239"/>
      <c r="AB308" s="239"/>
      <c r="AC308" s="239"/>
      <c r="AD308" s="239"/>
      <c r="AE308" s="239"/>
      <c r="AF308" s="239"/>
      <c r="AG308" s="239"/>
      <c r="AH308" s="239"/>
      <c r="AI308" s="239"/>
      <c r="AJ308" s="239"/>
      <c r="AK308" s="239"/>
      <c r="AL308" s="239"/>
      <c r="AM308" s="239"/>
      <c r="AN308" s="239"/>
      <c r="AO308" s="239"/>
      <c r="AP308" s="239"/>
      <c r="AQ308" s="239"/>
      <c r="AR308" s="239"/>
      <c r="AS308" s="239"/>
      <c r="AT308" s="239"/>
      <c r="AU308" s="239"/>
      <c r="AV308" s="239"/>
      <c r="AW308" s="239"/>
      <c r="AX308" s="239"/>
      <c r="AY308" s="239"/>
      <c r="AZ308" s="239"/>
      <c r="BA308" s="239"/>
      <c r="BB308" s="239"/>
      <c r="BC308" s="239"/>
      <c r="BD308" s="239"/>
      <c r="BE308" s="239"/>
      <c r="BF308" s="239"/>
      <c r="BG308" s="239"/>
      <c r="BH308" s="239"/>
      <c r="BI308" s="239"/>
      <c r="BJ308" s="239"/>
      <c r="BK308" s="239"/>
      <c r="BL308" s="239"/>
      <c r="BM308" s="239"/>
      <c r="BN308" s="239"/>
      <c r="BO308" s="239"/>
      <c r="BP308" s="239"/>
      <c r="BQ308" s="239"/>
      <c r="BR308" s="239"/>
      <c r="BS308" s="239"/>
      <c r="BT308" s="239"/>
      <c r="BU308" s="239"/>
      <c r="BV308" s="239"/>
      <c r="BW308" s="239"/>
      <c r="BX308" s="239"/>
      <c r="BY308" s="239"/>
      <c r="BZ308" s="239"/>
      <c r="CA308" s="239"/>
      <c r="CB308" s="239"/>
      <c r="CC308" s="239"/>
      <c r="CD308" s="239"/>
      <c r="CE308" s="239"/>
      <c r="CF308" s="239"/>
      <c r="CG308" s="239"/>
    </row>
    <row r="309" spans="1:85" ht="15.75" customHeight="1">
      <c r="A309" s="239"/>
      <c r="B309" s="239"/>
      <c r="C309" s="239"/>
      <c r="D309" s="239"/>
      <c r="E309" s="239"/>
      <c r="F309" s="239"/>
      <c r="G309" s="239"/>
      <c r="H309" s="239"/>
      <c r="I309" s="239"/>
      <c r="J309" s="239"/>
      <c r="K309" s="239"/>
      <c r="L309" s="239"/>
      <c r="M309" s="239"/>
      <c r="N309" s="239"/>
      <c r="O309" s="239"/>
      <c r="P309" s="239"/>
      <c r="Q309" s="239"/>
      <c r="R309" s="239"/>
      <c r="S309" s="239"/>
      <c r="T309" s="239"/>
      <c r="U309" s="239"/>
      <c r="V309" s="239"/>
      <c r="W309" s="239"/>
      <c r="X309" s="239"/>
      <c r="Y309" s="239"/>
      <c r="Z309" s="239"/>
      <c r="AA309" s="239"/>
      <c r="AB309" s="239"/>
      <c r="AC309" s="239"/>
      <c r="AD309" s="239"/>
      <c r="AE309" s="239"/>
      <c r="AF309" s="239"/>
      <c r="AG309" s="239"/>
      <c r="AH309" s="239"/>
      <c r="AI309" s="239"/>
      <c r="AJ309" s="239"/>
      <c r="AK309" s="239"/>
      <c r="AL309" s="239"/>
      <c r="AM309" s="239"/>
      <c r="AN309" s="239"/>
      <c r="AO309" s="239"/>
      <c r="AP309" s="239"/>
      <c r="AQ309" s="239"/>
      <c r="AR309" s="239"/>
      <c r="AS309" s="239"/>
      <c r="AT309" s="239"/>
      <c r="AU309" s="239"/>
      <c r="AV309" s="239"/>
      <c r="AW309" s="239"/>
      <c r="AX309" s="239"/>
      <c r="AY309" s="239"/>
      <c r="AZ309" s="239"/>
      <c r="BA309" s="239"/>
      <c r="BB309" s="239"/>
      <c r="BC309" s="239"/>
      <c r="BD309" s="239"/>
      <c r="BE309" s="239"/>
      <c r="BF309" s="239"/>
      <c r="BG309" s="239"/>
      <c r="BH309" s="239"/>
      <c r="BI309" s="239"/>
      <c r="BJ309" s="239"/>
      <c r="BK309" s="239"/>
      <c r="BL309" s="239"/>
      <c r="BM309" s="239"/>
      <c r="BN309" s="239"/>
      <c r="BO309" s="239"/>
      <c r="BP309" s="239"/>
      <c r="BQ309" s="239"/>
      <c r="BR309" s="239"/>
      <c r="BS309" s="239"/>
      <c r="BT309" s="239"/>
      <c r="BU309" s="239"/>
      <c r="BV309" s="239"/>
      <c r="BW309" s="239"/>
      <c r="BX309" s="239"/>
      <c r="BY309" s="239"/>
      <c r="BZ309" s="239"/>
      <c r="CA309" s="239"/>
      <c r="CB309" s="239"/>
      <c r="CC309" s="239"/>
      <c r="CD309" s="239"/>
      <c r="CE309" s="239"/>
      <c r="CF309" s="239"/>
      <c r="CG309" s="239"/>
    </row>
    <row r="310" spans="1:85" ht="15.75" customHeight="1">
      <c r="A310" s="239"/>
      <c r="B310" s="239"/>
      <c r="C310" s="239"/>
      <c r="D310" s="239"/>
      <c r="E310" s="239"/>
      <c r="F310" s="239"/>
      <c r="G310" s="239"/>
      <c r="H310" s="239"/>
      <c r="I310" s="239"/>
      <c r="J310" s="239"/>
      <c r="K310" s="239"/>
      <c r="L310" s="239"/>
      <c r="M310" s="239"/>
      <c r="N310" s="239"/>
      <c r="O310" s="239"/>
      <c r="P310" s="239"/>
      <c r="Q310" s="239"/>
      <c r="R310" s="239"/>
      <c r="S310" s="239"/>
      <c r="T310" s="239"/>
      <c r="U310" s="239"/>
      <c r="V310" s="239"/>
      <c r="W310" s="239"/>
      <c r="X310" s="239"/>
      <c r="Y310" s="239"/>
      <c r="Z310" s="239"/>
      <c r="AA310" s="239"/>
      <c r="AB310" s="239"/>
      <c r="AC310" s="239"/>
      <c r="AD310" s="239"/>
      <c r="AE310" s="239"/>
      <c r="AF310" s="239"/>
      <c r="AG310" s="239"/>
      <c r="AH310" s="239"/>
      <c r="AI310" s="239"/>
      <c r="AJ310" s="239"/>
      <c r="AK310" s="239"/>
      <c r="AL310" s="239"/>
      <c r="AM310" s="239"/>
      <c r="AN310" s="239"/>
      <c r="AO310" s="239"/>
      <c r="AP310" s="239"/>
      <c r="AQ310" s="239"/>
      <c r="AR310" s="239"/>
      <c r="AS310" s="239"/>
      <c r="AT310" s="239"/>
      <c r="AU310" s="239"/>
      <c r="AV310" s="239"/>
      <c r="AW310" s="239"/>
      <c r="AX310" s="239"/>
      <c r="AY310" s="239"/>
      <c r="AZ310" s="239"/>
      <c r="BA310" s="239"/>
      <c r="BB310" s="239"/>
      <c r="BC310" s="239"/>
      <c r="BD310" s="239"/>
      <c r="BE310" s="239"/>
      <c r="BF310" s="239"/>
      <c r="BG310" s="239"/>
      <c r="BH310" s="239"/>
      <c r="BI310" s="239"/>
      <c r="BJ310" s="239"/>
      <c r="BK310" s="239"/>
      <c r="BL310" s="239"/>
      <c r="BM310" s="239"/>
      <c r="BN310" s="239"/>
      <c r="BO310" s="239"/>
      <c r="BP310" s="239"/>
      <c r="BQ310" s="239"/>
      <c r="BR310" s="239"/>
      <c r="BS310" s="239"/>
      <c r="BT310" s="239"/>
      <c r="BU310" s="239"/>
      <c r="BV310" s="239"/>
      <c r="BW310" s="239"/>
      <c r="BX310" s="239"/>
      <c r="BY310" s="239"/>
      <c r="BZ310" s="239"/>
      <c r="CA310" s="239"/>
      <c r="CB310" s="239"/>
      <c r="CC310" s="239"/>
      <c r="CD310" s="239"/>
      <c r="CE310" s="239"/>
      <c r="CF310" s="239"/>
      <c r="CG310" s="239"/>
    </row>
    <row r="311" spans="1:85" ht="15.75" customHeight="1">
      <c r="A311" s="239"/>
      <c r="B311" s="239"/>
      <c r="C311" s="239"/>
      <c r="D311" s="239"/>
      <c r="E311" s="239"/>
      <c r="F311" s="239"/>
      <c r="G311" s="239"/>
      <c r="H311" s="239"/>
      <c r="I311" s="239"/>
      <c r="J311" s="239"/>
      <c r="K311" s="239"/>
      <c r="L311" s="239"/>
      <c r="M311" s="239"/>
      <c r="N311" s="239"/>
      <c r="O311" s="239"/>
      <c r="P311" s="239"/>
      <c r="Q311" s="239"/>
      <c r="R311" s="239"/>
      <c r="S311" s="239"/>
      <c r="T311" s="239"/>
      <c r="U311" s="239"/>
      <c r="V311" s="239"/>
      <c r="W311" s="239"/>
      <c r="X311" s="239"/>
      <c r="Y311" s="239"/>
      <c r="Z311" s="239"/>
      <c r="AA311" s="239"/>
      <c r="AB311" s="239"/>
      <c r="AC311" s="239"/>
      <c r="AD311" s="239"/>
      <c r="AE311" s="239"/>
      <c r="AF311" s="239"/>
      <c r="AG311" s="239"/>
      <c r="AH311" s="239"/>
      <c r="AI311" s="239"/>
      <c r="AJ311" s="239"/>
      <c r="AK311" s="239"/>
      <c r="AL311" s="239"/>
      <c r="AM311" s="239"/>
      <c r="AN311" s="239"/>
      <c r="AO311" s="239"/>
      <c r="AP311" s="239"/>
      <c r="AQ311" s="239"/>
      <c r="AR311" s="239"/>
      <c r="AS311" s="239"/>
      <c r="AT311" s="239"/>
      <c r="AU311" s="239"/>
      <c r="AV311" s="239"/>
      <c r="AW311" s="239"/>
      <c r="AX311" s="239"/>
      <c r="AY311" s="239"/>
      <c r="AZ311" s="239"/>
      <c r="BA311" s="239"/>
      <c r="BB311" s="239"/>
      <c r="BC311" s="239"/>
      <c r="BD311" s="239"/>
      <c r="BE311" s="239"/>
      <c r="BF311" s="239"/>
      <c r="BG311" s="239"/>
      <c r="BH311" s="239"/>
      <c r="BI311" s="239"/>
      <c r="BJ311" s="239"/>
      <c r="BK311" s="239"/>
      <c r="BL311" s="239"/>
      <c r="BM311" s="239"/>
      <c r="BN311" s="239"/>
      <c r="BO311" s="239"/>
      <c r="BP311" s="239"/>
      <c r="BQ311" s="239"/>
      <c r="BR311" s="239"/>
      <c r="BS311" s="239"/>
      <c r="BT311" s="239"/>
      <c r="BU311" s="239"/>
      <c r="BV311" s="239"/>
      <c r="BW311" s="239"/>
      <c r="BX311" s="239"/>
      <c r="BY311" s="239"/>
      <c r="BZ311" s="239"/>
      <c r="CA311" s="239"/>
      <c r="CB311" s="239"/>
      <c r="CC311" s="239"/>
      <c r="CD311" s="239"/>
      <c r="CE311" s="239"/>
      <c r="CF311" s="239"/>
      <c r="CG311" s="239"/>
    </row>
    <row r="312" spans="1:85" ht="15.75" customHeight="1">
      <c r="A312" s="239"/>
      <c r="B312" s="239"/>
      <c r="C312" s="239"/>
      <c r="D312" s="239"/>
      <c r="E312" s="239"/>
      <c r="F312" s="239"/>
      <c r="G312" s="239"/>
      <c r="H312" s="239"/>
      <c r="I312" s="239"/>
      <c r="J312" s="239"/>
      <c r="K312" s="239"/>
      <c r="L312" s="239"/>
      <c r="M312" s="239"/>
      <c r="N312" s="239"/>
      <c r="O312" s="239"/>
      <c r="P312" s="239"/>
      <c r="Q312" s="239"/>
      <c r="R312" s="239"/>
      <c r="S312" s="239"/>
      <c r="T312" s="239"/>
      <c r="U312" s="239"/>
      <c r="V312" s="239"/>
      <c r="W312" s="239"/>
      <c r="X312" s="239"/>
      <c r="Y312" s="239"/>
      <c r="Z312" s="239"/>
      <c r="AA312" s="239"/>
      <c r="AB312" s="239"/>
      <c r="AC312" s="239"/>
      <c r="AD312" s="239"/>
      <c r="AE312" s="239"/>
      <c r="AF312" s="239"/>
      <c r="AG312" s="239"/>
      <c r="AH312" s="239"/>
      <c r="AI312" s="239"/>
      <c r="AJ312" s="239"/>
      <c r="AK312" s="239"/>
      <c r="AL312" s="239"/>
      <c r="AM312" s="239"/>
      <c r="AN312" s="239"/>
      <c r="AO312" s="239"/>
      <c r="AP312" s="239"/>
      <c r="AQ312" s="239"/>
      <c r="AR312" s="239"/>
      <c r="AS312" s="239"/>
      <c r="AT312" s="239"/>
      <c r="AU312" s="239"/>
      <c r="AV312" s="239"/>
      <c r="AW312" s="239"/>
      <c r="AX312" s="239"/>
      <c r="AY312" s="239"/>
      <c r="AZ312" s="239"/>
      <c r="BA312" s="239"/>
      <c r="BB312" s="239"/>
      <c r="BC312" s="239"/>
      <c r="BD312" s="239"/>
      <c r="BE312" s="239"/>
      <c r="BF312" s="239"/>
      <c r="BG312" s="239"/>
      <c r="BH312" s="239"/>
      <c r="BI312" s="239"/>
      <c r="BJ312" s="239"/>
      <c r="BK312" s="239"/>
      <c r="BL312" s="239"/>
      <c r="BM312" s="239"/>
      <c r="BN312" s="239"/>
      <c r="BO312" s="239"/>
      <c r="BP312" s="239"/>
      <c r="BQ312" s="239"/>
      <c r="BR312" s="239"/>
      <c r="BS312" s="239"/>
      <c r="BT312" s="239"/>
      <c r="BU312" s="239"/>
      <c r="BV312" s="239"/>
      <c r="BW312" s="239"/>
      <c r="BX312" s="239"/>
      <c r="BY312" s="239"/>
      <c r="BZ312" s="239"/>
      <c r="CA312" s="239"/>
      <c r="CB312" s="239"/>
      <c r="CC312" s="239"/>
      <c r="CD312" s="239"/>
      <c r="CE312" s="239"/>
      <c r="CF312" s="239"/>
      <c r="CG312" s="239"/>
    </row>
    <row r="313" spans="1:85" ht="15.75" customHeight="1">
      <c r="A313" s="239"/>
      <c r="B313" s="239"/>
      <c r="C313" s="239"/>
      <c r="D313" s="239"/>
      <c r="E313" s="239"/>
      <c r="F313" s="239"/>
      <c r="G313" s="239"/>
      <c r="H313" s="239"/>
      <c r="I313" s="239"/>
      <c r="J313" s="239"/>
      <c r="K313" s="239"/>
      <c r="L313" s="239"/>
      <c r="M313" s="239"/>
      <c r="N313" s="239"/>
      <c r="O313" s="239"/>
      <c r="P313" s="239"/>
      <c r="Q313" s="239"/>
      <c r="R313" s="239"/>
      <c r="S313" s="239"/>
      <c r="T313" s="239"/>
      <c r="U313" s="239"/>
      <c r="V313" s="239"/>
      <c r="W313" s="239"/>
      <c r="X313" s="239"/>
      <c r="Y313" s="239"/>
      <c r="Z313" s="239"/>
      <c r="AA313" s="239"/>
      <c r="AB313" s="239"/>
      <c r="AC313" s="239"/>
      <c r="AD313" s="239"/>
      <c r="AE313" s="239"/>
      <c r="AF313" s="239"/>
      <c r="AG313" s="239"/>
      <c r="AH313" s="239"/>
      <c r="AI313" s="239"/>
      <c r="AJ313" s="239"/>
      <c r="AK313" s="239"/>
      <c r="AL313" s="239"/>
      <c r="AM313" s="239"/>
      <c r="AN313" s="239"/>
      <c r="AO313" s="239"/>
      <c r="AP313" s="239"/>
      <c r="AQ313" s="239"/>
      <c r="AR313" s="239"/>
      <c r="AS313" s="239"/>
      <c r="AT313" s="239"/>
      <c r="AU313" s="239"/>
      <c r="AV313" s="239"/>
      <c r="AW313" s="239"/>
      <c r="AX313" s="239"/>
      <c r="AY313" s="239"/>
      <c r="AZ313" s="239"/>
      <c r="BA313" s="239"/>
      <c r="BB313" s="239"/>
      <c r="BC313" s="239"/>
      <c r="BD313" s="239"/>
      <c r="BE313" s="239"/>
      <c r="BF313" s="239"/>
      <c r="BG313" s="239"/>
      <c r="BH313" s="239"/>
      <c r="BI313" s="239"/>
      <c r="BJ313" s="239"/>
      <c r="BK313" s="239"/>
      <c r="BL313" s="239"/>
      <c r="BM313" s="239"/>
      <c r="BN313" s="239"/>
      <c r="BO313" s="239"/>
      <c r="BP313" s="239"/>
      <c r="BQ313" s="239"/>
      <c r="BR313" s="239"/>
      <c r="BS313" s="239"/>
      <c r="BT313" s="239"/>
      <c r="BU313" s="239"/>
      <c r="BV313" s="239"/>
      <c r="BW313" s="239"/>
      <c r="BX313" s="239"/>
      <c r="BY313" s="239"/>
      <c r="BZ313" s="239"/>
      <c r="CA313" s="239"/>
      <c r="CB313" s="239"/>
      <c r="CC313" s="239"/>
      <c r="CD313" s="239"/>
      <c r="CE313" s="239"/>
      <c r="CF313" s="239"/>
      <c r="CG313" s="239"/>
    </row>
    <row r="314" spans="1:85" ht="15.75" customHeight="1">
      <c r="A314" s="239"/>
      <c r="B314" s="239"/>
      <c r="C314" s="239"/>
      <c r="D314" s="239"/>
      <c r="E314" s="239"/>
      <c r="F314" s="239"/>
      <c r="G314" s="239"/>
      <c r="H314" s="239"/>
      <c r="I314" s="239"/>
      <c r="J314" s="239"/>
      <c r="K314" s="239"/>
      <c r="L314" s="239"/>
      <c r="M314" s="239"/>
      <c r="N314" s="239"/>
      <c r="O314" s="239"/>
      <c r="P314" s="239"/>
      <c r="Q314" s="239"/>
      <c r="R314" s="239"/>
      <c r="S314" s="239"/>
      <c r="T314" s="239"/>
      <c r="U314" s="239"/>
      <c r="V314" s="239"/>
      <c r="W314" s="239"/>
      <c r="X314" s="239"/>
      <c r="Y314" s="239"/>
      <c r="Z314" s="239"/>
      <c r="AA314" s="239"/>
      <c r="AB314" s="239"/>
      <c r="AC314" s="239"/>
      <c r="AD314" s="239"/>
      <c r="AE314" s="239"/>
      <c r="AF314" s="239"/>
      <c r="AG314" s="239"/>
      <c r="AH314" s="239"/>
      <c r="AI314" s="239"/>
      <c r="AJ314" s="239"/>
      <c r="AK314" s="239"/>
      <c r="AL314" s="239"/>
      <c r="AM314" s="239"/>
      <c r="AN314" s="239"/>
      <c r="AO314" s="239"/>
      <c r="AP314" s="239"/>
      <c r="AQ314" s="239"/>
      <c r="AR314" s="239"/>
      <c r="AS314" s="239"/>
      <c r="AT314" s="239"/>
      <c r="AU314" s="239"/>
      <c r="AV314" s="239"/>
      <c r="AW314" s="239"/>
      <c r="AX314" s="239"/>
      <c r="AY314" s="239"/>
      <c r="AZ314" s="239"/>
      <c r="BA314" s="239"/>
      <c r="BB314" s="239"/>
      <c r="BC314" s="239"/>
      <c r="BD314" s="239"/>
      <c r="BE314" s="239"/>
      <c r="BF314" s="239"/>
      <c r="BG314" s="239"/>
      <c r="BH314" s="239"/>
      <c r="BI314" s="239"/>
      <c r="BJ314" s="239"/>
      <c r="BK314" s="239"/>
      <c r="BL314" s="239"/>
      <c r="BM314" s="239"/>
      <c r="BN314" s="239"/>
      <c r="BO314" s="239"/>
      <c r="BP314" s="239"/>
      <c r="BQ314" s="239"/>
      <c r="BR314" s="239"/>
      <c r="BS314" s="239"/>
      <c r="BT314" s="239"/>
      <c r="BU314" s="239"/>
      <c r="BV314" s="239"/>
      <c r="BW314" s="239"/>
      <c r="BX314" s="239"/>
      <c r="BY314" s="239"/>
      <c r="BZ314" s="239"/>
      <c r="CA314" s="239"/>
      <c r="CB314" s="239"/>
      <c r="CC314" s="239"/>
      <c r="CD314" s="239"/>
      <c r="CE314" s="239"/>
      <c r="CF314" s="239"/>
      <c r="CG314" s="239"/>
    </row>
    <row r="315" spans="1:85" ht="15.75" customHeight="1">
      <c r="A315" s="239"/>
      <c r="B315" s="239"/>
      <c r="C315" s="239"/>
      <c r="D315" s="239"/>
      <c r="E315" s="239"/>
      <c r="F315" s="239"/>
      <c r="G315" s="239"/>
      <c r="H315" s="239"/>
      <c r="I315" s="239"/>
      <c r="J315" s="239"/>
      <c r="K315" s="239"/>
      <c r="L315" s="239"/>
      <c r="M315" s="239"/>
      <c r="N315" s="239"/>
      <c r="O315" s="239"/>
      <c r="P315" s="239"/>
      <c r="Q315" s="239"/>
      <c r="R315" s="239"/>
      <c r="S315" s="239"/>
      <c r="T315" s="239"/>
      <c r="U315" s="239"/>
      <c r="V315" s="239"/>
      <c r="W315" s="239"/>
      <c r="X315" s="239"/>
      <c r="Y315" s="239"/>
      <c r="Z315" s="239"/>
      <c r="AA315" s="239"/>
      <c r="AB315" s="239"/>
      <c r="AC315" s="239"/>
      <c r="AD315" s="239"/>
      <c r="AE315" s="239"/>
      <c r="AF315" s="239"/>
      <c r="AG315" s="239"/>
      <c r="AH315" s="239"/>
      <c r="AI315" s="239"/>
      <c r="AJ315" s="239"/>
      <c r="AK315" s="239"/>
      <c r="AL315" s="239"/>
      <c r="AM315" s="239"/>
      <c r="AN315" s="239"/>
      <c r="AO315" s="239"/>
      <c r="AP315" s="239"/>
      <c r="AQ315" s="239"/>
      <c r="AR315" s="239"/>
      <c r="AS315" s="239"/>
      <c r="AT315" s="239"/>
      <c r="AU315" s="239"/>
      <c r="AV315" s="239"/>
      <c r="AW315" s="239"/>
      <c r="AX315" s="239"/>
      <c r="AY315" s="239"/>
      <c r="AZ315" s="239"/>
      <c r="BA315" s="239"/>
      <c r="BB315" s="239"/>
      <c r="BC315" s="239"/>
      <c r="BD315" s="239"/>
      <c r="BE315" s="239"/>
      <c r="BF315" s="239"/>
      <c r="BG315" s="239"/>
      <c r="BH315" s="239"/>
      <c r="BI315" s="239"/>
      <c r="BJ315" s="239"/>
      <c r="BK315" s="239"/>
      <c r="BL315" s="239"/>
      <c r="BM315" s="239"/>
      <c r="BN315" s="239"/>
      <c r="BO315" s="239"/>
      <c r="BP315" s="239"/>
      <c r="BQ315" s="239"/>
      <c r="BR315" s="239"/>
      <c r="BS315" s="239"/>
      <c r="BT315" s="239"/>
      <c r="BU315" s="239"/>
      <c r="BV315" s="239"/>
      <c r="BW315" s="239"/>
      <c r="BX315" s="239"/>
      <c r="BY315" s="239"/>
      <c r="BZ315" s="239"/>
      <c r="CA315" s="239"/>
      <c r="CB315" s="239"/>
      <c r="CC315" s="239"/>
      <c r="CD315" s="239"/>
      <c r="CE315" s="239"/>
      <c r="CF315" s="239"/>
      <c r="CG315" s="239"/>
    </row>
    <row r="316" spans="1:85" ht="15.75" customHeight="1">
      <c r="A316" s="239"/>
      <c r="B316" s="239"/>
      <c r="C316" s="239"/>
      <c r="D316" s="239"/>
      <c r="E316" s="239"/>
      <c r="F316" s="239"/>
      <c r="G316" s="239"/>
      <c r="H316" s="239"/>
      <c r="I316" s="239"/>
      <c r="J316" s="239"/>
      <c r="K316" s="239"/>
      <c r="L316" s="239"/>
      <c r="M316" s="239"/>
      <c r="N316" s="239"/>
      <c r="O316" s="239"/>
      <c r="P316" s="239"/>
      <c r="Q316" s="239"/>
      <c r="R316" s="239"/>
      <c r="S316" s="239"/>
      <c r="T316" s="239"/>
      <c r="U316" s="239"/>
      <c r="V316" s="239"/>
      <c r="W316" s="239"/>
      <c r="X316" s="239"/>
      <c r="Y316" s="239"/>
      <c r="Z316" s="239"/>
      <c r="AA316" s="239"/>
      <c r="AB316" s="239"/>
      <c r="AC316" s="239"/>
      <c r="AD316" s="239"/>
      <c r="AE316" s="239"/>
      <c r="AF316" s="239"/>
      <c r="AG316" s="239"/>
      <c r="AH316" s="239"/>
      <c r="AI316" s="239"/>
      <c r="AJ316" s="239"/>
      <c r="AK316" s="239"/>
      <c r="AL316" s="239"/>
      <c r="AM316" s="239"/>
      <c r="AN316" s="239"/>
      <c r="AO316" s="239"/>
      <c r="AP316" s="239"/>
      <c r="AQ316" s="239"/>
      <c r="AR316" s="239"/>
      <c r="AS316" s="239"/>
      <c r="AT316" s="239"/>
      <c r="AU316" s="239"/>
      <c r="AV316" s="239"/>
      <c r="AW316" s="239"/>
      <c r="AX316" s="239"/>
      <c r="AY316" s="239"/>
      <c r="AZ316" s="239"/>
      <c r="BA316" s="239"/>
      <c r="BB316" s="239"/>
      <c r="BC316" s="239"/>
      <c r="BD316" s="239"/>
      <c r="BE316" s="239"/>
      <c r="BF316" s="239"/>
      <c r="BG316" s="239"/>
      <c r="BH316" s="239"/>
      <c r="BI316" s="239"/>
      <c r="BJ316" s="239"/>
      <c r="BK316" s="239"/>
      <c r="BL316" s="239"/>
      <c r="BM316" s="239"/>
      <c r="BN316" s="239"/>
      <c r="BO316" s="239"/>
      <c r="BP316" s="239"/>
      <c r="BQ316" s="239"/>
      <c r="BR316" s="239"/>
      <c r="BS316" s="239"/>
      <c r="BT316" s="239"/>
      <c r="BU316" s="239"/>
      <c r="BV316" s="239"/>
      <c r="BW316" s="239"/>
      <c r="BX316" s="239"/>
      <c r="BY316" s="239"/>
      <c r="BZ316" s="239"/>
      <c r="CA316" s="239"/>
      <c r="CB316" s="239"/>
      <c r="CC316" s="239"/>
      <c r="CD316" s="239"/>
      <c r="CE316" s="239"/>
      <c r="CF316" s="239"/>
      <c r="CG316" s="239"/>
    </row>
    <row r="317" spans="1:85" ht="15.75" customHeight="1">
      <c r="A317" s="239"/>
      <c r="B317" s="239"/>
      <c r="C317" s="239"/>
      <c r="D317" s="239"/>
      <c r="E317" s="239"/>
      <c r="F317" s="239"/>
      <c r="G317" s="239"/>
      <c r="H317" s="239"/>
      <c r="I317" s="239"/>
      <c r="J317" s="239"/>
      <c r="K317" s="239"/>
      <c r="L317" s="239"/>
      <c r="M317" s="239"/>
      <c r="N317" s="239"/>
      <c r="O317" s="239"/>
      <c r="P317" s="239"/>
      <c r="Q317" s="239"/>
      <c r="R317" s="239"/>
      <c r="S317" s="239"/>
      <c r="T317" s="239"/>
      <c r="U317" s="239"/>
      <c r="V317" s="239"/>
      <c r="W317" s="239"/>
      <c r="X317" s="239"/>
      <c r="Y317" s="239"/>
      <c r="Z317" s="239"/>
      <c r="AA317" s="239"/>
      <c r="AB317" s="239"/>
      <c r="AC317" s="239"/>
      <c r="AD317" s="239"/>
      <c r="AE317" s="239"/>
      <c r="AF317" s="239"/>
      <c r="AG317" s="239"/>
      <c r="AH317" s="239"/>
      <c r="AI317" s="239"/>
      <c r="AJ317" s="239"/>
      <c r="AK317" s="239"/>
      <c r="AL317" s="239"/>
      <c r="AM317" s="239"/>
      <c r="AN317" s="239"/>
      <c r="AO317" s="239"/>
      <c r="AP317" s="239"/>
      <c r="AQ317" s="239"/>
      <c r="AR317" s="239"/>
      <c r="AS317" s="239"/>
      <c r="AT317" s="239"/>
      <c r="AU317" s="239"/>
      <c r="AV317" s="239"/>
      <c r="AW317" s="239"/>
      <c r="AX317" s="239"/>
      <c r="AY317" s="239"/>
      <c r="AZ317" s="239"/>
      <c r="BA317" s="239"/>
      <c r="BB317" s="239"/>
      <c r="BC317" s="239"/>
      <c r="BD317" s="239"/>
      <c r="BE317" s="239"/>
      <c r="BF317" s="239"/>
      <c r="BG317" s="239"/>
      <c r="BH317" s="239"/>
      <c r="BI317" s="239"/>
      <c r="BJ317" s="239"/>
      <c r="BK317" s="239"/>
      <c r="BL317" s="239"/>
      <c r="BM317" s="239"/>
      <c r="BN317" s="239"/>
      <c r="BO317" s="239"/>
      <c r="BP317" s="239"/>
      <c r="BQ317" s="239"/>
      <c r="BR317" s="239"/>
      <c r="BS317" s="239"/>
      <c r="BT317" s="239"/>
      <c r="BU317" s="239"/>
      <c r="BV317" s="239"/>
      <c r="BW317" s="239"/>
      <c r="BX317" s="239"/>
      <c r="BY317" s="239"/>
      <c r="BZ317" s="239"/>
      <c r="CA317" s="239"/>
      <c r="CB317" s="239"/>
      <c r="CC317" s="239"/>
      <c r="CD317" s="239"/>
      <c r="CE317" s="239"/>
      <c r="CF317" s="239"/>
      <c r="CG317" s="239"/>
    </row>
    <row r="318" spans="1:85" ht="15.75" customHeight="1">
      <c r="A318" s="239"/>
      <c r="B318" s="239"/>
      <c r="C318" s="239"/>
      <c r="D318" s="239"/>
      <c r="E318" s="239"/>
      <c r="F318" s="239"/>
      <c r="G318" s="239"/>
      <c r="H318" s="239"/>
      <c r="I318" s="239"/>
      <c r="J318" s="239"/>
      <c r="K318" s="239"/>
      <c r="L318" s="239"/>
      <c r="M318" s="239"/>
      <c r="N318" s="239"/>
      <c r="O318" s="239"/>
      <c r="P318" s="239"/>
      <c r="Q318" s="239"/>
      <c r="R318" s="239"/>
      <c r="S318" s="239"/>
      <c r="T318" s="239"/>
      <c r="U318" s="239"/>
      <c r="V318" s="239"/>
      <c r="W318" s="239"/>
      <c r="X318" s="239"/>
      <c r="Y318" s="239"/>
      <c r="Z318" s="239"/>
      <c r="AA318" s="239"/>
      <c r="AB318" s="239"/>
      <c r="AC318" s="239"/>
      <c r="AD318" s="239"/>
      <c r="AE318" s="239"/>
      <c r="AF318" s="239"/>
      <c r="AG318" s="239"/>
      <c r="AH318" s="239"/>
      <c r="AI318" s="239"/>
      <c r="AJ318" s="239"/>
      <c r="AK318" s="239"/>
      <c r="AL318" s="239"/>
      <c r="AM318" s="239"/>
      <c r="AN318" s="239"/>
      <c r="AO318" s="239"/>
      <c r="AP318" s="239"/>
      <c r="AQ318" s="239"/>
      <c r="AR318" s="239"/>
      <c r="AS318" s="239"/>
      <c r="AT318" s="239"/>
      <c r="AU318" s="239"/>
      <c r="AV318" s="239"/>
      <c r="AW318" s="239"/>
      <c r="AX318" s="239"/>
      <c r="AY318" s="239"/>
      <c r="AZ318" s="239"/>
      <c r="BA318" s="239"/>
      <c r="BB318" s="239"/>
      <c r="BC318" s="239"/>
      <c r="BD318" s="239"/>
      <c r="BE318" s="239"/>
      <c r="BF318" s="239"/>
      <c r="BG318" s="239"/>
      <c r="BH318" s="239"/>
      <c r="BI318" s="239"/>
      <c r="BJ318" s="239"/>
      <c r="BK318" s="239"/>
      <c r="BL318" s="239"/>
      <c r="BM318" s="239"/>
      <c r="BN318" s="239"/>
      <c r="BO318" s="239"/>
      <c r="BP318" s="239"/>
      <c r="BQ318" s="239"/>
      <c r="BR318" s="239"/>
      <c r="BS318" s="239"/>
      <c r="BT318" s="239"/>
      <c r="BU318" s="239"/>
      <c r="BV318" s="239"/>
      <c r="BW318" s="239"/>
      <c r="BX318" s="239"/>
      <c r="BY318" s="239"/>
      <c r="BZ318" s="239"/>
      <c r="CA318" s="239"/>
      <c r="CB318" s="239"/>
      <c r="CC318" s="239"/>
      <c r="CD318" s="239"/>
      <c r="CE318" s="239"/>
      <c r="CF318" s="239"/>
      <c r="CG318" s="239"/>
    </row>
    <row r="319" spans="1:85" ht="15.75" customHeight="1">
      <c r="A319" s="239"/>
      <c r="B319" s="239"/>
      <c r="C319" s="239"/>
      <c r="D319" s="239"/>
      <c r="E319" s="239"/>
      <c r="F319" s="239"/>
      <c r="G319" s="239"/>
      <c r="H319" s="239"/>
      <c r="I319" s="239"/>
      <c r="J319" s="239"/>
      <c r="K319" s="239"/>
      <c r="L319" s="239"/>
      <c r="M319" s="239"/>
      <c r="N319" s="239"/>
      <c r="O319" s="239"/>
      <c r="P319" s="239"/>
      <c r="Q319" s="239"/>
      <c r="R319" s="239"/>
      <c r="S319" s="239"/>
      <c r="T319" s="239"/>
      <c r="U319" s="239"/>
      <c r="V319" s="239"/>
      <c r="W319" s="239"/>
      <c r="X319" s="239"/>
      <c r="Y319" s="239"/>
      <c r="Z319" s="239"/>
      <c r="AA319" s="239"/>
      <c r="AB319" s="239"/>
      <c r="AC319" s="239"/>
      <c r="AD319" s="239"/>
      <c r="AE319" s="239"/>
      <c r="AF319" s="239"/>
      <c r="AG319" s="239"/>
      <c r="AH319" s="239"/>
      <c r="AI319" s="239"/>
      <c r="AJ319" s="239"/>
      <c r="AK319" s="239"/>
      <c r="AL319" s="239"/>
      <c r="AM319" s="239"/>
      <c r="AN319" s="239"/>
      <c r="AO319" s="239"/>
      <c r="AP319" s="239"/>
      <c r="AQ319" s="239"/>
      <c r="AR319" s="239"/>
      <c r="AS319" s="239"/>
      <c r="AT319" s="239"/>
      <c r="AU319" s="239"/>
      <c r="AV319" s="239"/>
      <c r="AW319" s="239"/>
      <c r="AX319" s="239"/>
      <c r="AY319" s="239"/>
      <c r="AZ319" s="239"/>
      <c r="BA319" s="239"/>
      <c r="BB319" s="239"/>
      <c r="BC319" s="239"/>
      <c r="BD319" s="239"/>
      <c r="BE319" s="239"/>
      <c r="BF319" s="239"/>
      <c r="BG319" s="239"/>
      <c r="BH319" s="239"/>
      <c r="BI319" s="239"/>
      <c r="BJ319" s="239"/>
      <c r="BK319" s="239"/>
      <c r="BL319" s="239"/>
      <c r="BM319" s="239"/>
      <c r="BN319" s="239"/>
      <c r="BO319" s="239"/>
      <c r="BP319" s="239"/>
      <c r="BQ319" s="239"/>
      <c r="BR319" s="239"/>
      <c r="BS319" s="239"/>
      <c r="BT319" s="239"/>
      <c r="BU319" s="239"/>
      <c r="BV319" s="239"/>
      <c r="BW319" s="239"/>
      <c r="BX319" s="239"/>
      <c r="BY319" s="239"/>
      <c r="BZ319" s="239"/>
      <c r="CA319" s="239"/>
      <c r="CB319" s="239"/>
      <c r="CC319" s="239"/>
      <c r="CD319" s="239"/>
      <c r="CE319" s="239"/>
      <c r="CF319" s="239"/>
      <c r="CG319" s="239"/>
    </row>
    <row r="320" spans="1:85" ht="15.75" customHeight="1">
      <c r="A320" s="239"/>
      <c r="B320" s="239"/>
      <c r="C320" s="239"/>
      <c r="D320" s="239"/>
      <c r="E320" s="239"/>
      <c r="F320" s="239"/>
      <c r="G320" s="239"/>
      <c r="H320" s="239"/>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39"/>
      <c r="AO320" s="239"/>
      <c r="AP320" s="239"/>
      <c r="AQ320" s="239"/>
      <c r="AR320" s="239"/>
      <c r="AS320" s="239"/>
      <c r="AT320" s="239"/>
      <c r="AU320" s="239"/>
      <c r="AV320" s="239"/>
      <c r="AW320" s="239"/>
      <c r="AX320" s="239"/>
      <c r="AY320" s="239"/>
      <c r="AZ320" s="239"/>
      <c r="BA320" s="239"/>
      <c r="BB320" s="239"/>
      <c r="BC320" s="239"/>
      <c r="BD320" s="239"/>
      <c r="BE320" s="239"/>
      <c r="BF320" s="239"/>
      <c r="BG320" s="239"/>
      <c r="BH320" s="239"/>
      <c r="BI320" s="239"/>
      <c r="BJ320" s="239"/>
      <c r="BK320" s="239"/>
      <c r="BL320" s="239"/>
      <c r="BM320" s="239"/>
      <c r="BN320" s="239"/>
      <c r="BO320" s="239"/>
      <c r="BP320" s="239"/>
      <c r="BQ320" s="239"/>
      <c r="BR320" s="239"/>
      <c r="BS320" s="239"/>
      <c r="BT320" s="239"/>
      <c r="BU320" s="239"/>
      <c r="BV320" s="239"/>
      <c r="BW320" s="239"/>
      <c r="BX320" s="239"/>
      <c r="BY320" s="239"/>
      <c r="BZ320" s="239"/>
      <c r="CA320" s="239"/>
      <c r="CB320" s="239"/>
      <c r="CC320" s="239"/>
      <c r="CD320" s="239"/>
      <c r="CE320" s="239"/>
      <c r="CF320" s="239"/>
      <c r="CG320" s="239"/>
    </row>
    <row r="321" spans="1:85" ht="15.75" customHeight="1">
      <c r="A321" s="239"/>
      <c r="B321" s="239"/>
      <c r="C321" s="239"/>
      <c r="D321" s="239"/>
      <c r="E321" s="239"/>
      <c r="F321" s="239"/>
      <c r="G321" s="239"/>
      <c r="H321" s="239"/>
      <c r="I321" s="239"/>
      <c r="J321" s="239"/>
      <c r="K321" s="239"/>
      <c r="L321" s="239"/>
      <c r="M321" s="239"/>
      <c r="N321" s="239"/>
      <c r="O321" s="239"/>
      <c r="P321" s="239"/>
      <c r="Q321" s="239"/>
      <c r="R321" s="239"/>
      <c r="S321" s="239"/>
      <c r="T321" s="239"/>
      <c r="U321" s="239"/>
      <c r="V321" s="239"/>
      <c r="W321" s="239"/>
      <c r="X321" s="239"/>
      <c r="Y321" s="239"/>
      <c r="Z321" s="239"/>
      <c r="AA321" s="239"/>
      <c r="AB321" s="239"/>
      <c r="AC321" s="239"/>
      <c r="AD321" s="239"/>
      <c r="AE321" s="239"/>
      <c r="AF321" s="239"/>
      <c r="AG321" s="239"/>
      <c r="AH321" s="239"/>
      <c r="AI321" s="239"/>
      <c r="AJ321" s="239"/>
      <c r="AK321" s="239"/>
      <c r="AL321" s="239"/>
      <c r="AM321" s="239"/>
      <c r="AN321" s="239"/>
      <c r="AO321" s="239"/>
      <c r="AP321" s="239"/>
      <c r="AQ321" s="239"/>
      <c r="AR321" s="239"/>
      <c r="AS321" s="239"/>
      <c r="AT321" s="239"/>
      <c r="AU321" s="239"/>
      <c r="AV321" s="239"/>
      <c r="AW321" s="239"/>
      <c r="AX321" s="239"/>
      <c r="AY321" s="239"/>
      <c r="AZ321" s="239"/>
      <c r="BA321" s="239"/>
      <c r="BB321" s="239"/>
      <c r="BC321" s="239"/>
      <c r="BD321" s="239"/>
      <c r="BE321" s="239"/>
      <c r="BF321" s="239"/>
      <c r="BG321" s="239"/>
      <c r="BH321" s="239"/>
      <c r="BI321" s="239"/>
      <c r="BJ321" s="239"/>
      <c r="BK321" s="239"/>
      <c r="BL321" s="239"/>
      <c r="BM321" s="239"/>
      <c r="BN321" s="239"/>
      <c r="BO321" s="239"/>
      <c r="BP321" s="239"/>
      <c r="BQ321" s="239"/>
      <c r="BR321" s="239"/>
      <c r="BS321" s="239"/>
      <c r="BT321" s="239"/>
      <c r="BU321" s="239"/>
      <c r="BV321" s="239"/>
      <c r="BW321" s="239"/>
      <c r="BX321" s="239"/>
      <c r="BY321" s="239"/>
      <c r="BZ321" s="239"/>
      <c r="CA321" s="239"/>
      <c r="CB321" s="239"/>
      <c r="CC321" s="239"/>
      <c r="CD321" s="239"/>
      <c r="CE321" s="239"/>
      <c r="CF321" s="239"/>
      <c r="CG321" s="239"/>
    </row>
    <row r="322" spans="1:85" ht="15.75" customHeight="1">
      <c r="A322" s="239"/>
      <c r="B322" s="239"/>
      <c r="C322" s="239"/>
      <c r="D322" s="239"/>
      <c r="E322" s="239"/>
      <c r="F322" s="239"/>
      <c r="G322" s="239"/>
      <c r="H322" s="239"/>
      <c r="I322" s="239"/>
      <c r="J322" s="239"/>
      <c r="K322" s="239"/>
      <c r="L322" s="239"/>
      <c r="M322" s="239"/>
      <c r="N322" s="239"/>
      <c r="O322" s="239"/>
      <c r="P322" s="239"/>
      <c r="Q322" s="239"/>
      <c r="R322" s="239"/>
      <c r="S322" s="239"/>
      <c r="T322" s="239"/>
      <c r="U322" s="239"/>
      <c r="V322" s="239"/>
      <c r="W322" s="239"/>
      <c r="X322" s="239"/>
      <c r="Y322" s="239"/>
      <c r="Z322" s="239"/>
      <c r="AA322" s="239"/>
      <c r="AB322" s="239"/>
      <c r="AC322" s="239"/>
      <c r="AD322" s="239"/>
      <c r="AE322" s="239"/>
      <c r="AF322" s="239"/>
      <c r="AG322" s="239"/>
      <c r="AH322" s="239"/>
      <c r="AI322" s="239"/>
      <c r="AJ322" s="239"/>
      <c r="AK322" s="239"/>
      <c r="AL322" s="239"/>
      <c r="AM322" s="239"/>
      <c r="AN322" s="239"/>
      <c r="AO322" s="239"/>
      <c r="AP322" s="239"/>
      <c r="AQ322" s="239"/>
      <c r="AR322" s="239"/>
      <c r="AS322" s="239"/>
      <c r="AT322" s="239"/>
      <c r="AU322" s="239"/>
      <c r="AV322" s="239"/>
      <c r="AW322" s="239"/>
      <c r="AX322" s="239"/>
      <c r="AY322" s="239"/>
      <c r="AZ322" s="239"/>
      <c r="BA322" s="239"/>
      <c r="BB322" s="239"/>
      <c r="BC322" s="239"/>
      <c r="BD322" s="239"/>
      <c r="BE322" s="239"/>
      <c r="BF322" s="239"/>
      <c r="BG322" s="239"/>
      <c r="BH322" s="239"/>
      <c r="BI322" s="239"/>
      <c r="BJ322" s="239"/>
      <c r="BK322" s="239"/>
      <c r="BL322" s="239"/>
      <c r="BM322" s="239"/>
      <c r="BN322" s="239"/>
      <c r="BO322" s="239"/>
      <c r="BP322" s="239"/>
      <c r="BQ322" s="239"/>
      <c r="BR322" s="239"/>
      <c r="BS322" s="239"/>
      <c r="BT322" s="239"/>
      <c r="BU322" s="239"/>
      <c r="BV322" s="239"/>
      <c r="BW322" s="239"/>
      <c r="BX322" s="239"/>
      <c r="BY322" s="239"/>
      <c r="BZ322" s="239"/>
      <c r="CA322" s="239"/>
      <c r="CB322" s="239"/>
      <c r="CC322" s="239"/>
      <c r="CD322" s="239"/>
      <c r="CE322" s="239"/>
      <c r="CF322" s="239"/>
      <c r="CG322" s="239"/>
    </row>
    <row r="323" spans="1:85" ht="15.75" customHeight="1">
      <c r="A323" s="239"/>
      <c r="B323" s="239"/>
      <c r="C323" s="239"/>
      <c r="D323" s="239"/>
      <c r="E323" s="239"/>
      <c r="F323" s="239"/>
      <c r="G323" s="239"/>
      <c r="H323" s="239"/>
      <c r="I323" s="239"/>
      <c r="J323" s="239"/>
      <c r="K323" s="239"/>
      <c r="L323" s="239"/>
      <c r="M323" s="239"/>
      <c r="N323" s="239"/>
      <c r="O323" s="239"/>
      <c r="P323" s="239"/>
      <c r="Q323" s="239"/>
      <c r="R323" s="239"/>
      <c r="S323" s="239"/>
      <c r="T323" s="239"/>
      <c r="U323" s="239"/>
      <c r="V323" s="239"/>
      <c r="W323" s="239"/>
      <c r="X323" s="239"/>
      <c r="Y323" s="239"/>
      <c r="Z323" s="239"/>
      <c r="AA323" s="239"/>
      <c r="AB323" s="239"/>
      <c r="AC323" s="239"/>
      <c r="AD323" s="239"/>
      <c r="AE323" s="239"/>
      <c r="AF323" s="239"/>
      <c r="AG323" s="239"/>
      <c r="AH323" s="239"/>
      <c r="AI323" s="239"/>
      <c r="AJ323" s="239"/>
      <c r="AK323" s="239"/>
      <c r="AL323" s="239"/>
      <c r="AM323" s="239"/>
      <c r="AN323" s="239"/>
      <c r="AO323" s="239"/>
      <c r="AP323" s="239"/>
      <c r="AQ323" s="239"/>
      <c r="AR323" s="239"/>
      <c r="AS323" s="239"/>
      <c r="AT323" s="239"/>
      <c r="AU323" s="239"/>
      <c r="AV323" s="239"/>
      <c r="AW323" s="239"/>
      <c r="AX323" s="239"/>
      <c r="AY323" s="239"/>
      <c r="AZ323" s="239"/>
      <c r="BA323" s="239"/>
      <c r="BB323" s="239"/>
      <c r="BC323" s="239"/>
      <c r="BD323" s="239"/>
      <c r="BE323" s="239"/>
      <c r="BF323" s="239"/>
      <c r="BG323" s="239"/>
      <c r="BH323" s="239"/>
      <c r="BI323" s="239"/>
      <c r="BJ323" s="239"/>
      <c r="BK323" s="239"/>
      <c r="BL323" s="239"/>
      <c r="BM323" s="239"/>
      <c r="BN323" s="239"/>
      <c r="BO323" s="239"/>
      <c r="BP323" s="239"/>
      <c r="BQ323" s="239"/>
      <c r="BR323" s="239"/>
      <c r="BS323" s="239"/>
      <c r="BT323" s="239"/>
      <c r="BU323" s="239"/>
      <c r="BV323" s="239"/>
      <c r="BW323" s="239"/>
      <c r="BX323" s="239"/>
      <c r="BY323" s="239"/>
      <c r="BZ323" s="239"/>
      <c r="CA323" s="239"/>
      <c r="CB323" s="239"/>
      <c r="CC323" s="239"/>
      <c r="CD323" s="239"/>
      <c r="CE323" s="239"/>
      <c r="CF323" s="239"/>
      <c r="CG323" s="239"/>
    </row>
    <row r="324" spans="1:85" ht="15.75" customHeight="1">
      <c r="A324" s="239"/>
      <c r="B324" s="239"/>
      <c r="C324" s="239"/>
      <c r="D324" s="239"/>
      <c r="E324" s="239"/>
      <c r="F324" s="239"/>
      <c r="G324" s="239"/>
      <c r="H324" s="239"/>
      <c r="I324" s="239"/>
      <c r="J324" s="239"/>
      <c r="K324" s="239"/>
      <c r="L324" s="239"/>
      <c r="M324" s="239"/>
      <c r="N324" s="239"/>
      <c r="O324" s="239"/>
      <c r="P324" s="239"/>
      <c r="Q324" s="239"/>
      <c r="R324" s="239"/>
      <c r="S324" s="239"/>
      <c r="T324" s="239"/>
      <c r="U324" s="239"/>
      <c r="V324" s="239"/>
      <c r="W324" s="239"/>
      <c r="X324" s="239"/>
      <c r="Y324" s="239"/>
      <c r="Z324" s="239"/>
      <c r="AA324" s="239"/>
      <c r="AB324" s="239"/>
      <c r="AC324" s="239"/>
      <c r="AD324" s="239"/>
      <c r="AE324" s="239"/>
      <c r="AF324" s="239"/>
      <c r="AG324" s="239"/>
      <c r="AH324" s="239"/>
      <c r="AI324" s="239"/>
      <c r="AJ324" s="239"/>
      <c r="AK324" s="239"/>
      <c r="AL324" s="239"/>
      <c r="AM324" s="239"/>
      <c r="AN324" s="239"/>
      <c r="AO324" s="239"/>
      <c r="AP324" s="239"/>
      <c r="AQ324" s="239"/>
      <c r="AR324" s="239"/>
      <c r="AS324" s="239"/>
      <c r="AT324" s="239"/>
      <c r="AU324" s="239"/>
      <c r="AV324" s="239"/>
      <c r="AW324" s="239"/>
      <c r="AX324" s="239"/>
      <c r="AY324" s="239"/>
      <c r="AZ324" s="239"/>
      <c r="BA324" s="239"/>
      <c r="BB324" s="239"/>
      <c r="BC324" s="239"/>
      <c r="BD324" s="239"/>
      <c r="BE324" s="239"/>
      <c r="BF324" s="239"/>
      <c r="BG324" s="239"/>
      <c r="BH324" s="239"/>
      <c r="BI324" s="239"/>
      <c r="BJ324" s="239"/>
      <c r="BK324" s="239"/>
      <c r="BL324" s="239"/>
      <c r="BM324" s="239"/>
      <c r="BN324" s="239"/>
      <c r="BO324" s="239"/>
      <c r="BP324" s="239"/>
      <c r="BQ324" s="239"/>
      <c r="BR324" s="239"/>
      <c r="BS324" s="239"/>
      <c r="BT324" s="239"/>
      <c r="BU324" s="239"/>
      <c r="BV324" s="239"/>
      <c r="BW324" s="239"/>
      <c r="BX324" s="239"/>
      <c r="BY324" s="239"/>
      <c r="BZ324" s="239"/>
      <c r="CA324" s="239"/>
      <c r="CB324" s="239"/>
      <c r="CC324" s="239"/>
      <c r="CD324" s="239"/>
      <c r="CE324" s="239"/>
      <c r="CF324" s="239"/>
      <c r="CG324" s="239"/>
    </row>
    <row r="325" spans="1:85" ht="15.75" customHeight="1">
      <c r="A325" s="239"/>
      <c r="B325" s="239"/>
      <c r="C325" s="239"/>
      <c r="D325" s="239"/>
      <c r="E325" s="239"/>
      <c r="F325" s="239"/>
      <c r="G325" s="239"/>
      <c r="H325" s="239"/>
      <c r="I325" s="239"/>
      <c r="J325" s="239"/>
      <c r="K325" s="239"/>
      <c r="L325" s="239"/>
      <c r="M325" s="239"/>
      <c r="N325" s="239"/>
      <c r="O325" s="239"/>
      <c r="P325" s="239"/>
      <c r="Q325" s="239"/>
      <c r="R325" s="239"/>
      <c r="S325" s="239"/>
      <c r="T325" s="239"/>
      <c r="U325" s="239"/>
      <c r="V325" s="239"/>
      <c r="W325" s="239"/>
      <c r="X325" s="239"/>
      <c r="Y325" s="239"/>
      <c r="Z325" s="239"/>
      <c r="AA325" s="239"/>
      <c r="AB325" s="239"/>
      <c r="AC325" s="239"/>
      <c r="AD325" s="239"/>
      <c r="AE325" s="239"/>
      <c r="AF325" s="239"/>
      <c r="AG325" s="239"/>
      <c r="AH325" s="239"/>
      <c r="AI325" s="239"/>
      <c r="AJ325" s="239"/>
      <c r="AK325" s="239"/>
      <c r="AL325" s="239"/>
      <c r="AM325" s="239"/>
      <c r="AN325" s="239"/>
      <c r="AO325" s="239"/>
      <c r="AP325" s="239"/>
      <c r="AQ325" s="239"/>
      <c r="AR325" s="239"/>
      <c r="AS325" s="239"/>
      <c r="AT325" s="239"/>
      <c r="AU325" s="239"/>
      <c r="AV325" s="239"/>
      <c r="AW325" s="239"/>
      <c r="AX325" s="239"/>
      <c r="AY325" s="239"/>
      <c r="AZ325" s="239"/>
      <c r="BA325" s="239"/>
      <c r="BB325" s="239"/>
      <c r="BC325" s="239"/>
      <c r="BD325" s="239"/>
      <c r="BE325" s="239"/>
      <c r="BF325" s="239"/>
      <c r="BG325" s="239"/>
      <c r="BH325" s="239"/>
      <c r="BI325" s="239"/>
      <c r="BJ325" s="239"/>
      <c r="BK325" s="239"/>
      <c r="BL325" s="239"/>
      <c r="BM325" s="239"/>
      <c r="BN325" s="239"/>
      <c r="BO325" s="239"/>
      <c r="BP325" s="239"/>
      <c r="BQ325" s="239"/>
      <c r="BR325" s="239"/>
      <c r="BS325" s="239"/>
      <c r="BT325" s="239"/>
      <c r="BU325" s="239"/>
      <c r="BV325" s="239"/>
      <c r="BW325" s="239"/>
      <c r="BX325" s="239"/>
      <c r="BY325" s="239"/>
      <c r="BZ325" s="239"/>
      <c r="CA325" s="239"/>
      <c r="CB325" s="239"/>
      <c r="CC325" s="239"/>
      <c r="CD325" s="239"/>
      <c r="CE325" s="239"/>
      <c r="CF325" s="239"/>
      <c r="CG325" s="239"/>
    </row>
    <row r="326" spans="1:85" ht="15.75" customHeight="1">
      <c r="A326" s="239"/>
      <c r="B326" s="239"/>
      <c r="C326" s="239"/>
      <c r="D326" s="239"/>
      <c r="E326" s="239"/>
      <c r="F326" s="239"/>
      <c r="G326" s="239"/>
      <c r="H326" s="239"/>
      <c r="I326" s="239"/>
      <c r="J326" s="239"/>
      <c r="K326" s="239"/>
      <c r="L326" s="239"/>
      <c r="M326" s="239"/>
      <c r="N326" s="239"/>
      <c r="O326" s="239"/>
      <c r="P326" s="239"/>
      <c r="Q326" s="239"/>
      <c r="R326" s="239"/>
      <c r="S326" s="239"/>
      <c r="T326" s="239"/>
      <c r="U326" s="239"/>
      <c r="V326" s="239"/>
      <c r="W326" s="239"/>
      <c r="X326" s="239"/>
      <c r="Y326" s="239"/>
      <c r="Z326" s="239"/>
      <c r="AA326" s="239"/>
      <c r="AB326" s="239"/>
      <c r="AC326" s="239"/>
      <c r="AD326" s="239"/>
      <c r="AE326" s="239"/>
      <c r="AF326" s="239"/>
      <c r="AG326" s="239"/>
      <c r="AH326" s="239"/>
      <c r="AI326" s="239"/>
      <c r="AJ326" s="239"/>
      <c r="AK326" s="239"/>
      <c r="AL326" s="239"/>
      <c r="AM326" s="239"/>
      <c r="AN326" s="239"/>
      <c r="AO326" s="239"/>
      <c r="AP326" s="239"/>
      <c r="AQ326" s="239"/>
      <c r="AR326" s="239"/>
      <c r="AS326" s="239"/>
      <c r="AT326" s="239"/>
      <c r="AU326" s="239"/>
      <c r="AV326" s="239"/>
      <c r="AW326" s="239"/>
      <c r="AX326" s="239"/>
      <c r="AY326" s="239"/>
      <c r="AZ326" s="239"/>
      <c r="BA326" s="239"/>
      <c r="BB326" s="239"/>
      <c r="BC326" s="239"/>
      <c r="BD326" s="239"/>
      <c r="BE326" s="239"/>
      <c r="BF326" s="239"/>
      <c r="BG326" s="239"/>
      <c r="BH326" s="239"/>
      <c r="BI326" s="239"/>
      <c r="BJ326" s="239"/>
      <c r="BK326" s="239"/>
      <c r="BL326" s="239"/>
      <c r="BM326" s="239"/>
      <c r="BN326" s="239"/>
      <c r="BO326" s="239"/>
      <c r="BP326" s="239"/>
      <c r="BQ326" s="239"/>
      <c r="BR326" s="239"/>
      <c r="BS326" s="239"/>
      <c r="BT326" s="239"/>
      <c r="BU326" s="239"/>
      <c r="BV326" s="239"/>
      <c r="BW326" s="239"/>
      <c r="BX326" s="239"/>
      <c r="BY326" s="239"/>
      <c r="BZ326" s="239"/>
      <c r="CA326" s="239"/>
      <c r="CB326" s="239"/>
      <c r="CC326" s="239"/>
      <c r="CD326" s="239"/>
      <c r="CE326" s="239"/>
      <c r="CF326" s="239"/>
      <c r="CG326" s="239"/>
    </row>
    <row r="327" spans="1:85" ht="15.75" customHeight="1">
      <c r="A327" s="239"/>
      <c r="B327" s="239"/>
      <c r="C327" s="239"/>
      <c r="D327" s="239"/>
      <c r="E327" s="239"/>
      <c r="F327" s="239"/>
      <c r="G327" s="239"/>
      <c r="H327" s="239"/>
      <c r="I327" s="239"/>
      <c r="J327" s="239"/>
      <c r="K327" s="239"/>
      <c r="L327" s="239"/>
      <c r="M327" s="239"/>
      <c r="N327" s="239"/>
      <c r="O327" s="239"/>
      <c r="P327" s="239"/>
      <c r="Q327" s="239"/>
      <c r="R327" s="239"/>
      <c r="S327" s="239"/>
      <c r="T327" s="239"/>
      <c r="U327" s="239"/>
      <c r="V327" s="239"/>
      <c r="W327" s="239"/>
      <c r="X327" s="239"/>
      <c r="Y327" s="239"/>
      <c r="Z327" s="239"/>
      <c r="AA327" s="239"/>
      <c r="AB327" s="239"/>
      <c r="AC327" s="239"/>
      <c r="AD327" s="239"/>
      <c r="AE327" s="239"/>
      <c r="AF327" s="239"/>
      <c r="AG327" s="239"/>
      <c r="AH327" s="239"/>
      <c r="AI327" s="239"/>
      <c r="AJ327" s="239"/>
      <c r="AK327" s="239"/>
      <c r="AL327" s="239"/>
      <c r="AM327" s="239"/>
      <c r="AN327" s="239"/>
      <c r="AO327" s="239"/>
      <c r="AP327" s="239"/>
      <c r="AQ327" s="239"/>
      <c r="AR327" s="239"/>
      <c r="AS327" s="239"/>
      <c r="AT327" s="239"/>
      <c r="AU327" s="239"/>
      <c r="AV327" s="239"/>
      <c r="AW327" s="239"/>
      <c r="AX327" s="239"/>
      <c r="AY327" s="239"/>
      <c r="AZ327" s="239"/>
      <c r="BA327" s="239"/>
      <c r="BB327" s="239"/>
      <c r="BC327" s="239"/>
      <c r="BD327" s="239"/>
      <c r="BE327" s="239"/>
      <c r="BF327" s="239"/>
      <c r="BG327" s="239"/>
      <c r="BH327" s="239"/>
      <c r="BI327" s="239"/>
      <c r="BJ327" s="239"/>
      <c r="BK327" s="239"/>
      <c r="BL327" s="239"/>
      <c r="BM327" s="239"/>
      <c r="BN327" s="239"/>
      <c r="BO327" s="239"/>
      <c r="BP327" s="239"/>
      <c r="BQ327" s="239"/>
      <c r="BR327" s="239"/>
      <c r="BS327" s="239"/>
      <c r="BT327" s="239"/>
      <c r="BU327" s="239"/>
      <c r="BV327" s="239"/>
      <c r="BW327" s="239"/>
      <c r="BX327" s="239"/>
      <c r="BY327" s="239"/>
      <c r="BZ327" s="239"/>
      <c r="CA327" s="239"/>
      <c r="CB327" s="239"/>
      <c r="CC327" s="239"/>
      <c r="CD327" s="239"/>
      <c r="CE327" s="239"/>
      <c r="CF327" s="239"/>
      <c r="CG327" s="239"/>
    </row>
    <row r="328" spans="1:85" ht="15.75" customHeight="1">
      <c r="A328" s="239"/>
      <c r="B328" s="239"/>
      <c r="C328" s="239"/>
      <c r="D328" s="239"/>
      <c r="E328" s="239"/>
      <c r="F328" s="239"/>
      <c r="G328" s="239"/>
      <c r="H328" s="239"/>
      <c r="I328" s="239"/>
      <c r="J328" s="239"/>
      <c r="K328" s="239"/>
      <c r="L328" s="239"/>
      <c r="M328" s="239"/>
      <c r="N328" s="239"/>
      <c r="O328" s="239"/>
      <c r="P328" s="239"/>
      <c r="Q328" s="239"/>
      <c r="R328" s="239"/>
      <c r="S328" s="239"/>
      <c r="T328" s="239"/>
      <c r="U328" s="239"/>
      <c r="V328" s="239"/>
      <c r="W328" s="239"/>
      <c r="X328" s="239"/>
      <c r="Y328" s="239"/>
      <c r="Z328" s="239"/>
      <c r="AA328" s="239"/>
      <c r="AB328" s="239"/>
      <c r="AC328" s="239"/>
      <c r="AD328" s="239"/>
      <c r="AE328" s="239"/>
      <c r="AF328" s="239"/>
      <c r="AG328" s="239"/>
      <c r="AH328" s="239"/>
      <c r="AI328" s="239"/>
      <c r="AJ328" s="239"/>
      <c r="AK328" s="239"/>
      <c r="AL328" s="239"/>
      <c r="AM328" s="239"/>
      <c r="AN328" s="239"/>
      <c r="AO328" s="239"/>
      <c r="AP328" s="239"/>
      <c r="AQ328" s="239"/>
      <c r="AR328" s="239"/>
      <c r="AS328" s="239"/>
      <c r="AT328" s="239"/>
      <c r="AU328" s="239"/>
      <c r="AV328" s="239"/>
      <c r="AW328" s="239"/>
      <c r="AX328" s="239"/>
      <c r="AY328" s="239"/>
      <c r="AZ328" s="239"/>
      <c r="BA328" s="239"/>
      <c r="BB328" s="239"/>
      <c r="BC328" s="239"/>
      <c r="BD328" s="239"/>
      <c r="BE328" s="239"/>
      <c r="BF328" s="239"/>
      <c r="BG328" s="239"/>
      <c r="BH328" s="239"/>
      <c r="BI328" s="239"/>
      <c r="BJ328" s="239"/>
      <c r="BK328" s="239"/>
      <c r="BL328" s="239"/>
      <c r="BM328" s="239"/>
      <c r="BN328" s="239"/>
      <c r="BO328" s="239"/>
      <c r="BP328" s="239"/>
      <c r="BQ328" s="239"/>
      <c r="BR328" s="239"/>
      <c r="BS328" s="239"/>
      <c r="BT328" s="239"/>
      <c r="BU328" s="239"/>
      <c r="BV328" s="239"/>
      <c r="BW328" s="239"/>
      <c r="BX328" s="239"/>
      <c r="BY328" s="239"/>
      <c r="BZ328" s="239"/>
      <c r="CA328" s="239"/>
      <c r="CB328" s="239"/>
      <c r="CC328" s="239"/>
      <c r="CD328" s="239"/>
      <c r="CE328" s="239"/>
      <c r="CF328" s="239"/>
      <c r="CG328" s="239"/>
    </row>
    <row r="329" spans="1:85" ht="15.75" customHeight="1">
      <c r="A329" s="239"/>
      <c r="B329" s="239"/>
      <c r="C329" s="239"/>
      <c r="D329" s="239"/>
      <c r="E329" s="239"/>
      <c r="F329" s="239"/>
      <c r="G329" s="239"/>
      <c r="H329" s="239"/>
      <c r="I329" s="239"/>
      <c r="J329" s="239"/>
      <c r="K329" s="239"/>
      <c r="L329" s="239"/>
      <c r="M329" s="239"/>
      <c r="N329" s="239"/>
      <c r="O329" s="239"/>
      <c r="P329" s="239"/>
      <c r="Q329" s="239"/>
      <c r="R329" s="239"/>
      <c r="S329" s="239"/>
      <c r="T329" s="239"/>
      <c r="U329" s="239"/>
      <c r="V329" s="239"/>
      <c r="W329" s="239"/>
      <c r="X329" s="239"/>
      <c r="Y329" s="239"/>
      <c r="Z329" s="239"/>
      <c r="AA329" s="239"/>
      <c r="AB329" s="239"/>
      <c r="AC329" s="239"/>
      <c r="AD329" s="239"/>
      <c r="AE329" s="239"/>
      <c r="AF329" s="239"/>
      <c r="AG329" s="239"/>
      <c r="AH329" s="239"/>
      <c r="AI329" s="239"/>
      <c r="AJ329" s="239"/>
      <c r="AK329" s="239"/>
      <c r="AL329" s="239"/>
      <c r="AM329" s="239"/>
      <c r="AN329" s="239"/>
      <c r="AO329" s="239"/>
      <c r="AP329" s="239"/>
      <c r="AQ329" s="239"/>
      <c r="AR329" s="239"/>
      <c r="AS329" s="239"/>
      <c r="AT329" s="239"/>
      <c r="AU329" s="239"/>
      <c r="AV329" s="239"/>
      <c r="AW329" s="239"/>
      <c r="AX329" s="239"/>
      <c r="AY329" s="239"/>
      <c r="AZ329" s="239"/>
      <c r="BA329" s="239"/>
      <c r="BB329" s="239"/>
      <c r="BC329" s="239"/>
      <c r="BD329" s="239"/>
      <c r="BE329" s="239"/>
      <c r="BF329" s="239"/>
      <c r="BG329" s="239"/>
      <c r="BH329" s="239"/>
      <c r="BI329" s="239"/>
      <c r="BJ329" s="239"/>
      <c r="BK329" s="239"/>
      <c r="BL329" s="239"/>
      <c r="BM329" s="239"/>
      <c r="BN329" s="239"/>
      <c r="BO329" s="239"/>
      <c r="BP329" s="239"/>
      <c r="BQ329" s="239"/>
      <c r="BR329" s="239"/>
      <c r="BS329" s="239"/>
      <c r="BT329" s="239"/>
      <c r="BU329" s="239"/>
      <c r="BV329" s="239"/>
      <c r="BW329" s="239"/>
      <c r="BX329" s="239"/>
      <c r="BY329" s="239"/>
      <c r="BZ329" s="239"/>
      <c r="CA329" s="239"/>
      <c r="CB329" s="239"/>
      <c r="CC329" s="239"/>
      <c r="CD329" s="239"/>
      <c r="CE329" s="239"/>
      <c r="CF329" s="239"/>
      <c r="CG329" s="239"/>
    </row>
    <row r="330" spans="1:85" ht="15.75" customHeight="1">
      <c r="A330" s="239"/>
      <c r="B330" s="239"/>
      <c r="C330" s="239"/>
      <c r="D330" s="239"/>
      <c r="E330" s="239"/>
      <c r="F330" s="239"/>
      <c r="G330" s="239"/>
      <c r="H330" s="239"/>
      <c r="I330" s="239"/>
      <c r="J330" s="239"/>
      <c r="K330" s="239"/>
      <c r="L330" s="239"/>
      <c r="M330" s="239"/>
      <c r="N330" s="239"/>
      <c r="O330" s="239"/>
      <c r="P330" s="239"/>
      <c r="Q330" s="239"/>
      <c r="R330" s="239"/>
      <c r="S330" s="239"/>
      <c r="T330" s="239"/>
      <c r="U330" s="239"/>
      <c r="V330" s="239"/>
      <c r="W330" s="239"/>
      <c r="X330" s="239"/>
      <c r="Y330" s="239"/>
      <c r="Z330" s="239"/>
      <c r="AA330" s="239"/>
      <c r="AB330" s="239"/>
      <c r="AC330" s="239"/>
      <c r="AD330" s="239"/>
      <c r="AE330" s="239"/>
      <c r="AF330" s="239"/>
      <c r="AG330" s="239"/>
      <c r="AH330" s="239"/>
      <c r="AI330" s="239"/>
      <c r="AJ330" s="239"/>
      <c r="AK330" s="239"/>
      <c r="AL330" s="239"/>
      <c r="AM330" s="239"/>
      <c r="AN330" s="239"/>
      <c r="AO330" s="239"/>
      <c r="AP330" s="239"/>
      <c r="AQ330" s="239"/>
      <c r="AR330" s="239"/>
      <c r="AS330" s="239"/>
      <c r="AT330" s="239"/>
      <c r="AU330" s="239"/>
      <c r="AV330" s="239"/>
      <c r="AW330" s="239"/>
      <c r="AX330" s="239"/>
      <c r="AY330" s="239"/>
      <c r="AZ330" s="239"/>
      <c r="BA330" s="239"/>
      <c r="BB330" s="239"/>
      <c r="BC330" s="239"/>
      <c r="BD330" s="239"/>
      <c r="BE330" s="239"/>
      <c r="BF330" s="239"/>
      <c r="BG330" s="239"/>
      <c r="BH330" s="239"/>
      <c r="BI330" s="239"/>
      <c r="BJ330" s="239"/>
      <c r="BK330" s="239"/>
      <c r="BL330" s="239"/>
      <c r="BM330" s="239"/>
      <c r="BN330" s="239"/>
      <c r="BO330" s="239"/>
      <c r="BP330" s="239"/>
      <c r="BQ330" s="239"/>
      <c r="BR330" s="239"/>
      <c r="BS330" s="239"/>
      <c r="BT330" s="239"/>
      <c r="BU330" s="239"/>
      <c r="BV330" s="239"/>
      <c r="BW330" s="239"/>
      <c r="BX330" s="239"/>
      <c r="BY330" s="239"/>
      <c r="BZ330" s="239"/>
      <c r="CA330" s="239"/>
      <c r="CB330" s="239"/>
      <c r="CC330" s="239"/>
      <c r="CD330" s="239"/>
      <c r="CE330" s="239"/>
      <c r="CF330" s="239"/>
      <c r="CG330" s="239"/>
    </row>
    <row r="331" spans="1:85" ht="15.75" customHeight="1">
      <c r="A331" s="239"/>
      <c r="B331" s="239"/>
      <c r="C331" s="239"/>
      <c r="D331" s="239"/>
      <c r="E331" s="239"/>
      <c r="F331" s="239"/>
      <c r="G331" s="239"/>
      <c r="H331" s="239"/>
      <c r="I331" s="239"/>
      <c r="J331" s="239"/>
      <c r="K331" s="239"/>
      <c r="L331" s="239"/>
      <c r="M331" s="239"/>
      <c r="N331" s="239"/>
      <c r="O331" s="239"/>
      <c r="P331" s="239"/>
      <c r="Q331" s="239"/>
      <c r="R331" s="239"/>
      <c r="S331" s="239"/>
      <c r="T331" s="239"/>
      <c r="U331" s="239"/>
      <c r="V331" s="239"/>
      <c r="W331" s="239"/>
      <c r="X331" s="239"/>
      <c r="Y331" s="239"/>
      <c r="Z331" s="239"/>
      <c r="AA331" s="239"/>
      <c r="AB331" s="239"/>
      <c r="AC331" s="239"/>
      <c r="AD331" s="239"/>
      <c r="AE331" s="239"/>
      <c r="AF331" s="239"/>
      <c r="AG331" s="239"/>
      <c r="AH331" s="239"/>
      <c r="AI331" s="239"/>
      <c r="AJ331" s="239"/>
      <c r="AK331" s="239"/>
      <c r="AL331" s="239"/>
      <c r="AM331" s="239"/>
      <c r="AN331" s="239"/>
      <c r="AO331" s="239"/>
      <c r="AP331" s="239"/>
      <c r="AQ331" s="239"/>
      <c r="AR331" s="239"/>
      <c r="AS331" s="239"/>
      <c r="AT331" s="239"/>
      <c r="AU331" s="239"/>
      <c r="AV331" s="239"/>
      <c r="AW331" s="239"/>
      <c r="AX331" s="239"/>
      <c r="AY331" s="239"/>
      <c r="AZ331" s="239"/>
      <c r="BA331" s="239"/>
      <c r="BB331" s="239"/>
      <c r="BC331" s="239"/>
      <c r="BD331" s="239"/>
      <c r="BE331" s="239"/>
      <c r="BF331" s="239"/>
      <c r="BG331" s="239"/>
      <c r="BH331" s="239"/>
      <c r="BI331" s="239"/>
      <c r="BJ331" s="239"/>
      <c r="BK331" s="239"/>
      <c r="BL331" s="239"/>
      <c r="BM331" s="239"/>
      <c r="BN331" s="239"/>
      <c r="BO331" s="239"/>
      <c r="BP331" s="239"/>
      <c r="BQ331" s="239"/>
      <c r="BR331" s="239"/>
      <c r="BS331" s="239"/>
      <c r="BT331" s="239"/>
      <c r="BU331" s="239"/>
      <c r="BV331" s="239"/>
      <c r="BW331" s="239"/>
      <c r="BX331" s="239"/>
      <c r="BY331" s="239"/>
      <c r="BZ331" s="239"/>
      <c r="CA331" s="239"/>
      <c r="CB331" s="239"/>
      <c r="CC331" s="239"/>
      <c r="CD331" s="239"/>
      <c r="CE331" s="239"/>
      <c r="CF331" s="239"/>
      <c r="CG331" s="239"/>
    </row>
    <row r="332" spans="1:85" ht="15.75" customHeight="1">
      <c r="A332" s="239"/>
      <c r="B332" s="239"/>
      <c r="C332" s="239"/>
      <c r="D332" s="239"/>
      <c r="E332" s="239"/>
      <c r="F332" s="239"/>
      <c r="G332" s="239"/>
      <c r="H332" s="239"/>
      <c r="I332" s="239"/>
      <c r="J332" s="239"/>
      <c r="K332" s="239"/>
      <c r="L332" s="239"/>
      <c r="M332" s="239"/>
      <c r="N332" s="239"/>
      <c r="O332" s="239"/>
      <c r="P332" s="239"/>
      <c r="Q332" s="239"/>
      <c r="R332" s="239"/>
      <c r="S332" s="239"/>
      <c r="T332" s="239"/>
      <c r="U332" s="239"/>
      <c r="V332" s="239"/>
      <c r="W332" s="239"/>
      <c r="X332" s="239"/>
      <c r="Y332" s="239"/>
      <c r="Z332" s="239"/>
      <c r="AA332" s="239"/>
      <c r="AB332" s="239"/>
      <c r="AC332" s="239"/>
      <c r="AD332" s="239"/>
      <c r="AE332" s="239"/>
      <c r="AF332" s="239"/>
      <c r="AG332" s="239"/>
      <c r="AH332" s="239"/>
      <c r="AI332" s="239"/>
      <c r="AJ332" s="239"/>
      <c r="AK332" s="239"/>
      <c r="AL332" s="239"/>
      <c r="AM332" s="239"/>
      <c r="AN332" s="239"/>
      <c r="AO332" s="239"/>
      <c r="AP332" s="239"/>
      <c r="AQ332" s="239"/>
      <c r="AR332" s="239"/>
      <c r="AS332" s="239"/>
      <c r="AT332" s="239"/>
      <c r="AU332" s="239"/>
      <c r="AV332" s="239"/>
      <c r="AW332" s="239"/>
      <c r="AX332" s="239"/>
      <c r="AY332" s="239"/>
      <c r="AZ332" s="239"/>
      <c r="BA332" s="239"/>
      <c r="BB332" s="239"/>
      <c r="BC332" s="239"/>
      <c r="BD332" s="239"/>
      <c r="BE332" s="239"/>
      <c r="BF332" s="239"/>
      <c r="BG332" s="239"/>
      <c r="BH332" s="239"/>
      <c r="BI332" s="239"/>
      <c r="BJ332" s="239"/>
      <c r="BK332" s="239"/>
      <c r="BL332" s="239"/>
      <c r="BM332" s="239"/>
      <c r="BN332" s="239"/>
      <c r="BO332" s="239"/>
      <c r="BP332" s="239"/>
      <c r="BQ332" s="239"/>
      <c r="BR332" s="239"/>
      <c r="BS332" s="239"/>
      <c r="BT332" s="239"/>
      <c r="BU332" s="239"/>
      <c r="BV332" s="239"/>
      <c r="BW332" s="239"/>
      <c r="BX332" s="239"/>
      <c r="BY332" s="239"/>
      <c r="BZ332" s="239"/>
      <c r="CA332" s="239"/>
      <c r="CB332" s="239"/>
      <c r="CC332" s="239"/>
      <c r="CD332" s="239"/>
      <c r="CE332" s="239"/>
      <c r="CF332" s="239"/>
      <c r="CG332" s="239"/>
    </row>
    <row r="333" spans="1:85" ht="15.75" customHeight="1">
      <c r="A333" s="239"/>
      <c r="B333" s="239"/>
      <c r="C333" s="239"/>
      <c r="D333" s="239"/>
      <c r="E333" s="239"/>
      <c r="F333" s="239"/>
      <c r="G333" s="239"/>
      <c r="H333" s="239"/>
      <c r="I333" s="239"/>
      <c r="J333" s="239"/>
      <c r="K333" s="239"/>
      <c r="L333" s="239"/>
      <c r="M333" s="239"/>
      <c r="N333" s="239"/>
      <c r="O333" s="239"/>
      <c r="P333" s="239"/>
      <c r="Q333" s="239"/>
      <c r="R333" s="239"/>
      <c r="S333" s="239"/>
      <c r="T333" s="239"/>
      <c r="U333" s="239"/>
      <c r="V333" s="239"/>
      <c r="W333" s="239"/>
      <c r="X333" s="239"/>
      <c r="Y333" s="239"/>
      <c r="Z333" s="239"/>
      <c r="AA333" s="239"/>
      <c r="AB333" s="239"/>
      <c r="AC333" s="239"/>
      <c r="AD333" s="239"/>
      <c r="AE333" s="239"/>
      <c r="AF333" s="239"/>
      <c r="AG333" s="239"/>
      <c r="AH333" s="239"/>
      <c r="AI333" s="239"/>
      <c r="AJ333" s="239"/>
      <c r="AK333" s="239"/>
      <c r="AL333" s="239"/>
      <c r="AM333" s="239"/>
      <c r="AN333" s="239"/>
      <c r="AO333" s="239"/>
      <c r="AP333" s="239"/>
      <c r="AQ333" s="239"/>
      <c r="AR333" s="239"/>
      <c r="AS333" s="239"/>
      <c r="AT333" s="239"/>
      <c r="AU333" s="239"/>
      <c r="AV333" s="239"/>
      <c r="AW333" s="239"/>
      <c r="AX333" s="239"/>
      <c r="AY333" s="239"/>
      <c r="AZ333" s="239"/>
      <c r="BA333" s="239"/>
      <c r="BB333" s="239"/>
      <c r="BC333" s="239"/>
      <c r="BD333" s="239"/>
      <c r="BE333" s="239"/>
      <c r="BF333" s="239"/>
      <c r="BG333" s="239"/>
      <c r="BH333" s="239"/>
      <c r="BI333" s="239"/>
      <c r="BJ333" s="239"/>
      <c r="BK333" s="239"/>
      <c r="BL333" s="239"/>
      <c r="BM333" s="239"/>
      <c r="BN333" s="239"/>
      <c r="BO333" s="239"/>
      <c r="BP333" s="239"/>
      <c r="BQ333" s="239"/>
      <c r="BR333" s="239"/>
      <c r="BS333" s="239"/>
      <c r="BT333" s="239"/>
      <c r="BU333" s="239"/>
      <c r="BV333" s="239"/>
      <c r="BW333" s="239"/>
      <c r="BX333" s="239"/>
      <c r="BY333" s="239"/>
      <c r="BZ333" s="239"/>
      <c r="CA333" s="239"/>
      <c r="CB333" s="239"/>
      <c r="CC333" s="239"/>
      <c r="CD333" s="239"/>
      <c r="CE333" s="239"/>
      <c r="CF333" s="239"/>
      <c r="CG333" s="239"/>
    </row>
    <row r="334" spans="1:85" ht="15.75" customHeight="1">
      <c r="A334" s="239"/>
      <c r="B334" s="239"/>
      <c r="C334" s="239"/>
      <c r="D334" s="239"/>
      <c r="E334" s="239"/>
      <c r="F334" s="239"/>
      <c r="G334" s="239"/>
      <c r="H334" s="239"/>
      <c r="I334" s="239"/>
      <c r="J334" s="239"/>
      <c r="K334" s="239"/>
      <c r="L334" s="239"/>
      <c r="M334" s="239"/>
      <c r="N334" s="239"/>
      <c r="O334" s="239"/>
      <c r="P334" s="239"/>
      <c r="Q334" s="239"/>
      <c r="R334" s="239"/>
      <c r="S334" s="239"/>
      <c r="T334" s="239"/>
      <c r="U334" s="239"/>
      <c r="V334" s="239"/>
      <c r="W334" s="239"/>
      <c r="X334" s="239"/>
      <c r="Y334" s="239"/>
      <c r="Z334" s="239"/>
      <c r="AA334" s="239"/>
      <c r="AB334" s="239"/>
      <c r="AC334" s="239"/>
      <c r="AD334" s="239"/>
      <c r="AE334" s="239"/>
      <c r="AF334" s="239"/>
      <c r="AG334" s="239"/>
      <c r="AH334" s="239"/>
      <c r="AI334" s="239"/>
      <c r="AJ334" s="239"/>
      <c r="AK334" s="239"/>
      <c r="AL334" s="239"/>
      <c r="AM334" s="239"/>
      <c r="AN334" s="239"/>
      <c r="AO334" s="239"/>
      <c r="AP334" s="239"/>
      <c r="AQ334" s="239"/>
      <c r="AR334" s="239"/>
      <c r="AS334" s="239"/>
      <c r="AT334" s="239"/>
      <c r="AU334" s="239"/>
      <c r="AV334" s="239"/>
      <c r="AW334" s="239"/>
      <c r="AX334" s="239"/>
      <c r="AY334" s="239"/>
      <c r="AZ334" s="239"/>
      <c r="BA334" s="239"/>
      <c r="BB334" s="239"/>
      <c r="BC334" s="239"/>
      <c r="BD334" s="239"/>
      <c r="BE334" s="239"/>
      <c r="BF334" s="239"/>
      <c r="BG334" s="239"/>
      <c r="BH334" s="239"/>
      <c r="BI334" s="239"/>
      <c r="BJ334" s="239"/>
      <c r="BK334" s="239"/>
      <c r="BL334" s="239"/>
      <c r="BM334" s="239"/>
      <c r="BN334" s="239"/>
      <c r="BO334" s="239"/>
      <c r="BP334" s="239"/>
      <c r="BQ334" s="239"/>
      <c r="BR334" s="239"/>
      <c r="BS334" s="239"/>
      <c r="BT334" s="239"/>
      <c r="BU334" s="239"/>
      <c r="BV334" s="239"/>
      <c r="BW334" s="239"/>
      <c r="BX334" s="239"/>
      <c r="BY334" s="239"/>
      <c r="BZ334" s="239"/>
      <c r="CA334" s="239"/>
      <c r="CB334" s="239"/>
      <c r="CC334" s="239"/>
      <c r="CD334" s="239"/>
      <c r="CE334" s="239"/>
      <c r="CF334" s="239"/>
      <c r="CG334" s="239"/>
    </row>
    <row r="335" spans="1:85" ht="15.75" customHeight="1">
      <c r="A335" s="239"/>
      <c r="B335" s="239"/>
      <c r="C335" s="239"/>
      <c r="D335" s="239"/>
      <c r="E335" s="239"/>
      <c r="F335" s="239"/>
      <c r="G335" s="239"/>
      <c r="H335" s="239"/>
      <c r="I335" s="239"/>
      <c r="J335" s="239"/>
      <c r="K335" s="239"/>
      <c r="L335" s="239"/>
      <c r="M335" s="239"/>
      <c r="N335" s="239"/>
      <c r="O335" s="239"/>
      <c r="P335" s="239"/>
      <c r="Q335" s="239"/>
      <c r="R335" s="239"/>
      <c r="S335" s="239"/>
      <c r="T335" s="239"/>
      <c r="U335" s="239"/>
      <c r="V335" s="239"/>
      <c r="W335" s="239"/>
      <c r="X335" s="239"/>
      <c r="Y335" s="239"/>
      <c r="Z335" s="239"/>
      <c r="AA335" s="239"/>
      <c r="AB335" s="239"/>
      <c r="AC335" s="239"/>
      <c r="AD335" s="239"/>
      <c r="AE335" s="239"/>
      <c r="AF335" s="239"/>
      <c r="AG335" s="239"/>
      <c r="AH335" s="239"/>
      <c r="AI335" s="239"/>
      <c r="AJ335" s="239"/>
      <c r="AK335" s="239"/>
      <c r="AL335" s="239"/>
      <c r="AM335" s="239"/>
      <c r="AN335" s="239"/>
      <c r="AO335" s="239"/>
      <c r="AP335" s="239"/>
      <c r="AQ335" s="239"/>
      <c r="AR335" s="239"/>
      <c r="AS335" s="239"/>
      <c r="AT335" s="239"/>
      <c r="AU335" s="239"/>
      <c r="AV335" s="239"/>
      <c r="AW335" s="239"/>
      <c r="AX335" s="239"/>
      <c r="AY335" s="239"/>
      <c r="AZ335" s="239"/>
      <c r="BA335" s="239"/>
      <c r="BB335" s="239"/>
      <c r="BC335" s="239"/>
      <c r="BD335" s="239"/>
      <c r="BE335" s="239"/>
      <c r="BF335" s="239"/>
      <c r="BG335" s="239"/>
      <c r="BH335" s="239"/>
      <c r="BI335" s="239"/>
      <c r="BJ335" s="239"/>
      <c r="BK335" s="239"/>
      <c r="BL335" s="239"/>
      <c r="BM335" s="239"/>
      <c r="BN335" s="239"/>
      <c r="BO335" s="239"/>
      <c r="BP335" s="239"/>
      <c r="BQ335" s="239"/>
      <c r="BR335" s="239"/>
      <c r="BS335" s="239"/>
      <c r="BT335" s="239"/>
      <c r="BU335" s="239"/>
      <c r="BV335" s="239"/>
      <c r="BW335" s="239"/>
      <c r="BX335" s="239"/>
      <c r="BY335" s="239"/>
      <c r="BZ335" s="239"/>
      <c r="CA335" s="239"/>
      <c r="CB335" s="239"/>
      <c r="CC335" s="239"/>
      <c r="CD335" s="239"/>
      <c r="CE335" s="239"/>
      <c r="CF335" s="239"/>
      <c r="CG335" s="239"/>
    </row>
    <row r="336" spans="1:85" ht="15.75" customHeight="1">
      <c r="A336" s="239"/>
      <c r="B336" s="239"/>
      <c r="C336" s="239"/>
      <c r="D336" s="239"/>
      <c r="E336" s="239"/>
      <c r="F336" s="239"/>
      <c r="G336" s="239"/>
      <c r="H336" s="239"/>
      <c r="I336" s="239"/>
      <c r="J336" s="239"/>
      <c r="K336" s="239"/>
      <c r="L336" s="239"/>
      <c r="M336" s="239"/>
      <c r="N336" s="239"/>
      <c r="O336" s="239"/>
      <c r="P336" s="239"/>
      <c r="Q336" s="239"/>
      <c r="R336" s="239"/>
      <c r="S336" s="239"/>
      <c r="T336" s="239"/>
      <c r="U336" s="239"/>
      <c r="V336" s="239"/>
      <c r="W336" s="239"/>
      <c r="X336" s="239"/>
      <c r="Y336" s="239"/>
      <c r="Z336" s="239"/>
      <c r="AA336" s="239"/>
      <c r="AB336" s="239"/>
      <c r="AC336" s="239"/>
      <c r="AD336" s="239"/>
      <c r="AE336" s="239"/>
      <c r="AF336" s="239"/>
      <c r="AG336" s="239"/>
      <c r="AH336" s="239"/>
      <c r="AI336" s="239"/>
      <c r="AJ336" s="239"/>
      <c r="AK336" s="239"/>
      <c r="AL336" s="239"/>
      <c r="AM336" s="239"/>
      <c r="AN336" s="239"/>
      <c r="AO336" s="239"/>
      <c r="AP336" s="239"/>
      <c r="AQ336" s="239"/>
      <c r="AR336" s="239"/>
      <c r="AS336" s="239"/>
      <c r="AT336" s="239"/>
      <c r="AU336" s="239"/>
      <c r="AV336" s="239"/>
      <c r="AW336" s="239"/>
      <c r="AX336" s="239"/>
      <c r="AY336" s="239"/>
      <c r="AZ336" s="239"/>
      <c r="BA336" s="239"/>
      <c r="BB336" s="239"/>
      <c r="BC336" s="239"/>
      <c r="BD336" s="239"/>
      <c r="BE336" s="239"/>
      <c r="BF336" s="239"/>
      <c r="BG336" s="239"/>
      <c r="BH336" s="239"/>
      <c r="BI336" s="239"/>
      <c r="BJ336" s="239"/>
      <c r="BK336" s="239"/>
      <c r="BL336" s="239"/>
      <c r="BM336" s="239"/>
      <c r="BN336" s="239"/>
      <c r="BO336" s="239"/>
      <c r="BP336" s="239"/>
      <c r="BQ336" s="239"/>
      <c r="BR336" s="239"/>
      <c r="BS336" s="239"/>
      <c r="BT336" s="239"/>
      <c r="BU336" s="239"/>
      <c r="BV336" s="239"/>
      <c r="BW336" s="239"/>
      <c r="BX336" s="239"/>
      <c r="BY336" s="239"/>
      <c r="BZ336" s="239"/>
      <c r="CA336" s="239"/>
      <c r="CB336" s="239"/>
      <c r="CC336" s="239"/>
      <c r="CD336" s="239"/>
      <c r="CE336" s="239"/>
      <c r="CF336" s="239"/>
      <c r="CG336" s="239"/>
    </row>
    <row r="337" spans="1:85" ht="15.75" customHeight="1">
      <c r="A337" s="239"/>
      <c r="B337" s="239"/>
      <c r="C337" s="239"/>
      <c r="D337" s="239"/>
      <c r="E337" s="239"/>
      <c r="F337" s="239"/>
      <c r="G337" s="239"/>
      <c r="H337" s="239"/>
      <c r="I337" s="239"/>
      <c r="J337" s="239"/>
      <c r="K337" s="239"/>
      <c r="L337" s="239"/>
      <c r="M337" s="239"/>
      <c r="N337" s="239"/>
      <c r="O337" s="239"/>
      <c r="P337" s="239"/>
      <c r="Q337" s="239"/>
      <c r="R337" s="239"/>
      <c r="S337" s="239"/>
      <c r="T337" s="239"/>
      <c r="U337" s="239"/>
      <c r="V337" s="239"/>
      <c r="W337" s="239"/>
      <c r="X337" s="239"/>
      <c r="Y337" s="239"/>
      <c r="Z337" s="239"/>
      <c r="AA337" s="239"/>
      <c r="AB337" s="239"/>
      <c r="AC337" s="239"/>
      <c r="AD337" s="239"/>
      <c r="AE337" s="239"/>
      <c r="AF337" s="239"/>
      <c r="AG337" s="239"/>
      <c r="AH337" s="239"/>
      <c r="AI337" s="239"/>
      <c r="AJ337" s="239"/>
      <c r="AK337" s="239"/>
      <c r="AL337" s="239"/>
      <c r="AM337" s="239"/>
      <c r="AN337" s="239"/>
      <c r="AO337" s="239"/>
      <c r="AP337" s="239"/>
      <c r="AQ337" s="239"/>
      <c r="AR337" s="239"/>
      <c r="AS337" s="239"/>
      <c r="AT337" s="239"/>
      <c r="AU337" s="239"/>
      <c r="AV337" s="239"/>
      <c r="AW337" s="239"/>
      <c r="AX337" s="239"/>
      <c r="AY337" s="239"/>
      <c r="AZ337" s="239"/>
      <c r="BA337" s="239"/>
      <c r="BB337" s="239"/>
      <c r="BC337" s="239"/>
      <c r="BD337" s="239"/>
      <c r="BE337" s="239"/>
      <c r="BF337" s="239"/>
      <c r="BG337" s="239"/>
      <c r="BH337" s="239"/>
      <c r="BI337" s="239"/>
      <c r="BJ337" s="239"/>
      <c r="BK337" s="239"/>
      <c r="BL337" s="239"/>
      <c r="BM337" s="239"/>
      <c r="BN337" s="239"/>
      <c r="BO337" s="239"/>
      <c r="BP337" s="239"/>
      <c r="BQ337" s="239"/>
      <c r="BR337" s="239"/>
      <c r="BS337" s="239"/>
      <c r="BT337" s="239"/>
      <c r="BU337" s="239"/>
      <c r="BV337" s="239"/>
      <c r="BW337" s="239"/>
      <c r="BX337" s="239"/>
      <c r="BY337" s="239"/>
      <c r="BZ337" s="239"/>
      <c r="CA337" s="239"/>
      <c r="CB337" s="239"/>
      <c r="CC337" s="239"/>
      <c r="CD337" s="239"/>
      <c r="CE337" s="239"/>
      <c r="CF337" s="239"/>
      <c r="CG337" s="239"/>
    </row>
    <row r="338" spans="1:85" ht="15.75" customHeight="1">
      <c r="A338" s="239"/>
      <c r="B338" s="239"/>
      <c r="C338" s="239"/>
      <c r="D338" s="239"/>
      <c r="E338" s="239"/>
      <c r="F338" s="239"/>
      <c r="G338" s="239"/>
      <c r="H338" s="239"/>
      <c r="I338" s="239"/>
      <c r="J338" s="239"/>
      <c r="K338" s="239"/>
      <c r="L338" s="239"/>
      <c r="M338" s="239"/>
      <c r="N338" s="239"/>
      <c r="O338" s="239"/>
      <c r="P338" s="239"/>
      <c r="Q338" s="239"/>
      <c r="R338" s="239"/>
      <c r="S338" s="239"/>
      <c r="T338" s="239"/>
      <c r="U338" s="239"/>
      <c r="V338" s="239"/>
      <c r="W338" s="239"/>
      <c r="X338" s="239"/>
      <c r="Y338" s="239"/>
      <c r="Z338" s="239"/>
      <c r="AA338" s="239"/>
      <c r="AB338" s="239"/>
      <c r="AC338" s="239"/>
      <c r="AD338" s="239"/>
      <c r="AE338" s="239"/>
      <c r="AF338" s="239"/>
      <c r="AG338" s="239"/>
      <c r="AH338" s="239"/>
      <c r="AI338" s="239"/>
      <c r="AJ338" s="239"/>
      <c r="AK338" s="239"/>
      <c r="AL338" s="239"/>
      <c r="AM338" s="239"/>
      <c r="AN338" s="239"/>
      <c r="AO338" s="239"/>
      <c r="AP338" s="239"/>
      <c r="AQ338" s="239"/>
      <c r="AR338" s="239"/>
      <c r="AS338" s="239"/>
      <c r="AT338" s="239"/>
      <c r="AU338" s="239"/>
      <c r="AV338" s="239"/>
      <c r="AW338" s="239"/>
      <c r="AX338" s="239"/>
      <c r="AY338" s="239"/>
      <c r="AZ338" s="239"/>
      <c r="BA338" s="239"/>
      <c r="BB338" s="239"/>
      <c r="BC338" s="239"/>
      <c r="BD338" s="239"/>
      <c r="BE338" s="239"/>
      <c r="BF338" s="239"/>
      <c r="BG338" s="239"/>
      <c r="BH338" s="239"/>
      <c r="BI338" s="239"/>
      <c r="BJ338" s="239"/>
      <c r="BK338" s="239"/>
      <c r="BL338" s="239"/>
      <c r="BM338" s="239"/>
      <c r="BN338" s="239"/>
      <c r="BO338" s="239"/>
      <c r="BP338" s="239"/>
      <c r="BQ338" s="239"/>
      <c r="BR338" s="239"/>
      <c r="BS338" s="239"/>
      <c r="BT338" s="239"/>
      <c r="BU338" s="239"/>
      <c r="BV338" s="239"/>
      <c r="BW338" s="239"/>
      <c r="BX338" s="239"/>
      <c r="BY338" s="239"/>
      <c r="BZ338" s="239"/>
      <c r="CA338" s="239"/>
      <c r="CB338" s="239"/>
      <c r="CC338" s="239"/>
      <c r="CD338" s="239"/>
      <c r="CE338" s="239"/>
      <c r="CF338" s="239"/>
      <c r="CG338" s="239"/>
    </row>
    <row r="339" spans="1:85" ht="15.75" customHeight="1">
      <c r="A339" s="239"/>
      <c r="B339" s="239"/>
      <c r="C339" s="239"/>
      <c r="D339" s="239"/>
      <c r="E339" s="239"/>
      <c r="F339" s="239"/>
      <c r="G339" s="239"/>
      <c r="H339" s="239"/>
      <c r="I339" s="239"/>
      <c r="J339" s="239"/>
      <c r="K339" s="239"/>
      <c r="L339" s="239"/>
      <c r="M339" s="239"/>
      <c r="N339" s="239"/>
      <c r="O339" s="239"/>
      <c r="P339" s="239"/>
      <c r="Q339" s="239"/>
      <c r="R339" s="239"/>
      <c r="S339" s="239"/>
      <c r="T339" s="239"/>
      <c r="U339" s="239"/>
      <c r="V339" s="239"/>
      <c r="W339" s="239"/>
      <c r="X339" s="239"/>
      <c r="Y339" s="239"/>
      <c r="Z339" s="239"/>
      <c r="AA339" s="239"/>
      <c r="AB339" s="239"/>
      <c r="AC339" s="239"/>
      <c r="AD339" s="239"/>
      <c r="AE339" s="239"/>
      <c r="AF339" s="239"/>
      <c r="AG339" s="239"/>
      <c r="AH339" s="239"/>
      <c r="AI339" s="239"/>
      <c r="AJ339" s="239"/>
      <c r="AK339" s="239"/>
      <c r="AL339" s="239"/>
      <c r="AM339" s="239"/>
      <c r="AN339" s="239"/>
      <c r="AO339" s="239"/>
      <c r="AP339" s="239"/>
      <c r="AQ339" s="239"/>
      <c r="AR339" s="239"/>
      <c r="AS339" s="239"/>
      <c r="AT339" s="239"/>
      <c r="AU339" s="239"/>
      <c r="AV339" s="239"/>
      <c r="AW339" s="239"/>
      <c r="AX339" s="239"/>
      <c r="AY339" s="239"/>
      <c r="AZ339" s="239"/>
      <c r="BA339" s="239"/>
      <c r="BB339" s="239"/>
      <c r="BC339" s="239"/>
      <c r="BD339" s="239"/>
      <c r="BE339" s="239"/>
      <c r="BF339" s="239"/>
      <c r="BG339" s="239"/>
      <c r="BH339" s="239"/>
      <c r="BI339" s="239"/>
      <c r="BJ339" s="239"/>
      <c r="BK339" s="239"/>
      <c r="BL339" s="239"/>
      <c r="BM339" s="239"/>
      <c r="BN339" s="239"/>
      <c r="BO339" s="239"/>
      <c r="BP339" s="239"/>
      <c r="BQ339" s="239"/>
      <c r="BR339" s="239"/>
      <c r="BS339" s="239"/>
      <c r="BT339" s="239"/>
      <c r="BU339" s="239"/>
      <c r="BV339" s="239"/>
      <c r="BW339" s="239"/>
      <c r="BX339" s="239"/>
      <c r="BY339" s="239"/>
      <c r="BZ339" s="239"/>
      <c r="CA339" s="239"/>
      <c r="CB339" s="239"/>
      <c r="CC339" s="239"/>
      <c r="CD339" s="239"/>
      <c r="CE339" s="239"/>
      <c r="CF339" s="239"/>
      <c r="CG339" s="239"/>
    </row>
    <row r="340" spans="1:85" ht="15.75" customHeight="1">
      <c r="A340" s="239"/>
      <c r="B340" s="239"/>
      <c r="C340" s="239"/>
      <c r="D340" s="239"/>
      <c r="E340" s="239"/>
      <c r="F340" s="239"/>
      <c r="G340" s="239"/>
      <c r="H340" s="239"/>
      <c r="I340" s="239"/>
      <c r="J340" s="239"/>
      <c r="K340" s="239"/>
      <c r="L340" s="239"/>
      <c r="M340" s="239"/>
      <c r="N340" s="239"/>
      <c r="O340" s="239"/>
      <c r="P340" s="239"/>
      <c r="Q340" s="239"/>
      <c r="R340" s="239"/>
      <c r="S340" s="239"/>
      <c r="T340" s="239"/>
      <c r="U340" s="239"/>
      <c r="V340" s="239"/>
      <c r="W340" s="239"/>
      <c r="X340" s="239"/>
      <c r="Y340" s="239"/>
      <c r="Z340" s="239"/>
      <c r="AA340" s="239"/>
      <c r="AB340" s="239"/>
      <c r="AC340" s="239"/>
      <c r="AD340" s="239"/>
      <c r="AE340" s="239"/>
      <c r="AF340" s="239"/>
      <c r="AG340" s="239"/>
      <c r="AH340" s="239"/>
      <c r="AI340" s="239"/>
      <c r="AJ340" s="239"/>
      <c r="AK340" s="239"/>
      <c r="AL340" s="239"/>
      <c r="AM340" s="239"/>
      <c r="AN340" s="239"/>
      <c r="AO340" s="239"/>
      <c r="AP340" s="239"/>
      <c r="AQ340" s="239"/>
      <c r="AR340" s="239"/>
      <c r="AS340" s="239"/>
      <c r="AT340" s="239"/>
      <c r="AU340" s="239"/>
      <c r="AV340" s="239"/>
      <c r="AW340" s="239"/>
      <c r="AX340" s="239"/>
      <c r="AY340" s="239"/>
      <c r="AZ340" s="239"/>
      <c r="BA340" s="239"/>
      <c r="BB340" s="239"/>
      <c r="BC340" s="239"/>
      <c r="BD340" s="239"/>
      <c r="BE340" s="239"/>
      <c r="BF340" s="239"/>
      <c r="BG340" s="239"/>
      <c r="BH340" s="239"/>
      <c r="BI340" s="239"/>
      <c r="BJ340" s="239"/>
      <c r="BK340" s="239"/>
      <c r="BL340" s="239"/>
      <c r="BM340" s="239"/>
      <c r="BN340" s="239"/>
      <c r="BO340" s="239"/>
      <c r="BP340" s="239"/>
      <c r="BQ340" s="239"/>
      <c r="BR340" s="239"/>
      <c r="BS340" s="239"/>
      <c r="BT340" s="239"/>
      <c r="BU340" s="239"/>
      <c r="BV340" s="239"/>
      <c r="BW340" s="239"/>
      <c r="BX340" s="239"/>
      <c r="BY340" s="239"/>
      <c r="BZ340" s="239"/>
      <c r="CA340" s="239"/>
      <c r="CB340" s="239"/>
      <c r="CC340" s="239"/>
      <c r="CD340" s="239"/>
      <c r="CE340" s="239"/>
      <c r="CF340" s="239"/>
      <c r="CG340" s="239"/>
    </row>
    <row r="341" spans="1:85" ht="15.75" customHeight="1">
      <c r="A341" s="239"/>
      <c r="B341" s="239"/>
      <c r="C341" s="239"/>
      <c r="D341" s="239"/>
      <c r="E341" s="239"/>
      <c r="F341" s="239"/>
      <c r="G341" s="239"/>
      <c r="H341" s="239"/>
      <c r="I341" s="239"/>
      <c r="J341" s="239"/>
      <c r="K341" s="239"/>
      <c r="L341" s="239"/>
      <c r="M341" s="239"/>
      <c r="N341" s="239"/>
      <c r="O341" s="239"/>
      <c r="P341" s="239"/>
      <c r="Q341" s="239"/>
      <c r="R341" s="239"/>
      <c r="S341" s="239"/>
      <c r="T341" s="239"/>
      <c r="U341" s="239"/>
      <c r="V341" s="239"/>
      <c r="W341" s="239"/>
      <c r="X341" s="239"/>
      <c r="Y341" s="239"/>
      <c r="Z341" s="239"/>
      <c r="AA341" s="239"/>
      <c r="AB341" s="239"/>
      <c r="AC341" s="239"/>
      <c r="AD341" s="239"/>
      <c r="AE341" s="239"/>
      <c r="AF341" s="239"/>
      <c r="AG341" s="239"/>
      <c r="AH341" s="239"/>
      <c r="AI341" s="239"/>
      <c r="AJ341" s="239"/>
      <c r="AK341" s="239"/>
      <c r="AL341" s="239"/>
      <c r="AM341" s="239"/>
      <c r="AN341" s="239"/>
      <c r="AO341" s="239"/>
      <c r="AP341" s="239"/>
      <c r="AQ341" s="239"/>
      <c r="AR341" s="239"/>
      <c r="AS341" s="239"/>
      <c r="AT341" s="239"/>
      <c r="AU341" s="239"/>
      <c r="AV341" s="239"/>
      <c r="AW341" s="239"/>
      <c r="AX341" s="239"/>
      <c r="AY341" s="239"/>
      <c r="AZ341" s="239"/>
      <c r="BA341" s="239"/>
      <c r="BB341" s="239"/>
      <c r="BC341" s="239"/>
      <c r="BD341" s="239"/>
      <c r="BE341" s="239"/>
      <c r="BF341" s="239"/>
      <c r="BG341" s="239"/>
      <c r="BH341" s="239"/>
      <c r="BI341" s="239"/>
      <c r="BJ341" s="239"/>
      <c r="BK341" s="239"/>
      <c r="BL341" s="239"/>
      <c r="BM341" s="239"/>
      <c r="BN341" s="239"/>
      <c r="BO341" s="239"/>
      <c r="BP341" s="239"/>
      <c r="BQ341" s="239"/>
      <c r="BR341" s="239"/>
      <c r="BS341" s="239"/>
      <c r="BT341" s="239"/>
      <c r="BU341" s="239"/>
      <c r="BV341" s="239"/>
      <c r="BW341" s="239"/>
      <c r="BX341" s="239"/>
      <c r="BY341" s="239"/>
      <c r="BZ341" s="239"/>
      <c r="CA341" s="239"/>
      <c r="CB341" s="239"/>
      <c r="CC341" s="239"/>
      <c r="CD341" s="239"/>
      <c r="CE341" s="239"/>
      <c r="CF341" s="239"/>
      <c r="CG341" s="239"/>
    </row>
    <row r="342" spans="1:85" ht="15.75" customHeight="1">
      <c r="A342" s="239"/>
      <c r="B342" s="239"/>
      <c r="C342" s="239"/>
      <c r="D342" s="239"/>
      <c r="E342" s="239"/>
      <c r="F342" s="239"/>
      <c r="G342" s="239"/>
      <c r="H342" s="239"/>
      <c r="I342" s="239"/>
      <c r="J342" s="239"/>
      <c r="K342" s="239"/>
      <c r="L342" s="239"/>
      <c r="M342" s="239"/>
      <c r="N342" s="239"/>
      <c r="O342" s="239"/>
      <c r="P342" s="239"/>
      <c r="Q342" s="239"/>
      <c r="R342" s="239"/>
      <c r="S342" s="239"/>
      <c r="T342" s="239"/>
      <c r="U342" s="239"/>
      <c r="V342" s="239"/>
      <c r="W342" s="239"/>
      <c r="X342" s="239"/>
      <c r="Y342" s="239"/>
      <c r="Z342" s="239"/>
      <c r="AA342" s="239"/>
      <c r="AB342" s="239"/>
      <c r="AC342" s="239"/>
      <c r="AD342" s="239"/>
      <c r="AE342" s="239"/>
      <c r="AF342" s="239"/>
      <c r="AG342" s="239"/>
      <c r="AH342" s="239"/>
      <c r="AI342" s="239"/>
      <c r="AJ342" s="239"/>
      <c r="AK342" s="239"/>
      <c r="AL342" s="239"/>
      <c r="AM342" s="239"/>
      <c r="AN342" s="239"/>
      <c r="AO342" s="239"/>
      <c r="AP342" s="239"/>
      <c r="AQ342" s="239"/>
      <c r="AR342" s="239"/>
      <c r="AS342" s="239"/>
      <c r="AT342" s="239"/>
      <c r="AU342" s="239"/>
      <c r="AV342" s="239"/>
      <c r="AW342" s="239"/>
      <c r="AX342" s="239"/>
      <c r="AY342" s="239"/>
      <c r="AZ342" s="239"/>
      <c r="BA342" s="239"/>
      <c r="BB342" s="239"/>
      <c r="BC342" s="239"/>
      <c r="BD342" s="239"/>
      <c r="BE342" s="239"/>
      <c r="BF342" s="239"/>
      <c r="BG342" s="239"/>
      <c r="BH342" s="239"/>
      <c r="BI342" s="239"/>
      <c r="BJ342" s="239"/>
      <c r="BK342" s="239"/>
      <c r="BL342" s="239"/>
      <c r="BM342" s="239"/>
      <c r="BN342" s="239"/>
      <c r="BO342" s="239"/>
      <c r="BP342" s="239"/>
      <c r="BQ342" s="239"/>
      <c r="BR342" s="239"/>
      <c r="BS342" s="239"/>
      <c r="BT342" s="239"/>
      <c r="BU342" s="239"/>
      <c r="BV342" s="239"/>
      <c r="BW342" s="239"/>
      <c r="BX342" s="239"/>
      <c r="BY342" s="239"/>
      <c r="BZ342" s="239"/>
      <c r="CA342" s="239"/>
      <c r="CB342" s="239"/>
      <c r="CC342" s="239"/>
      <c r="CD342" s="239"/>
      <c r="CE342" s="239"/>
      <c r="CF342" s="239"/>
      <c r="CG342" s="239"/>
    </row>
    <row r="343" spans="1:85" ht="15.75" customHeight="1">
      <c r="A343" s="239"/>
      <c r="B343" s="239"/>
      <c r="C343" s="239"/>
      <c r="D343" s="239"/>
      <c r="E343" s="239"/>
      <c r="F343" s="239"/>
      <c r="G343" s="239"/>
      <c r="H343" s="239"/>
      <c r="I343" s="239"/>
      <c r="J343" s="239"/>
      <c r="K343" s="239"/>
      <c r="L343" s="239"/>
      <c r="M343" s="239"/>
      <c r="N343" s="239"/>
      <c r="O343" s="239"/>
      <c r="P343" s="239"/>
      <c r="Q343" s="239"/>
      <c r="R343" s="239"/>
      <c r="S343" s="239"/>
      <c r="T343" s="239"/>
      <c r="U343" s="239"/>
      <c r="V343" s="239"/>
      <c r="W343" s="239"/>
      <c r="X343" s="239"/>
      <c r="Y343" s="239"/>
      <c r="Z343" s="239"/>
      <c r="AA343" s="239"/>
      <c r="AB343" s="239"/>
      <c r="AC343" s="239"/>
      <c r="AD343" s="239"/>
      <c r="AE343" s="239"/>
      <c r="AF343" s="239"/>
      <c r="AG343" s="239"/>
      <c r="AH343" s="239"/>
      <c r="AI343" s="239"/>
      <c r="AJ343" s="239"/>
      <c r="AK343" s="239"/>
      <c r="AL343" s="239"/>
      <c r="AM343" s="239"/>
      <c r="AN343" s="239"/>
      <c r="AO343" s="239"/>
      <c r="AP343" s="239"/>
      <c r="AQ343" s="239"/>
      <c r="AR343" s="239"/>
      <c r="AS343" s="239"/>
      <c r="AT343" s="239"/>
      <c r="AU343" s="239"/>
      <c r="AV343" s="239"/>
      <c r="AW343" s="239"/>
      <c r="AX343" s="239"/>
      <c r="AY343" s="239"/>
      <c r="AZ343" s="239"/>
      <c r="BA343" s="239"/>
      <c r="BB343" s="239"/>
      <c r="BC343" s="239"/>
      <c r="BD343" s="239"/>
      <c r="BE343" s="239"/>
      <c r="BF343" s="239"/>
      <c r="BG343" s="239"/>
      <c r="BH343" s="239"/>
      <c r="BI343" s="239"/>
      <c r="BJ343" s="239"/>
      <c r="BK343" s="239"/>
      <c r="BL343" s="239"/>
      <c r="BM343" s="239"/>
      <c r="BN343" s="239"/>
      <c r="BO343" s="239"/>
      <c r="BP343" s="239"/>
      <c r="BQ343" s="239"/>
      <c r="BR343" s="239"/>
      <c r="BS343" s="239"/>
      <c r="BT343" s="239"/>
      <c r="BU343" s="239"/>
      <c r="BV343" s="239"/>
      <c r="BW343" s="239"/>
      <c r="BX343" s="239"/>
      <c r="BY343" s="239"/>
      <c r="BZ343" s="239"/>
      <c r="CA343" s="239"/>
      <c r="CB343" s="239"/>
      <c r="CC343" s="239"/>
      <c r="CD343" s="239"/>
      <c r="CE343" s="239"/>
      <c r="CF343" s="239"/>
      <c r="CG343" s="239"/>
    </row>
    <row r="344" spans="1:85" ht="15.75" customHeight="1">
      <c r="A344" s="239"/>
      <c r="B344" s="239"/>
      <c r="C344" s="239"/>
      <c r="D344" s="239"/>
      <c r="E344" s="239"/>
      <c r="F344" s="239"/>
      <c r="G344" s="239"/>
      <c r="H344" s="239"/>
      <c r="I344" s="239"/>
      <c r="J344" s="239"/>
      <c r="K344" s="239"/>
      <c r="L344" s="239"/>
      <c r="M344" s="239"/>
      <c r="N344" s="239"/>
      <c r="O344" s="239"/>
      <c r="P344" s="239"/>
      <c r="Q344" s="239"/>
      <c r="R344" s="239"/>
      <c r="S344" s="239"/>
      <c r="T344" s="239"/>
      <c r="U344" s="239"/>
      <c r="V344" s="239"/>
      <c r="W344" s="239"/>
      <c r="X344" s="239"/>
      <c r="Y344" s="239"/>
      <c r="Z344" s="239"/>
      <c r="AA344" s="239"/>
      <c r="AB344" s="239"/>
      <c r="AC344" s="239"/>
      <c r="AD344" s="239"/>
      <c r="AE344" s="239"/>
      <c r="AF344" s="239"/>
      <c r="AG344" s="239"/>
      <c r="AH344" s="239"/>
      <c r="AI344" s="239"/>
      <c r="AJ344" s="239"/>
      <c r="AK344" s="239"/>
      <c r="AL344" s="239"/>
      <c r="AM344" s="239"/>
      <c r="AN344" s="239"/>
      <c r="AO344" s="239"/>
      <c r="AP344" s="239"/>
      <c r="AQ344" s="239"/>
      <c r="AR344" s="239"/>
      <c r="AS344" s="239"/>
      <c r="AT344" s="239"/>
      <c r="AU344" s="239"/>
      <c r="AV344" s="239"/>
      <c r="AW344" s="239"/>
      <c r="AX344" s="239"/>
      <c r="AY344" s="239"/>
      <c r="AZ344" s="239"/>
      <c r="BA344" s="239"/>
      <c r="BB344" s="239"/>
      <c r="BC344" s="239"/>
      <c r="BD344" s="239"/>
      <c r="BE344" s="239"/>
      <c r="BF344" s="239"/>
      <c r="BG344" s="239"/>
      <c r="BH344" s="239"/>
      <c r="BI344" s="239"/>
      <c r="BJ344" s="239"/>
      <c r="BK344" s="239"/>
      <c r="BL344" s="239"/>
      <c r="BM344" s="239"/>
      <c r="BN344" s="239"/>
      <c r="BO344" s="239"/>
      <c r="BP344" s="239"/>
      <c r="BQ344" s="239"/>
      <c r="BR344" s="239"/>
      <c r="BS344" s="239"/>
      <c r="BT344" s="239"/>
      <c r="BU344" s="239"/>
      <c r="BV344" s="239"/>
      <c r="BW344" s="239"/>
      <c r="BX344" s="239"/>
      <c r="BY344" s="239"/>
      <c r="BZ344" s="239"/>
      <c r="CA344" s="239"/>
      <c r="CB344" s="239"/>
      <c r="CC344" s="239"/>
      <c r="CD344" s="239"/>
      <c r="CE344" s="239"/>
      <c r="CF344" s="239"/>
      <c r="CG344" s="239"/>
    </row>
    <row r="345" spans="1:85" ht="15.75" customHeight="1">
      <c r="A345" s="239"/>
      <c r="B345" s="239"/>
      <c r="C345" s="239"/>
      <c r="D345" s="239"/>
      <c r="E345" s="239"/>
      <c r="F345" s="239"/>
      <c r="G345" s="239"/>
      <c r="H345" s="239"/>
      <c r="I345" s="239"/>
      <c r="J345" s="239"/>
      <c r="K345" s="239"/>
      <c r="L345" s="239"/>
      <c r="M345" s="239"/>
      <c r="N345" s="239"/>
      <c r="O345" s="239"/>
      <c r="P345" s="239"/>
      <c r="Q345" s="239"/>
      <c r="R345" s="239"/>
      <c r="S345" s="239"/>
      <c r="T345" s="239"/>
      <c r="U345" s="239"/>
      <c r="V345" s="239"/>
      <c r="W345" s="239"/>
      <c r="X345" s="239"/>
      <c r="Y345" s="239"/>
      <c r="Z345" s="239"/>
      <c r="AA345" s="239"/>
      <c r="AB345" s="239"/>
      <c r="AC345" s="239"/>
      <c r="AD345" s="239"/>
      <c r="AE345" s="239"/>
      <c r="AF345" s="239"/>
      <c r="AG345" s="239"/>
      <c r="AH345" s="239"/>
      <c r="AI345" s="239"/>
      <c r="AJ345" s="239"/>
      <c r="AK345" s="239"/>
      <c r="AL345" s="239"/>
      <c r="AM345" s="239"/>
      <c r="AN345" s="239"/>
      <c r="AO345" s="239"/>
      <c r="AP345" s="239"/>
      <c r="AQ345" s="239"/>
      <c r="AR345" s="239"/>
      <c r="AS345" s="239"/>
      <c r="AT345" s="239"/>
      <c r="AU345" s="239"/>
      <c r="AV345" s="239"/>
      <c r="AW345" s="239"/>
      <c r="AX345" s="239"/>
      <c r="AY345" s="239"/>
      <c r="AZ345" s="239"/>
      <c r="BA345" s="239"/>
      <c r="BB345" s="239"/>
      <c r="BC345" s="239"/>
      <c r="BD345" s="239"/>
      <c r="BE345" s="239"/>
      <c r="BF345" s="239"/>
      <c r="BG345" s="239"/>
      <c r="BH345" s="239"/>
      <c r="BI345" s="239"/>
      <c r="BJ345" s="239"/>
      <c r="BK345" s="239"/>
      <c r="BL345" s="239"/>
      <c r="BM345" s="239"/>
      <c r="BN345" s="239"/>
      <c r="BO345" s="239"/>
      <c r="BP345" s="239"/>
      <c r="BQ345" s="239"/>
      <c r="BR345" s="239"/>
      <c r="BS345" s="239"/>
      <c r="BT345" s="239"/>
      <c r="BU345" s="239"/>
      <c r="BV345" s="239"/>
      <c r="BW345" s="239"/>
      <c r="BX345" s="239"/>
      <c r="BY345" s="239"/>
      <c r="BZ345" s="239"/>
      <c r="CA345" s="239"/>
      <c r="CB345" s="239"/>
      <c r="CC345" s="239"/>
      <c r="CD345" s="239"/>
      <c r="CE345" s="239"/>
      <c r="CF345" s="239"/>
      <c r="CG345" s="239"/>
    </row>
    <row r="346" spans="1:85" ht="15.75" customHeight="1">
      <c r="A346" s="239"/>
      <c r="B346" s="239"/>
      <c r="C346" s="239"/>
      <c r="D346" s="239"/>
      <c r="E346" s="239"/>
      <c r="F346" s="239"/>
      <c r="G346" s="239"/>
      <c r="H346" s="239"/>
      <c r="I346" s="239"/>
      <c r="J346" s="239"/>
      <c r="K346" s="239"/>
      <c r="L346" s="239"/>
      <c r="M346" s="239"/>
      <c r="N346" s="239"/>
      <c r="O346" s="239"/>
      <c r="P346" s="239"/>
      <c r="Q346" s="239"/>
      <c r="R346" s="239"/>
      <c r="S346" s="239"/>
      <c r="T346" s="239"/>
      <c r="U346" s="239"/>
      <c r="V346" s="239"/>
      <c r="W346" s="239"/>
      <c r="X346" s="239"/>
      <c r="Y346" s="239"/>
      <c r="Z346" s="239"/>
      <c r="AA346" s="239"/>
      <c r="AB346" s="239"/>
      <c r="AC346" s="239"/>
      <c r="AD346" s="239"/>
      <c r="AE346" s="239"/>
      <c r="AF346" s="239"/>
      <c r="AG346" s="239"/>
      <c r="AH346" s="239"/>
      <c r="AI346" s="239"/>
      <c r="AJ346" s="239"/>
      <c r="AK346" s="239"/>
      <c r="AL346" s="239"/>
      <c r="AM346" s="239"/>
      <c r="AN346" s="239"/>
      <c r="AO346" s="239"/>
      <c r="AP346" s="239"/>
      <c r="AQ346" s="239"/>
      <c r="AR346" s="239"/>
      <c r="AS346" s="239"/>
      <c r="AT346" s="239"/>
      <c r="AU346" s="239"/>
      <c r="AV346" s="239"/>
      <c r="AW346" s="239"/>
      <c r="AX346" s="239"/>
      <c r="AY346" s="239"/>
      <c r="AZ346" s="239"/>
      <c r="BA346" s="239"/>
      <c r="BB346" s="239"/>
      <c r="BC346" s="239"/>
      <c r="BD346" s="239"/>
      <c r="BE346" s="239"/>
      <c r="BF346" s="239"/>
      <c r="BG346" s="239"/>
      <c r="BH346" s="239"/>
      <c r="BI346" s="239"/>
      <c r="BJ346" s="239"/>
      <c r="BK346" s="239"/>
      <c r="BL346" s="239"/>
      <c r="BM346" s="239"/>
      <c r="BN346" s="239"/>
      <c r="BO346" s="239"/>
      <c r="BP346" s="239"/>
      <c r="BQ346" s="239"/>
      <c r="BR346" s="239"/>
      <c r="BS346" s="239"/>
      <c r="BT346" s="239"/>
      <c r="BU346" s="239"/>
      <c r="BV346" s="239"/>
      <c r="BW346" s="239"/>
      <c r="BX346" s="239"/>
      <c r="BY346" s="239"/>
      <c r="BZ346" s="239"/>
      <c r="CA346" s="239"/>
      <c r="CB346" s="239"/>
      <c r="CC346" s="239"/>
      <c r="CD346" s="239"/>
      <c r="CE346" s="239"/>
      <c r="CF346" s="239"/>
      <c r="CG346" s="239"/>
    </row>
    <row r="347" spans="1:85" ht="15.75" customHeight="1">
      <c r="A347" s="239"/>
      <c r="B347" s="239"/>
      <c r="C347" s="239"/>
      <c r="D347" s="239"/>
      <c r="E347" s="239"/>
      <c r="F347" s="239"/>
      <c r="G347" s="239"/>
      <c r="H347" s="239"/>
      <c r="I347" s="239"/>
      <c r="J347" s="239"/>
      <c r="K347" s="239"/>
      <c r="L347" s="239"/>
      <c r="M347" s="239"/>
      <c r="N347" s="239"/>
      <c r="O347" s="239"/>
      <c r="P347" s="239"/>
      <c r="Q347" s="239"/>
      <c r="R347" s="239"/>
      <c r="S347" s="239"/>
      <c r="T347" s="239"/>
      <c r="U347" s="239"/>
      <c r="V347" s="239"/>
      <c r="W347" s="239"/>
      <c r="X347" s="239"/>
      <c r="Y347" s="239"/>
      <c r="Z347" s="239"/>
      <c r="AA347" s="239"/>
      <c r="AB347" s="239"/>
      <c r="AC347" s="239"/>
      <c r="AD347" s="239"/>
      <c r="AE347" s="239"/>
      <c r="AF347" s="239"/>
      <c r="AG347" s="239"/>
      <c r="AH347" s="239"/>
      <c r="AI347" s="239"/>
      <c r="AJ347" s="239"/>
      <c r="AK347" s="239"/>
      <c r="AL347" s="239"/>
      <c r="AM347" s="239"/>
      <c r="AN347" s="239"/>
      <c r="AO347" s="239"/>
      <c r="AP347" s="239"/>
      <c r="AQ347" s="239"/>
      <c r="AR347" s="239"/>
      <c r="AS347" s="239"/>
      <c r="AT347" s="239"/>
      <c r="AU347" s="239"/>
      <c r="AV347" s="239"/>
      <c r="AW347" s="239"/>
      <c r="AX347" s="239"/>
      <c r="AY347" s="239"/>
      <c r="AZ347" s="239"/>
      <c r="BA347" s="239"/>
      <c r="BB347" s="239"/>
      <c r="BC347" s="239"/>
      <c r="BD347" s="239"/>
      <c r="BE347" s="239"/>
      <c r="BF347" s="239"/>
      <c r="BG347" s="239"/>
      <c r="BH347" s="239"/>
      <c r="BI347" s="239"/>
      <c r="BJ347" s="239"/>
      <c r="BK347" s="239"/>
      <c r="BL347" s="239"/>
      <c r="BM347" s="239"/>
      <c r="BN347" s="239"/>
      <c r="BO347" s="239"/>
      <c r="BP347" s="239"/>
      <c r="BQ347" s="239"/>
      <c r="BR347" s="239"/>
      <c r="BS347" s="239"/>
      <c r="BT347" s="239"/>
      <c r="BU347" s="239"/>
      <c r="BV347" s="239"/>
      <c r="BW347" s="239"/>
      <c r="BX347" s="239"/>
      <c r="BY347" s="239"/>
      <c r="BZ347" s="239"/>
      <c r="CA347" s="239"/>
      <c r="CB347" s="239"/>
      <c r="CC347" s="239"/>
      <c r="CD347" s="239"/>
      <c r="CE347" s="239"/>
      <c r="CF347" s="239"/>
      <c r="CG347" s="239"/>
    </row>
    <row r="348" spans="1:85" ht="15.75" customHeight="1">
      <c r="A348" s="239"/>
      <c r="B348" s="239"/>
      <c r="C348" s="239"/>
      <c r="D348" s="239"/>
      <c r="E348" s="239"/>
      <c r="F348" s="239"/>
      <c r="G348" s="239"/>
      <c r="H348" s="239"/>
      <c r="I348" s="239"/>
      <c r="J348" s="239"/>
      <c r="K348" s="239"/>
      <c r="L348" s="239"/>
      <c r="M348" s="239"/>
      <c r="N348" s="239"/>
      <c r="O348" s="239"/>
      <c r="P348" s="239"/>
      <c r="Q348" s="239"/>
      <c r="R348" s="239"/>
      <c r="S348" s="239"/>
      <c r="T348" s="239"/>
      <c r="U348" s="239"/>
      <c r="V348" s="239"/>
      <c r="W348" s="239"/>
      <c r="X348" s="239"/>
      <c r="Y348" s="239"/>
      <c r="Z348" s="239"/>
      <c r="AA348" s="239"/>
      <c r="AB348" s="239"/>
      <c r="AC348" s="239"/>
      <c r="AD348" s="239"/>
      <c r="AE348" s="239"/>
      <c r="AF348" s="239"/>
      <c r="AG348" s="239"/>
      <c r="AH348" s="239"/>
      <c r="AI348" s="239"/>
      <c r="AJ348" s="239"/>
      <c r="AK348" s="239"/>
      <c r="AL348" s="239"/>
      <c r="AM348" s="239"/>
      <c r="AN348" s="239"/>
      <c r="AO348" s="239"/>
      <c r="AP348" s="239"/>
      <c r="AQ348" s="239"/>
      <c r="AR348" s="239"/>
      <c r="AS348" s="239"/>
      <c r="AT348" s="239"/>
      <c r="AU348" s="239"/>
      <c r="AV348" s="239"/>
      <c r="AW348" s="239"/>
      <c r="AX348" s="239"/>
      <c r="AY348" s="239"/>
      <c r="AZ348" s="239"/>
      <c r="BA348" s="239"/>
      <c r="BB348" s="239"/>
      <c r="BC348" s="239"/>
      <c r="BD348" s="239"/>
      <c r="BE348" s="239"/>
      <c r="BF348" s="239"/>
      <c r="BG348" s="239"/>
      <c r="BH348" s="239"/>
      <c r="BI348" s="239"/>
      <c r="BJ348" s="239"/>
      <c r="BK348" s="239"/>
      <c r="BL348" s="239"/>
      <c r="BM348" s="239"/>
      <c r="BN348" s="239"/>
      <c r="BO348" s="239"/>
      <c r="BP348" s="239"/>
      <c r="BQ348" s="239"/>
      <c r="BR348" s="239"/>
      <c r="BS348" s="239"/>
      <c r="BT348" s="239"/>
      <c r="BU348" s="239"/>
      <c r="BV348" s="239"/>
      <c r="BW348" s="239"/>
      <c r="BX348" s="239"/>
      <c r="BY348" s="239"/>
      <c r="BZ348" s="239"/>
      <c r="CA348" s="239"/>
      <c r="CB348" s="239"/>
      <c r="CC348" s="239"/>
      <c r="CD348" s="239"/>
      <c r="CE348" s="239"/>
      <c r="CF348" s="239"/>
      <c r="CG348" s="239"/>
    </row>
    <row r="349" spans="1:85" ht="15.75" customHeight="1">
      <c r="A349" s="239"/>
      <c r="B349" s="239"/>
      <c r="C349" s="239"/>
      <c r="D349" s="239"/>
      <c r="E349" s="239"/>
      <c r="F349" s="239"/>
      <c r="G349" s="239"/>
      <c r="H349" s="239"/>
      <c r="I349" s="239"/>
      <c r="J349" s="239"/>
      <c r="K349" s="239"/>
      <c r="L349" s="239"/>
      <c r="M349" s="239"/>
      <c r="N349" s="239"/>
      <c r="O349" s="239"/>
      <c r="P349" s="239"/>
      <c r="Q349" s="239"/>
      <c r="R349" s="239"/>
      <c r="S349" s="239"/>
      <c r="T349" s="239"/>
      <c r="U349" s="239"/>
      <c r="V349" s="239"/>
      <c r="W349" s="239"/>
      <c r="X349" s="239"/>
      <c r="Y349" s="239"/>
      <c r="Z349" s="239"/>
      <c r="AA349" s="239"/>
      <c r="AB349" s="239"/>
      <c r="AC349" s="239"/>
      <c r="AD349" s="239"/>
      <c r="AE349" s="239"/>
      <c r="AF349" s="239"/>
      <c r="AG349" s="239"/>
      <c r="AH349" s="239"/>
      <c r="AI349" s="239"/>
      <c r="AJ349" s="239"/>
      <c r="AK349" s="239"/>
      <c r="AL349" s="239"/>
      <c r="AM349" s="239"/>
      <c r="AN349" s="239"/>
      <c r="AO349" s="239"/>
      <c r="AP349" s="239"/>
      <c r="AQ349" s="239"/>
      <c r="AR349" s="239"/>
      <c r="AS349" s="239"/>
      <c r="AT349" s="239"/>
      <c r="AU349" s="239"/>
      <c r="AV349" s="239"/>
      <c r="AW349" s="239"/>
      <c r="AX349" s="239"/>
      <c r="AY349" s="239"/>
      <c r="AZ349" s="239"/>
      <c r="BA349" s="239"/>
      <c r="BB349" s="239"/>
      <c r="BC349" s="239"/>
      <c r="BD349" s="239"/>
      <c r="BE349" s="239"/>
      <c r="BF349" s="239"/>
      <c r="BG349" s="239"/>
      <c r="BH349" s="239"/>
      <c r="BI349" s="239"/>
      <c r="BJ349" s="239"/>
      <c r="BK349" s="239"/>
      <c r="BL349" s="239"/>
      <c r="BM349" s="239"/>
      <c r="BN349" s="239"/>
      <c r="BO349" s="239"/>
      <c r="BP349" s="239"/>
      <c r="BQ349" s="239"/>
      <c r="BR349" s="239"/>
      <c r="BS349" s="239"/>
      <c r="BT349" s="239"/>
      <c r="BU349" s="239"/>
      <c r="BV349" s="239"/>
      <c r="BW349" s="239"/>
      <c r="BX349" s="239"/>
      <c r="BY349" s="239"/>
      <c r="BZ349" s="239"/>
      <c r="CA349" s="239"/>
      <c r="CB349" s="239"/>
      <c r="CC349" s="239"/>
      <c r="CD349" s="239"/>
      <c r="CE349" s="239"/>
      <c r="CF349" s="239"/>
      <c r="CG349" s="239"/>
    </row>
    <row r="350" spans="1:85" ht="15.75" customHeight="1">
      <c r="A350" s="239"/>
      <c r="B350" s="239"/>
      <c r="C350" s="239"/>
      <c r="D350" s="239"/>
      <c r="E350" s="239"/>
      <c r="F350" s="239"/>
      <c r="G350" s="239"/>
      <c r="H350" s="239"/>
      <c r="I350" s="239"/>
      <c r="J350" s="239"/>
      <c r="K350" s="239"/>
      <c r="L350" s="239"/>
      <c r="M350" s="239"/>
      <c r="N350" s="239"/>
      <c r="O350" s="239"/>
      <c r="P350" s="239"/>
      <c r="Q350" s="239"/>
      <c r="R350" s="239"/>
      <c r="S350" s="239"/>
      <c r="T350" s="239"/>
      <c r="U350" s="239"/>
      <c r="V350" s="239"/>
      <c r="W350" s="239"/>
      <c r="X350" s="239"/>
      <c r="Y350" s="239"/>
      <c r="Z350" s="239"/>
      <c r="AA350" s="239"/>
      <c r="AB350" s="239"/>
      <c r="AC350" s="239"/>
      <c r="AD350" s="239"/>
      <c r="AE350" s="239"/>
      <c r="AF350" s="239"/>
      <c r="AG350" s="239"/>
      <c r="AH350" s="239"/>
      <c r="AI350" s="239"/>
      <c r="AJ350" s="239"/>
      <c r="AK350" s="239"/>
      <c r="AL350" s="239"/>
      <c r="AM350" s="239"/>
      <c r="AN350" s="239"/>
      <c r="AO350" s="239"/>
      <c r="AP350" s="239"/>
      <c r="AQ350" s="239"/>
      <c r="AR350" s="239"/>
      <c r="AS350" s="239"/>
      <c r="AT350" s="239"/>
      <c r="AU350" s="239"/>
      <c r="AV350" s="239"/>
      <c r="AW350" s="239"/>
      <c r="AX350" s="239"/>
      <c r="AY350" s="239"/>
      <c r="AZ350" s="239"/>
      <c r="BA350" s="239"/>
      <c r="BB350" s="239"/>
      <c r="BC350" s="239"/>
      <c r="BD350" s="239"/>
      <c r="BE350" s="239"/>
      <c r="BF350" s="239"/>
      <c r="BG350" s="239"/>
      <c r="BH350" s="239"/>
      <c r="BI350" s="239"/>
      <c r="BJ350" s="239"/>
      <c r="BK350" s="239"/>
      <c r="BL350" s="239"/>
      <c r="BM350" s="239"/>
      <c r="BN350" s="239"/>
      <c r="BO350" s="239"/>
      <c r="BP350" s="239"/>
      <c r="BQ350" s="239"/>
      <c r="BR350" s="239"/>
      <c r="BS350" s="239"/>
      <c r="BT350" s="239"/>
      <c r="BU350" s="239"/>
      <c r="BV350" s="239"/>
      <c r="BW350" s="239"/>
      <c r="BX350" s="239"/>
      <c r="BY350" s="239"/>
      <c r="BZ350" s="239"/>
      <c r="CA350" s="239"/>
      <c r="CB350" s="239"/>
      <c r="CC350" s="239"/>
      <c r="CD350" s="239"/>
      <c r="CE350" s="239"/>
      <c r="CF350" s="239"/>
      <c r="CG350" s="239"/>
    </row>
    <row r="351" spans="1:85" ht="15.75" customHeight="1">
      <c r="A351" s="239"/>
      <c r="B351" s="239"/>
      <c r="C351" s="239"/>
      <c r="D351" s="239"/>
      <c r="E351" s="239"/>
      <c r="F351" s="239"/>
      <c r="G351" s="239"/>
      <c r="H351" s="239"/>
      <c r="I351" s="239"/>
      <c r="J351" s="239"/>
      <c r="K351" s="239"/>
      <c r="L351" s="239"/>
      <c r="M351" s="239"/>
      <c r="N351" s="239"/>
      <c r="O351" s="239"/>
      <c r="P351" s="239"/>
      <c r="Q351" s="239"/>
      <c r="R351" s="239"/>
      <c r="S351" s="239"/>
      <c r="T351" s="239"/>
      <c r="U351" s="239"/>
      <c r="V351" s="239"/>
      <c r="W351" s="239"/>
      <c r="X351" s="239"/>
      <c r="Y351" s="239"/>
      <c r="Z351" s="239"/>
      <c r="AA351" s="239"/>
      <c r="AB351" s="239"/>
      <c r="AC351" s="239"/>
      <c r="AD351" s="239"/>
      <c r="AE351" s="239"/>
      <c r="AF351" s="239"/>
      <c r="AG351" s="239"/>
      <c r="AH351" s="239"/>
      <c r="AI351" s="239"/>
      <c r="AJ351" s="239"/>
      <c r="AK351" s="239"/>
      <c r="AL351" s="239"/>
      <c r="AM351" s="239"/>
      <c r="AN351" s="239"/>
      <c r="AO351" s="239"/>
      <c r="AP351" s="239"/>
      <c r="AQ351" s="239"/>
      <c r="AR351" s="239"/>
      <c r="AS351" s="239"/>
      <c r="AT351" s="239"/>
      <c r="AU351" s="239"/>
      <c r="AV351" s="239"/>
      <c r="AW351" s="239"/>
      <c r="AX351" s="239"/>
      <c r="AY351" s="239"/>
      <c r="AZ351" s="239"/>
      <c r="BA351" s="239"/>
      <c r="BB351" s="239"/>
      <c r="BC351" s="239"/>
      <c r="BD351" s="239"/>
      <c r="BE351" s="239"/>
      <c r="BF351" s="239"/>
      <c r="BG351" s="239"/>
      <c r="BH351" s="239"/>
      <c r="BI351" s="239"/>
      <c r="BJ351" s="239"/>
      <c r="BK351" s="239"/>
      <c r="BL351" s="239"/>
      <c r="BM351" s="239"/>
      <c r="BN351" s="239"/>
      <c r="BO351" s="239"/>
      <c r="BP351" s="239"/>
      <c r="BQ351" s="239"/>
      <c r="BR351" s="239"/>
      <c r="BS351" s="239"/>
      <c r="BT351" s="239"/>
      <c r="BU351" s="239"/>
      <c r="BV351" s="239"/>
      <c r="BW351" s="239"/>
      <c r="BX351" s="239"/>
      <c r="BY351" s="239"/>
      <c r="BZ351" s="239"/>
      <c r="CA351" s="239"/>
      <c r="CB351" s="239"/>
      <c r="CC351" s="239"/>
      <c r="CD351" s="239"/>
      <c r="CE351" s="239"/>
      <c r="CF351" s="239"/>
      <c r="CG351" s="239"/>
    </row>
    <row r="352" spans="1:85" ht="15.75" customHeight="1">
      <c r="A352" s="239"/>
      <c r="B352" s="239"/>
      <c r="C352" s="239"/>
      <c r="D352" s="239"/>
      <c r="E352" s="239"/>
      <c r="F352" s="239"/>
      <c r="G352" s="239"/>
      <c r="H352" s="239"/>
      <c r="I352" s="239"/>
      <c r="J352" s="239"/>
      <c r="K352" s="239"/>
      <c r="L352" s="239"/>
      <c r="M352" s="239"/>
      <c r="N352" s="239"/>
      <c r="O352" s="239"/>
      <c r="P352" s="239"/>
      <c r="Q352" s="239"/>
      <c r="R352" s="239"/>
      <c r="S352" s="239"/>
      <c r="T352" s="239"/>
      <c r="U352" s="239"/>
      <c r="V352" s="239"/>
      <c r="W352" s="239"/>
      <c r="X352" s="239"/>
      <c r="Y352" s="239"/>
      <c r="Z352" s="239"/>
      <c r="AA352" s="239"/>
      <c r="AB352" s="239"/>
      <c r="AC352" s="239"/>
      <c r="AD352" s="239"/>
      <c r="AE352" s="239"/>
      <c r="AF352" s="239"/>
      <c r="AG352" s="239"/>
      <c r="AH352" s="239"/>
      <c r="AI352" s="239"/>
      <c r="AJ352" s="239"/>
      <c r="AK352" s="239"/>
      <c r="AL352" s="239"/>
      <c r="AM352" s="239"/>
      <c r="AN352" s="239"/>
      <c r="AO352" s="239"/>
      <c r="AP352" s="239"/>
      <c r="AQ352" s="239"/>
      <c r="AR352" s="239"/>
      <c r="AS352" s="239"/>
      <c r="AT352" s="239"/>
      <c r="AU352" s="239"/>
      <c r="AV352" s="239"/>
      <c r="AW352" s="239"/>
      <c r="AX352" s="239"/>
      <c r="AY352" s="239"/>
      <c r="AZ352" s="239"/>
      <c r="BA352" s="239"/>
      <c r="BB352" s="239"/>
      <c r="BC352" s="239"/>
      <c r="BD352" s="239"/>
      <c r="BE352" s="239"/>
      <c r="BF352" s="239"/>
      <c r="BG352" s="239"/>
      <c r="BH352" s="239"/>
      <c r="BI352" s="239"/>
      <c r="BJ352" s="239"/>
      <c r="BK352" s="239"/>
      <c r="BL352" s="239"/>
      <c r="BM352" s="239"/>
      <c r="BN352" s="239"/>
      <c r="BO352" s="239"/>
      <c r="BP352" s="239"/>
      <c r="BQ352" s="239"/>
      <c r="BR352" s="239"/>
      <c r="BS352" s="239"/>
      <c r="BT352" s="239"/>
      <c r="BU352" s="239"/>
      <c r="BV352" s="239"/>
      <c r="BW352" s="239"/>
      <c r="BX352" s="239"/>
      <c r="BY352" s="239"/>
      <c r="BZ352" s="239"/>
      <c r="CA352" s="239"/>
      <c r="CB352" s="239"/>
      <c r="CC352" s="239"/>
      <c r="CD352" s="239"/>
      <c r="CE352" s="239"/>
      <c r="CF352" s="239"/>
      <c r="CG352" s="239"/>
    </row>
    <row r="353" spans="1:85" ht="15.75" customHeight="1">
      <c r="A353" s="239"/>
      <c r="B353" s="239"/>
      <c r="C353" s="239"/>
      <c r="D353" s="239"/>
      <c r="E353" s="239"/>
      <c r="F353" s="239"/>
      <c r="G353" s="239"/>
      <c r="H353" s="239"/>
      <c r="I353" s="239"/>
      <c r="J353" s="239"/>
      <c r="K353" s="239"/>
      <c r="L353" s="239"/>
      <c r="M353" s="239"/>
      <c r="N353" s="239"/>
      <c r="O353" s="239"/>
      <c r="P353" s="239"/>
      <c r="Q353" s="239"/>
      <c r="R353" s="239"/>
      <c r="S353" s="239"/>
      <c r="T353" s="239"/>
      <c r="U353" s="239"/>
      <c r="V353" s="239"/>
      <c r="W353" s="239"/>
      <c r="X353" s="239"/>
      <c r="Y353" s="239"/>
      <c r="Z353" s="239"/>
      <c r="AA353" s="239"/>
      <c r="AB353" s="239"/>
      <c r="AC353" s="239"/>
      <c r="AD353" s="239"/>
      <c r="AE353" s="239"/>
      <c r="AF353" s="239"/>
      <c r="AG353" s="239"/>
      <c r="AH353" s="239"/>
      <c r="AI353" s="239"/>
      <c r="AJ353" s="239"/>
      <c r="AK353" s="239"/>
      <c r="AL353" s="239"/>
      <c r="AM353" s="239"/>
      <c r="AN353" s="239"/>
      <c r="AO353" s="239"/>
      <c r="AP353" s="239"/>
      <c r="AQ353" s="239"/>
      <c r="AR353" s="239"/>
      <c r="AS353" s="239"/>
      <c r="AT353" s="239"/>
      <c r="AU353" s="239"/>
      <c r="AV353" s="239"/>
      <c r="AW353" s="239"/>
      <c r="AX353" s="239"/>
      <c r="AY353" s="239"/>
      <c r="AZ353" s="239"/>
      <c r="BA353" s="239"/>
      <c r="BB353" s="239"/>
      <c r="BC353" s="239"/>
      <c r="BD353" s="239"/>
      <c r="BE353" s="239"/>
      <c r="BF353" s="239"/>
      <c r="BG353" s="239"/>
      <c r="BH353" s="239"/>
      <c r="BI353" s="239"/>
      <c r="BJ353" s="239"/>
      <c r="BK353" s="239"/>
      <c r="BL353" s="239"/>
      <c r="BM353" s="239"/>
      <c r="BN353" s="239"/>
      <c r="BO353" s="239"/>
      <c r="BP353" s="239"/>
      <c r="BQ353" s="239"/>
      <c r="BR353" s="239"/>
      <c r="BS353" s="239"/>
      <c r="BT353" s="239"/>
      <c r="BU353" s="239"/>
      <c r="BV353" s="239"/>
      <c r="BW353" s="239"/>
      <c r="BX353" s="239"/>
      <c r="BY353" s="239"/>
      <c r="BZ353" s="239"/>
      <c r="CA353" s="239"/>
      <c r="CB353" s="239"/>
      <c r="CC353" s="239"/>
      <c r="CD353" s="239"/>
      <c r="CE353" s="239"/>
      <c r="CF353" s="239"/>
      <c r="CG353" s="239"/>
    </row>
    <row r="354" spans="1:85" ht="15.75" customHeight="1">
      <c r="A354" s="239"/>
      <c r="B354" s="239"/>
      <c r="C354" s="239"/>
      <c r="D354" s="239"/>
      <c r="E354" s="239"/>
      <c r="F354" s="239"/>
      <c r="G354" s="239"/>
      <c r="H354" s="239"/>
      <c r="I354" s="239"/>
      <c r="J354" s="239"/>
      <c r="K354" s="239"/>
      <c r="L354" s="239"/>
      <c r="M354" s="239"/>
      <c r="N354" s="239"/>
      <c r="O354" s="239"/>
      <c r="P354" s="239"/>
      <c r="Q354" s="239"/>
      <c r="R354" s="239"/>
      <c r="S354" s="239"/>
      <c r="T354" s="239"/>
      <c r="U354" s="239"/>
      <c r="V354" s="239"/>
      <c r="W354" s="239"/>
      <c r="X354" s="239"/>
      <c r="Y354" s="239"/>
      <c r="Z354" s="239"/>
      <c r="AA354" s="239"/>
      <c r="AB354" s="239"/>
      <c r="AC354" s="239"/>
      <c r="AD354" s="239"/>
      <c r="AE354" s="239"/>
      <c r="AF354" s="239"/>
      <c r="AG354" s="239"/>
      <c r="AH354" s="239"/>
      <c r="AI354" s="239"/>
      <c r="AJ354" s="239"/>
      <c r="AK354" s="239"/>
      <c r="AL354" s="239"/>
      <c r="AM354" s="239"/>
      <c r="AN354" s="239"/>
      <c r="AO354" s="239"/>
      <c r="AP354" s="239"/>
      <c r="AQ354" s="239"/>
      <c r="AR354" s="239"/>
      <c r="AS354" s="239"/>
      <c r="AT354" s="239"/>
      <c r="AU354" s="239"/>
      <c r="AV354" s="239"/>
      <c r="AW354" s="239"/>
      <c r="AX354" s="239"/>
      <c r="AY354" s="239"/>
      <c r="AZ354" s="239"/>
      <c r="BA354" s="239"/>
      <c r="BB354" s="239"/>
      <c r="BC354" s="239"/>
      <c r="BD354" s="239"/>
      <c r="BE354" s="239"/>
      <c r="BF354" s="239"/>
      <c r="BG354" s="239"/>
      <c r="BH354" s="239"/>
      <c r="BI354" s="239"/>
      <c r="BJ354" s="239"/>
      <c r="BK354" s="239"/>
      <c r="BL354" s="239"/>
      <c r="BM354" s="239"/>
      <c r="BN354" s="239"/>
      <c r="BO354" s="239"/>
      <c r="BP354" s="239"/>
      <c r="BQ354" s="239"/>
      <c r="BR354" s="239"/>
      <c r="BS354" s="239"/>
      <c r="BT354" s="239"/>
      <c r="BU354" s="239"/>
      <c r="BV354" s="239"/>
      <c r="BW354" s="239"/>
      <c r="BX354" s="239"/>
      <c r="BY354" s="239"/>
      <c r="BZ354" s="239"/>
      <c r="CA354" s="239"/>
      <c r="CB354" s="239"/>
      <c r="CC354" s="239"/>
      <c r="CD354" s="239"/>
      <c r="CE354" s="239"/>
      <c r="CF354" s="239"/>
      <c r="CG354" s="239"/>
    </row>
    <row r="355" spans="1:85" ht="15.75" customHeight="1">
      <c r="A355" s="239"/>
      <c r="B355" s="239"/>
      <c r="C355" s="239"/>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39"/>
      <c r="AT355" s="239"/>
      <c r="AU355" s="239"/>
      <c r="AV355" s="239"/>
      <c r="AW355" s="239"/>
      <c r="AX355" s="239"/>
      <c r="AY355" s="239"/>
      <c r="AZ355" s="239"/>
      <c r="BA355" s="239"/>
      <c r="BB355" s="239"/>
      <c r="BC355" s="239"/>
      <c r="BD355" s="239"/>
      <c r="BE355" s="239"/>
      <c r="BF355" s="239"/>
      <c r="BG355" s="239"/>
      <c r="BH355" s="239"/>
      <c r="BI355" s="239"/>
      <c r="BJ355" s="239"/>
      <c r="BK355" s="239"/>
      <c r="BL355" s="239"/>
      <c r="BM355" s="239"/>
      <c r="BN355" s="239"/>
      <c r="BO355" s="239"/>
      <c r="BP355" s="239"/>
      <c r="BQ355" s="239"/>
      <c r="BR355" s="239"/>
      <c r="BS355" s="239"/>
      <c r="BT355" s="239"/>
      <c r="BU355" s="239"/>
      <c r="BV355" s="239"/>
      <c r="BW355" s="239"/>
      <c r="BX355" s="239"/>
      <c r="BY355" s="239"/>
      <c r="BZ355" s="239"/>
      <c r="CA355" s="239"/>
      <c r="CB355" s="239"/>
      <c r="CC355" s="239"/>
      <c r="CD355" s="239"/>
      <c r="CE355" s="239"/>
      <c r="CF355" s="239"/>
      <c r="CG355" s="239"/>
    </row>
    <row r="356" spans="1:85" ht="15.75" customHeight="1">
      <c r="A356" s="239"/>
      <c r="B356" s="239"/>
      <c r="C356" s="239"/>
      <c r="D356" s="239"/>
      <c r="E356" s="239"/>
      <c r="F356" s="239"/>
      <c r="G356" s="239"/>
      <c r="H356" s="239"/>
      <c r="I356" s="239"/>
      <c r="J356" s="239"/>
      <c r="K356" s="239"/>
      <c r="L356" s="239"/>
      <c r="M356" s="239"/>
      <c r="N356" s="239"/>
      <c r="O356" s="239"/>
      <c r="P356" s="239"/>
      <c r="Q356" s="239"/>
      <c r="R356" s="239"/>
      <c r="S356" s="239"/>
      <c r="T356" s="239"/>
      <c r="U356" s="239"/>
      <c r="V356" s="239"/>
      <c r="W356" s="239"/>
      <c r="X356" s="239"/>
      <c r="Y356" s="239"/>
      <c r="Z356" s="239"/>
      <c r="AA356" s="239"/>
      <c r="AB356" s="239"/>
      <c r="AC356" s="239"/>
      <c r="AD356" s="239"/>
      <c r="AE356" s="239"/>
      <c r="AF356" s="239"/>
      <c r="AG356" s="239"/>
      <c r="AH356" s="239"/>
      <c r="AI356" s="239"/>
      <c r="AJ356" s="239"/>
      <c r="AK356" s="239"/>
      <c r="AL356" s="239"/>
      <c r="AM356" s="239"/>
      <c r="AN356" s="239"/>
      <c r="AO356" s="239"/>
      <c r="AP356" s="239"/>
      <c r="AQ356" s="239"/>
      <c r="AR356" s="239"/>
      <c r="AS356" s="239"/>
      <c r="AT356" s="239"/>
      <c r="AU356" s="239"/>
      <c r="AV356" s="239"/>
      <c r="AW356" s="239"/>
      <c r="AX356" s="239"/>
      <c r="AY356" s="239"/>
      <c r="AZ356" s="239"/>
      <c r="BA356" s="239"/>
      <c r="BB356" s="239"/>
      <c r="BC356" s="239"/>
      <c r="BD356" s="239"/>
      <c r="BE356" s="239"/>
      <c r="BF356" s="239"/>
      <c r="BG356" s="239"/>
      <c r="BH356" s="239"/>
      <c r="BI356" s="239"/>
      <c r="BJ356" s="239"/>
      <c r="BK356" s="239"/>
      <c r="BL356" s="239"/>
      <c r="BM356" s="239"/>
      <c r="BN356" s="239"/>
      <c r="BO356" s="239"/>
      <c r="BP356" s="239"/>
      <c r="BQ356" s="239"/>
      <c r="BR356" s="239"/>
      <c r="BS356" s="239"/>
      <c r="BT356" s="239"/>
      <c r="BU356" s="239"/>
      <c r="BV356" s="239"/>
      <c r="BW356" s="239"/>
      <c r="BX356" s="239"/>
      <c r="BY356" s="239"/>
      <c r="BZ356" s="239"/>
      <c r="CA356" s="239"/>
      <c r="CB356" s="239"/>
      <c r="CC356" s="239"/>
      <c r="CD356" s="239"/>
      <c r="CE356" s="239"/>
      <c r="CF356" s="239"/>
      <c r="CG356" s="239"/>
    </row>
    <row r="357" spans="1:85" ht="15.75" customHeight="1">
      <c r="A357" s="239"/>
      <c r="B357" s="239"/>
      <c r="C357" s="239"/>
      <c r="D357" s="239"/>
      <c r="E357" s="239"/>
      <c r="F357" s="239"/>
      <c r="G357" s="239"/>
      <c r="H357" s="239"/>
      <c r="I357" s="239"/>
      <c r="J357" s="239"/>
      <c r="K357" s="239"/>
      <c r="L357" s="239"/>
      <c r="M357" s="239"/>
      <c r="N357" s="239"/>
      <c r="O357" s="239"/>
      <c r="P357" s="239"/>
      <c r="Q357" s="239"/>
      <c r="R357" s="239"/>
      <c r="S357" s="239"/>
      <c r="T357" s="239"/>
      <c r="U357" s="239"/>
      <c r="V357" s="239"/>
      <c r="W357" s="239"/>
      <c r="X357" s="239"/>
      <c r="Y357" s="239"/>
      <c r="Z357" s="239"/>
      <c r="AA357" s="239"/>
      <c r="AB357" s="239"/>
      <c r="AC357" s="239"/>
      <c r="AD357" s="239"/>
      <c r="AE357" s="239"/>
      <c r="AF357" s="239"/>
      <c r="AG357" s="239"/>
      <c r="AH357" s="239"/>
      <c r="AI357" s="239"/>
      <c r="AJ357" s="239"/>
      <c r="AK357" s="239"/>
      <c r="AL357" s="239"/>
      <c r="AM357" s="239"/>
      <c r="AN357" s="239"/>
      <c r="AO357" s="239"/>
      <c r="AP357" s="239"/>
      <c r="AQ357" s="239"/>
      <c r="AR357" s="239"/>
      <c r="AS357" s="239"/>
      <c r="AT357" s="239"/>
      <c r="AU357" s="239"/>
      <c r="AV357" s="239"/>
      <c r="AW357" s="239"/>
      <c r="AX357" s="239"/>
      <c r="AY357" s="239"/>
      <c r="AZ357" s="239"/>
      <c r="BA357" s="239"/>
      <c r="BB357" s="239"/>
      <c r="BC357" s="239"/>
      <c r="BD357" s="239"/>
      <c r="BE357" s="239"/>
      <c r="BF357" s="239"/>
      <c r="BG357" s="239"/>
      <c r="BH357" s="239"/>
      <c r="BI357" s="239"/>
      <c r="BJ357" s="239"/>
      <c r="BK357" s="239"/>
      <c r="BL357" s="239"/>
      <c r="BM357" s="239"/>
      <c r="BN357" s="239"/>
      <c r="BO357" s="239"/>
      <c r="BP357" s="239"/>
      <c r="BQ357" s="239"/>
      <c r="BR357" s="239"/>
      <c r="BS357" s="239"/>
      <c r="BT357" s="239"/>
      <c r="BU357" s="239"/>
      <c r="BV357" s="239"/>
      <c r="BW357" s="239"/>
      <c r="BX357" s="239"/>
      <c r="BY357" s="239"/>
      <c r="BZ357" s="239"/>
      <c r="CA357" s="239"/>
      <c r="CB357" s="239"/>
      <c r="CC357" s="239"/>
      <c r="CD357" s="239"/>
      <c r="CE357" s="239"/>
      <c r="CF357" s="239"/>
      <c r="CG357" s="239"/>
    </row>
    <row r="358" spans="1:85" ht="15.75" customHeight="1">
      <c r="A358" s="239"/>
      <c r="B358" s="239"/>
      <c r="C358" s="239"/>
      <c r="D358" s="239"/>
      <c r="E358" s="239"/>
      <c r="F358" s="239"/>
      <c r="G358" s="239"/>
      <c r="H358" s="239"/>
      <c r="I358" s="239"/>
      <c r="J358" s="239"/>
      <c r="K358" s="239"/>
      <c r="L358" s="239"/>
      <c r="M358" s="239"/>
      <c r="N358" s="239"/>
      <c r="O358" s="239"/>
      <c r="P358" s="239"/>
      <c r="Q358" s="239"/>
      <c r="R358" s="239"/>
      <c r="S358" s="239"/>
      <c r="T358" s="239"/>
      <c r="U358" s="239"/>
      <c r="V358" s="239"/>
      <c r="W358" s="239"/>
      <c r="X358" s="239"/>
      <c r="Y358" s="239"/>
      <c r="Z358" s="239"/>
      <c r="AA358" s="239"/>
      <c r="AB358" s="239"/>
      <c r="AC358" s="239"/>
      <c r="AD358" s="239"/>
      <c r="AE358" s="239"/>
      <c r="AF358" s="239"/>
      <c r="AG358" s="239"/>
      <c r="AH358" s="239"/>
      <c r="AI358" s="239"/>
      <c r="AJ358" s="239"/>
      <c r="AK358" s="239"/>
      <c r="AL358" s="239"/>
      <c r="AM358" s="239"/>
      <c r="AN358" s="239"/>
      <c r="AO358" s="239"/>
      <c r="AP358" s="239"/>
      <c r="AQ358" s="239"/>
      <c r="AR358" s="239"/>
      <c r="AS358" s="239"/>
      <c r="AT358" s="239"/>
      <c r="AU358" s="239"/>
      <c r="AV358" s="239"/>
      <c r="AW358" s="239"/>
      <c r="AX358" s="239"/>
      <c r="AY358" s="239"/>
      <c r="AZ358" s="239"/>
      <c r="BA358" s="239"/>
      <c r="BB358" s="239"/>
      <c r="BC358" s="239"/>
      <c r="BD358" s="239"/>
      <c r="BE358" s="239"/>
      <c r="BF358" s="239"/>
      <c r="BG358" s="239"/>
      <c r="BH358" s="239"/>
      <c r="BI358" s="239"/>
      <c r="BJ358" s="239"/>
      <c r="BK358" s="239"/>
      <c r="BL358" s="239"/>
      <c r="BM358" s="239"/>
      <c r="BN358" s="239"/>
      <c r="BO358" s="239"/>
      <c r="BP358" s="239"/>
      <c r="BQ358" s="239"/>
      <c r="BR358" s="239"/>
      <c r="BS358" s="239"/>
      <c r="BT358" s="239"/>
      <c r="BU358" s="239"/>
      <c r="BV358" s="239"/>
      <c r="BW358" s="239"/>
      <c r="BX358" s="239"/>
      <c r="BY358" s="239"/>
      <c r="BZ358" s="239"/>
      <c r="CA358" s="239"/>
      <c r="CB358" s="239"/>
      <c r="CC358" s="239"/>
      <c r="CD358" s="239"/>
      <c r="CE358" s="239"/>
      <c r="CF358" s="239"/>
      <c r="CG358" s="239"/>
    </row>
    <row r="359" spans="1:85" ht="15.75" customHeight="1">
      <c r="A359" s="239"/>
      <c r="B359" s="239"/>
      <c r="C359" s="239"/>
      <c r="D359" s="239"/>
      <c r="E359" s="239"/>
      <c r="F359" s="239"/>
      <c r="G359" s="239"/>
      <c r="H359" s="239"/>
      <c r="I359" s="239"/>
      <c r="J359" s="239"/>
      <c r="K359" s="239"/>
      <c r="L359" s="239"/>
      <c r="M359" s="239"/>
      <c r="N359" s="239"/>
      <c r="O359" s="239"/>
      <c r="P359" s="239"/>
      <c r="Q359" s="239"/>
      <c r="R359" s="239"/>
      <c r="S359" s="239"/>
      <c r="T359" s="239"/>
      <c r="U359" s="239"/>
      <c r="V359" s="239"/>
      <c r="W359" s="239"/>
      <c r="X359" s="239"/>
      <c r="Y359" s="239"/>
      <c r="Z359" s="239"/>
      <c r="AA359" s="239"/>
      <c r="AB359" s="239"/>
      <c r="AC359" s="239"/>
      <c r="AD359" s="239"/>
      <c r="AE359" s="239"/>
      <c r="AF359" s="239"/>
      <c r="AG359" s="239"/>
      <c r="AH359" s="239"/>
      <c r="AI359" s="239"/>
      <c r="AJ359" s="239"/>
      <c r="AK359" s="239"/>
      <c r="AL359" s="239"/>
      <c r="AM359" s="239"/>
      <c r="AN359" s="239"/>
      <c r="AO359" s="239"/>
      <c r="AP359" s="239"/>
      <c r="AQ359" s="239"/>
      <c r="AR359" s="239"/>
      <c r="AS359" s="239"/>
      <c r="AT359" s="239"/>
      <c r="AU359" s="239"/>
      <c r="AV359" s="239"/>
      <c r="AW359" s="239"/>
      <c r="AX359" s="239"/>
      <c r="AY359" s="239"/>
      <c r="AZ359" s="239"/>
      <c r="BA359" s="239"/>
      <c r="BB359" s="239"/>
      <c r="BC359" s="239"/>
      <c r="BD359" s="239"/>
      <c r="BE359" s="239"/>
      <c r="BF359" s="239"/>
      <c r="BG359" s="239"/>
      <c r="BH359" s="239"/>
      <c r="BI359" s="239"/>
      <c r="BJ359" s="239"/>
      <c r="BK359" s="239"/>
      <c r="BL359" s="239"/>
      <c r="BM359" s="239"/>
      <c r="BN359" s="239"/>
      <c r="BO359" s="239"/>
      <c r="BP359" s="239"/>
      <c r="BQ359" s="239"/>
      <c r="BR359" s="239"/>
      <c r="BS359" s="239"/>
      <c r="BT359" s="239"/>
      <c r="BU359" s="239"/>
      <c r="BV359" s="239"/>
      <c r="BW359" s="239"/>
      <c r="BX359" s="239"/>
      <c r="BY359" s="239"/>
      <c r="BZ359" s="239"/>
      <c r="CA359" s="239"/>
      <c r="CB359" s="239"/>
      <c r="CC359" s="239"/>
      <c r="CD359" s="239"/>
      <c r="CE359" s="239"/>
      <c r="CF359" s="239"/>
      <c r="CG359" s="239"/>
    </row>
    <row r="360" spans="1:85" ht="15.75" customHeight="1">
      <c r="A360" s="239"/>
      <c r="B360" s="239"/>
      <c r="C360" s="239"/>
      <c r="D360" s="239"/>
      <c r="E360" s="239"/>
      <c r="F360" s="239"/>
      <c r="G360" s="239"/>
      <c r="H360" s="239"/>
      <c r="I360" s="239"/>
      <c r="J360" s="239"/>
      <c r="K360" s="239"/>
      <c r="L360" s="239"/>
      <c r="M360" s="239"/>
      <c r="N360" s="239"/>
      <c r="O360" s="239"/>
      <c r="P360" s="239"/>
      <c r="Q360" s="239"/>
      <c r="R360" s="239"/>
      <c r="S360" s="239"/>
      <c r="T360" s="239"/>
      <c r="U360" s="239"/>
      <c r="V360" s="239"/>
      <c r="W360" s="239"/>
      <c r="X360" s="239"/>
      <c r="Y360" s="239"/>
      <c r="Z360" s="239"/>
      <c r="AA360" s="239"/>
      <c r="AB360" s="239"/>
      <c r="AC360" s="239"/>
      <c r="AD360" s="239"/>
      <c r="AE360" s="239"/>
      <c r="AF360" s="239"/>
      <c r="AG360" s="239"/>
      <c r="AH360" s="239"/>
      <c r="AI360" s="239"/>
      <c r="AJ360" s="239"/>
      <c r="AK360" s="239"/>
      <c r="AL360" s="239"/>
      <c r="AM360" s="239"/>
      <c r="AN360" s="239"/>
      <c r="AO360" s="239"/>
      <c r="AP360" s="239"/>
      <c r="AQ360" s="239"/>
      <c r="AR360" s="239"/>
      <c r="AS360" s="239"/>
      <c r="AT360" s="239"/>
      <c r="AU360" s="239"/>
      <c r="AV360" s="239"/>
      <c r="AW360" s="239"/>
      <c r="AX360" s="239"/>
      <c r="AY360" s="239"/>
      <c r="AZ360" s="239"/>
      <c r="BA360" s="239"/>
      <c r="BB360" s="239"/>
      <c r="BC360" s="239"/>
      <c r="BD360" s="239"/>
      <c r="BE360" s="239"/>
      <c r="BF360" s="239"/>
      <c r="BG360" s="239"/>
      <c r="BH360" s="239"/>
      <c r="BI360" s="239"/>
      <c r="BJ360" s="239"/>
      <c r="BK360" s="239"/>
      <c r="BL360" s="239"/>
      <c r="BM360" s="239"/>
      <c r="BN360" s="239"/>
      <c r="BO360" s="239"/>
      <c r="BP360" s="239"/>
      <c r="BQ360" s="239"/>
      <c r="BR360" s="239"/>
      <c r="BS360" s="239"/>
      <c r="BT360" s="239"/>
      <c r="BU360" s="239"/>
      <c r="BV360" s="239"/>
      <c r="BW360" s="239"/>
      <c r="BX360" s="239"/>
      <c r="BY360" s="239"/>
      <c r="BZ360" s="239"/>
      <c r="CA360" s="239"/>
      <c r="CB360" s="239"/>
      <c r="CC360" s="239"/>
      <c r="CD360" s="239"/>
      <c r="CE360" s="239"/>
      <c r="CF360" s="239"/>
      <c r="CG360" s="239"/>
    </row>
    <row r="361" spans="1:85" ht="15.75" customHeight="1">
      <c r="A361" s="239"/>
      <c r="B361" s="239"/>
      <c r="C361" s="239"/>
      <c r="D361" s="239"/>
      <c r="E361" s="239"/>
      <c r="F361" s="239"/>
      <c r="G361" s="239"/>
      <c r="H361" s="239"/>
      <c r="I361" s="239"/>
      <c r="J361" s="239"/>
      <c r="K361" s="239"/>
      <c r="L361" s="239"/>
      <c r="M361" s="239"/>
      <c r="N361" s="239"/>
      <c r="O361" s="239"/>
      <c r="P361" s="239"/>
      <c r="Q361" s="239"/>
      <c r="R361" s="239"/>
      <c r="S361" s="239"/>
      <c r="T361" s="239"/>
      <c r="U361" s="239"/>
      <c r="V361" s="239"/>
      <c r="W361" s="239"/>
      <c r="X361" s="239"/>
      <c r="Y361" s="239"/>
      <c r="Z361" s="239"/>
      <c r="AA361" s="239"/>
      <c r="AB361" s="239"/>
      <c r="AC361" s="239"/>
      <c r="AD361" s="239"/>
      <c r="AE361" s="239"/>
      <c r="AF361" s="239"/>
      <c r="AG361" s="239"/>
      <c r="AH361" s="239"/>
      <c r="AI361" s="239"/>
      <c r="AJ361" s="239"/>
      <c r="AK361" s="239"/>
      <c r="AL361" s="239"/>
      <c r="AM361" s="239"/>
      <c r="AN361" s="239"/>
      <c r="AO361" s="239"/>
      <c r="AP361" s="239"/>
      <c r="AQ361" s="239"/>
      <c r="AR361" s="239"/>
      <c r="AS361" s="239"/>
      <c r="AT361" s="239"/>
      <c r="AU361" s="239"/>
      <c r="AV361" s="239"/>
      <c r="AW361" s="239"/>
      <c r="AX361" s="239"/>
      <c r="AY361" s="239"/>
      <c r="AZ361" s="239"/>
      <c r="BA361" s="239"/>
      <c r="BB361" s="239"/>
      <c r="BC361" s="239"/>
      <c r="BD361" s="239"/>
      <c r="BE361" s="239"/>
      <c r="BF361" s="239"/>
      <c r="BG361" s="239"/>
      <c r="BH361" s="239"/>
      <c r="BI361" s="239"/>
      <c r="BJ361" s="239"/>
      <c r="BK361" s="239"/>
      <c r="BL361" s="239"/>
      <c r="BM361" s="239"/>
      <c r="BN361" s="239"/>
      <c r="BO361" s="239"/>
      <c r="BP361" s="239"/>
      <c r="BQ361" s="239"/>
      <c r="BR361" s="239"/>
      <c r="BS361" s="239"/>
      <c r="BT361" s="239"/>
      <c r="BU361" s="239"/>
      <c r="BV361" s="239"/>
      <c r="BW361" s="239"/>
      <c r="BX361" s="239"/>
      <c r="BY361" s="239"/>
      <c r="BZ361" s="239"/>
      <c r="CA361" s="239"/>
      <c r="CB361" s="239"/>
      <c r="CC361" s="239"/>
      <c r="CD361" s="239"/>
      <c r="CE361" s="239"/>
      <c r="CF361" s="239"/>
      <c r="CG361" s="239"/>
    </row>
    <row r="362" spans="1:85" ht="15.75" customHeight="1">
      <c r="A362" s="239"/>
      <c r="B362" s="239"/>
      <c r="C362" s="239"/>
      <c r="D362" s="239"/>
      <c r="E362" s="239"/>
      <c r="F362" s="239"/>
      <c r="G362" s="239"/>
      <c r="H362" s="239"/>
      <c r="I362" s="239"/>
      <c r="J362" s="239"/>
      <c r="K362" s="239"/>
      <c r="L362" s="239"/>
      <c r="M362" s="239"/>
      <c r="N362" s="239"/>
      <c r="O362" s="239"/>
      <c r="P362" s="239"/>
      <c r="Q362" s="239"/>
      <c r="R362" s="239"/>
      <c r="S362" s="239"/>
      <c r="T362" s="239"/>
      <c r="U362" s="239"/>
      <c r="V362" s="239"/>
      <c r="W362" s="239"/>
      <c r="X362" s="239"/>
      <c r="Y362" s="239"/>
      <c r="Z362" s="239"/>
      <c r="AA362" s="239"/>
      <c r="AB362" s="239"/>
      <c r="AC362" s="239"/>
      <c r="AD362" s="239"/>
      <c r="AE362" s="239"/>
      <c r="AF362" s="239"/>
      <c r="AG362" s="239"/>
      <c r="AH362" s="239"/>
      <c r="AI362" s="239"/>
      <c r="AJ362" s="239"/>
      <c r="AK362" s="239"/>
      <c r="AL362" s="239"/>
      <c r="AM362" s="239"/>
      <c r="AN362" s="239"/>
      <c r="AO362" s="239"/>
      <c r="AP362" s="239"/>
      <c r="AQ362" s="239"/>
      <c r="AR362" s="239"/>
      <c r="AS362" s="239"/>
      <c r="AT362" s="239"/>
      <c r="AU362" s="239"/>
      <c r="AV362" s="239"/>
      <c r="AW362" s="239"/>
      <c r="AX362" s="239"/>
      <c r="AY362" s="239"/>
      <c r="AZ362" s="239"/>
      <c r="BA362" s="239"/>
      <c r="BB362" s="239"/>
      <c r="BC362" s="239"/>
      <c r="BD362" s="239"/>
      <c r="BE362" s="239"/>
      <c r="BF362" s="239"/>
      <c r="BG362" s="239"/>
      <c r="BH362" s="239"/>
      <c r="BI362" s="239"/>
      <c r="BJ362" s="239"/>
      <c r="BK362" s="239"/>
      <c r="BL362" s="239"/>
      <c r="BM362" s="239"/>
      <c r="BN362" s="239"/>
      <c r="BO362" s="239"/>
      <c r="BP362" s="239"/>
      <c r="BQ362" s="239"/>
      <c r="BR362" s="239"/>
      <c r="BS362" s="239"/>
      <c r="BT362" s="239"/>
      <c r="BU362" s="239"/>
      <c r="BV362" s="239"/>
      <c r="BW362" s="239"/>
      <c r="BX362" s="239"/>
      <c r="BY362" s="239"/>
      <c r="BZ362" s="239"/>
      <c r="CA362" s="239"/>
      <c r="CB362" s="239"/>
      <c r="CC362" s="239"/>
      <c r="CD362" s="239"/>
      <c r="CE362" s="239"/>
      <c r="CF362" s="239"/>
      <c r="CG362" s="239"/>
    </row>
    <row r="363" spans="1:85" ht="15.75" customHeight="1">
      <c r="A363" s="239"/>
      <c r="B363" s="239"/>
      <c r="C363" s="239"/>
      <c r="D363" s="239"/>
      <c r="E363" s="239"/>
      <c r="F363" s="239"/>
      <c r="G363" s="239"/>
      <c r="H363" s="239"/>
      <c r="I363" s="239"/>
      <c r="J363" s="239"/>
      <c r="K363" s="239"/>
      <c r="L363" s="239"/>
      <c r="M363" s="239"/>
      <c r="N363" s="239"/>
      <c r="O363" s="239"/>
      <c r="P363" s="239"/>
      <c r="Q363" s="239"/>
      <c r="R363" s="239"/>
      <c r="S363" s="239"/>
      <c r="T363" s="239"/>
      <c r="U363" s="239"/>
      <c r="V363" s="239"/>
      <c r="W363" s="239"/>
      <c r="X363" s="239"/>
      <c r="Y363" s="239"/>
      <c r="Z363" s="239"/>
      <c r="AA363" s="239"/>
      <c r="AB363" s="239"/>
      <c r="AC363" s="239"/>
      <c r="AD363" s="239"/>
      <c r="AE363" s="239"/>
      <c r="AF363" s="239"/>
      <c r="AG363" s="239"/>
      <c r="AH363" s="239"/>
      <c r="AI363" s="239"/>
      <c r="AJ363" s="239"/>
      <c r="AK363" s="239"/>
      <c r="AL363" s="239"/>
      <c r="AM363" s="239"/>
      <c r="AN363" s="239"/>
      <c r="AO363" s="239"/>
      <c r="AP363" s="239"/>
      <c r="AQ363" s="239"/>
      <c r="AR363" s="239"/>
      <c r="AS363" s="239"/>
      <c r="AT363" s="239"/>
      <c r="AU363" s="239"/>
      <c r="AV363" s="239"/>
      <c r="AW363" s="239"/>
      <c r="AX363" s="239"/>
      <c r="AY363" s="239"/>
      <c r="AZ363" s="239"/>
      <c r="BA363" s="239"/>
      <c r="BB363" s="239"/>
      <c r="BC363" s="239"/>
      <c r="BD363" s="239"/>
      <c r="BE363" s="239"/>
      <c r="BF363" s="239"/>
      <c r="BG363" s="239"/>
      <c r="BH363" s="239"/>
      <c r="BI363" s="239"/>
      <c r="BJ363" s="239"/>
      <c r="BK363" s="239"/>
      <c r="BL363" s="239"/>
      <c r="BM363" s="239"/>
      <c r="BN363" s="239"/>
      <c r="BO363" s="239"/>
      <c r="BP363" s="239"/>
      <c r="BQ363" s="239"/>
      <c r="BR363" s="239"/>
      <c r="BS363" s="239"/>
      <c r="BT363" s="239"/>
      <c r="BU363" s="239"/>
      <c r="BV363" s="239"/>
      <c r="BW363" s="239"/>
      <c r="BX363" s="239"/>
      <c r="BY363" s="239"/>
      <c r="BZ363" s="239"/>
      <c r="CA363" s="239"/>
      <c r="CB363" s="239"/>
      <c r="CC363" s="239"/>
      <c r="CD363" s="239"/>
      <c r="CE363" s="239"/>
      <c r="CF363" s="239"/>
      <c r="CG363" s="239"/>
    </row>
    <row r="364" spans="1:85" ht="15.75" customHeight="1">
      <c r="A364" s="239"/>
      <c r="B364" s="239"/>
      <c r="C364" s="239"/>
      <c r="D364" s="239"/>
      <c r="E364" s="239"/>
      <c r="F364" s="239"/>
      <c r="G364" s="239"/>
      <c r="H364" s="239"/>
      <c r="I364" s="239"/>
      <c r="J364" s="239"/>
      <c r="K364" s="239"/>
      <c r="L364" s="239"/>
      <c r="M364" s="239"/>
      <c r="N364" s="239"/>
      <c r="O364" s="239"/>
      <c r="P364" s="239"/>
      <c r="Q364" s="239"/>
      <c r="R364" s="239"/>
      <c r="S364" s="239"/>
      <c r="T364" s="239"/>
      <c r="U364" s="239"/>
      <c r="V364" s="239"/>
      <c r="W364" s="239"/>
      <c r="X364" s="239"/>
      <c r="Y364" s="239"/>
      <c r="Z364" s="239"/>
      <c r="AA364" s="239"/>
      <c r="AB364" s="239"/>
      <c r="AC364" s="239"/>
      <c r="AD364" s="239"/>
      <c r="AE364" s="239"/>
      <c r="AF364" s="239"/>
      <c r="AG364" s="239"/>
      <c r="AH364" s="239"/>
      <c r="AI364" s="239"/>
      <c r="AJ364" s="239"/>
      <c r="AK364" s="239"/>
      <c r="AL364" s="239"/>
      <c r="AM364" s="239"/>
      <c r="AN364" s="239"/>
      <c r="AO364" s="239"/>
      <c r="AP364" s="239"/>
      <c r="AQ364" s="239"/>
      <c r="AR364" s="239"/>
      <c r="AS364" s="239"/>
      <c r="AT364" s="239"/>
      <c r="AU364" s="239"/>
      <c r="AV364" s="239"/>
      <c r="AW364" s="239"/>
      <c r="AX364" s="239"/>
      <c r="AY364" s="239"/>
      <c r="AZ364" s="239"/>
      <c r="BA364" s="239"/>
      <c r="BB364" s="239"/>
      <c r="BC364" s="239"/>
      <c r="BD364" s="239"/>
      <c r="BE364" s="239"/>
      <c r="BF364" s="239"/>
      <c r="BG364" s="239"/>
      <c r="BH364" s="239"/>
      <c r="BI364" s="239"/>
      <c r="BJ364" s="239"/>
      <c r="BK364" s="239"/>
      <c r="BL364" s="239"/>
      <c r="BM364" s="239"/>
      <c r="BN364" s="239"/>
      <c r="BO364" s="239"/>
      <c r="BP364" s="239"/>
      <c r="BQ364" s="239"/>
      <c r="BR364" s="239"/>
      <c r="BS364" s="239"/>
      <c r="BT364" s="239"/>
      <c r="BU364" s="239"/>
      <c r="BV364" s="239"/>
      <c r="BW364" s="239"/>
      <c r="BX364" s="239"/>
      <c r="BY364" s="239"/>
      <c r="BZ364" s="239"/>
      <c r="CA364" s="239"/>
      <c r="CB364" s="239"/>
      <c r="CC364" s="239"/>
      <c r="CD364" s="239"/>
      <c r="CE364" s="239"/>
      <c r="CF364" s="239"/>
      <c r="CG364" s="239"/>
    </row>
    <row r="365" spans="1:85" ht="15.75" customHeight="1">
      <c r="A365" s="239"/>
      <c r="B365" s="239"/>
      <c r="C365" s="239"/>
      <c r="D365" s="239"/>
      <c r="E365" s="239"/>
      <c r="F365" s="239"/>
      <c r="G365" s="239"/>
      <c r="H365" s="239"/>
      <c r="I365" s="239"/>
      <c r="J365" s="239"/>
      <c r="K365" s="239"/>
      <c r="L365" s="239"/>
      <c r="M365" s="239"/>
      <c r="N365" s="239"/>
      <c r="O365" s="239"/>
      <c r="P365" s="239"/>
      <c r="Q365" s="239"/>
      <c r="R365" s="239"/>
      <c r="S365" s="239"/>
      <c r="T365" s="239"/>
      <c r="U365" s="239"/>
      <c r="V365" s="239"/>
      <c r="W365" s="239"/>
      <c r="X365" s="239"/>
      <c r="Y365" s="239"/>
      <c r="Z365" s="239"/>
      <c r="AA365" s="239"/>
      <c r="AB365" s="239"/>
      <c r="AC365" s="239"/>
      <c r="AD365" s="239"/>
      <c r="AE365" s="239"/>
      <c r="AF365" s="239"/>
      <c r="AG365" s="239"/>
      <c r="AH365" s="239"/>
      <c r="AI365" s="239"/>
      <c r="AJ365" s="239"/>
      <c r="AK365" s="239"/>
      <c r="AL365" s="239"/>
      <c r="AM365" s="239"/>
      <c r="AN365" s="239"/>
      <c r="AO365" s="239"/>
      <c r="AP365" s="239"/>
      <c r="AQ365" s="239"/>
      <c r="AR365" s="239"/>
      <c r="AS365" s="239"/>
      <c r="AT365" s="239"/>
      <c r="AU365" s="239"/>
      <c r="AV365" s="239"/>
      <c r="AW365" s="239"/>
      <c r="AX365" s="239"/>
      <c r="AY365" s="239"/>
      <c r="AZ365" s="239"/>
      <c r="BA365" s="239"/>
      <c r="BB365" s="239"/>
      <c r="BC365" s="239"/>
      <c r="BD365" s="239"/>
      <c r="BE365" s="239"/>
      <c r="BF365" s="239"/>
      <c r="BG365" s="239"/>
      <c r="BH365" s="239"/>
      <c r="BI365" s="239"/>
      <c r="BJ365" s="239"/>
      <c r="BK365" s="239"/>
      <c r="BL365" s="239"/>
      <c r="BM365" s="239"/>
      <c r="BN365" s="239"/>
      <c r="BO365" s="239"/>
      <c r="BP365" s="239"/>
      <c r="BQ365" s="239"/>
      <c r="BR365" s="239"/>
      <c r="BS365" s="239"/>
      <c r="BT365" s="239"/>
      <c r="BU365" s="239"/>
      <c r="BV365" s="239"/>
      <c r="BW365" s="239"/>
      <c r="BX365" s="239"/>
      <c r="BY365" s="239"/>
      <c r="BZ365" s="239"/>
      <c r="CA365" s="239"/>
      <c r="CB365" s="239"/>
      <c r="CC365" s="239"/>
      <c r="CD365" s="239"/>
      <c r="CE365" s="239"/>
      <c r="CF365" s="239"/>
      <c r="CG365" s="239"/>
    </row>
    <row r="366" spans="1:85" ht="15.75" customHeight="1">
      <c r="A366" s="239"/>
      <c r="B366" s="239"/>
      <c r="C366" s="239"/>
      <c r="D366" s="239"/>
      <c r="E366" s="239"/>
      <c r="F366" s="239"/>
      <c r="G366" s="239"/>
      <c r="H366" s="239"/>
      <c r="I366" s="239"/>
      <c r="J366" s="239"/>
      <c r="K366" s="239"/>
      <c r="L366" s="239"/>
      <c r="M366" s="239"/>
      <c r="N366" s="239"/>
      <c r="O366" s="239"/>
      <c r="P366" s="239"/>
      <c r="Q366" s="239"/>
      <c r="R366" s="239"/>
      <c r="S366" s="239"/>
      <c r="T366" s="239"/>
      <c r="U366" s="239"/>
      <c r="V366" s="239"/>
      <c r="W366" s="239"/>
      <c r="X366" s="239"/>
      <c r="Y366" s="239"/>
      <c r="Z366" s="239"/>
      <c r="AA366" s="239"/>
      <c r="AB366" s="239"/>
      <c r="AC366" s="239"/>
      <c r="AD366" s="239"/>
      <c r="AE366" s="239"/>
      <c r="AF366" s="239"/>
      <c r="AG366" s="239"/>
      <c r="AH366" s="239"/>
      <c r="AI366" s="239"/>
      <c r="AJ366" s="239"/>
      <c r="AK366" s="239"/>
      <c r="AL366" s="239"/>
      <c r="AM366" s="239"/>
      <c r="AN366" s="239"/>
      <c r="AO366" s="239"/>
      <c r="AP366" s="239"/>
      <c r="AQ366" s="239"/>
      <c r="AR366" s="239"/>
      <c r="AS366" s="239"/>
      <c r="AT366" s="239"/>
      <c r="AU366" s="239"/>
      <c r="AV366" s="239"/>
      <c r="AW366" s="239"/>
      <c r="AX366" s="239"/>
      <c r="AY366" s="239"/>
      <c r="AZ366" s="239"/>
      <c r="BA366" s="239"/>
      <c r="BB366" s="239"/>
      <c r="BC366" s="239"/>
      <c r="BD366" s="239"/>
      <c r="BE366" s="239"/>
      <c r="BF366" s="239"/>
      <c r="BG366" s="239"/>
      <c r="BH366" s="239"/>
      <c r="BI366" s="239"/>
      <c r="BJ366" s="239"/>
      <c r="BK366" s="239"/>
      <c r="BL366" s="239"/>
      <c r="BM366" s="239"/>
      <c r="BN366" s="239"/>
      <c r="BO366" s="239"/>
      <c r="BP366" s="239"/>
      <c r="BQ366" s="239"/>
      <c r="BR366" s="239"/>
      <c r="BS366" s="239"/>
      <c r="BT366" s="239"/>
      <c r="BU366" s="239"/>
      <c r="BV366" s="239"/>
      <c r="BW366" s="239"/>
      <c r="BX366" s="239"/>
      <c r="BY366" s="239"/>
      <c r="BZ366" s="239"/>
      <c r="CA366" s="239"/>
      <c r="CB366" s="239"/>
      <c r="CC366" s="239"/>
      <c r="CD366" s="239"/>
      <c r="CE366" s="239"/>
      <c r="CF366" s="239"/>
      <c r="CG366" s="239"/>
    </row>
    <row r="367" spans="1:85" ht="15.75" customHeight="1">
      <c r="A367" s="239"/>
      <c r="B367" s="239"/>
      <c r="C367" s="239"/>
      <c r="D367" s="239"/>
      <c r="E367" s="239"/>
      <c r="F367" s="239"/>
      <c r="G367" s="239"/>
      <c r="H367" s="239"/>
      <c r="I367" s="239"/>
      <c r="J367" s="239"/>
      <c r="K367" s="239"/>
      <c r="L367" s="239"/>
      <c r="M367" s="239"/>
      <c r="N367" s="239"/>
      <c r="O367" s="239"/>
      <c r="P367" s="239"/>
      <c r="Q367" s="239"/>
      <c r="R367" s="239"/>
      <c r="S367" s="239"/>
      <c r="T367" s="239"/>
      <c r="U367" s="239"/>
      <c r="V367" s="239"/>
      <c r="W367" s="239"/>
      <c r="X367" s="239"/>
      <c r="Y367" s="239"/>
      <c r="Z367" s="239"/>
      <c r="AA367" s="239"/>
      <c r="AB367" s="239"/>
      <c r="AC367" s="239"/>
      <c r="AD367" s="239"/>
      <c r="AE367" s="239"/>
      <c r="AF367" s="239"/>
      <c r="AG367" s="239"/>
      <c r="AH367" s="239"/>
      <c r="AI367" s="239"/>
      <c r="AJ367" s="239"/>
      <c r="AK367" s="239"/>
      <c r="AL367" s="239"/>
      <c r="AM367" s="239"/>
      <c r="AN367" s="239"/>
      <c r="AO367" s="239"/>
      <c r="AP367" s="239"/>
      <c r="AQ367" s="239"/>
      <c r="AR367" s="239"/>
      <c r="AS367" s="239"/>
      <c r="AT367" s="239"/>
      <c r="AU367" s="239"/>
      <c r="AV367" s="239"/>
      <c r="AW367" s="239"/>
      <c r="AX367" s="239"/>
      <c r="AY367" s="239"/>
      <c r="AZ367" s="239"/>
      <c r="BA367" s="239"/>
      <c r="BB367" s="239"/>
      <c r="BC367" s="239"/>
      <c r="BD367" s="239"/>
      <c r="BE367" s="239"/>
      <c r="BF367" s="239"/>
      <c r="BG367" s="239"/>
      <c r="BH367" s="239"/>
      <c r="BI367" s="239"/>
      <c r="BJ367" s="239"/>
      <c r="BK367" s="239"/>
      <c r="BL367" s="239"/>
      <c r="BM367" s="239"/>
      <c r="BN367" s="239"/>
      <c r="BO367" s="239"/>
      <c r="BP367" s="239"/>
      <c r="BQ367" s="239"/>
      <c r="BR367" s="239"/>
      <c r="BS367" s="239"/>
      <c r="BT367" s="239"/>
      <c r="BU367" s="239"/>
      <c r="BV367" s="239"/>
      <c r="BW367" s="239"/>
      <c r="BX367" s="239"/>
      <c r="BY367" s="239"/>
      <c r="BZ367" s="239"/>
      <c r="CA367" s="239"/>
      <c r="CB367" s="239"/>
      <c r="CC367" s="239"/>
      <c r="CD367" s="239"/>
      <c r="CE367" s="239"/>
      <c r="CF367" s="239"/>
      <c r="CG367" s="239"/>
    </row>
    <row r="368" spans="1:85" ht="15.75" customHeight="1">
      <c r="A368" s="239"/>
      <c r="B368" s="239"/>
      <c r="C368" s="239"/>
      <c r="D368" s="239"/>
      <c r="E368" s="239"/>
      <c r="F368" s="239"/>
      <c r="G368" s="239"/>
      <c r="H368" s="239"/>
      <c r="I368" s="239"/>
      <c r="J368" s="239"/>
      <c r="K368" s="239"/>
      <c r="L368" s="239"/>
      <c r="M368" s="239"/>
      <c r="N368" s="239"/>
      <c r="O368" s="239"/>
      <c r="P368" s="239"/>
      <c r="Q368" s="239"/>
      <c r="R368" s="239"/>
      <c r="S368" s="239"/>
      <c r="T368" s="239"/>
      <c r="U368" s="239"/>
      <c r="V368" s="239"/>
      <c r="W368" s="239"/>
      <c r="X368" s="239"/>
      <c r="Y368" s="239"/>
      <c r="Z368" s="239"/>
      <c r="AA368" s="239"/>
      <c r="AB368" s="239"/>
      <c r="AC368" s="239"/>
      <c r="AD368" s="239"/>
      <c r="AE368" s="239"/>
      <c r="AF368" s="239"/>
      <c r="AG368" s="239"/>
      <c r="AH368" s="239"/>
      <c r="AI368" s="239"/>
      <c r="AJ368" s="239"/>
      <c r="AK368" s="239"/>
      <c r="AL368" s="239"/>
      <c r="AM368" s="239"/>
      <c r="AN368" s="239"/>
      <c r="AO368" s="239"/>
      <c r="AP368" s="239"/>
      <c r="AQ368" s="239"/>
      <c r="AR368" s="239"/>
      <c r="AS368" s="239"/>
      <c r="AT368" s="239"/>
      <c r="AU368" s="239"/>
      <c r="AV368" s="239"/>
      <c r="AW368" s="239"/>
      <c r="AX368" s="239"/>
      <c r="AY368" s="239"/>
      <c r="AZ368" s="239"/>
      <c r="BA368" s="239"/>
      <c r="BB368" s="239"/>
      <c r="BC368" s="239"/>
      <c r="BD368" s="239"/>
      <c r="BE368" s="239"/>
      <c r="BF368" s="239"/>
      <c r="BG368" s="239"/>
      <c r="BH368" s="239"/>
      <c r="BI368" s="239"/>
      <c r="BJ368" s="239"/>
      <c r="BK368" s="239"/>
      <c r="BL368" s="239"/>
      <c r="BM368" s="239"/>
      <c r="BN368" s="239"/>
      <c r="BO368" s="239"/>
      <c r="BP368" s="239"/>
      <c r="BQ368" s="239"/>
      <c r="BR368" s="239"/>
      <c r="BS368" s="239"/>
      <c r="BT368" s="239"/>
      <c r="BU368" s="239"/>
      <c r="BV368" s="239"/>
      <c r="BW368" s="239"/>
      <c r="BX368" s="239"/>
      <c r="BY368" s="239"/>
      <c r="BZ368" s="239"/>
      <c r="CA368" s="239"/>
      <c r="CB368" s="239"/>
      <c r="CC368" s="239"/>
      <c r="CD368" s="239"/>
      <c r="CE368" s="239"/>
      <c r="CF368" s="239"/>
      <c r="CG368" s="239"/>
    </row>
    <row r="369" spans="1:85" ht="15.75" customHeight="1">
      <c r="A369" s="239"/>
      <c r="B369" s="239"/>
      <c r="C369" s="239"/>
      <c r="D369" s="239"/>
      <c r="E369" s="239"/>
      <c r="F369" s="239"/>
      <c r="G369" s="239"/>
      <c r="H369" s="239"/>
      <c r="I369" s="239"/>
      <c r="J369" s="239"/>
      <c r="K369" s="239"/>
      <c r="L369" s="239"/>
      <c r="M369" s="239"/>
      <c r="N369" s="239"/>
      <c r="O369" s="239"/>
      <c r="P369" s="239"/>
      <c r="Q369" s="239"/>
      <c r="R369" s="239"/>
      <c r="S369" s="239"/>
      <c r="T369" s="239"/>
      <c r="U369" s="239"/>
      <c r="V369" s="239"/>
      <c r="W369" s="239"/>
      <c r="X369" s="239"/>
      <c r="Y369" s="239"/>
      <c r="Z369" s="239"/>
      <c r="AA369" s="239"/>
      <c r="AB369" s="239"/>
      <c r="AC369" s="239"/>
      <c r="AD369" s="239"/>
      <c r="AE369" s="239"/>
      <c r="AF369" s="239"/>
      <c r="AG369" s="239"/>
      <c r="AH369" s="239"/>
      <c r="AI369" s="239"/>
      <c r="AJ369" s="239"/>
      <c r="AK369" s="239"/>
      <c r="AL369" s="239"/>
      <c r="AM369" s="239"/>
      <c r="AN369" s="239"/>
      <c r="AO369" s="239"/>
      <c r="AP369" s="239"/>
      <c r="AQ369" s="239"/>
      <c r="AR369" s="239"/>
      <c r="AS369" s="239"/>
      <c r="AT369" s="239"/>
      <c r="AU369" s="239"/>
      <c r="AV369" s="239"/>
      <c r="AW369" s="239"/>
      <c r="AX369" s="239"/>
      <c r="AY369" s="239"/>
      <c r="AZ369" s="239"/>
      <c r="BA369" s="239"/>
      <c r="BB369" s="239"/>
      <c r="BC369" s="239"/>
      <c r="BD369" s="239"/>
      <c r="BE369" s="239"/>
      <c r="BF369" s="239"/>
      <c r="BG369" s="239"/>
      <c r="BH369" s="239"/>
      <c r="BI369" s="239"/>
      <c r="BJ369" s="239"/>
      <c r="BK369" s="239"/>
      <c r="BL369" s="239"/>
      <c r="BM369" s="239"/>
      <c r="BN369" s="239"/>
      <c r="BO369" s="239"/>
      <c r="BP369" s="239"/>
      <c r="BQ369" s="239"/>
      <c r="BR369" s="239"/>
      <c r="BS369" s="239"/>
      <c r="BT369" s="239"/>
      <c r="BU369" s="239"/>
      <c r="BV369" s="239"/>
      <c r="BW369" s="239"/>
      <c r="BX369" s="239"/>
      <c r="BY369" s="239"/>
      <c r="BZ369" s="239"/>
      <c r="CA369" s="239"/>
      <c r="CB369" s="239"/>
      <c r="CC369" s="239"/>
      <c r="CD369" s="239"/>
      <c r="CE369" s="239"/>
      <c r="CF369" s="239"/>
      <c r="CG369" s="239"/>
    </row>
    <row r="370" spans="1:85" ht="15.75" customHeight="1">
      <c r="A370" s="239"/>
      <c r="B370" s="239"/>
      <c r="C370" s="239"/>
      <c r="D370" s="239"/>
      <c r="E370" s="239"/>
      <c r="F370" s="239"/>
      <c r="G370" s="239"/>
      <c r="H370" s="239"/>
      <c r="I370" s="239"/>
      <c r="J370" s="239"/>
      <c r="K370" s="239"/>
      <c r="L370" s="239"/>
      <c r="M370" s="239"/>
      <c r="N370" s="239"/>
      <c r="O370" s="239"/>
      <c r="P370" s="239"/>
      <c r="Q370" s="239"/>
      <c r="R370" s="239"/>
      <c r="S370" s="239"/>
      <c r="T370" s="239"/>
      <c r="U370" s="239"/>
      <c r="V370" s="239"/>
      <c r="W370" s="239"/>
      <c r="X370" s="239"/>
      <c r="Y370" s="239"/>
      <c r="Z370" s="239"/>
      <c r="AA370" s="239"/>
      <c r="AB370" s="239"/>
      <c r="AC370" s="239"/>
      <c r="AD370" s="239"/>
      <c r="AE370" s="239"/>
      <c r="AF370" s="239"/>
      <c r="AG370" s="239"/>
      <c r="AH370" s="239"/>
      <c r="AI370" s="239"/>
      <c r="AJ370" s="239"/>
      <c r="AK370" s="239"/>
      <c r="AL370" s="239"/>
      <c r="AM370" s="239"/>
      <c r="AN370" s="239"/>
      <c r="AO370" s="239"/>
      <c r="AP370" s="239"/>
      <c r="AQ370" s="239"/>
      <c r="AR370" s="239"/>
      <c r="AS370" s="239"/>
      <c r="AT370" s="239"/>
      <c r="AU370" s="239"/>
      <c r="AV370" s="239"/>
      <c r="AW370" s="239"/>
      <c r="AX370" s="239"/>
      <c r="AY370" s="239"/>
      <c r="AZ370" s="239"/>
      <c r="BA370" s="239"/>
      <c r="BB370" s="239"/>
      <c r="BC370" s="239"/>
      <c r="BD370" s="239"/>
      <c r="BE370" s="239"/>
      <c r="BF370" s="239"/>
      <c r="BG370" s="239"/>
      <c r="BH370" s="239"/>
      <c r="BI370" s="239"/>
      <c r="BJ370" s="239"/>
      <c r="BK370" s="239"/>
      <c r="BL370" s="239"/>
      <c r="BM370" s="239"/>
      <c r="BN370" s="239"/>
      <c r="BO370" s="239"/>
      <c r="BP370" s="239"/>
      <c r="BQ370" s="239"/>
      <c r="BR370" s="239"/>
      <c r="BS370" s="239"/>
      <c r="BT370" s="239"/>
      <c r="BU370" s="239"/>
      <c r="BV370" s="239"/>
      <c r="BW370" s="239"/>
      <c r="BX370" s="239"/>
      <c r="BY370" s="239"/>
      <c r="BZ370" s="239"/>
      <c r="CA370" s="239"/>
      <c r="CB370" s="239"/>
      <c r="CC370" s="239"/>
      <c r="CD370" s="239"/>
      <c r="CE370" s="239"/>
      <c r="CF370" s="239"/>
      <c r="CG370" s="239"/>
    </row>
    <row r="371" spans="1:85" ht="15.75" customHeight="1">
      <c r="A371" s="239"/>
      <c r="B371" s="239"/>
      <c r="C371" s="239"/>
      <c r="D371" s="239"/>
      <c r="E371" s="239"/>
      <c r="F371" s="239"/>
      <c r="G371" s="239"/>
      <c r="H371" s="239"/>
      <c r="I371" s="239"/>
      <c r="J371" s="239"/>
      <c r="K371" s="239"/>
      <c r="L371" s="239"/>
      <c r="M371" s="239"/>
      <c r="N371" s="239"/>
      <c r="O371" s="239"/>
      <c r="P371" s="239"/>
      <c r="Q371" s="239"/>
      <c r="R371" s="239"/>
      <c r="S371" s="239"/>
      <c r="T371" s="239"/>
      <c r="U371" s="239"/>
      <c r="V371" s="239"/>
      <c r="W371" s="239"/>
      <c r="X371" s="239"/>
      <c r="Y371" s="239"/>
      <c r="Z371" s="239"/>
      <c r="AA371" s="239"/>
      <c r="AB371" s="239"/>
      <c r="AC371" s="239"/>
      <c r="AD371" s="239"/>
      <c r="AE371" s="239"/>
      <c r="AF371" s="239"/>
      <c r="AG371" s="239"/>
      <c r="AH371" s="239"/>
      <c r="AI371" s="239"/>
      <c r="AJ371" s="239"/>
      <c r="AK371" s="239"/>
      <c r="AL371" s="239"/>
      <c r="AM371" s="239"/>
      <c r="AN371" s="239"/>
      <c r="AO371" s="239"/>
      <c r="AP371" s="239"/>
      <c r="AQ371" s="239"/>
      <c r="AR371" s="239"/>
      <c r="AS371" s="239"/>
      <c r="AT371" s="239"/>
      <c r="AU371" s="239"/>
      <c r="AV371" s="239"/>
      <c r="AW371" s="239"/>
      <c r="AX371" s="239"/>
      <c r="AY371" s="239"/>
      <c r="AZ371" s="239"/>
      <c r="BA371" s="239"/>
      <c r="BB371" s="239"/>
      <c r="BC371" s="239"/>
      <c r="BD371" s="239"/>
      <c r="BE371" s="239"/>
      <c r="BF371" s="239"/>
      <c r="BG371" s="239"/>
      <c r="BH371" s="239"/>
      <c r="BI371" s="239"/>
      <c r="BJ371" s="239"/>
      <c r="BK371" s="239"/>
      <c r="BL371" s="239"/>
      <c r="BM371" s="239"/>
      <c r="BN371" s="239"/>
      <c r="BO371" s="239"/>
      <c r="BP371" s="239"/>
      <c r="BQ371" s="239"/>
      <c r="BR371" s="239"/>
      <c r="BS371" s="239"/>
      <c r="BT371" s="239"/>
      <c r="BU371" s="239"/>
      <c r="BV371" s="239"/>
      <c r="BW371" s="239"/>
      <c r="BX371" s="239"/>
      <c r="BY371" s="239"/>
      <c r="BZ371" s="239"/>
      <c r="CA371" s="239"/>
      <c r="CB371" s="239"/>
      <c r="CC371" s="239"/>
      <c r="CD371" s="239"/>
      <c r="CE371" s="239"/>
      <c r="CF371" s="239"/>
      <c r="CG371" s="239"/>
    </row>
    <row r="372" spans="1:85" ht="15.75" customHeight="1">
      <c r="A372" s="239"/>
      <c r="B372" s="239"/>
      <c r="C372" s="239"/>
      <c r="D372" s="239"/>
      <c r="E372" s="239"/>
      <c r="F372" s="239"/>
      <c r="G372" s="239"/>
      <c r="H372" s="239"/>
      <c r="I372" s="239"/>
      <c r="J372" s="239"/>
      <c r="K372" s="239"/>
      <c r="L372" s="239"/>
      <c r="M372" s="239"/>
      <c r="N372" s="239"/>
      <c r="O372" s="239"/>
      <c r="P372" s="239"/>
      <c r="Q372" s="239"/>
      <c r="R372" s="239"/>
      <c r="S372" s="239"/>
      <c r="T372" s="239"/>
      <c r="U372" s="239"/>
      <c r="V372" s="239"/>
      <c r="W372" s="239"/>
      <c r="X372" s="239"/>
      <c r="Y372" s="239"/>
      <c r="Z372" s="239"/>
      <c r="AA372" s="239"/>
      <c r="AB372" s="239"/>
      <c r="AC372" s="239"/>
      <c r="AD372" s="239"/>
      <c r="AE372" s="239"/>
      <c r="AF372" s="239"/>
      <c r="AG372" s="239"/>
      <c r="AH372" s="239"/>
      <c r="AI372" s="239"/>
      <c r="AJ372" s="239"/>
      <c r="AK372" s="239"/>
      <c r="AL372" s="239"/>
      <c r="AM372" s="239"/>
      <c r="AN372" s="239"/>
      <c r="AO372" s="239"/>
      <c r="AP372" s="239"/>
      <c r="AQ372" s="239"/>
      <c r="AR372" s="239"/>
      <c r="AS372" s="239"/>
      <c r="AT372" s="239"/>
      <c r="AU372" s="239"/>
      <c r="AV372" s="239"/>
      <c r="AW372" s="239"/>
      <c r="AX372" s="239"/>
      <c r="AY372" s="239"/>
      <c r="AZ372" s="239"/>
      <c r="BA372" s="239"/>
      <c r="BB372" s="239"/>
      <c r="BC372" s="239"/>
      <c r="BD372" s="239"/>
      <c r="BE372" s="239"/>
      <c r="BF372" s="239"/>
      <c r="BG372" s="239"/>
      <c r="BH372" s="239"/>
      <c r="BI372" s="239"/>
      <c r="BJ372" s="239"/>
      <c r="BK372" s="239"/>
      <c r="BL372" s="239"/>
      <c r="BM372" s="239"/>
      <c r="BN372" s="239"/>
      <c r="BO372" s="239"/>
      <c r="BP372" s="239"/>
      <c r="BQ372" s="239"/>
      <c r="BR372" s="239"/>
      <c r="BS372" s="239"/>
      <c r="BT372" s="239"/>
      <c r="BU372" s="239"/>
      <c r="BV372" s="239"/>
      <c r="BW372" s="239"/>
      <c r="BX372" s="239"/>
      <c r="BY372" s="239"/>
      <c r="BZ372" s="239"/>
      <c r="CA372" s="239"/>
      <c r="CB372" s="239"/>
      <c r="CC372" s="239"/>
      <c r="CD372" s="239"/>
      <c r="CE372" s="239"/>
      <c r="CF372" s="239"/>
      <c r="CG372" s="239"/>
    </row>
    <row r="373" spans="1:85" ht="15.75" customHeight="1">
      <c r="A373" s="239"/>
      <c r="B373" s="239"/>
      <c r="C373" s="239"/>
      <c r="D373" s="239"/>
      <c r="E373" s="239"/>
      <c r="F373" s="239"/>
      <c r="G373" s="239"/>
      <c r="H373" s="239"/>
      <c r="I373" s="239"/>
      <c r="J373" s="239"/>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39"/>
      <c r="AN373" s="239"/>
      <c r="AO373" s="239"/>
      <c r="AP373" s="239"/>
      <c r="AQ373" s="239"/>
      <c r="AR373" s="239"/>
      <c r="AS373" s="239"/>
      <c r="AT373" s="239"/>
      <c r="AU373" s="239"/>
      <c r="AV373" s="239"/>
      <c r="AW373" s="239"/>
      <c r="AX373" s="239"/>
      <c r="AY373" s="239"/>
      <c r="AZ373" s="239"/>
      <c r="BA373" s="239"/>
      <c r="BB373" s="239"/>
      <c r="BC373" s="239"/>
      <c r="BD373" s="239"/>
      <c r="BE373" s="239"/>
      <c r="BF373" s="239"/>
      <c r="BG373" s="239"/>
      <c r="BH373" s="239"/>
      <c r="BI373" s="239"/>
      <c r="BJ373" s="239"/>
      <c r="BK373" s="239"/>
      <c r="BL373" s="239"/>
      <c r="BM373" s="239"/>
      <c r="BN373" s="239"/>
      <c r="BO373" s="239"/>
      <c r="BP373" s="239"/>
      <c r="BQ373" s="239"/>
      <c r="BR373" s="239"/>
      <c r="BS373" s="239"/>
      <c r="BT373" s="239"/>
      <c r="BU373" s="239"/>
      <c r="BV373" s="239"/>
      <c r="BW373" s="239"/>
      <c r="BX373" s="239"/>
      <c r="BY373" s="239"/>
      <c r="BZ373" s="239"/>
      <c r="CA373" s="239"/>
      <c r="CB373" s="239"/>
      <c r="CC373" s="239"/>
      <c r="CD373" s="239"/>
      <c r="CE373" s="239"/>
      <c r="CF373" s="239"/>
      <c r="CG373" s="239"/>
    </row>
    <row r="374" spans="1:85" ht="15.75" customHeight="1">
      <c r="A374" s="239"/>
      <c r="B374" s="239"/>
      <c r="C374" s="239"/>
      <c r="D374" s="239"/>
      <c r="E374" s="239"/>
      <c r="F374" s="239"/>
      <c r="G374" s="239"/>
      <c r="H374" s="239"/>
      <c r="I374" s="239"/>
      <c r="J374" s="239"/>
      <c r="K374" s="239"/>
      <c r="L374" s="239"/>
      <c r="M374" s="239"/>
      <c r="N374" s="239"/>
      <c r="O374" s="239"/>
      <c r="P374" s="239"/>
      <c r="Q374" s="239"/>
      <c r="R374" s="239"/>
      <c r="S374" s="239"/>
      <c r="T374" s="239"/>
      <c r="U374" s="239"/>
      <c r="V374" s="239"/>
      <c r="W374" s="239"/>
      <c r="X374" s="239"/>
      <c r="Y374" s="239"/>
      <c r="Z374" s="239"/>
      <c r="AA374" s="239"/>
      <c r="AB374" s="239"/>
      <c r="AC374" s="239"/>
      <c r="AD374" s="239"/>
      <c r="AE374" s="239"/>
      <c r="AF374" s="239"/>
      <c r="AG374" s="239"/>
      <c r="AH374" s="239"/>
      <c r="AI374" s="239"/>
      <c r="AJ374" s="239"/>
      <c r="AK374" s="239"/>
      <c r="AL374" s="239"/>
      <c r="AM374" s="239"/>
      <c r="AN374" s="239"/>
      <c r="AO374" s="239"/>
      <c r="AP374" s="239"/>
      <c r="AQ374" s="239"/>
      <c r="AR374" s="239"/>
      <c r="AS374" s="239"/>
      <c r="AT374" s="239"/>
      <c r="AU374" s="239"/>
      <c r="AV374" s="239"/>
      <c r="AW374" s="239"/>
      <c r="AX374" s="239"/>
      <c r="AY374" s="239"/>
      <c r="AZ374" s="239"/>
      <c r="BA374" s="239"/>
      <c r="BB374" s="239"/>
      <c r="BC374" s="239"/>
      <c r="BD374" s="239"/>
      <c r="BE374" s="239"/>
      <c r="BF374" s="239"/>
      <c r="BG374" s="239"/>
      <c r="BH374" s="239"/>
      <c r="BI374" s="239"/>
      <c r="BJ374" s="239"/>
      <c r="BK374" s="239"/>
      <c r="BL374" s="239"/>
      <c r="BM374" s="239"/>
      <c r="BN374" s="239"/>
      <c r="BO374" s="239"/>
      <c r="BP374" s="239"/>
      <c r="BQ374" s="239"/>
      <c r="BR374" s="239"/>
      <c r="BS374" s="239"/>
      <c r="BT374" s="239"/>
      <c r="BU374" s="239"/>
      <c r="BV374" s="239"/>
      <c r="BW374" s="239"/>
      <c r="BX374" s="239"/>
      <c r="BY374" s="239"/>
      <c r="BZ374" s="239"/>
      <c r="CA374" s="239"/>
      <c r="CB374" s="239"/>
      <c r="CC374" s="239"/>
      <c r="CD374" s="239"/>
      <c r="CE374" s="239"/>
      <c r="CF374" s="239"/>
      <c r="CG374" s="239"/>
    </row>
    <row r="375" spans="1:85" ht="15.75" customHeight="1">
      <c r="A375" s="239"/>
      <c r="B375" s="239"/>
      <c r="C375" s="239"/>
      <c r="D375" s="239"/>
      <c r="E375" s="239"/>
      <c r="F375" s="239"/>
      <c r="G375" s="239"/>
      <c r="H375" s="239"/>
      <c r="I375" s="239"/>
      <c r="J375" s="239"/>
      <c r="K375" s="239"/>
      <c r="L375" s="239"/>
      <c r="M375" s="239"/>
      <c r="N375" s="239"/>
      <c r="O375" s="239"/>
      <c r="P375" s="239"/>
      <c r="Q375" s="239"/>
      <c r="R375" s="239"/>
      <c r="S375" s="239"/>
      <c r="T375" s="239"/>
      <c r="U375" s="239"/>
      <c r="V375" s="239"/>
      <c r="W375" s="239"/>
      <c r="X375" s="239"/>
      <c r="Y375" s="239"/>
      <c r="Z375" s="239"/>
      <c r="AA375" s="239"/>
      <c r="AB375" s="239"/>
      <c r="AC375" s="239"/>
      <c r="AD375" s="239"/>
      <c r="AE375" s="239"/>
      <c r="AF375" s="239"/>
      <c r="AG375" s="239"/>
      <c r="AH375" s="239"/>
      <c r="AI375" s="239"/>
      <c r="AJ375" s="239"/>
      <c r="AK375" s="239"/>
      <c r="AL375" s="239"/>
      <c r="AM375" s="239"/>
      <c r="AN375" s="239"/>
      <c r="AO375" s="239"/>
      <c r="AP375" s="239"/>
      <c r="AQ375" s="239"/>
      <c r="AR375" s="239"/>
      <c r="AS375" s="239"/>
      <c r="AT375" s="239"/>
      <c r="AU375" s="239"/>
      <c r="AV375" s="239"/>
      <c r="AW375" s="239"/>
      <c r="AX375" s="239"/>
      <c r="AY375" s="239"/>
      <c r="AZ375" s="239"/>
      <c r="BA375" s="239"/>
      <c r="BB375" s="239"/>
      <c r="BC375" s="239"/>
      <c r="BD375" s="239"/>
      <c r="BE375" s="239"/>
      <c r="BF375" s="239"/>
      <c r="BG375" s="239"/>
      <c r="BH375" s="239"/>
      <c r="BI375" s="239"/>
      <c r="BJ375" s="239"/>
      <c r="BK375" s="239"/>
      <c r="BL375" s="239"/>
      <c r="BM375" s="239"/>
      <c r="BN375" s="239"/>
      <c r="BO375" s="239"/>
      <c r="BP375" s="239"/>
      <c r="BQ375" s="239"/>
      <c r="BR375" s="239"/>
      <c r="BS375" s="239"/>
      <c r="BT375" s="239"/>
      <c r="BU375" s="239"/>
      <c r="BV375" s="239"/>
      <c r="BW375" s="239"/>
      <c r="BX375" s="239"/>
      <c r="BY375" s="239"/>
      <c r="BZ375" s="239"/>
      <c r="CA375" s="239"/>
      <c r="CB375" s="239"/>
      <c r="CC375" s="239"/>
      <c r="CD375" s="239"/>
      <c r="CE375" s="239"/>
      <c r="CF375" s="239"/>
      <c r="CG375" s="239"/>
    </row>
    <row r="376" spans="1:85" ht="15.75" customHeight="1">
      <c r="A376" s="239"/>
      <c r="B376" s="239"/>
      <c r="C376" s="239"/>
      <c r="D376" s="239"/>
      <c r="E376" s="239"/>
      <c r="F376" s="239"/>
      <c r="G376" s="239"/>
      <c r="H376" s="239"/>
      <c r="I376" s="239"/>
      <c r="J376" s="239"/>
      <c r="K376" s="239"/>
      <c r="L376" s="239"/>
      <c r="M376" s="239"/>
      <c r="N376" s="239"/>
      <c r="O376" s="239"/>
      <c r="P376" s="239"/>
      <c r="Q376" s="239"/>
      <c r="R376" s="239"/>
      <c r="S376" s="239"/>
      <c r="T376" s="239"/>
      <c r="U376" s="239"/>
      <c r="V376" s="239"/>
      <c r="W376" s="239"/>
      <c r="X376" s="239"/>
      <c r="Y376" s="239"/>
      <c r="Z376" s="239"/>
      <c r="AA376" s="239"/>
      <c r="AB376" s="239"/>
      <c r="AC376" s="239"/>
      <c r="AD376" s="239"/>
      <c r="AE376" s="239"/>
      <c r="AF376" s="239"/>
      <c r="AG376" s="239"/>
      <c r="AH376" s="239"/>
      <c r="AI376" s="239"/>
      <c r="AJ376" s="239"/>
      <c r="AK376" s="239"/>
      <c r="AL376" s="239"/>
      <c r="AM376" s="239"/>
      <c r="AN376" s="239"/>
      <c r="AO376" s="239"/>
      <c r="AP376" s="239"/>
      <c r="AQ376" s="239"/>
      <c r="AR376" s="239"/>
      <c r="AS376" s="239"/>
      <c r="AT376" s="239"/>
      <c r="AU376" s="239"/>
      <c r="AV376" s="239"/>
      <c r="AW376" s="239"/>
      <c r="AX376" s="239"/>
      <c r="AY376" s="239"/>
      <c r="AZ376" s="239"/>
      <c r="BA376" s="239"/>
      <c r="BB376" s="239"/>
      <c r="BC376" s="239"/>
      <c r="BD376" s="239"/>
      <c r="BE376" s="239"/>
      <c r="BF376" s="239"/>
      <c r="BG376" s="239"/>
      <c r="BH376" s="239"/>
      <c r="BI376" s="239"/>
      <c r="BJ376" s="239"/>
      <c r="BK376" s="239"/>
      <c r="BL376" s="239"/>
      <c r="BM376" s="239"/>
      <c r="BN376" s="239"/>
      <c r="BO376" s="239"/>
      <c r="BP376" s="239"/>
      <c r="BQ376" s="239"/>
      <c r="BR376" s="239"/>
      <c r="BS376" s="239"/>
      <c r="BT376" s="239"/>
      <c r="BU376" s="239"/>
      <c r="BV376" s="239"/>
      <c r="BW376" s="239"/>
      <c r="BX376" s="239"/>
      <c r="BY376" s="239"/>
      <c r="BZ376" s="239"/>
      <c r="CA376" s="239"/>
      <c r="CB376" s="239"/>
      <c r="CC376" s="239"/>
      <c r="CD376" s="239"/>
      <c r="CE376" s="239"/>
      <c r="CF376" s="239"/>
      <c r="CG376" s="239"/>
    </row>
    <row r="377" spans="1:85" ht="15.75" customHeight="1">
      <c r="A377" s="239"/>
      <c r="B377" s="239"/>
      <c r="C377" s="239"/>
      <c r="D377" s="239"/>
      <c r="E377" s="239"/>
      <c r="F377" s="239"/>
      <c r="G377" s="239"/>
      <c r="H377" s="239"/>
      <c r="I377" s="239"/>
      <c r="J377" s="239"/>
      <c r="K377" s="239"/>
      <c r="L377" s="239"/>
      <c r="M377" s="239"/>
      <c r="N377" s="239"/>
      <c r="O377" s="239"/>
      <c r="P377" s="239"/>
      <c r="Q377" s="239"/>
      <c r="R377" s="239"/>
      <c r="S377" s="239"/>
      <c r="T377" s="239"/>
      <c r="U377" s="239"/>
      <c r="V377" s="239"/>
      <c r="W377" s="239"/>
      <c r="X377" s="239"/>
      <c r="Y377" s="239"/>
      <c r="Z377" s="239"/>
      <c r="AA377" s="239"/>
      <c r="AB377" s="239"/>
      <c r="AC377" s="239"/>
      <c r="AD377" s="239"/>
      <c r="AE377" s="239"/>
      <c r="AF377" s="239"/>
      <c r="AG377" s="239"/>
      <c r="AH377" s="239"/>
      <c r="AI377" s="239"/>
      <c r="AJ377" s="239"/>
      <c r="AK377" s="239"/>
      <c r="AL377" s="239"/>
      <c r="AM377" s="239"/>
      <c r="AN377" s="239"/>
      <c r="AO377" s="239"/>
      <c r="AP377" s="239"/>
      <c r="AQ377" s="239"/>
      <c r="AR377" s="239"/>
      <c r="AS377" s="239"/>
      <c r="AT377" s="239"/>
      <c r="AU377" s="239"/>
      <c r="AV377" s="239"/>
      <c r="AW377" s="239"/>
      <c r="AX377" s="239"/>
      <c r="AY377" s="239"/>
      <c r="AZ377" s="239"/>
      <c r="BA377" s="239"/>
      <c r="BB377" s="239"/>
      <c r="BC377" s="239"/>
      <c r="BD377" s="239"/>
      <c r="BE377" s="239"/>
      <c r="BF377" s="239"/>
      <c r="BG377" s="239"/>
      <c r="BH377" s="239"/>
      <c r="BI377" s="239"/>
      <c r="BJ377" s="239"/>
      <c r="BK377" s="239"/>
      <c r="BL377" s="239"/>
      <c r="BM377" s="239"/>
      <c r="BN377" s="239"/>
      <c r="BO377" s="239"/>
      <c r="BP377" s="239"/>
      <c r="BQ377" s="239"/>
      <c r="BR377" s="239"/>
      <c r="BS377" s="239"/>
      <c r="BT377" s="239"/>
      <c r="BU377" s="239"/>
      <c r="BV377" s="239"/>
      <c r="BW377" s="239"/>
      <c r="BX377" s="239"/>
      <c r="BY377" s="239"/>
      <c r="BZ377" s="239"/>
      <c r="CA377" s="239"/>
      <c r="CB377" s="239"/>
      <c r="CC377" s="239"/>
      <c r="CD377" s="239"/>
      <c r="CE377" s="239"/>
      <c r="CF377" s="239"/>
      <c r="CG377" s="239"/>
    </row>
    <row r="378" spans="1:85" ht="15.75" customHeight="1">
      <c r="A378" s="239"/>
      <c r="B378" s="239"/>
      <c r="C378" s="239"/>
      <c r="D378" s="239"/>
      <c r="E378" s="239"/>
      <c r="F378" s="239"/>
      <c r="G378" s="239"/>
      <c r="H378" s="239"/>
      <c r="I378" s="239"/>
      <c r="J378" s="239"/>
      <c r="K378" s="239"/>
      <c r="L378" s="239"/>
      <c r="M378" s="239"/>
      <c r="N378" s="239"/>
      <c r="O378" s="239"/>
      <c r="P378" s="239"/>
      <c r="Q378" s="239"/>
      <c r="R378" s="239"/>
      <c r="S378" s="239"/>
      <c r="T378" s="239"/>
      <c r="U378" s="239"/>
      <c r="V378" s="239"/>
      <c r="W378" s="239"/>
      <c r="X378" s="239"/>
      <c r="Y378" s="239"/>
      <c r="Z378" s="239"/>
      <c r="AA378" s="239"/>
      <c r="AB378" s="239"/>
      <c r="AC378" s="239"/>
      <c r="AD378" s="239"/>
      <c r="AE378" s="239"/>
      <c r="AF378" s="239"/>
      <c r="AG378" s="239"/>
      <c r="AH378" s="239"/>
      <c r="AI378" s="239"/>
      <c r="AJ378" s="239"/>
      <c r="AK378" s="239"/>
      <c r="AL378" s="239"/>
      <c r="AM378" s="239"/>
      <c r="AN378" s="239"/>
      <c r="AO378" s="239"/>
      <c r="AP378" s="239"/>
      <c r="AQ378" s="239"/>
      <c r="AR378" s="239"/>
      <c r="AS378" s="239"/>
      <c r="AT378" s="239"/>
      <c r="AU378" s="239"/>
      <c r="AV378" s="239"/>
      <c r="AW378" s="239"/>
      <c r="AX378" s="239"/>
      <c r="AY378" s="239"/>
      <c r="AZ378" s="239"/>
      <c r="BA378" s="239"/>
      <c r="BB378" s="239"/>
      <c r="BC378" s="239"/>
      <c r="BD378" s="239"/>
      <c r="BE378" s="239"/>
      <c r="BF378" s="239"/>
      <c r="BG378" s="239"/>
      <c r="BH378" s="239"/>
      <c r="BI378" s="239"/>
      <c r="BJ378" s="239"/>
      <c r="BK378" s="239"/>
      <c r="BL378" s="239"/>
      <c r="BM378" s="239"/>
      <c r="BN378" s="239"/>
      <c r="BO378" s="239"/>
      <c r="BP378" s="239"/>
      <c r="BQ378" s="239"/>
      <c r="BR378" s="239"/>
      <c r="BS378" s="239"/>
      <c r="BT378" s="239"/>
      <c r="BU378" s="239"/>
      <c r="BV378" s="239"/>
      <c r="BW378" s="239"/>
      <c r="BX378" s="239"/>
      <c r="BY378" s="239"/>
      <c r="BZ378" s="239"/>
      <c r="CA378" s="239"/>
      <c r="CB378" s="239"/>
      <c r="CC378" s="239"/>
      <c r="CD378" s="239"/>
      <c r="CE378" s="239"/>
      <c r="CF378" s="239"/>
      <c r="CG378" s="239"/>
    </row>
    <row r="379" spans="1:85" ht="15.75" customHeight="1">
      <c r="A379" s="239"/>
      <c r="B379" s="239"/>
      <c r="C379" s="239"/>
      <c r="D379" s="239"/>
      <c r="E379" s="239"/>
      <c r="F379" s="239"/>
      <c r="G379" s="239"/>
      <c r="H379" s="239"/>
      <c r="I379" s="239"/>
      <c r="J379" s="239"/>
      <c r="K379" s="239"/>
      <c r="L379" s="239"/>
      <c r="M379" s="239"/>
      <c r="N379" s="239"/>
      <c r="O379" s="239"/>
      <c r="P379" s="239"/>
      <c r="Q379" s="239"/>
      <c r="R379" s="239"/>
      <c r="S379" s="239"/>
      <c r="T379" s="239"/>
      <c r="U379" s="239"/>
      <c r="V379" s="239"/>
      <c r="W379" s="239"/>
      <c r="X379" s="239"/>
      <c r="Y379" s="239"/>
      <c r="Z379" s="239"/>
      <c r="AA379" s="239"/>
      <c r="AB379" s="239"/>
      <c r="AC379" s="239"/>
      <c r="AD379" s="239"/>
      <c r="AE379" s="239"/>
      <c r="AF379" s="239"/>
      <c r="AG379" s="239"/>
      <c r="AH379" s="239"/>
      <c r="AI379" s="239"/>
      <c r="AJ379" s="239"/>
      <c r="AK379" s="239"/>
      <c r="AL379" s="239"/>
      <c r="AM379" s="239"/>
      <c r="AN379" s="239"/>
      <c r="AO379" s="239"/>
      <c r="AP379" s="239"/>
      <c r="AQ379" s="239"/>
      <c r="AR379" s="239"/>
      <c r="AS379" s="239"/>
      <c r="AT379" s="239"/>
      <c r="AU379" s="239"/>
      <c r="AV379" s="239"/>
      <c r="AW379" s="239"/>
      <c r="AX379" s="239"/>
      <c r="AY379" s="239"/>
      <c r="AZ379" s="239"/>
      <c r="BA379" s="239"/>
      <c r="BB379" s="239"/>
      <c r="BC379" s="239"/>
      <c r="BD379" s="239"/>
      <c r="BE379" s="239"/>
      <c r="BF379" s="239"/>
      <c r="BG379" s="239"/>
      <c r="BH379" s="239"/>
      <c r="BI379" s="239"/>
      <c r="BJ379" s="239"/>
      <c r="BK379" s="239"/>
      <c r="BL379" s="239"/>
      <c r="BM379" s="239"/>
      <c r="BN379" s="239"/>
      <c r="BO379" s="239"/>
      <c r="BP379" s="239"/>
      <c r="BQ379" s="239"/>
      <c r="BR379" s="239"/>
      <c r="BS379" s="239"/>
      <c r="BT379" s="239"/>
      <c r="BU379" s="239"/>
      <c r="BV379" s="239"/>
      <c r="BW379" s="239"/>
      <c r="BX379" s="239"/>
      <c r="BY379" s="239"/>
      <c r="BZ379" s="239"/>
      <c r="CA379" s="239"/>
      <c r="CB379" s="239"/>
      <c r="CC379" s="239"/>
      <c r="CD379" s="239"/>
      <c r="CE379" s="239"/>
      <c r="CF379" s="239"/>
      <c r="CG379" s="239"/>
    </row>
    <row r="380" spans="1:85" ht="15.75" customHeight="1">
      <c r="A380" s="239"/>
      <c r="B380" s="239"/>
      <c r="C380" s="239"/>
      <c r="D380" s="239"/>
      <c r="E380" s="239"/>
      <c r="F380" s="239"/>
      <c r="G380" s="239"/>
      <c r="H380" s="239"/>
      <c r="I380" s="239"/>
      <c r="J380" s="239"/>
      <c r="K380" s="239"/>
      <c r="L380" s="239"/>
      <c r="M380" s="239"/>
      <c r="N380" s="239"/>
      <c r="O380" s="239"/>
      <c r="P380" s="239"/>
      <c r="Q380" s="239"/>
      <c r="R380" s="239"/>
      <c r="S380" s="239"/>
      <c r="T380" s="239"/>
      <c r="U380" s="239"/>
      <c r="V380" s="239"/>
      <c r="W380" s="239"/>
      <c r="X380" s="239"/>
      <c r="Y380" s="239"/>
      <c r="Z380" s="239"/>
      <c r="AA380" s="239"/>
      <c r="AB380" s="239"/>
      <c r="AC380" s="239"/>
      <c r="AD380" s="239"/>
      <c r="AE380" s="239"/>
      <c r="AF380" s="239"/>
      <c r="AG380" s="239"/>
      <c r="AH380" s="239"/>
      <c r="AI380" s="239"/>
      <c r="AJ380" s="239"/>
      <c r="AK380" s="239"/>
      <c r="AL380" s="239"/>
      <c r="AM380" s="239"/>
      <c r="AN380" s="239"/>
      <c r="AO380" s="239"/>
      <c r="AP380" s="239"/>
      <c r="AQ380" s="239"/>
      <c r="AR380" s="239"/>
      <c r="AS380" s="239"/>
      <c r="AT380" s="239"/>
      <c r="AU380" s="239"/>
      <c r="AV380" s="239"/>
      <c r="AW380" s="239"/>
      <c r="AX380" s="239"/>
      <c r="AY380" s="239"/>
      <c r="AZ380" s="239"/>
      <c r="BA380" s="239"/>
      <c r="BB380" s="239"/>
      <c r="BC380" s="239"/>
      <c r="BD380" s="239"/>
      <c r="BE380" s="239"/>
      <c r="BF380" s="239"/>
      <c r="BG380" s="239"/>
      <c r="BH380" s="239"/>
      <c r="BI380" s="239"/>
      <c r="BJ380" s="239"/>
      <c r="BK380" s="239"/>
      <c r="BL380" s="239"/>
      <c r="BM380" s="239"/>
      <c r="BN380" s="239"/>
      <c r="BO380" s="239"/>
      <c r="BP380" s="239"/>
      <c r="BQ380" s="239"/>
      <c r="BR380" s="239"/>
      <c r="BS380" s="239"/>
      <c r="BT380" s="239"/>
      <c r="BU380" s="239"/>
      <c r="BV380" s="239"/>
      <c r="BW380" s="239"/>
      <c r="BX380" s="239"/>
      <c r="BY380" s="239"/>
      <c r="BZ380" s="239"/>
      <c r="CA380" s="239"/>
      <c r="CB380" s="239"/>
      <c r="CC380" s="239"/>
      <c r="CD380" s="239"/>
      <c r="CE380" s="239"/>
      <c r="CF380" s="239"/>
      <c r="CG380" s="239"/>
    </row>
    <row r="381" spans="1:85" ht="15.75" customHeight="1">
      <c r="A381" s="239"/>
      <c r="B381" s="239"/>
      <c r="C381" s="239"/>
      <c r="D381" s="239"/>
      <c r="E381" s="239"/>
      <c r="F381" s="239"/>
      <c r="G381" s="239"/>
      <c r="H381" s="239"/>
      <c r="I381" s="239"/>
      <c r="J381" s="239"/>
      <c r="K381" s="239"/>
      <c r="L381" s="239"/>
      <c r="M381" s="239"/>
      <c r="N381" s="239"/>
      <c r="O381" s="239"/>
      <c r="P381" s="239"/>
      <c r="Q381" s="239"/>
      <c r="R381" s="239"/>
      <c r="S381" s="239"/>
      <c r="T381" s="239"/>
      <c r="U381" s="239"/>
      <c r="V381" s="239"/>
      <c r="W381" s="239"/>
      <c r="X381" s="239"/>
      <c r="Y381" s="239"/>
      <c r="Z381" s="239"/>
      <c r="AA381" s="239"/>
      <c r="AB381" s="239"/>
      <c r="AC381" s="239"/>
      <c r="AD381" s="239"/>
      <c r="AE381" s="239"/>
      <c r="AF381" s="239"/>
      <c r="AG381" s="239"/>
      <c r="AH381" s="239"/>
      <c r="AI381" s="239"/>
      <c r="AJ381" s="239"/>
      <c r="AK381" s="239"/>
      <c r="AL381" s="239"/>
      <c r="AM381" s="239"/>
      <c r="AN381" s="239"/>
      <c r="AO381" s="239"/>
      <c r="AP381" s="239"/>
      <c r="AQ381" s="239"/>
      <c r="AR381" s="239"/>
      <c r="AS381" s="239"/>
      <c r="AT381" s="239"/>
      <c r="AU381" s="239"/>
      <c r="AV381" s="239"/>
      <c r="AW381" s="239"/>
      <c r="AX381" s="239"/>
      <c r="AY381" s="239"/>
      <c r="AZ381" s="239"/>
      <c r="BA381" s="239"/>
      <c r="BB381" s="239"/>
      <c r="BC381" s="239"/>
      <c r="BD381" s="239"/>
      <c r="BE381" s="239"/>
      <c r="BF381" s="239"/>
      <c r="BG381" s="239"/>
      <c r="BH381" s="239"/>
      <c r="BI381" s="239"/>
      <c r="BJ381" s="239"/>
      <c r="BK381" s="239"/>
      <c r="BL381" s="239"/>
      <c r="BM381" s="239"/>
      <c r="BN381" s="239"/>
      <c r="BO381" s="239"/>
      <c r="BP381" s="239"/>
      <c r="BQ381" s="239"/>
      <c r="BR381" s="239"/>
      <c r="BS381" s="239"/>
      <c r="BT381" s="239"/>
      <c r="BU381" s="239"/>
      <c r="BV381" s="239"/>
      <c r="BW381" s="239"/>
      <c r="BX381" s="239"/>
      <c r="BY381" s="239"/>
      <c r="BZ381" s="239"/>
      <c r="CA381" s="239"/>
      <c r="CB381" s="239"/>
      <c r="CC381" s="239"/>
      <c r="CD381" s="239"/>
      <c r="CE381" s="239"/>
      <c r="CF381" s="239"/>
      <c r="CG381" s="239"/>
    </row>
    <row r="382" spans="1:85" ht="15.75" customHeight="1">
      <c r="A382" s="239"/>
      <c r="B382" s="239"/>
      <c r="C382" s="239"/>
      <c r="D382" s="239"/>
      <c r="E382" s="239"/>
      <c r="F382" s="239"/>
      <c r="G382" s="239"/>
      <c r="H382" s="239"/>
      <c r="I382" s="239"/>
      <c r="J382" s="239"/>
      <c r="K382" s="239"/>
      <c r="L382" s="239"/>
      <c r="M382" s="239"/>
      <c r="N382" s="239"/>
      <c r="O382" s="239"/>
      <c r="P382" s="239"/>
      <c r="Q382" s="239"/>
      <c r="R382" s="239"/>
      <c r="S382" s="239"/>
      <c r="T382" s="239"/>
      <c r="U382" s="239"/>
      <c r="V382" s="239"/>
      <c r="W382" s="239"/>
      <c r="X382" s="239"/>
      <c r="Y382" s="239"/>
      <c r="Z382" s="239"/>
      <c r="AA382" s="239"/>
      <c r="AB382" s="239"/>
      <c r="AC382" s="239"/>
      <c r="AD382" s="239"/>
      <c r="AE382" s="239"/>
      <c r="AF382" s="239"/>
      <c r="AG382" s="239"/>
      <c r="AH382" s="239"/>
      <c r="AI382" s="239"/>
      <c r="AJ382" s="239"/>
      <c r="AK382" s="239"/>
      <c r="AL382" s="239"/>
      <c r="AM382" s="239"/>
      <c r="AN382" s="239"/>
      <c r="AO382" s="239"/>
      <c r="AP382" s="239"/>
      <c r="AQ382" s="239"/>
      <c r="AR382" s="239"/>
      <c r="AS382" s="239"/>
      <c r="AT382" s="239"/>
      <c r="AU382" s="239"/>
      <c r="AV382" s="239"/>
      <c r="AW382" s="239"/>
      <c r="AX382" s="239"/>
      <c r="AY382" s="239"/>
      <c r="AZ382" s="239"/>
      <c r="BA382" s="239"/>
      <c r="BB382" s="239"/>
      <c r="BC382" s="239"/>
      <c r="BD382" s="239"/>
      <c r="BE382" s="239"/>
      <c r="BF382" s="239"/>
      <c r="BG382" s="239"/>
      <c r="BH382" s="239"/>
      <c r="BI382" s="239"/>
      <c r="BJ382" s="239"/>
      <c r="BK382" s="239"/>
      <c r="BL382" s="239"/>
      <c r="BM382" s="239"/>
      <c r="BN382" s="239"/>
      <c r="BO382" s="239"/>
      <c r="BP382" s="239"/>
      <c r="BQ382" s="239"/>
      <c r="BR382" s="239"/>
      <c r="BS382" s="239"/>
      <c r="BT382" s="239"/>
      <c r="BU382" s="239"/>
      <c r="BV382" s="239"/>
      <c r="BW382" s="239"/>
      <c r="BX382" s="239"/>
      <c r="BY382" s="239"/>
      <c r="BZ382" s="239"/>
      <c r="CA382" s="239"/>
      <c r="CB382" s="239"/>
      <c r="CC382" s="239"/>
      <c r="CD382" s="239"/>
      <c r="CE382" s="239"/>
      <c r="CF382" s="239"/>
      <c r="CG382" s="239"/>
    </row>
    <row r="383" spans="1:85" ht="15.75" customHeight="1">
      <c r="A383" s="239"/>
      <c r="B383" s="239"/>
      <c r="C383" s="239"/>
      <c r="D383" s="239"/>
      <c r="E383" s="239"/>
      <c r="F383" s="239"/>
      <c r="G383" s="239"/>
      <c r="H383" s="239"/>
      <c r="I383" s="239"/>
      <c r="J383" s="239"/>
      <c r="K383" s="239"/>
      <c r="L383" s="239"/>
      <c r="M383" s="239"/>
      <c r="N383" s="239"/>
      <c r="O383" s="239"/>
      <c r="P383" s="239"/>
      <c r="Q383" s="239"/>
      <c r="R383" s="239"/>
      <c r="S383" s="239"/>
      <c r="T383" s="239"/>
      <c r="U383" s="239"/>
      <c r="V383" s="239"/>
      <c r="W383" s="239"/>
      <c r="X383" s="239"/>
      <c r="Y383" s="239"/>
      <c r="Z383" s="239"/>
      <c r="AA383" s="239"/>
      <c r="AB383" s="239"/>
      <c r="AC383" s="239"/>
      <c r="AD383" s="239"/>
      <c r="AE383" s="239"/>
      <c r="AF383" s="239"/>
      <c r="AG383" s="239"/>
      <c r="AH383" s="239"/>
      <c r="AI383" s="239"/>
      <c r="AJ383" s="239"/>
      <c r="AK383" s="239"/>
      <c r="AL383" s="239"/>
      <c r="AM383" s="239"/>
      <c r="AN383" s="239"/>
      <c r="AO383" s="239"/>
      <c r="AP383" s="239"/>
      <c r="AQ383" s="239"/>
      <c r="AR383" s="239"/>
      <c r="AS383" s="239"/>
      <c r="AT383" s="239"/>
      <c r="AU383" s="239"/>
      <c r="AV383" s="239"/>
      <c r="AW383" s="239"/>
      <c r="AX383" s="239"/>
      <c r="AY383" s="239"/>
      <c r="AZ383" s="239"/>
      <c r="BA383" s="239"/>
      <c r="BB383" s="239"/>
      <c r="BC383" s="239"/>
      <c r="BD383" s="239"/>
      <c r="BE383" s="239"/>
      <c r="BF383" s="239"/>
      <c r="BG383" s="239"/>
      <c r="BH383" s="239"/>
      <c r="BI383" s="239"/>
      <c r="BJ383" s="239"/>
      <c r="BK383" s="239"/>
      <c r="BL383" s="239"/>
      <c r="BM383" s="239"/>
      <c r="BN383" s="239"/>
      <c r="BO383" s="239"/>
      <c r="BP383" s="239"/>
      <c r="BQ383" s="239"/>
      <c r="BR383" s="239"/>
      <c r="BS383" s="239"/>
      <c r="BT383" s="239"/>
      <c r="BU383" s="239"/>
      <c r="BV383" s="239"/>
      <c r="BW383" s="239"/>
      <c r="BX383" s="239"/>
      <c r="BY383" s="239"/>
      <c r="BZ383" s="239"/>
      <c r="CA383" s="239"/>
      <c r="CB383" s="239"/>
      <c r="CC383" s="239"/>
      <c r="CD383" s="239"/>
      <c r="CE383" s="239"/>
      <c r="CF383" s="239"/>
      <c r="CG383" s="239"/>
    </row>
    <row r="384" spans="1:85" ht="15.75" customHeight="1">
      <c r="A384" s="239"/>
      <c r="B384" s="239"/>
      <c r="C384" s="239"/>
      <c r="D384" s="239"/>
      <c r="E384" s="239"/>
      <c r="F384" s="239"/>
      <c r="G384" s="239"/>
      <c r="H384" s="239"/>
      <c r="I384" s="239"/>
      <c r="J384" s="239"/>
      <c r="K384" s="239"/>
      <c r="L384" s="239"/>
      <c r="M384" s="239"/>
      <c r="N384" s="239"/>
      <c r="O384" s="239"/>
      <c r="P384" s="239"/>
      <c r="Q384" s="239"/>
      <c r="R384" s="239"/>
      <c r="S384" s="239"/>
      <c r="T384" s="239"/>
      <c r="U384" s="239"/>
      <c r="V384" s="239"/>
      <c r="W384" s="239"/>
      <c r="X384" s="239"/>
      <c r="Y384" s="239"/>
      <c r="Z384" s="239"/>
      <c r="AA384" s="239"/>
      <c r="AB384" s="239"/>
      <c r="AC384" s="239"/>
      <c r="AD384" s="239"/>
      <c r="AE384" s="239"/>
      <c r="AF384" s="239"/>
      <c r="AG384" s="239"/>
      <c r="AH384" s="239"/>
      <c r="AI384" s="239"/>
      <c r="AJ384" s="239"/>
      <c r="AK384" s="239"/>
      <c r="AL384" s="239"/>
      <c r="AM384" s="239"/>
      <c r="AN384" s="239"/>
      <c r="AO384" s="239"/>
      <c r="AP384" s="239"/>
      <c r="AQ384" s="239"/>
      <c r="AR384" s="239"/>
      <c r="AS384" s="239"/>
      <c r="AT384" s="239"/>
      <c r="AU384" s="239"/>
      <c r="AV384" s="239"/>
      <c r="AW384" s="239"/>
      <c r="AX384" s="239"/>
      <c r="AY384" s="239"/>
      <c r="AZ384" s="239"/>
      <c r="BA384" s="239"/>
      <c r="BB384" s="239"/>
      <c r="BC384" s="239"/>
      <c r="BD384" s="239"/>
      <c r="BE384" s="239"/>
      <c r="BF384" s="239"/>
      <c r="BG384" s="239"/>
      <c r="BH384" s="239"/>
      <c r="BI384" s="239"/>
      <c r="BJ384" s="239"/>
      <c r="BK384" s="239"/>
      <c r="BL384" s="239"/>
      <c r="BM384" s="239"/>
      <c r="BN384" s="239"/>
      <c r="BO384" s="239"/>
      <c r="BP384" s="239"/>
      <c r="BQ384" s="239"/>
      <c r="BR384" s="239"/>
      <c r="BS384" s="239"/>
      <c r="BT384" s="239"/>
      <c r="BU384" s="239"/>
      <c r="BV384" s="239"/>
      <c r="BW384" s="239"/>
      <c r="BX384" s="239"/>
      <c r="BY384" s="239"/>
      <c r="BZ384" s="239"/>
      <c r="CA384" s="239"/>
      <c r="CB384" s="239"/>
      <c r="CC384" s="239"/>
      <c r="CD384" s="239"/>
      <c r="CE384" s="239"/>
      <c r="CF384" s="239"/>
      <c r="CG384" s="239"/>
    </row>
    <row r="385" spans="1:85" ht="15.75" customHeight="1">
      <c r="A385" s="239"/>
      <c r="B385" s="239"/>
      <c r="C385" s="239"/>
      <c r="D385" s="239"/>
      <c r="E385" s="239"/>
      <c r="F385" s="239"/>
      <c r="G385" s="239"/>
      <c r="H385" s="239"/>
      <c r="I385" s="239"/>
      <c r="J385" s="239"/>
      <c r="K385" s="239"/>
      <c r="L385" s="239"/>
      <c r="M385" s="239"/>
      <c r="N385" s="239"/>
      <c r="O385" s="239"/>
      <c r="P385" s="239"/>
      <c r="Q385" s="239"/>
      <c r="R385" s="239"/>
      <c r="S385" s="239"/>
      <c r="T385" s="239"/>
      <c r="U385" s="239"/>
      <c r="V385" s="239"/>
      <c r="W385" s="239"/>
      <c r="X385" s="239"/>
      <c r="Y385" s="239"/>
      <c r="Z385" s="239"/>
      <c r="AA385" s="239"/>
      <c r="AB385" s="239"/>
      <c r="AC385" s="239"/>
      <c r="AD385" s="239"/>
      <c r="AE385" s="239"/>
      <c r="AF385" s="239"/>
      <c r="AG385" s="239"/>
      <c r="AH385" s="239"/>
      <c r="AI385" s="239"/>
      <c r="AJ385" s="239"/>
      <c r="AK385" s="239"/>
      <c r="AL385" s="239"/>
      <c r="AM385" s="239"/>
      <c r="AN385" s="239"/>
      <c r="AO385" s="239"/>
      <c r="AP385" s="239"/>
      <c r="AQ385" s="239"/>
      <c r="AR385" s="239"/>
      <c r="AS385" s="239"/>
      <c r="AT385" s="239"/>
      <c r="AU385" s="239"/>
      <c r="AV385" s="239"/>
      <c r="AW385" s="239"/>
      <c r="AX385" s="239"/>
      <c r="AY385" s="239"/>
      <c r="AZ385" s="239"/>
      <c r="BA385" s="239"/>
      <c r="BB385" s="239"/>
      <c r="BC385" s="239"/>
      <c r="BD385" s="239"/>
      <c r="BE385" s="239"/>
      <c r="BF385" s="239"/>
      <c r="BG385" s="239"/>
      <c r="BH385" s="239"/>
      <c r="BI385" s="239"/>
      <c r="BJ385" s="239"/>
      <c r="BK385" s="239"/>
      <c r="BL385" s="239"/>
      <c r="BM385" s="239"/>
      <c r="BN385" s="239"/>
      <c r="BO385" s="239"/>
      <c r="BP385" s="239"/>
      <c r="BQ385" s="239"/>
      <c r="BR385" s="239"/>
      <c r="BS385" s="239"/>
      <c r="BT385" s="239"/>
      <c r="BU385" s="239"/>
      <c r="BV385" s="239"/>
      <c r="BW385" s="239"/>
      <c r="BX385" s="239"/>
      <c r="BY385" s="239"/>
      <c r="BZ385" s="239"/>
      <c r="CA385" s="239"/>
      <c r="CB385" s="239"/>
      <c r="CC385" s="239"/>
      <c r="CD385" s="239"/>
      <c r="CE385" s="239"/>
      <c r="CF385" s="239"/>
      <c r="CG385" s="239"/>
    </row>
    <row r="386" spans="1:85" ht="15.75" customHeight="1">
      <c r="A386" s="239"/>
      <c r="B386" s="239"/>
      <c r="C386" s="239"/>
      <c r="D386" s="239"/>
      <c r="E386" s="239"/>
      <c r="F386" s="239"/>
      <c r="G386" s="239"/>
      <c r="H386" s="239"/>
      <c r="I386" s="239"/>
      <c r="J386" s="239"/>
      <c r="K386" s="239"/>
      <c r="L386" s="239"/>
      <c r="M386" s="239"/>
      <c r="N386" s="239"/>
      <c r="O386" s="239"/>
      <c r="P386" s="239"/>
      <c r="Q386" s="239"/>
      <c r="R386" s="239"/>
      <c r="S386" s="239"/>
      <c r="T386" s="239"/>
      <c r="U386" s="239"/>
      <c r="V386" s="239"/>
      <c r="W386" s="239"/>
      <c r="X386" s="239"/>
      <c r="Y386" s="239"/>
      <c r="Z386" s="239"/>
      <c r="AA386" s="239"/>
      <c r="AB386" s="239"/>
      <c r="AC386" s="239"/>
      <c r="AD386" s="239"/>
      <c r="AE386" s="239"/>
      <c r="AF386" s="239"/>
      <c r="AG386" s="239"/>
      <c r="AH386" s="239"/>
      <c r="AI386" s="239"/>
      <c r="AJ386" s="239"/>
      <c r="AK386" s="239"/>
      <c r="AL386" s="239"/>
      <c r="AM386" s="239"/>
      <c r="AN386" s="239"/>
      <c r="AO386" s="239"/>
      <c r="AP386" s="239"/>
      <c r="AQ386" s="239"/>
      <c r="AR386" s="239"/>
      <c r="AS386" s="239"/>
      <c r="AT386" s="239"/>
      <c r="AU386" s="239"/>
      <c r="AV386" s="239"/>
      <c r="AW386" s="239"/>
      <c r="AX386" s="239"/>
      <c r="AY386" s="239"/>
      <c r="AZ386" s="239"/>
      <c r="BA386" s="239"/>
      <c r="BB386" s="239"/>
      <c r="BC386" s="239"/>
      <c r="BD386" s="239"/>
      <c r="BE386" s="239"/>
      <c r="BF386" s="239"/>
      <c r="BG386" s="239"/>
      <c r="BH386" s="239"/>
      <c r="BI386" s="239"/>
      <c r="BJ386" s="239"/>
      <c r="BK386" s="239"/>
      <c r="BL386" s="239"/>
      <c r="BM386" s="239"/>
      <c r="BN386" s="239"/>
      <c r="BO386" s="239"/>
      <c r="BP386" s="239"/>
      <c r="BQ386" s="239"/>
      <c r="BR386" s="239"/>
      <c r="BS386" s="239"/>
      <c r="BT386" s="239"/>
      <c r="BU386" s="239"/>
      <c r="BV386" s="239"/>
      <c r="BW386" s="239"/>
      <c r="BX386" s="239"/>
      <c r="BY386" s="239"/>
      <c r="BZ386" s="239"/>
      <c r="CA386" s="239"/>
      <c r="CB386" s="239"/>
      <c r="CC386" s="239"/>
      <c r="CD386" s="239"/>
      <c r="CE386" s="239"/>
      <c r="CF386" s="239"/>
      <c r="CG386" s="239"/>
    </row>
    <row r="387" spans="1:85" ht="15.75" customHeight="1">
      <c r="A387" s="239"/>
      <c r="B387" s="239"/>
      <c r="C387" s="239"/>
      <c r="D387" s="239"/>
      <c r="E387" s="239"/>
      <c r="F387" s="239"/>
      <c r="G387" s="239"/>
      <c r="H387" s="239"/>
      <c r="I387" s="239"/>
      <c r="J387" s="239"/>
      <c r="K387" s="239"/>
      <c r="L387" s="239"/>
      <c r="M387" s="239"/>
      <c r="N387" s="239"/>
      <c r="O387" s="239"/>
      <c r="P387" s="239"/>
      <c r="Q387" s="239"/>
      <c r="R387" s="239"/>
      <c r="S387" s="239"/>
      <c r="T387" s="239"/>
      <c r="U387" s="239"/>
      <c r="V387" s="239"/>
      <c r="W387" s="239"/>
      <c r="X387" s="239"/>
      <c r="Y387" s="239"/>
      <c r="Z387" s="239"/>
      <c r="AA387" s="239"/>
      <c r="AB387" s="239"/>
      <c r="AC387" s="239"/>
      <c r="AD387" s="239"/>
      <c r="AE387" s="239"/>
      <c r="AF387" s="239"/>
      <c r="AG387" s="239"/>
      <c r="AH387" s="239"/>
      <c r="AI387" s="239"/>
      <c r="AJ387" s="239"/>
      <c r="AK387" s="239"/>
      <c r="AL387" s="239"/>
      <c r="AM387" s="239"/>
      <c r="AN387" s="239"/>
      <c r="AO387" s="239"/>
      <c r="AP387" s="239"/>
      <c r="AQ387" s="239"/>
      <c r="AR387" s="239"/>
      <c r="AS387" s="239"/>
      <c r="AT387" s="239"/>
      <c r="AU387" s="239"/>
      <c r="AV387" s="239"/>
      <c r="AW387" s="239"/>
      <c r="AX387" s="239"/>
      <c r="AY387" s="239"/>
      <c r="AZ387" s="239"/>
      <c r="BA387" s="239"/>
      <c r="BB387" s="239"/>
      <c r="BC387" s="239"/>
      <c r="BD387" s="239"/>
      <c r="BE387" s="239"/>
      <c r="BF387" s="239"/>
      <c r="BG387" s="239"/>
      <c r="BH387" s="239"/>
      <c r="BI387" s="239"/>
      <c r="BJ387" s="239"/>
      <c r="BK387" s="239"/>
      <c r="BL387" s="239"/>
      <c r="BM387" s="239"/>
      <c r="BN387" s="239"/>
      <c r="BO387" s="239"/>
      <c r="BP387" s="239"/>
      <c r="BQ387" s="239"/>
      <c r="BR387" s="239"/>
      <c r="BS387" s="239"/>
      <c r="BT387" s="239"/>
      <c r="BU387" s="239"/>
      <c r="BV387" s="239"/>
      <c r="BW387" s="239"/>
      <c r="BX387" s="239"/>
      <c r="BY387" s="239"/>
      <c r="BZ387" s="239"/>
      <c r="CA387" s="239"/>
      <c r="CB387" s="239"/>
      <c r="CC387" s="239"/>
      <c r="CD387" s="239"/>
      <c r="CE387" s="239"/>
      <c r="CF387" s="239"/>
      <c r="CG387" s="239"/>
    </row>
    <row r="388" spans="1:85" ht="15.75" customHeight="1">
      <c r="A388" s="239"/>
      <c r="B388" s="239"/>
      <c r="C388" s="239"/>
      <c r="D388" s="239"/>
      <c r="E388" s="239"/>
      <c r="F388" s="239"/>
      <c r="G388" s="239"/>
      <c r="H388" s="239"/>
      <c r="I388" s="239"/>
      <c r="J388" s="239"/>
      <c r="K388" s="239"/>
      <c r="L388" s="239"/>
      <c r="M388" s="239"/>
      <c r="N388" s="239"/>
      <c r="O388" s="239"/>
      <c r="P388" s="239"/>
      <c r="Q388" s="239"/>
      <c r="R388" s="239"/>
      <c r="S388" s="239"/>
      <c r="T388" s="239"/>
      <c r="U388" s="239"/>
      <c r="V388" s="239"/>
      <c r="W388" s="239"/>
      <c r="X388" s="239"/>
      <c r="Y388" s="239"/>
      <c r="Z388" s="239"/>
      <c r="AA388" s="239"/>
      <c r="AB388" s="239"/>
      <c r="AC388" s="239"/>
      <c r="AD388" s="239"/>
      <c r="AE388" s="239"/>
      <c r="AF388" s="239"/>
      <c r="AG388" s="239"/>
      <c r="AH388" s="239"/>
      <c r="AI388" s="239"/>
      <c r="AJ388" s="239"/>
      <c r="AK388" s="239"/>
      <c r="AL388" s="239"/>
      <c r="AM388" s="239"/>
      <c r="AN388" s="239"/>
      <c r="AO388" s="239"/>
      <c r="AP388" s="239"/>
      <c r="AQ388" s="239"/>
      <c r="AR388" s="239"/>
      <c r="AS388" s="239"/>
      <c r="AT388" s="239"/>
      <c r="AU388" s="239"/>
      <c r="AV388" s="239"/>
      <c r="AW388" s="239"/>
      <c r="AX388" s="239"/>
      <c r="AY388" s="239"/>
      <c r="AZ388" s="239"/>
      <c r="BA388" s="239"/>
      <c r="BB388" s="239"/>
      <c r="BC388" s="239"/>
      <c r="BD388" s="239"/>
      <c r="BE388" s="239"/>
      <c r="BF388" s="239"/>
      <c r="BG388" s="239"/>
      <c r="BH388" s="239"/>
      <c r="BI388" s="239"/>
      <c r="BJ388" s="239"/>
      <c r="BK388" s="239"/>
      <c r="BL388" s="239"/>
      <c r="BM388" s="239"/>
      <c r="BN388" s="239"/>
      <c r="BO388" s="239"/>
      <c r="BP388" s="239"/>
      <c r="BQ388" s="239"/>
      <c r="BR388" s="239"/>
      <c r="BS388" s="239"/>
      <c r="BT388" s="239"/>
      <c r="BU388" s="239"/>
      <c r="BV388" s="239"/>
      <c r="BW388" s="239"/>
      <c r="BX388" s="239"/>
      <c r="BY388" s="239"/>
      <c r="BZ388" s="239"/>
      <c r="CA388" s="239"/>
      <c r="CB388" s="239"/>
      <c r="CC388" s="239"/>
      <c r="CD388" s="239"/>
      <c r="CE388" s="239"/>
      <c r="CF388" s="239"/>
      <c r="CG388" s="239"/>
    </row>
    <row r="389" spans="1:85" ht="15.75" customHeight="1">
      <c r="A389" s="239"/>
      <c r="B389" s="239"/>
      <c r="C389" s="239"/>
      <c r="D389" s="239"/>
      <c r="E389" s="239"/>
      <c r="F389" s="239"/>
      <c r="G389" s="239"/>
      <c r="H389" s="239"/>
      <c r="I389" s="239"/>
      <c r="J389" s="239"/>
      <c r="K389" s="239"/>
      <c r="L389" s="239"/>
      <c r="M389" s="239"/>
      <c r="N389" s="239"/>
      <c r="O389" s="239"/>
      <c r="P389" s="239"/>
      <c r="Q389" s="239"/>
      <c r="R389" s="239"/>
      <c r="S389" s="239"/>
      <c r="T389" s="239"/>
      <c r="U389" s="239"/>
      <c r="V389" s="239"/>
      <c r="W389" s="239"/>
      <c r="X389" s="239"/>
      <c r="Y389" s="239"/>
      <c r="Z389" s="239"/>
      <c r="AA389" s="239"/>
      <c r="AB389" s="239"/>
      <c r="AC389" s="239"/>
      <c r="AD389" s="239"/>
      <c r="AE389" s="239"/>
      <c r="AF389" s="239"/>
      <c r="AG389" s="239"/>
      <c r="AH389" s="239"/>
      <c r="AI389" s="239"/>
      <c r="AJ389" s="239"/>
      <c r="AK389" s="239"/>
      <c r="AL389" s="239"/>
      <c r="AM389" s="239"/>
      <c r="AN389" s="239"/>
      <c r="AO389" s="239"/>
      <c r="AP389" s="239"/>
      <c r="AQ389" s="239"/>
      <c r="AR389" s="239"/>
      <c r="AS389" s="239"/>
      <c r="AT389" s="239"/>
      <c r="AU389" s="239"/>
      <c r="AV389" s="239"/>
      <c r="AW389" s="239"/>
      <c r="AX389" s="239"/>
      <c r="AY389" s="239"/>
      <c r="AZ389" s="239"/>
      <c r="BA389" s="239"/>
      <c r="BB389" s="239"/>
      <c r="BC389" s="239"/>
      <c r="BD389" s="239"/>
      <c r="BE389" s="239"/>
      <c r="BF389" s="239"/>
      <c r="BG389" s="239"/>
      <c r="BH389" s="239"/>
      <c r="BI389" s="239"/>
      <c r="BJ389" s="239"/>
      <c r="BK389" s="239"/>
      <c r="BL389" s="239"/>
      <c r="BM389" s="239"/>
      <c r="BN389" s="239"/>
      <c r="BO389" s="239"/>
      <c r="BP389" s="239"/>
      <c r="BQ389" s="239"/>
      <c r="BR389" s="239"/>
      <c r="BS389" s="239"/>
      <c r="BT389" s="239"/>
      <c r="BU389" s="239"/>
      <c r="BV389" s="239"/>
      <c r="BW389" s="239"/>
      <c r="BX389" s="239"/>
      <c r="BY389" s="239"/>
      <c r="BZ389" s="239"/>
      <c r="CA389" s="239"/>
      <c r="CB389" s="239"/>
      <c r="CC389" s="239"/>
      <c r="CD389" s="239"/>
      <c r="CE389" s="239"/>
      <c r="CF389" s="239"/>
      <c r="CG389" s="239"/>
    </row>
    <row r="390" spans="1:85" ht="15.75" customHeight="1">
      <c r="A390" s="239"/>
      <c r="B390" s="239"/>
      <c r="C390" s="239"/>
      <c r="D390" s="239"/>
      <c r="E390" s="239"/>
      <c r="F390" s="239"/>
      <c r="G390" s="239"/>
      <c r="H390" s="239"/>
      <c r="I390" s="239"/>
      <c r="J390" s="239"/>
      <c r="K390" s="239"/>
      <c r="L390" s="239"/>
      <c r="M390" s="239"/>
      <c r="N390" s="239"/>
      <c r="O390" s="239"/>
      <c r="P390" s="239"/>
      <c r="Q390" s="239"/>
      <c r="R390" s="239"/>
      <c r="S390" s="239"/>
      <c r="T390" s="239"/>
      <c r="U390" s="239"/>
      <c r="V390" s="239"/>
      <c r="W390" s="239"/>
      <c r="X390" s="239"/>
      <c r="Y390" s="239"/>
      <c r="Z390" s="239"/>
      <c r="AA390" s="239"/>
      <c r="AB390" s="239"/>
      <c r="AC390" s="239"/>
      <c r="AD390" s="239"/>
      <c r="AE390" s="239"/>
      <c r="AF390" s="239"/>
      <c r="AG390" s="239"/>
      <c r="AH390" s="239"/>
      <c r="AI390" s="239"/>
      <c r="AJ390" s="239"/>
      <c r="AK390" s="239"/>
      <c r="AL390" s="239"/>
      <c r="AM390" s="239"/>
      <c r="AN390" s="239"/>
      <c r="AO390" s="239"/>
      <c r="AP390" s="239"/>
      <c r="AQ390" s="239"/>
      <c r="AR390" s="239"/>
      <c r="AS390" s="239"/>
      <c r="AT390" s="239"/>
      <c r="AU390" s="239"/>
      <c r="AV390" s="239"/>
      <c r="AW390" s="239"/>
      <c r="AX390" s="239"/>
      <c r="AY390" s="239"/>
      <c r="AZ390" s="239"/>
      <c r="BA390" s="239"/>
      <c r="BB390" s="239"/>
      <c r="BC390" s="239"/>
      <c r="BD390" s="239"/>
      <c r="BE390" s="239"/>
      <c r="BF390" s="239"/>
      <c r="BG390" s="239"/>
      <c r="BH390" s="239"/>
      <c r="BI390" s="239"/>
      <c r="BJ390" s="239"/>
      <c r="BK390" s="239"/>
      <c r="BL390" s="239"/>
      <c r="BM390" s="239"/>
      <c r="BN390" s="239"/>
      <c r="BO390" s="239"/>
      <c r="BP390" s="239"/>
      <c r="BQ390" s="239"/>
      <c r="BR390" s="239"/>
      <c r="BS390" s="239"/>
      <c r="BT390" s="239"/>
      <c r="BU390" s="239"/>
      <c r="BV390" s="239"/>
      <c r="BW390" s="239"/>
      <c r="BX390" s="239"/>
      <c r="BY390" s="239"/>
      <c r="BZ390" s="239"/>
      <c r="CA390" s="239"/>
      <c r="CB390" s="239"/>
      <c r="CC390" s="239"/>
      <c r="CD390" s="239"/>
      <c r="CE390" s="239"/>
      <c r="CF390" s="239"/>
      <c r="CG390" s="239"/>
    </row>
    <row r="391" spans="1:85" ht="15.75" customHeight="1">
      <c r="A391" s="239"/>
      <c r="B391" s="239"/>
      <c r="C391" s="239"/>
      <c r="D391" s="239"/>
      <c r="E391" s="239"/>
      <c r="F391" s="239"/>
      <c r="G391" s="239"/>
      <c r="H391" s="239"/>
      <c r="I391" s="239"/>
      <c r="J391" s="239"/>
      <c r="K391" s="239"/>
      <c r="L391" s="239"/>
      <c r="M391" s="239"/>
      <c r="N391" s="239"/>
      <c r="O391" s="239"/>
      <c r="P391" s="239"/>
      <c r="Q391" s="239"/>
      <c r="R391" s="239"/>
      <c r="S391" s="239"/>
      <c r="T391" s="239"/>
      <c r="U391" s="239"/>
      <c r="V391" s="239"/>
      <c r="W391" s="239"/>
      <c r="X391" s="239"/>
      <c r="Y391" s="239"/>
      <c r="Z391" s="239"/>
      <c r="AA391" s="239"/>
      <c r="AB391" s="239"/>
      <c r="AC391" s="239"/>
      <c r="AD391" s="239"/>
      <c r="AE391" s="239"/>
      <c r="AF391" s="239"/>
      <c r="AG391" s="239"/>
      <c r="AH391" s="239"/>
      <c r="AI391" s="239"/>
      <c r="AJ391" s="239"/>
      <c r="AK391" s="239"/>
      <c r="AL391" s="239"/>
      <c r="AM391" s="239"/>
      <c r="AN391" s="239"/>
      <c r="AO391" s="239"/>
      <c r="AP391" s="239"/>
      <c r="AQ391" s="239"/>
      <c r="AR391" s="239"/>
      <c r="AS391" s="239"/>
      <c r="AT391" s="239"/>
      <c r="AU391" s="239"/>
      <c r="AV391" s="239"/>
      <c r="AW391" s="239"/>
      <c r="AX391" s="239"/>
      <c r="AY391" s="239"/>
      <c r="AZ391" s="239"/>
      <c r="BA391" s="239"/>
      <c r="BB391" s="239"/>
      <c r="BC391" s="239"/>
      <c r="BD391" s="239"/>
      <c r="BE391" s="239"/>
      <c r="BF391" s="239"/>
      <c r="BG391" s="239"/>
      <c r="BH391" s="239"/>
      <c r="BI391" s="239"/>
      <c r="BJ391" s="239"/>
      <c r="BK391" s="239"/>
      <c r="BL391" s="239"/>
      <c r="BM391" s="239"/>
      <c r="BN391" s="239"/>
      <c r="BO391" s="239"/>
      <c r="BP391" s="239"/>
      <c r="BQ391" s="239"/>
      <c r="BR391" s="239"/>
      <c r="BS391" s="239"/>
      <c r="BT391" s="239"/>
      <c r="BU391" s="239"/>
      <c r="BV391" s="239"/>
      <c r="BW391" s="239"/>
      <c r="BX391" s="239"/>
      <c r="BY391" s="239"/>
      <c r="BZ391" s="239"/>
      <c r="CA391" s="239"/>
      <c r="CB391" s="239"/>
      <c r="CC391" s="239"/>
      <c r="CD391" s="239"/>
      <c r="CE391" s="239"/>
      <c r="CF391" s="239"/>
      <c r="CG391" s="239"/>
    </row>
    <row r="392" spans="1:85" ht="15.75" customHeight="1">
      <c r="A392" s="239"/>
      <c r="B392" s="239"/>
      <c r="C392" s="239"/>
      <c r="D392" s="239"/>
      <c r="E392" s="239"/>
      <c r="F392" s="239"/>
      <c r="G392" s="239"/>
      <c r="H392" s="239"/>
      <c r="I392" s="239"/>
      <c r="J392" s="239"/>
      <c r="K392" s="239"/>
      <c r="L392" s="239"/>
      <c r="M392" s="239"/>
      <c r="N392" s="239"/>
      <c r="O392" s="239"/>
      <c r="P392" s="239"/>
      <c r="Q392" s="239"/>
      <c r="R392" s="239"/>
      <c r="S392" s="239"/>
      <c r="T392" s="239"/>
      <c r="U392" s="239"/>
      <c r="V392" s="239"/>
      <c r="W392" s="239"/>
      <c r="X392" s="239"/>
      <c r="Y392" s="239"/>
      <c r="Z392" s="239"/>
      <c r="AA392" s="239"/>
      <c r="AB392" s="239"/>
      <c r="AC392" s="239"/>
      <c r="AD392" s="239"/>
      <c r="AE392" s="239"/>
      <c r="AF392" s="239"/>
      <c r="AG392" s="239"/>
      <c r="AH392" s="239"/>
      <c r="AI392" s="239"/>
      <c r="AJ392" s="239"/>
      <c r="AK392" s="239"/>
      <c r="AL392" s="239"/>
      <c r="AM392" s="239"/>
      <c r="AN392" s="239"/>
      <c r="AO392" s="239"/>
      <c r="AP392" s="239"/>
      <c r="AQ392" s="239"/>
      <c r="AR392" s="239"/>
      <c r="AS392" s="239"/>
      <c r="AT392" s="239"/>
      <c r="AU392" s="239"/>
      <c r="AV392" s="239"/>
      <c r="AW392" s="239"/>
      <c r="AX392" s="239"/>
      <c r="AY392" s="239"/>
      <c r="AZ392" s="239"/>
      <c r="BA392" s="239"/>
      <c r="BB392" s="239"/>
      <c r="BC392" s="239"/>
      <c r="BD392" s="239"/>
      <c r="BE392" s="239"/>
      <c r="BF392" s="239"/>
      <c r="BG392" s="239"/>
      <c r="BH392" s="239"/>
      <c r="BI392" s="239"/>
      <c r="BJ392" s="239"/>
      <c r="BK392" s="239"/>
      <c r="BL392" s="239"/>
      <c r="BM392" s="239"/>
      <c r="BN392" s="239"/>
      <c r="BO392" s="239"/>
      <c r="BP392" s="239"/>
      <c r="BQ392" s="239"/>
      <c r="BR392" s="239"/>
      <c r="BS392" s="239"/>
      <c r="BT392" s="239"/>
      <c r="BU392" s="239"/>
      <c r="BV392" s="239"/>
      <c r="BW392" s="239"/>
      <c r="BX392" s="239"/>
      <c r="BY392" s="239"/>
      <c r="BZ392" s="239"/>
      <c r="CA392" s="239"/>
      <c r="CB392" s="239"/>
      <c r="CC392" s="239"/>
      <c r="CD392" s="239"/>
      <c r="CE392" s="239"/>
      <c r="CF392" s="239"/>
      <c r="CG392" s="239"/>
    </row>
    <row r="393" spans="1:85" ht="15.75" customHeight="1">
      <c r="A393" s="239"/>
      <c r="B393" s="239"/>
      <c r="C393" s="239"/>
      <c r="D393" s="239"/>
      <c r="E393" s="239"/>
      <c r="F393" s="239"/>
      <c r="G393" s="239"/>
      <c r="H393" s="239"/>
      <c r="I393" s="239"/>
      <c r="J393" s="239"/>
      <c r="K393" s="239"/>
      <c r="L393" s="239"/>
      <c r="M393" s="239"/>
      <c r="N393" s="239"/>
      <c r="O393" s="239"/>
      <c r="P393" s="239"/>
      <c r="Q393" s="239"/>
      <c r="R393" s="239"/>
      <c r="S393" s="239"/>
      <c r="T393" s="239"/>
      <c r="U393" s="239"/>
      <c r="V393" s="239"/>
      <c r="W393" s="239"/>
      <c r="X393" s="239"/>
      <c r="Y393" s="239"/>
      <c r="Z393" s="239"/>
      <c r="AA393" s="239"/>
      <c r="AB393" s="239"/>
      <c r="AC393" s="239"/>
      <c r="AD393" s="239"/>
      <c r="AE393" s="239"/>
      <c r="AF393" s="239"/>
      <c r="AG393" s="239"/>
      <c r="AH393" s="239"/>
      <c r="AI393" s="239"/>
      <c r="AJ393" s="239"/>
      <c r="AK393" s="239"/>
      <c r="AL393" s="239"/>
      <c r="AM393" s="239"/>
      <c r="AN393" s="239"/>
      <c r="AO393" s="239"/>
      <c r="AP393" s="239"/>
      <c r="AQ393" s="239"/>
      <c r="AR393" s="239"/>
      <c r="AS393" s="239"/>
      <c r="AT393" s="239"/>
      <c r="AU393" s="239"/>
      <c r="AV393" s="239"/>
      <c r="AW393" s="239"/>
      <c r="AX393" s="239"/>
      <c r="AY393" s="239"/>
      <c r="AZ393" s="239"/>
      <c r="BA393" s="239"/>
      <c r="BB393" s="239"/>
      <c r="BC393" s="239"/>
      <c r="BD393" s="239"/>
      <c r="BE393" s="239"/>
      <c r="BF393" s="239"/>
      <c r="BG393" s="239"/>
      <c r="BH393" s="239"/>
      <c r="BI393" s="239"/>
      <c r="BJ393" s="239"/>
      <c r="BK393" s="239"/>
      <c r="BL393" s="239"/>
      <c r="BM393" s="239"/>
      <c r="BN393" s="239"/>
      <c r="BO393" s="239"/>
      <c r="BP393" s="239"/>
      <c r="BQ393" s="239"/>
      <c r="BR393" s="239"/>
      <c r="BS393" s="239"/>
      <c r="BT393" s="239"/>
      <c r="BU393" s="239"/>
      <c r="BV393" s="239"/>
      <c r="BW393" s="239"/>
      <c r="BX393" s="239"/>
      <c r="BY393" s="239"/>
      <c r="BZ393" s="239"/>
      <c r="CA393" s="239"/>
      <c r="CB393" s="239"/>
      <c r="CC393" s="239"/>
      <c r="CD393" s="239"/>
      <c r="CE393" s="239"/>
      <c r="CF393" s="239"/>
      <c r="CG393" s="239"/>
    </row>
    <row r="394" spans="1:85" ht="15.75" customHeight="1">
      <c r="A394" s="239"/>
      <c r="B394" s="239"/>
      <c r="C394" s="239"/>
      <c r="D394" s="239"/>
      <c r="E394" s="239"/>
      <c r="F394" s="239"/>
      <c r="G394" s="239"/>
      <c r="H394" s="239"/>
      <c r="I394" s="239"/>
      <c r="J394" s="239"/>
      <c r="K394" s="239"/>
      <c r="L394" s="239"/>
      <c r="M394" s="239"/>
      <c r="N394" s="239"/>
      <c r="O394" s="239"/>
      <c r="P394" s="239"/>
      <c r="Q394" s="239"/>
      <c r="R394" s="239"/>
      <c r="S394" s="239"/>
      <c r="T394" s="239"/>
      <c r="U394" s="239"/>
      <c r="V394" s="239"/>
      <c r="W394" s="239"/>
      <c r="X394" s="239"/>
      <c r="Y394" s="239"/>
      <c r="Z394" s="239"/>
      <c r="AA394" s="239"/>
      <c r="AB394" s="239"/>
      <c r="AC394" s="239"/>
      <c r="AD394" s="239"/>
      <c r="AE394" s="239"/>
      <c r="AF394" s="239"/>
      <c r="AG394" s="239"/>
      <c r="AH394" s="239"/>
      <c r="AI394" s="239"/>
      <c r="AJ394" s="239"/>
      <c r="AK394" s="239"/>
      <c r="AL394" s="239"/>
      <c r="AM394" s="239"/>
      <c r="AN394" s="239"/>
      <c r="AO394" s="239"/>
      <c r="AP394" s="239"/>
      <c r="AQ394" s="239"/>
      <c r="AR394" s="239"/>
      <c r="AS394" s="239"/>
      <c r="AT394" s="239"/>
      <c r="AU394" s="239"/>
      <c r="AV394" s="239"/>
      <c r="AW394" s="239"/>
      <c r="AX394" s="239"/>
      <c r="AY394" s="239"/>
      <c r="AZ394" s="239"/>
      <c r="BA394" s="239"/>
      <c r="BB394" s="239"/>
      <c r="BC394" s="239"/>
      <c r="BD394" s="239"/>
      <c r="BE394" s="239"/>
      <c r="BF394" s="239"/>
      <c r="BG394" s="239"/>
      <c r="BH394" s="239"/>
      <c r="BI394" s="239"/>
      <c r="BJ394" s="239"/>
      <c r="BK394" s="239"/>
      <c r="BL394" s="239"/>
      <c r="BM394" s="239"/>
      <c r="BN394" s="239"/>
      <c r="BO394" s="239"/>
      <c r="BP394" s="239"/>
      <c r="BQ394" s="239"/>
      <c r="BR394" s="239"/>
      <c r="BS394" s="239"/>
      <c r="BT394" s="239"/>
      <c r="BU394" s="239"/>
      <c r="BV394" s="239"/>
      <c r="BW394" s="239"/>
      <c r="BX394" s="239"/>
      <c r="BY394" s="239"/>
      <c r="BZ394" s="239"/>
      <c r="CA394" s="239"/>
      <c r="CB394" s="239"/>
      <c r="CC394" s="239"/>
      <c r="CD394" s="239"/>
      <c r="CE394" s="239"/>
      <c r="CF394" s="239"/>
      <c r="CG394" s="239"/>
    </row>
    <row r="395" spans="1:85" ht="15.75" customHeight="1">
      <c r="A395" s="239"/>
      <c r="B395" s="239"/>
      <c r="C395" s="239"/>
      <c r="D395" s="239"/>
      <c r="E395" s="239"/>
      <c r="F395" s="239"/>
      <c r="G395" s="239"/>
      <c r="H395" s="239"/>
      <c r="I395" s="239"/>
      <c r="J395" s="239"/>
      <c r="K395" s="239"/>
      <c r="L395" s="239"/>
      <c r="M395" s="239"/>
      <c r="N395" s="239"/>
      <c r="O395" s="239"/>
      <c r="P395" s="239"/>
      <c r="Q395" s="239"/>
      <c r="R395" s="239"/>
      <c r="S395" s="239"/>
      <c r="T395" s="239"/>
      <c r="U395" s="239"/>
      <c r="V395" s="239"/>
      <c r="W395" s="239"/>
      <c r="X395" s="239"/>
      <c r="Y395" s="239"/>
      <c r="Z395" s="239"/>
      <c r="AA395" s="239"/>
      <c r="AB395" s="239"/>
      <c r="AC395" s="239"/>
      <c r="AD395" s="239"/>
      <c r="AE395" s="239"/>
      <c r="AF395" s="239"/>
      <c r="AG395" s="239"/>
      <c r="AH395" s="239"/>
      <c r="AI395" s="239"/>
      <c r="AJ395" s="239"/>
      <c r="AK395" s="239"/>
      <c r="AL395" s="239"/>
      <c r="AM395" s="239"/>
      <c r="AN395" s="239"/>
      <c r="AO395" s="239"/>
      <c r="AP395" s="239"/>
      <c r="AQ395" s="239"/>
      <c r="AR395" s="239"/>
      <c r="AS395" s="239"/>
      <c r="AT395" s="239"/>
      <c r="AU395" s="239"/>
      <c r="AV395" s="239"/>
      <c r="AW395" s="239"/>
      <c r="AX395" s="239"/>
      <c r="AY395" s="239"/>
      <c r="AZ395" s="239"/>
      <c r="BA395" s="239"/>
      <c r="BB395" s="239"/>
      <c r="BC395" s="239"/>
      <c r="BD395" s="239"/>
      <c r="BE395" s="239"/>
      <c r="BF395" s="239"/>
      <c r="BG395" s="239"/>
      <c r="BH395" s="239"/>
      <c r="BI395" s="239"/>
      <c r="BJ395" s="239"/>
      <c r="BK395" s="239"/>
      <c r="BL395" s="239"/>
      <c r="BM395" s="239"/>
      <c r="BN395" s="239"/>
      <c r="BO395" s="239"/>
      <c r="BP395" s="239"/>
      <c r="BQ395" s="239"/>
      <c r="BR395" s="239"/>
      <c r="BS395" s="239"/>
      <c r="BT395" s="239"/>
      <c r="BU395" s="239"/>
      <c r="BV395" s="239"/>
      <c r="BW395" s="239"/>
      <c r="BX395" s="239"/>
      <c r="BY395" s="239"/>
      <c r="BZ395" s="239"/>
      <c r="CA395" s="239"/>
      <c r="CB395" s="239"/>
      <c r="CC395" s="239"/>
      <c r="CD395" s="239"/>
      <c r="CE395" s="239"/>
      <c r="CF395" s="239"/>
      <c r="CG395" s="239"/>
    </row>
    <row r="396" spans="1:85" ht="15.75" customHeight="1">
      <c r="A396" s="239"/>
      <c r="B396" s="239"/>
      <c r="C396" s="239"/>
      <c r="D396" s="239"/>
      <c r="E396" s="239"/>
      <c r="F396" s="239"/>
      <c r="G396" s="239"/>
      <c r="H396" s="239"/>
      <c r="I396" s="239"/>
      <c r="J396" s="239"/>
      <c r="K396" s="239"/>
      <c r="L396" s="239"/>
      <c r="M396" s="239"/>
      <c r="N396" s="239"/>
      <c r="O396" s="239"/>
      <c r="P396" s="239"/>
      <c r="Q396" s="239"/>
      <c r="R396" s="239"/>
      <c r="S396" s="239"/>
      <c r="T396" s="239"/>
      <c r="U396" s="239"/>
      <c r="V396" s="239"/>
      <c r="W396" s="239"/>
      <c r="X396" s="239"/>
      <c r="Y396" s="239"/>
      <c r="Z396" s="239"/>
      <c r="AA396" s="239"/>
      <c r="AB396" s="239"/>
      <c r="AC396" s="239"/>
      <c r="AD396" s="239"/>
      <c r="AE396" s="239"/>
      <c r="AF396" s="239"/>
      <c r="AG396" s="239"/>
      <c r="AH396" s="239"/>
      <c r="AI396" s="239"/>
      <c r="AJ396" s="239"/>
      <c r="AK396" s="239"/>
      <c r="AL396" s="239"/>
      <c r="AM396" s="239"/>
      <c r="AN396" s="239"/>
      <c r="AO396" s="239"/>
      <c r="AP396" s="239"/>
      <c r="AQ396" s="239"/>
      <c r="AR396" s="239"/>
      <c r="AS396" s="239"/>
      <c r="AT396" s="239"/>
      <c r="AU396" s="239"/>
      <c r="AV396" s="239"/>
      <c r="AW396" s="239"/>
      <c r="AX396" s="239"/>
      <c r="AY396" s="239"/>
      <c r="AZ396" s="239"/>
      <c r="BA396" s="239"/>
      <c r="BB396" s="239"/>
      <c r="BC396" s="239"/>
      <c r="BD396" s="239"/>
      <c r="BE396" s="239"/>
      <c r="BF396" s="239"/>
      <c r="BG396" s="239"/>
      <c r="BH396" s="239"/>
      <c r="BI396" s="239"/>
      <c r="BJ396" s="239"/>
      <c r="BK396" s="239"/>
      <c r="BL396" s="239"/>
      <c r="BM396" s="239"/>
      <c r="BN396" s="239"/>
      <c r="BO396" s="239"/>
      <c r="BP396" s="239"/>
      <c r="BQ396" s="239"/>
      <c r="BR396" s="239"/>
      <c r="BS396" s="239"/>
      <c r="BT396" s="239"/>
      <c r="BU396" s="239"/>
      <c r="BV396" s="239"/>
      <c r="BW396" s="239"/>
      <c r="BX396" s="239"/>
      <c r="BY396" s="239"/>
      <c r="BZ396" s="239"/>
      <c r="CA396" s="239"/>
      <c r="CB396" s="239"/>
      <c r="CC396" s="239"/>
      <c r="CD396" s="239"/>
      <c r="CE396" s="239"/>
      <c r="CF396" s="239"/>
      <c r="CG396" s="239"/>
    </row>
    <row r="397" spans="1:85" ht="15.75" customHeight="1">
      <c r="A397" s="239"/>
      <c r="B397" s="239"/>
      <c r="C397" s="239"/>
      <c r="D397" s="239"/>
      <c r="E397" s="239"/>
      <c r="F397" s="239"/>
      <c r="G397" s="239"/>
      <c r="H397" s="239"/>
      <c r="I397" s="239"/>
      <c r="J397" s="239"/>
      <c r="K397" s="239"/>
      <c r="L397" s="239"/>
      <c r="M397" s="239"/>
      <c r="N397" s="239"/>
      <c r="O397" s="239"/>
      <c r="P397" s="239"/>
      <c r="Q397" s="239"/>
      <c r="R397" s="239"/>
      <c r="S397" s="239"/>
      <c r="T397" s="239"/>
      <c r="U397" s="239"/>
      <c r="V397" s="239"/>
      <c r="W397" s="239"/>
      <c r="X397" s="239"/>
      <c r="Y397" s="239"/>
      <c r="Z397" s="239"/>
      <c r="AA397" s="239"/>
      <c r="AB397" s="239"/>
      <c r="AC397" s="239"/>
      <c r="AD397" s="239"/>
      <c r="AE397" s="239"/>
      <c r="AF397" s="239"/>
      <c r="AG397" s="239"/>
      <c r="AH397" s="239"/>
      <c r="AI397" s="239"/>
      <c r="AJ397" s="239"/>
      <c r="AK397" s="239"/>
      <c r="AL397" s="239"/>
      <c r="AM397" s="239"/>
      <c r="AN397" s="239"/>
      <c r="AO397" s="239"/>
      <c r="AP397" s="239"/>
      <c r="AQ397" s="239"/>
      <c r="AR397" s="239"/>
      <c r="AS397" s="239"/>
      <c r="AT397" s="239"/>
      <c r="AU397" s="239"/>
      <c r="AV397" s="239"/>
      <c r="AW397" s="239"/>
      <c r="AX397" s="239"/>
      <c r="AY397" s="239"/>
      <c r="AZ397" s="239"/>
      <c r="BA397" s="239"/>
      <c r="BB397" s="239"/>
      <c r="BC397" s="239"/>
      <c r="BD397" s="239"/>
      <c r="BE397" s="239"/>
      <c r="BF397" s="239"/>
      <c r="BG397" s="239"/>
      <c r="BH397" s="239"/>
      <c r="BI397" s="239"/>
      <c r="BJ397" s="239"/>
      <c r="BK397" s="239"/>
      <c r="BL397" s="239"/>
      <c r="BM397" s="239"/>
      <c r="BN397" s="239"/>
      <c r="BO397" s="239"/>
      <c r="BP397" s="239"/>
      <c r="BQ397" s="239"/>
      <c r="BR397" s="239"/>
      <c r="BS397" s="239"/>
      <c r="BT397" s="239"/>
      <c r="BU397" s="239"/>
      <c r="BV397" s="239"/>
      <c r="BW397" s="239"/>
      <c r="BX397" s="239"/>
      <c r="BY397" s="239"/>
      <c r="BZ397" s="239"/>
      <c r="CA397" s="239"/>
      <c r="CB397" s="239"/>
      <c r="CC397" s="239"/>
      <c r="CD397" s="239"/>
      <c r="CE397" s="239"/>
      <c r="CF397" s="239"/>
      <c r="CG397" s="239"/>
    </row>
    <row r="398" spans="1:85" ht="15.75" customHeight="1">
      <c r="A398" s="239"/>
      <c r="B398" s="239"/>
      <c r="C398" s="239"/>
      <c r="D398" s="239"/>
      <c r="E398" s="239"/>
      <c r="F398" s="239"/>
      <c r="G398" s="239"/>
      <c r="H398" s="239"/>
      <c r="I398" s="239"/>
      <c r="J398" s="239"/>
      <c r="K398" s="239"/>
      <c r="L398" s="239"/>
      <c r="M398" s="239"/>
      <c r="N398" s="239"/>
      <c r="O398" s="239"/>
      <c r="P398" s="239"/>
      <c r="Q398" s="239"/>
      <c r="R398" s="239"/>
      <c r="S398" s="239"/>
      <c r="T398" s="239"/>
      <c r="U398" s="239"/>
      <c r="V398" s="239"/>
      <c r="W398" s="239"/>
      <c r="X398" s="239"/>
      <c r="Y398" s="239"/>
      <c r="Z398" s="239"/>
      <c r="AA398" s="239"/>
      <c r="AB398" s="239"/>
      <c r="AC398" s="239"/>
      <c r="AD398" s="239"/>
      <c r="AE398" s="239"/>
      <c r="AF398" s="239"/>
      <c r="AG398" s="239"/>
      <c r="AH398" s="239"/>
      <c r="AI398" s="239"/>
      <c r="AJ398" s="239"/>
      <c r="AK398" s="239"/>
      <c r="AL398" s="239"/>
      <c r="AM398" s="239"/>
      <c r="AN398" s="239"/>
      <c r="AO398" s="239"/>
      <c r="AP398" s="239"/>
      <c r="AQ398" s="239"/>
      <c r="AR398" s="239"/>
      <c r="AS398" s="239"/>
      <c r="AT398" s="239"/>
      <c r="AU398" s="239"/>
      <c r="AV398" s="239"/>
      <c r="AW398" s="239"/>
      <c r="AX398" s="239"/>
      <c r="AY398" s="239"/>
      <c r="AZ398" s="239"/>
      <c r="BA398" s="239"/>
      <c r="BB398" s="239"/>
      <c r="BC398" s="239"/>
      <c r="BD398" s="239"/>
      <c r="BE398" s="239"/>
      <c r="BF398" s="239"/>
      <c r="BG398" s="239"/>
      <c r="BH398" s="239"/>
      <c r="BI398" s="239"/>
      <c r="BJ398" s="239"/>
      <c r="BK398" s="239"/>
      <c r="BL398" s="239"/>
      <c r="BM398" s="239"/>
      <c r="BN398" s="239"/>
      <c r="BO398" s="239"/>
      <c r="BP398" s="239"/>
      <c r="BQ398" s="239"/>
      <c r="BR398" s="239"/>
      <c r="BS398" s="239"/>
      <c r="BT398" s="239"/>
      <c r="BU398" s="239"/>
      <c r="BV398" s="239"/>
      <c r="BW398" s="239"/>
      <c r="BX398" s="239"/>
      <c r="BY398" s="239"/>
      <c r="BZ398" s="239"/>
      <c r="CA398" s="239"/>
      <c r="CB398" s="239"/>
      <c r="CC398" s="239"/>
      <c r="CD398" s="239"/>
      <c r="CE398" s="239"/>
      <c r="CF398" s="239"/>
      <c r="CG398" s="239"/>
    </row>
    <row r="399" spans="1:85" ht="15.75" customHeight="1">
      <c r="A399" s="239"/>
      <c r="B399" s="239"/>
      <c r="C399" s="239"/>
      <c r="D399" s="239"/>
      <c r="E399" s="239"/>
      <c r="F399" s="239"/>
      <c r="G399" s="239"/>
      <c r="H399" s="239"/>
      <c r="I399" s="239"/>
      <c r="J399" s="239"/>
      <c r="K399" s="239"/>
      <c r="L399" s="239"/>
      <c r="M399" s="239"/>
      <c r="N399" s="239"/>
      <c r="O399" s="239"/>
      <c r="P399" s="239"/>
      <c r="Q399" s="239"/>
      <c r="R399" s="239"/>
      <c r="S399" s="239"/>
      <c r="T399" s="239"/>
      <c r="U399" s="239"/>
      <c r="V399" s="239"/>
      <c r="W399" s="239"/>
      <c r="X399" s="239"/>
      <c r="Y399" s="239"/>
      <c r="Z399" s="239"/>
      <c r="AA399" s="239"/>
      <c r="AB399" s="239"/>
      <c r="AC399" s="239"/>
      <c r="AD399" s="239"/>
      <c r="AE399" s="239"/>
      <c r="AF399" s="239"/>
      <c r="AG399" s="239"/>
      <c r="AH399" s="239"/>
      <c r="AI399" s="239"/>
      <c r="AJ399" s="239"/>
      <c r="AK399" s="239"/>
      <c r="AL399" s="239"/>
      <c r="AM399" s="239"/>
      <c r="AN399" s="239"/>
      <c r="AO399" s="239"/>
      <c r="AP399" s="239"/>
      <c r="AQ399" s="239"/>
      <c r="AR399" s="239"/>
      <c r="AS399" s="239"/>
      <c r="AT399" s="239"/>
      <c r="AU399" s="239"/>
      <c r="AV399" s="239"/>
      <c r="AW399" s="239"/>
      <c r="AX399" s="239"/>
      <c r="AY399" s="239"/>
      <c r="AZ399" s="239"/>
      <c r="BA399" s="239"/>
      <c r="BB399" s="239"/>
      <c r="BC399" s="239"/>
      <c r="BD399" s="239"/>
      <c r="BE399" s="239"/>
      <c r="BF399" s="239"/>
      <c r="BG399" s="239"/>
      <c r="BH399" s="239"/>
      <c r="BI399" s="239"/>
      <c r="BJ399" s="239"/>
      <c r="BK399" s="239"/>
      <c r="BL399" s="239"/>
      <c r="BM399" s="239"/>
      <c r="BN399" s="239"/>
      <c r="BO399" s="239"/>
      <c r="BP399" s="239"/>
      <c r="BQ399" s="239"/>
      <c r="BR399" s="239"/>
      <c r="BS399" s="239"/>
      <c r="BT399" s="239"/>
      <c r="BU399" s="239"/>
      <c r="BV399" s="239"/>
      <c r="BW399" s="239"/>
      <c r="BX399" s="239"/>
      <c r="BY399" s="239"/>
      <c r="BZ399" s="239"/>
      <c r="CA399" s="239"/>
      <c r="CB399" s="239"/>
      <c r="CC399" s="239"/>
      <c r="CD399" s="239"/>
      <c r="CE399" s="239"/>
      <c r="CF399" s="239"/>
      <c r="CG399" s="239"/>
    </row>
    <row r="400" spans="1:85" ht="15.75" customHeight="1">
      <c r="A400" s="239"/>
      <c r="B400" s="239"/>
      <c r="C400" s="239"/>
      <c r="D400" s="239"/>
      <c r="E400" s="239"/>
      <c r="F400" s="239"/>
      <c r="G400" s="239"/>
      <c r="H400" s="239"/>
      <c r="I400" s="239"/>
      <c r="J400" s="239"/>
      <c r="K400" s="239"/>
      <c r="L400" s="239"/>
      <c r="M400" s="239"/>
      <c r="N400" s="239"/>
      <c r="O400" s="239"/>
      <c r="P400" s="239"/>
      <c r="Q400" s="239"/>
      <c r="R400" s="239"/>
      <c r="S400" s="239"/>
      <c r="T400" s="239"/>
      <c r="U400" s="239"/>
      <c r="V400" s="239"/>
      <c r="W400" s="239"/>
      <c r="X400" s="239"/>
      <c r="Y400" s="239"/>
      <c r="Z400" s="239"/>
      <c r="AA400" s="239"/>
      <c r="AB400" s="239"/>
      <c r="AC400" s="239"/>
      <c r="AD400" s="239"/>
      <c r="AE400" s="239"/>
      <c r="AF400" s="239"/>
      <c r="AG400" s="239"/>
      <c r="AH400" s="239"/>
      <c r="AI400" s="239"/>
      <c r="AJ400" s="239"/>
      <c r="AK400" s="239"/>
      <c r="AL400" s="239"/>
      <c r="AM400" s="239"/>
      <c r="AN400" s="239"/>
      <c r="AO400" s="239"/>
      <c r="AP400" s="239"/>
      <c r="AQ400" s="239"/>
      <c r="AR400" s="239"/>
      <c r="AS400" s="239"/>
      <c r="AT400" s="239"/>
      <c r="AU400" s="239"/>
      <c r="AV400" s="239"/>
      <c r="AW400" s="239"/>
      <c r="AX400" s="239"/>
      <c r="AY400" s="239"/>
      <c r="AZ400" s="239"/>
      <c r="BA400" s="239"/>
      <c r="BB400" s="239"/>
      <c r="BC400" s="239"/>
      <c r="BD400" s="239"/>
      <c r="BE400" s="239"/>
      <c r="BF400" s="239"/>
      <c r="BG400" s="239"/>
      <c r="BH400" s="239"/>
      <c r="BI400" s="239"/>
      <c r="BJ400" s="239"/>
      <c r="BK400" s="239"/>
      <c r="BL400" s="239"/>
      <c r="BM400" s="239"/>
      <c r="BN400" s="239"/>
      <c r="BO400" s="239"/>
      <c r="BP400" s="239"/>
      <c r="BQ400" s="239"/>
      <c r="BR400" s="239"/>
      <c r="BS400" s="239"/>
      <c r="BT400" s="239"/>
      <c r="BU400" s="239"/>
      <c r="BV400" s="239"/>
      <c r="BW400" s="239"/>
      <c r="BX400" s="239"/>
      <c r="BY400" s="239"/>
      <c r="BZ400" s="239"/>
      <c r="CA400" s="239"/>
      <c r="CB400" s="239"/>
      <c r="CC400" s="239"/>
      <c r="CD400" s="239"/>
      <c r="CE400" s="239"/>
      <c r="CF400" s="239"/>
      <c r="CG400" s="239"/>
    </row>
    <row r="401" spans="1:85" ht="15.75" customHeight="1">
      <c r="A401" s="239"/>
      <c r="B401" s="239"/>
      <c r="C401" s="239"/>
      <c r="D401" s="239"/>
      <c r="E401" s="239"/>
      <c r="F401" s="239"/>
      <c r="G401" s="239"/>
      <c r="H401" s="239"/>
      <c r="I401" s="239"/>
      <c r="J401" s="239"/>
      <c r="K401" s="239"/>
      <c r="L401" s="239"/>
      <c r="M401" s="239"/>
      <c r="N401" s="239"/>
      <c r="O401" s="239"/>
      <c r="P401" s="239"/>
      <c r="Q401" s="239"/>
      <c r="R401" s="239"/>
      <c r="S401" s="239"/>
      <c r="T401" s="239"/>
      <c r="U401" s="239"/>
      <c r="V401" s="239"/>
      <c r="W401" s="239"/>
      <c r="X401" s="239"/>
      <c r="Y401" s="239"/>
      <c r="Z401" s="239"/>
      <c r="AA401" s="239"/>
      <c r="AB401" s="239"/>
      <c r="AC401" s="239"/>
      <c r="AD401" s="239"/>
      <c r="AE401" s="239"/>
      <c r="AF401" s="239"/>
      <c r="AG401" s="239"/>
      <c r="AH401" s="239"/>
      <c r="AI401" s="239"/>
      <c r="AJ401" s="239"/>
      <c r="AK401" s="239"/>
      <c r="AL401" s="239"/>
      <c r="AM401" s="239"/>
      <c r="AN401" s="239"/>
      <c r="AO401" s="239"/>
      <c r="AP401" s="239"/>
      <c r="AQ401" s="239"/>
      <c r="AR401" s="239"/>
      <c r="AS401" s="239"/>
      <c r="AT401" s="239"/>
      <c r="AU401" s="239"/>
      <c r="AV401" s="239"/>
      <c r="AW401" s="239"/>
      <c r="AX401" s="239"/>
      <c r="AY401" s="239"/>
      <c r="AZ401" s="239"/>
      <c r="BA401" s="239"/>
      <c r="BB401" s="239"/>
      <c r="BC401" s="239"/>
      <c r="BD401" s="239"/>
      <c r="BE401" s="239"/>
      <c r="BF401" s="239"/>
      <c r="BG401" s="239"/>
      <c r="BH401" s="239"/>
      <c r="BI401" s="239"/>
      <c r="BJ401" s="239"/>
      <c r="BK401" s="239"/>
      <c r="BL401" s="239"/>
      <c r="BM401" s="239"/>
      <c r="BN401" s="239"/>
      <c r="BO401" s="239"/>
      <c r="BP401" s="239"/>
      <c r="BQ401" s="239"/>
      <c r="BR401" s="239"/>
      <c r="BS401" s="239"/>
      <c r="BT401" s="239"/>
      <c r="BU401" s="239"/>
      <c r="BV401" s="239"/>
      <c r="BW401" s="239"/>
      <c r="BX401" s="239"/>
      <c r="BY401" s="239"/>
      <c r="BZ401" s="239"/>
      <c r="CA401" s="239"/>
      <c r="CB401" s="239"/>
      <c r="CC401" s="239"/>
      <c r="CD401" s="239"/>
      <c r="CE401" s="239"/>
      <c r="CF401" s="239"/>
      <c r="CG401" s="239"/>
    </row>
    <row r="402" spans="1:85" ht="15.75" customHeight="1">
      <c r="A402" s="239"/>
      <c r="B402" s="239"/>
      <c r="C402" s="239"/>
      <c r="D402" s="239"/>
      <c r="E402" s="239"/>
      <c r="F402" s="239"/>
      <c r="G402" s="239"/>
      <c r="H402" s="239"/>
      <c r="I402" s="239"/>
      <c r="J402" s="239"/>
      <c r="K402" s="239"/>
      <c r="L402" s="239"/>
      <c r="M402" s="239"/>
      <c r="N402" s="239"/>
      <c r="O402" s="239"/>
      <c r="P402" s="239"/>
      <c r="Q402" s="239"/>
      <c r="R402" s="239"/>
      <c r="S402" s="239"/>
      <c r="T402" s="239"/>
      <c r="U402" s="239"/>
      <c r="V402" s="239"/>
      <c r="W402" s="239"/>
      <c r="X402" s="239"/>
      <c r="Y402" s="239"/>
      <c r="Z402" s="239"/>
      <c r="AA402" s="239"/>
      <c r="AB402" s="239"/>
      <c r="AC402" s="239"/>
      <c r="AD402" s="239"/>
      <c r="AE402" s="239"/>
      <c r="AF402" s="239"/>
      <c r="AG402" s="239"/>
      <c r="AH402" s="239"/>
      <c r="AI402" s="239"/>
      <c r="AJ402" s="239"/>
      <c r="AK402" s="239"/>
      <c r="AL402" s="239"/>
      <c r="AM402" s="239"/>
      <c r="AN402" s="239"/>
      <c r="AO402" s="239"/>
      <c r="AP402" s="239"/>
      <c r="AQ402" s="239"/>
      <c r="AR402" s="239"/>
      <c r="AS402" s="239"/>
      <c r="AT402" s="239"/>
      <c r="AU402" s="239"/>
      <c r="AV402" s="239"/>
      <c r="AW402" s="239"/>
      <c r="AX402" s="239"/>
      <c r="AY402" s="239"/>
      <c r="AZ402" s="239"/>
      <c r="BA402" s="239"/>
      <c r="BB402" s="239"/>
      <c r="BC402" s="239"/>
      <c r="BD402" s="239"/>
      <c r="BE402" s="239"/>
      <c r="BF402" s="239"/>
      <c r="BG402" s="239"/>
      <c r="BH402" s="239"/>
      <c r="BI402" s="239"/>
      <c r="BJ402" s="239"/>
      <c r="BK402" s="239"/>
      <c r="BL402" s="239"/>
      <c r="BM402" s="239"/>
      <c r="BN402" s="239"/>
      <c r="BO402" s="239"/>
      <c r="BP402" s="239"/>
      <c r="BQ402" s="239"/>
      <c r="BR402" s="239"/>
      <c r="BS402" s="239"/>
      <c r="BT402" s="239"/>
      <c r="BU402" s="239"/>
      <c r="BV402" s="239"/>
      <c r="BW402" s="239"/>
      <c r="BX402" s="239"/>
      <c r="BY402" s="239"/>
      <c r="BZ402" s="239"/>
      <c r="CA402" s="239"/>
      <c r="CB402" s="239"/>
      <c r="CC402" s="239"/>
      <c r="CD402" s="239"/>
      <c r="CE402" s="239"/>
      <c r="CF402" s="239"/>
      <c r="CG402" s="239"/>
    </row>
    <row r="403" spans="1:85" ht="15.75" customHeight="1">
      <c r="A403" s="239"/>
      <c r="B403" s="239"/>
      <c r="C403" s="239"/>
      <c r="D403" s="239"/>
      <c r="E403" s="239"/>
      <c r="F403" s="239"/>
      <c r="G403" s="239"/>
      <c r="H403" s="239"/>
      <c r="I403" s="239"/>
      <c r="J403" s="239"/>
      <c r="K403" s="239"/>
      <c r="L403" s="239"/>
      <c r="M403" s="239"/>
      <c r="N403" s="239"/>
      <c r="O403" s="239"/>
      <c r="P403" s="239"/>
      <c r="Q403" s="239"/>
      <c r="R403" s="239"/>
      <c r="S403" s="239"/>
      <c r="T403" s="239"/>
      <c r="U403" s="239"/>
      <c r="V403" s="239"/>
      <c r="W403" s="239"/>
      <c r="X403" s="239"/>
      <c r="Y403" s="239"/>
      <c r="Z403" s="239"/>
      <c r="AA403" s="239"/>
      <c r="AB403" s="239"/>
      <c r="AC403" s="239"/>
      <c r="AD403" s="239"/>
      <c r="AE403" s="239"/>
      <c r="AF403" s="239"/>
      <c r="AG403" s="239"/>
      <c r="AH403" s="239"/>
      <c r="AI403" s="239"/>
      <c r="AJ403" s="239"/>
      <c r="AK403" s="239"/>
      <c r="AL403" s="239"/>
      <c r="AM403" s="239"/>
      <c r="AN403" s="239"/>
      <c r="AO403" s="239"/>
      <c r="AP403" s="239"/>
      <c r="AQ403" s="239"/>
      <c r="AR403" s="239"/>
      <c r="AS403" s="239"/>
      <c r="AT403" s="239"/>
      <c r="AU403" s="239"/>
      <c r="AV403" s="239"/>
      <c r="AW403" s="239"/>
      <c r="AX403" s="239"/>
      <c r="AY403" s="239"/>
      <c r="AZ403" s="239"/>
      <c r="BA403" s="239"/>
      <c r="BB403" s="239"/>
      <c r="BC403" s="239"/>
      <c r="BD403" s="239"/>
      <c r="BE403" s="239"/>
      <c r="BF403" s="239"/>
      <c r="BG403" s="239"/>
      <c r="BH403" s="239"/>
      <c r="BI403" s="239"/>
      <c r="BJ403" s="239"/>
      <c r="BK403" s="239"/>
      <c r="BL403" s="239"/>
      <c r="BM403" s="239"/>
      <c r="BN403" s="239"/>
      <c r="BO403" s="239"/>
      <c r="BP403" s="239"/>
      <c r="BQ403" s="239"/>
      <c r="BR403" s="239"/>
      <c r="BS403" s="239"/>
      <c r="BT403" s="239"/>
      <c r="BU403" s="239"/>
      <c r="BV403" s="239"/>
      <c r="BW403" s="239"/>
      <c r="BX403" s="239"/>
      <c r="BY403" s="239"/>
      <c r="BZ403" s="239"/>
      <c r="CA403" s="239"/>
      <c r="CB403" s="239"/>
      <c r="CC403" s="239"/>
      <c r="CD403" s="239"/>
      <c r="CE403" s="239"/>
      <c r="CF403" s="239"/>
      <c r="CG403" s="239"/>
    </row>
    <row r="404" spans="1:85" ht="15.75" customHeight="1">
      <c r="A404" s="239"/>
      <c r="B404" s="239"/>
      <c r="C404" s="239"/>
      <c r="D404" s="239"/>
      <c r="E404" s="239"/>
      <c r="F404" s="239"/>
      <c r="G404" s="239"/>
      <c r="H404" s="239"/>
      <c r="I404" s="239"/>
      <c r="J404" s="239"/>
      <c r="K404" s="239"/>
      <c r="L404" s="239"/>
      <c r="M404" s="239"/>
      <c r="N404" s="239"/>
      <c r="O404" s="239"/>
      <c r="P404" s="239"/>
      <c r="Q404" s="239"/>
      <c r="R404" s="239"/>
      <c r="S404" s="239"/>
      <c r="T404" s="239"/>
      <c r="U404" s="239"/>
      <c r="V404" s="239"/>
      <c r="W404" s="239"/>
      <c r="X404" s="239"/>
      <c r="Y404" s="239"/>
      <c r="Z404" s="239"/>
      <c r="AA404" s="239"/>
      <c r="AB404" s="239"/>
      <c r="AC404" s="239"/>
      <c r="AD404" s="239"/>
      <c r="AE404" s="239"/>
      <c r="AF404" s="239"/>
      <c r="AG404" s="239"/>
      <c r="AH404" s="239"/>
      <c r="AI404" s="239"/>
      <c r="AJ404" s="239"/>
      <c r="AK404" s="239"/>
      <c r="AL404" s="239"/>
      <c r="AM404" s="239"/>
      <c r="AN404" s="239"/>
      <c r="AO404" s="239"/>
      <c r="AP404" s="239"/>
      <c r="AQ404" s="239"/>
      <c r="AR404" s="239"/>
      <c r="AS404" s="239"/>
      <c r="AT404" s="239"/>
      <c r="AU404" s="239"/>
      <c r="AV404" s="239"/>
      <c r="AW404" s="239"/>
      <c r="AX404" s="239"/>
      <c r="AY404" s="239"/>
      <c r="AZ404" s="239"/>
      <c r="BA404" s="239"/>
      <c r="BB404" s="239"/>
      <c r="BC404" s="239"/>
      <c r="BD404" s="239"/>
      <c r="BE404" s="239"/>
      <c r="BF404" s="239"/>
      <c r="BG404" s="239"/>
      <c r="BH404" s="239"/>
      <c r="BI404" s="239"/>
      <c r="BJ404" s="239"/>
      <c r="BK404" s="239"/>
      <c r="BL404" s="239"/>
      <c r="BM404" s="239"/>
      <c r="BN404" s="239"/>
      <c r="BO404" s="239"/>
      <c r="BP404" s="239"/>
      <c r="BQ404" s="239"/>
      <c r="BR404" s="239"/>
      <c r="BS404" s="239"/>
      <c r="BT404" s="239"/>
      <c r="BU404" s="239"/>
      <c r="BV404" s="239"/>
      <c r="BW404" s="239"/>
      <c r="BX404" s="239"/>
      <c r="BY404" s="239"/>
      <c r="BZ404" s="239"/>
      <c r="CA404" s="239"/>
      <c r="CB404" s="239"/>
      <c r="CC404" s="239"/>
      <c r="CD404" s="239"/>
      <c r="CE404" s="239"/>
      <c r="CF404" s="239"/>
      <c r="CG404" s="239"/>
    </row>
    <row r="405" spans="1:85" ht="15.75" customHeight="1">
      <c r="A405" s="239"/>
      <c r="B405" s="239"/>
      <c r="C405" s="239"/>
      <c r="D405" s="239"/>
      <c r="E405" s="239"/>
      <c r="F405" s="239"/>
      <c r="G405" s="239"/>
      <c r="H405" s="239"/>
      <c r="I405" s="239"/>
      <c r="J405" s="239"/>
      <c r="K405" s="239"/>
      <c r="L405" s="239"/>
      <c r="M405" s="239"/>
      <c r="N405" s="239"/>
      <c r="O405" s="239"/>
      <c r="P405" s="239"/>
      <c r="Q405" s="239"/>
      <c r="R405" s="239"/>
      <c r="S405" s="239"/>
      <c r="T405" s="239"/>
      <c r="U405" s="239"/>
      <c r="V405" s="239"/>
      <c r="W405" s="239"/>
      <c r="X405" s="239"/>
      <c r="Y405" s="239"/>
      <c r="Z405" s="239"/>
      <c r="AA405" s="239"/>
      <c r="AB405" s="239"/>
      <c r="AC405" s="239"/>
      <c r="AD405" s="239"/>
      <c r="AE405" s="239"/>
      <c r="AF405" s="239"/>
      <c r="AG405" s="239"/>
      <c r="AH405" s="239"/>
      <c r="AI405" s="239"/>
      <c r="AJ405" s="239"/>
      <c r="AK405" s="239"/>
      <c r="AL405" s="239"/>
      <c r="AM405" s="239"/>
      <c r="AN405" s="239"/>
      <c r="AO405" s="239"/>
      <c r="AP405" s="239"/>
      <c r="AQ405" s="239"/>
      <c r="AR405" s="239"/>
      <c r="AS405" s="239"/>
      <c r="AT405" s="239"/>
      <c r="AU405" s="239"/>
      <c r="AV405" s="239"/>
      <c r="AW405" s="239"/>
      <c r="AX405" s="239"/>
      <c r="AY405" s="239"/>
      <c r="AZ405" s="239"/>
      <c r="BA405" s="239"/>
      <c r="BB405" s="239"/>
      <c r="BC405" s="239"/>
      <c r="BD405" s="239"/>
      <c r="BE405" s="239"/>
      <c r="BF405" s="239"/>
      <c r="BG405" s="239"/>
      <c r="BH405" s="239"/>
      <c r="BI405" s="239"/>
      <c r="BJ405" s="239"/>
      <c r="BK405" s="239"/>
      <c r="BL405" s="239"/>
      <c r="BM405" s="239"/>
      <c r="BN405" s="239"/>
      <c r="BO405" s="239"/>
      <c r="BP405" s="239"/>
      <c r="BQ405" s="239"/>
      <c r="BR405" s="239"/>
      <c r="BS405" s="239"/>
      <c r="BT405" s="239"/>
      <c r="BU405" s="239"/>
      <c r="BV405" s="239"/>
      <c r="BW405" s="239"/>
      <c r="BX405" s="239"/>
      <c r="BY405" s="239"/>
      <c r="BZ405" s="239"/>
      <c r="CA405" s="239"/>
      <c r="CB405" s="239"/>
      <c r="CC405" s="239"/>
      <c r="CD405" s="239"/>
      <c r="CE405" s="239"/>
      <c r="CF405" s="239"/>
      <c r="CG405" s="239"/>
    </row>
    <row r="406" spans="1:85" ht="15.75" customHeight="1">
      <c r="A406" s="239"/>
      <c r="B406" s="239"/>
      <c r="C406" s="239"/>
      <c r="D406" s="239"/>
      <c r="E406" s="239"/>
      <c r="F406" s="239"/>
      <c r="G406" s="239"/>
      <c r="H406" s="239"/>
      <c r="I406" s="239"/>
      <c r="J406" s="239"/>
      <c r="K406" s="239"/>
      <c r="L406" s="239"/>
      <c r="M406" s="239"/>
      <c r="N406" s="239"/>
      <c r="O406" s="239"/>
      <c r="P406" s="239"/>
      <c r="Q406" s="239"/>
      <c r="R406" s="239"/>
      <c r="S406" s="239"/>
      <c r="T406" s="239"/>
      <c r="U406" s="239"/>
      <c r="V406" s="239"/>
      <c r="W406" s="239"/>
      <c r="X406" s="239"/>
      <c r="Y406" s="239"/>
      <c r="Z406" s="239"/>
      <c r="AA406" s="239"/>
      <c r="AB406" s="239"/>
      <c r="AC406" s="239"/>
      <c r="AD406" s="239"/>
      <c r="AE406" s="239"/>
      <c r="AF406" s="239"/>
      <c r="AG406" s="239"/>
      <c r="AH406" s="239"/>
      <c r="AI406" s="239"/>
      <c r="AJ406" s="239"/>
      <c r="AK406" s="239"/>
      <c r="AL406" s="239"/>
      <c r="AM406" s="239"/>
      <c r="AN406" s="239"/>
      <c r="AO406" s="239"/>
      <c r="AP406" s="239"/>
      <c r="AQ406" s="239"/>
      <c r="AR406" s="239"/>
      <c r="AS406" s="239"/>
      <c r="AT406" s="239"/>
      <c r="AU406" s="239"/>
      <c r="AV406" s="239"/>
      <c r="AW406" s="239"/>
      <c r="AX406" s="239"/>
      <c r="AY406" s="239"/>
      <c r="AZ406" s="239"/>
      <c r="BA406" s="239"/>
      <c r="BB406" s="239"/>
      <c r="BC406" s="239"/>
      <c r="BD406" s="239"/>
      <c r="BE406" s="239"/>
      <c r="BF406" s="239"/>
      <c r="BG406" s="239"/>
      <c r="BH406" s="239"/>
      <c r="BI406" s="239"/>
      <c r="BJ406" s="239"/>
      <c r="BK406" s="239"/>
      <c r="BL406" s="239"/>
      <c r="BM406" s="239"/>
      <c r="BN406" s="239"/>
      <c r="BO406" s="239"/>
      <c r="BP406" s="239"/>
      <c r="BQ406" s="239"/>
      <c r="BR406" s="239"/>
      <c r="BS406" s="239"/>
      <c r="BT406" s="239"/>
      <c r="BU406" s="239"/>
      <c r="BV406" s="239"/>
      <c r="BW406" s="239"/>
      <c r="BX406" s="239"/>
      <c r="BY406" s="239"/>
      <c r="BZ406" s="239"/>
      <c r="CA406" s="239"/>
      <c r="CB406" s="239"/>
      <c r="CC406" s="239"/>
      <c r="CD406" s="239"/>
      <c r="CE406" s="239"/>
      <c r="CF406" s="239"/>
      <c r="CG406" s="239"/>
    </row>
    <row r="407" spans="1:85" ht="15.75" customHeight="1">
      <c r="A407" s="239"/>
      <c r="B407" s="239"/>
      <c r="C407" s="239"/>
      <c r="D407" s="239"/>
      <c r="E407" s="239"/>
      <c r="F407" s="239"/>
      <c r="G407" s="239"/>
      <c r="H407" s="239"/>
      <c r="I407" s="239"/>
      <c r="J407" s="239"/>
      <c r="K407" s="239"/>
      <c r="L407" s="239"/>
      <c r="M407" s="239"/>
      <c r="N407" s="239"/>
      <c r="O407" s="239"/>
      <c r="P407" s="239"/>
      <c r="Q407" s="239"/>
      <c r="R407" s="239"/>
      <c r="S407" s="239"/>
      <c r="T407" s="239"/>
      <c r="U407" s="239"/>
      <c r="V407" s="239"/>
      <c r="W407" s="239"/>
      <c r="X407" s="239"/>
      <c r="Y407" s="239"/>
      <c r="Z407" s="239"/>
      <c r="AA407" s="239"/>
      <c r="AB407" s="239"/>
      <c r="AC407" s="239"/>
      <c r="AD407" s="239"/>
      <c r="AE407" s="239"/>
      <c r="AF407" s="239"/>
      <c r="AG407" s="239"/>
      <c r="AH407" s="239"/>
      <c r="AI407" s="239"/>
      <c r="AJ407" s="239"/>
      <c r="AK407" s="239"/>
      <c r="AL407" s="239"/>
      <c r="AM407" s="239"/>
      <c r="AN407" s="239"/>
      <c r="AO407" s="239"/>
      <c r="AP407" s="239"/>
      <c r="AQ407" s="239"/>
      <c r="AR407" s="239"/>
      <c r="AS407" s="239"/>
      <c r="AT407" s="239"/>
      <c r="AU407" s="239"/>
      <c r="AV407" s="239"/>
      <c r="AW407" s="239"/>
      <c r="AX407" s="239"/>
      <c r="AY407" s="239"/>
      <c r="AZ407" s="239"/>
      <c r="BA407" s="239"/>
      <c r="BB407" s="239"/>
      <c r="BC407" s="239"/>
      <c r="BD407" s="239"/>
      <c r="BE407" s="239"/>
      <c r="BF407" s="239"/>
      <c r="BG407" s="239"/>
      <c r="BH407" s="239"/>
      <c r="BI407" s="239"/>
      <c r="BJ407" s="239"/>
      <c r="BK407" s="239"/>
      <c r="BL407" s="239"/>
      <c r="BM407" s="239"/>
      <c r="BN407" s="239"/>
      <c r="BO407" s="239"/>
      <c r="BP407" s="239"/>
      <c r="BQ407" s="239"/>
      <c r="BR407" s="239"/>
      <c r="BS407" s="239"/>
      <c r="BT407" s="239"/>
      <c r="BU407" s="239"/>
      <c r="BV407" s="239"/>
      <c r="BW407" s="239"/>
      <c r="BX407" s="239"/>
      <c r="BY407" s="239"/>
      <c r="BZ407" s="239"/>
      <c r="CA407" s="239"/>
      <c r="CB407" s="239"/>
      <c r="CC407" s="239"/>
      <c r="CD407" s="239"/>
      <c r="CE407" s="239"/>
      <c r="CF407" s="239"/>
      <c r="CG407" s="239"/>
    </row>
    <row r="408" spans="1:85" ht="15.75" customHeight="1">
      <c r="A408" s="239"/>
      <c r="B408" s="239"/>
      <c r="C408" s="239"/>
      <c r="D408" s="239"/>
      <c r="E408" s="239"/>
      <c r="F408" s="239"/>
      <c r="G408" s="239"/>
      <c r="H408" s="239"/>
      <c r="I408" s="239"/>
      <c r="J408" s="239"/>
      <c r="K408" s="239"/>
      <c r="L408" s="239"/>
      <c r="M408" s="239"/>
      <c r="N408" s="239"/>
      <c r="O408" s="239"/>
      <c r="P408" s="239"/>
      <c r="Q408" s="239"/>
      <c r="R408" s="239"/>
      <c r="S408" s="239"/>
      <c r="T408" s="239"/>
      <c r="U408" s="239"/>
      <c r="V408" s="239"/>
      <c r="W408" s="239"/>
      <c r="X408" s="239"/>
      <c r="Y408" s="239"/>
      <c r="Z408" s="239"/>
      <c r="AA408" s="239"/>
      <c r="AB408" s="239"/>
      <c r="AC408" s="239"/>
      <c r="AD408" s="239"/>
      <c r="AE408" s="239"/>
      <c r="AF408" s="239"/>
      <c r="AG408" s="239"/>
      <c r="AH408" s="239"/>
      <c r="AI408" s="239"/>
      <c r="AJ408" s="239"/>
      <c r="AK408" s="239"/>
      <c r="AL408" s="239"/>
      <c r="AM408" s="239"/>
      <c r="AN408" s="239"/>
      <c r="AO408" s="239"/>
      <c r="AP408" s="239"/>
      <c r="AQ408" s="239"/>
      <c r="AR408" s="239"/>
      <c r="AS408" s="239"/>
      <c r="AT408" s="239"/>
      <c r="AU408" s="239"/>
      <c r="AV408" s="239"/>
      <c r="AW408" s="239"/>
      <c r="AX408" s="239"/>
      <c r="AY408" s="239"/>
      <c r="AZ408" s="239"/>
      <c r="BA408" s="239"/>
      <c r="BB408" s="239"/>
      <c r="BC408" s="239"/>
      <c r="BD408" s="239"/>
      <c r="BE408" s="239"/>
      <c r="BF408" s="239"/>
      <c r="BG408" s="239"/>
      <c r="BH408" s="239"/>
      <c r="BI408" s="239"/>
      <c r="BJ408" s="239"/>
      <c r="BK408" s="239"/>
      <c r="BL408" s="239"/>
      <c r="BM408" s="239"/>
      <c r="BN408" s="239"/>
      <c r="BO408" s="239"/>
      <c r="BP408" s="239"/>
      <c r="BQ408" s="239"/>
      <c r="BR408" s="239"/>
      <c r="BS408" s="239"/>
      <c r="BT408" s="239"/>
      <c r="BU408" s="239"/>
      <c r="BV408" s="239"/>
      <c r="BW408" s="239"/>
      <c r="BX408" s="239"/>
      <c r="BY408" s="239"/>
      <c r="BZ408" s="239"/>
      <c r="CA408" s="239"/>
      <c r="CB408" s="239"/>
      <c r="CC408" s="239"/>
      <c r="CD408" s="239"/>
      <c r="CE408" s="239"/>
      <c r="CF408" s="239"/>
      <c r="CG408" s="239"/>
    </row>
    <row r="409" spans="1:85" ht="15.75" customHeight="1">
      <c r="A409" s="239"/>
      <c r="B409" s="239"/>
      <c r="C409" s="239"/>
      <c r="D409" s="239"/>
      <c r="E409" s="239"/>
      <c r="F409" s="239"/>
      <c r="G409" s="239"/>
      <c r="H409" s="239"/>
      <c r="I409" s="239"/>
      <c r="J409" s="239"/>
      <c r="K409" s="239"/>
      <c r="L409" s="239"/>
      <c r="M409" s="239"/>
      <c r="N409" s="239"/>
      <c r="O409" s="239"/>
      <c r="P409" s="239"/>
      <c r="Q409" s="239"/>
      <c r="R409" s="239"/>
      <c r="S409" s="239"/>
      <c r="T409" s="239"/>
      <c r="U409" s="239"/>
      <c r="V409" s="239"/>
      <c r="W409" s="239"/>
      <c r="X409" s="239"/>
      <c r="Y409" s="239"/>
      <c r="Z409" s="239"/>
      <c r="AA409" s="239"/>
      <c r="AB409" s="239"/>
      <c r="AC409" s="239"/>
      <c r="AD409" s="239"/>
      <c r="AE409" s="239"/>
      <c r="AF409" s="239"/>
      <c r="AG409" s="239"/>
      <c r="AH409" s="239"/>
      <c r="AI409" s="239"/>
      <c r="AJ409" s="239"/>
      <c r="AK409" s="239"/>
      <c r="AL409" s="239"/>
      <c r="AM409" s="239"/>
      <c r="AN409" s="239"/>
      <c r="AO409" s="239"/>
      <c r="AP409" s="239"/>
      <c r="AQ409" s="239"/>
      <c r="AR409" s="239"/>
      <c r="AS409" s="239"/>
      <c r="AT409" s="239"/>
      <c r="AU409" s="239"/>
      <c r="AV409" s="239"/>
      <c r="AW409" s="239"/>
      <c r="AX409" s="239"/>
      <c r="AY409" s="239"/>
      <c r="AZ409" s="239"/>
      <c r="BA409" s="239"/>
      <c r="BB409" s="239"/>
      <c r="BC409" s="239"/>
      <c r="BD409" s="239"/>
      <c r="BE409" s="239"/>
      <c r="BF409" s="239"/>
      <c r="BG409" s="239"/>
      <c r="BH409" s="239"/>
      <c r="BI409" s="239"/>
      <c r="BJ409" s="239"/>
      <c r="BK409" s="239"/>
      <c r="BL409" s="239"/>
      <c r="BM409" s="239"/>
      <c r="BN409" s="239"/>
      <c r="BO409" s="239"/>
      <c r="BP409" s="239"/>
      <c r="BQ409" s="239"/>
      <c r="BR409" s="239"/>
      <c r="BS409" s="239"/>
      <c r="BT409" s="239"/>
      <c r="BU409" s="239"/>
      <c r="BV409" s="239"/>
      <c r="BW409" s="239"/>
      <c r="BX409" s="239"/>
      <c r="BY409" s="239"/>
      <c r="BZ409" s="239"/>
      <c r="CA409" s="239"/>
      <c r="CB409" s="239"/>
      <c r="CC409" s="239"/>
      <c r="CD409" s="239"/>
      <c r="CE409" s="239"/>
      <c r="CF409" s="239"/>
      <c r="CG409" s="239"/>
    </row>
    <row r="410" spans="1:85" ht="15.75" customHeight="1">
      <c r="A410" s="239"/>
      <c r="B410" s="239"/>
      <c r="C410" s="239"/>
      <c r="D410" s="239"/>
      <c r="E410" s="239"/>
      <c r="F410" s="239"/>
      <c r="G410" s="239"/>
      <c r="H410" s="239"/>
      <c r="I410" s="239"/>
      <c r="J410" s="239"/>
      <c r="K410" s="239"/>
      <c r="L410" s="239"/>
      <c r="M410" s="239"/>
      <c r="N410" s="239"/>
      <c r="O410" s="239"/>
      <c r="P410" s="239"/>
      <c r="Q410" s="239"/>
      <c r="R410" s="239"/>
      <c r="S410" s="239"/>
      <c r="T410" s="239"/>
      <c r="U410" s="239"/>
      <c r="V410" s="239"/>
      <c r="W410" s="239"/>
      <c r="X410" s="239"/>
      <c r="Y410" s="239"/>
      <c r="Z410" s="239"/>
      <c r="AA410" s="239"/>
      <c r="AB410" s="239"/>
      <c r="AC410" s="239"/>
      <c r="AD410" s="239"/>
      <c r="AE410" s="239"/>
      <c r="AF410" s="239"/>
      <c r="AG410" s="239"/>
      <c r="AH410" s="239"/>
      <c r="AI410" s="239"/>
      <c r="AJ410" s="239"/>
      <c r="AK410" s="239"/>
      <c r="AL410" s="239"/>
      <c r="AM410" s="239"/>
      <c r="AN410" s="239"/>
      <c r="AO410" s="239"/>
      <c r="AP410" s="239"/>
      <c r="AQ410" s="239"/>
      <c r="AR410" s="239"/>
      <c r="AS410" s="239"/>
      <c r="AT410" s="239"/>
      <c r="AU410" s="239"/>
      <c r="AV410" s="239"/>
      <c r="AW410" s="239"/>
      <c r="AX410" s="239"/>
      <c r="AY410" s="239"/>
      <c r="AZ410" s="239"/>
      <c r="BA410" s="239"/>
      <c r="BB410" s="239"/>
      <c r="BC410" s="239"/>
      <c r="BD410" s="239"/>
      <c r="BE410" s="239"/>
      <c r="BF410" s="239"/>
      <c r="BG410" s="239"/>
      <c r="BH410" s="239"/>
      <c r="BI410" s="239"/>
      <c r="BJ410" s="239"/>
      <c r="BK410" s="239"/>
      <c r="BL410" s="239"/>
      <c r="BM410" s="239"/>
      <c r="BN410" s="239"/>
      <c r="BO410" s="239"/>
      <c r="BP410" s="239"/>
      <c r="BQ410" s="239"/>
      <c r="BR410" s="239"/>
      <c r="BS410" s="239"/>
      <c r="BT410" s="239"/>
      <c r="BU410" s="239"/>
      <c r="BV410" s="239"/>
      <c r="BW410" s="239"/>
      <c r="BX410" s="239"/>
      <c r="BY410" s="239"/>
      <c r="BZ410" s="239"/>
      <c r="CA410" s="239"/>
      <c r="CB410" s="239"/>
      <c r="CC410" s="239"/>
      <c r="CD410" s="239"/>
      <c r="CE410" s="239"/>
      <c r="CF410" s="239"/>
      <c r="CG410" s="239"/>
    </row>
    <row r="411" spans="1:85" ht="15.75" customHeight="1">
      <c r="A411" s="239"/>
      <c r="B411" s="239"/>
      <c r="C411" s="239"/>
      <c r="D411" s="239"/>
      <c r="E411" s="239"/>
      <c r="F411" s="239"/>
      <c r="G411" s="239"/>
      <c r="H411" s="239"/>
      <c r="I411" s="239"/>
      <c r="J411" s="239"/>
      <c r="K411" s="239"/>
      <c r="L411" s="239"/>
      <c r="M411" s="239"/>
      <c r="N411" s="239"/>
      <c r="O411" s="239"/>
      <c r="P411" s="239"/>
      <c r="Q411" s="239"/>
      <c r="R411" s="239"/>
      <c r="S411" s="239"/>
      <c r="T411" s="239"/>
      <c r="U411" s="239"/>
      <c r="V411" s="239"/>
      <c r="W411" s="239"/>
      <c r="X411" s="239"/>
      <c r="Y411" s="239"/>
      <c r="Z411" s="239"/>
      <c r="AA411" s="239"/>
      <c r="AB411" s="239"/>
      <c r="AC411" s="239"/>
      <c r="AD411" s="239"/>
      <c r="AE411" s="239"/>
      <c r="AF411" s="239"/>
      <c r="AG411" s="239"/>
      <c r="AH411" s="239"/>
      <c r="AI411" s="239"/>
      <c r="AJ411" s="239"/>
      <c r="AK411" s="239"/>
      <c r="AL411" s="239"/>
      <c r="AM411" s="239"/>
      <c r="AN411" s="239"/>
      <c r="AO411" s="239"/>
      <c r="AP411" s="239"/>
      <c r="AQ411" s="239"/>
      <c r="AR411" s="239"/>
      <c r="AS411" s="239"/>
      <c r="AT411" s="239"/>
      <c r="AU411" s="239"/>
      <c r="AV411" s="239"/>
      <c r="AW411" s="239"/>
      <c r="AX411" s="239"/>
      <c r="AY411" s="239"/>
      <c r="AZ411" s="239"/>
      <c r="BA411" s="239"/>
      <c r="BB411" s="239"/>
      <c r="BC411" s="239"/>
      <c r="BD411" s="239"/>
      <c r="BE411" s="239"/>
      <c r="BF411" s="239"/>
      <c r="BG411" s="239"/>
      <c r="BH411" s="239"/>
      <c r="BI411" s="239"/>
      <c r="BJ411" s="239"/>
      <c r="BK411" s="239"/>
      <c r="BL411" s="239"/>
      <c r="BM411" s="239"/>
      <c r="BN411" s="239"/>
      <c r="BO411" s="239"/>
      <c r="BP411" s="239"/>
      <c r="BQ411" s="239"/>
      <c r="BR411" s="239"/>
      <c r="BS411" s="239"/>
      <c r="BT411" s="239"/>
      <c r="BU411" s="239"/>
      <c r="BV411" s="239"/>
      <c r="BW411" s="239"/>
      <c r="BX411" s="239"/>
      <c r="BY411" s="239"/>
      <c r="BZ411" s="239"/>
      <c r="CA411" s="239"/>
      <c r="CB411" s="239"/>
      <c r="CC411" s="239"/>
      <c r="CD411" s="239"/>
      <c r="CE411" s="239"/>
      <c r="CF411" s="239"/>
      <c r="CG411" s="239"/>
    </row>
    <row r="412" spans="1:85" ht="15.75" customHeight="1">
      <c r="A412" s="239"/>
      <c r="B412" s="239"/>
      <c r="C412" s="239"/>
      <c r="D412" s="239"/>
      <c r="E412" s="239"/>
      <c r="F412" s="239"/>
      <c r="G412" s="239"/>
      <c r="H412" s="239"/>
      <c r="I412" s="239"/>
      <c r="J412" s="239"/>
      <c r="K412" s="239"/>
      <c r="L412" s="239"/>
      <c r="M412" s="239"/>
      <c r="N412" s="239"/>
      <c r="O412" s="239"/>
      <c r="P412" s="239"/>
      <c r="Q412" s="239"/>
      <c r="R412" s="239"/>
      <c r="S412" s="239"/>
      <c r="T412" s="239"/>
      <c r="U412" s="239"/>
      <c r="V412" s="239"/>
      <c r="W412" s="239"/>
      <c r="X412" s="239"/>
      <c r="Y412" s="239"/>
      <c r="Z412" s="239"/>
      <c r="AA412" s="239"/>
      <c r="AB412" s="239"/>
      <c r="AC412" s="239"/>
      <c r="AD412" s="239"/>
      <c r="AE412" s="239"/>
      <c r="AF412" s="239"/>
      <c r="AG412" s="239"/>
      <c r="AH412" s="239"/>
      <c r="AI412" s="239"/>
      <c r="AJ412" s="239"/>
      <c r="AK412" s="239"/>
      <c r="AL412" s="239"/>
      <c r="AM412" s="239"/>
      <c r="AN412" s="239"/>
      <c r="AO412" s="239"/>
      <c r="AP412" s="239"/>
      <c r="AQ412" s="239"/>
      <c r="AR412" s="239"/>
      <c r="AS412" s="239"/>
      <c r="AT412" s="239"/>
      <c r="AU412" s="239"/>
      <c r="AV412" s="239"/>
      <c r="AW412" s="239"/>
      <c r="AX412" s="239"/>
      <c r="AY412" s="239"/>
      <c r="AZ412" s="239"/>
      <c r="BA412" s="239"/>
      <c r="BB412" s="239"/>
      <c r="BC412" s="239"/>
      <c r="BD412" s="239"/>
      <c r="BE412" s="239"/>
      <c r="BF412" s="239"/>
      <c r="BG412" s="239"/>
      <c r="BH412" s="239"/>
      <c r="BI412" s="239"/>
      <c r="BJ412" s="239"/>
      <c r="BK412" s="239"/>
      <c r="BL412" s="239"/>
      <c r="BM412" s="239"/>
      <c r="BN412" s="239"/>
      <c r="BO412" s="239"/>
      <c r="BP412" s="239"/>
      <c r="BQ412" s="239"/>
      <c r="BR412" s="239"/>
      <c r="BS412" s="239"/>
      <c r="BT412" s="239"/>
      <c r="BU412" s="239"/>
      <c r="BV412" s="239"/>
      <c r="BW412" s="239"/>
      <c r="BX412" s="239"/>
      <c r="BY412" s="239"/>
      <c r="BZ412" s="239"/>
      <c r="CA412" s="239"/>
      <c r="CB412" s="239"/>
      <c r="CC412" s="239"/>
      <c r="CD412" s="239"/>
      <c r="CE412" s="239"/>
      <c r="CF412" s="239"/>
      <c r="CG412" s="239"/>
    </row>
    <row r="413" spans="1:85" ht="15.75" customHeight="1">
      <c r="A413" s="239"/>
      <c r="B413" s="239"/>
      <c r="C413" s="239"/>
      <c r="D413" s="239"/>
      <c r="E413" s="239"/>
      <c r="F413" s="239"/>
      <c r="G413" s="239"/>
      <c r="H413" s="239"/>
      <c r="I413" s="239"/>
      <c r="J413" s="239"/>
      <c r="K413" s="239"/>
      <c r="L413" s="239"/>
      <c r="M413" s="239"/>
      <c r="N413" s="239"/>
      <c r="O413" s="239"/>
      <c r="P413" s="239"/>
      <c r="Q413" s="239"/>
      <c r="R413" s="239"/>
      <c r="S413" s="239"/>
      <c r="T413" s="239"/>
      <c r="U413" s="239"/>
      <c r="V413" s="239"/>
      <c r="W413" s="239"/>
      <c r="X413" s="239"/>
      <c r="Y413" s="239"/>
      <c r="Z413" s="239"/>
      <c r="AA413" s="239"/>
      <c r="AB413" s="239"/>
      <c r="AC413" s="239"/>
      <c r="AD413" s="239"/>
      <c r="AE413" s="239"/>
      <c r="AF413" s="239"/>
      <c r="AG413" s="239"/>
      <c r="AH413" s="239"/>
      <c r="AI413" s="239"/>
      <c r="AJ413" s="239"/>
      <c r="AK413" s="239"/>
      <c r="AL413" s="239"/>
      <c r="AM413" s="239"/>
      <c r="AN413" s="239"/>
      <c r="AO413" s="239"/>
      <c r="AP413" s="239"/>
      <c r="AQ413" s="239"/>
      <c r="AR413" s="239"/>
      <c r="AS413" s="239"/>
      <c r="AT413" s="239"/>
      <c r="AU413" s="239"/>
      <c r="AV413" s="239"/>
      <c r="AW413" s="239"/>
      <c r="AX413" s="239"/>
      <c r="AY413" s="239"/>
      <c r="AZ413" s="239"/>
      <c r="BA413" s="239"/>
      <c r="BB413" s="239"/>
      <c r="BC413" s="239"/>
      <c r="BD413" s="239"/>
      <c r="BE413" s="239"/>
      <c r="BF413" s="239"/>
      <c r="BG413" s="239"/>
      <c r="BH413" s="239"/>
      <c r="BI413" s="239"/>
      <c r="BJ413" s="239"/>
      <c r="BK413" s="239"/>
      <c r="BL413" s="239"/>
      <c r="BM413" s="239"/>
      <c r="BN413" s="239"/>
      <c r="BO413" s="239"/>
      <c r="BP413" s="239"/>
      <c r="BQ413" s="239"/>
      <c r="BR413" s="239"/>
      <c r="BS413" s="239"/>
      <c r="BT413" s="239"/>
      <c r="BU413" s="239"/>
      <c r="BV413" s="239"/>
      <c r="BW413" s="239"/>
      <c r="BX413" s="239"/>
      <c r="BY413" s="239"/>
      <c r="BZ413" s="239"/>
      <c r="CA413" s="239"/>
      <c r="CB413" s="239"/>
      <c r="CC413" s="239"/>
      <c r="CD413" s="239"/>
      <c r="CE413" s="239"/>
      <c r="CF413" s="239"/>
      <c r="CG413" s="239"/>
    </row>
    <row r="414" spans="1:85" ht="15.75" customHeight="1">
      <c r="A414" s="239"/>
      <c r="B414" s="239"/>
      <c r="C414" s="239"/>
      <c r="D414" s="239"/>
      <c r="E414" s="239"/>
      <c r="F414" s="239"/>
      <c r="G414" s="239"/>
      <c r="H414" s="239"/>
      <c r="I414" s="239"/>
      <c r="J414" s="239"/>
      <c r="K414" s="239"/>
      <c r="L414" s="239"/>
      <c r="M414" s="239"/>
      <c r="N414" s="239"/>
      <c r="O414" s="239"/>
      <c r="P414" s="239"/>
      <c r="Q414" s="239"/>
      <c r="R414" s="239"/>
      <c r="S414" s="239"/>
      <c r="T414" s="239"/>
      <c r="U414" s="239"/>
      <c r="V414" s="239"/>
      <c r="W414" s="239"/>
      <c r="X414" s="239"/>
      <c r="Y414" s="239"/>
      <c r="Z414" s="239"/>
      <c r="AA414" s="239"/>
      <c r="AB414" s="239"/>
      <c r="AC414" s="239"/>
      <c r="AD414" s="239"/>
      <c r="AE414" s="239"/>
      <c r="AF414" s="239"/>
      <c r="AG414" s="239"/>
      <c r="AH414" s="239"/>
      <c r="AI414" s="239"/>
      <c r="AJ414" s="239"/>
      <c r="AK414" s="239"/>
      <c r="AL414" s="239"/>
      <c r="AM414" s="239"/>
      <c r="AN414" s="239"/>
      <c r="AO414" s="239"/>
      <c r="AP414" s="239"/>
      <c r="AQ414" s="239"/>
      <c r="AR414" s="239"/>
      <c r="AS414" s="239"/>
      <c r="AT414" s="239"/>
      <c r="AU414" s="239"/>
      <c r="AV414" s="239"/>
      <c r="AW414" s="239"/>
      <c r="AX414" s="239"/>
      <c r="AY414" s="239"/>
      <c r="AZ414" s="239"/>
      <c r="BA414" s="239"/>
      <c r="BB414" s="239"/>
      <c r="BC414" s="239"/>
      <c r="BD414" s="239"/>
      <c r="BE414" s="239"/>
      <c r="BF414" s="239"/>
      <c r="BG414" s="239"/>
      <c r="BH414" s="239"/>
      <c r="BI414" s="239"/>
      <c r="BJ414" s="239"/>
      <c r="BK414" s="239"/>
      <c r="BL414" s="239"/>
      <c r="BM414" s="239"/>
      <c r="BN414" s="239"/>
      <c r="BO414" s="239"/>
      <c r="BP414" s="239"/>
      <c r="BQ414" s="239"/>
      <c r="BR414" s="239"/>
      <c r="BS414" s="239"/>
      <c r="BT414" s="239"/>
      <c r="BU414" s="239"/>
      <c r="BV414" s="239"/>
      <c r="BW414" s="239"/>
      <c r="BX414" s="239"/>
      <c r="BY414" s="239"/>
      <c r="BZ414" s="239"/>
      <c r="CA414" s="239"/>
      <c r="CB414" s="239"/>
      <c r="CC414" s="239"/>
      <c r="CD414" s="239"/>
      <c r="CE414" s="239"/>
      <c r="CF414" s="239"/>
      <c r="CG414" s="239"/>
    </row>
    <row r="415" spans="1:85" ht="15.75" customHeight="1">
      <c r="A415" s="239"/>
      <c r="B415" s="239"/>
      <c r="C415" s="239"/>
      <c r="D415" s="239"/>
      <c r="E415" s="239"/>
      <c r="F415" s="239"/>
      <c r="G415" s="239"/>
      <c r="H415" s="239"/>
      <c r="I415" s="239"/>
      <c r="J415" s="239"/>
      <c r="K415" s="239"/>
      <c r="L415" s="239"/>
      <c r="M415" s="239"/>
      <c r="N415" s="239"/>
      <c r="O415" s="239"/>
      <c r="P415" s="239"/>
      <c r="Q415" s="239"/>
      <c r="R415" s="239"/>
      <c r="S415" s="239"/>
      <c r="T415" s="239"/>
      <c r="U415" s="239"/>
      <c r="V415" s="239"/>
      <c r="W415" s="239"/>
      <c r="X415" s="239"/>
      <c r="Y415" s="239"/>
      <c r="Z415" s="239"/>
      <c r="AA415" s="239"/>
      <c r="AB415" s="239"/>
      <c r="AC415" s="239"/>
      <c r="AD415" s="239"/>
      <c r="AE415" s="239"/>
      <c r="AF415" s="239"/>
      <c r="AG415" s="239"/>
      <c r="AH415" s="239"/>
      <c r="AI415" s="239"/>
      <c r="AJ415" s="239"/>
      <c r="AK415" s="239"/>
      <c r="AL415" s="239"/>
      <c r="AM415" s="239"/>
      <c r="AN415" s="239"/>
      <c r="AO415" s="239"/>
      <c r="AP415" s="239"/>
      <c r="AQ415" s="239"/>
      <c r="AR415" s="239"/>
      <c r="AS415" s="239"/>
      <c r="AT415" s="239"/>
      <c r="AU415" s="239"/>
      <c r="AV415" s="239"/>
      <c r="AW415" s="239"/>
      <c r="AX415" s="239"/>
      <c r="AY415" s="239"/>
      <c r="AZ415" s="239"/>
      <c r="BA415" s="239"/>
      <c r="BB415" s="239"/>
      <c r="BC415" s="239"/>
      <c r="BD415" s="239"/>
      <c r="BE415" s="239"/>
      <c r="BF415" s="239"/>
      <c r="BG415" s="239"/>
      <c r="BH415" s="239"/>
      <c r="BI415" s="239"/>
      <c r="BJ415" s="239"/>
      <c r="BK415" s="239"/>
      <c r="BL415" s="239"/>
      <c r="BM415" s="239"/>
      <c r="BN415" s="239"/>
      <c r="BO415" s="239"/>
      <c r="BP415" s="239"/>
      <c r="BQ415" s="239"/>
      <c r="BR415" s="239"/>
      <c r="BS415" s="239"/>
      <c r="BT415" s="239"/>
      <c r="BU415" s="239"/>
      <c r="BV415" s="239"/>
      <c r="BW415" s="239"/>
      <c r="BX415" s="239"/>
      <c r="BY415" s="239"/>
      <c r="BZ415" s="239"/>
      <c r="CA415" s="239"/>
      <c r="CB415" s="239"/>
      <c r="CC415" s="239"/>
      <c r="CD415" s="239"/>
      <c r="CE415" s="239"/>
      <c r="CF415" s="239"/>
      <c r="CG415" s="239"/>
    </row>
    <row r="416" spans="1:85" ht="15.75" customHeight="1">
      <c r="A416" s="239"/>
      <c r="B416" s="239"/>
      <c r="C416" s="239"/>
      <c r="D416" s="239"/>
      <c r="E416" s="239"/>
      <c r="F416" s="239"/>
      <c r="G416" s="239"/>
      <c r="H416" s="239"/>
      <c r="I416" s="239"/>
      <c r="J416" s="239"/>
      <c r="K416" s="239"/>
      <c r="L416" s="239"/>
      <c r="M416" s="239"/>
      <c r="N416" s="239"/>
      <c r="O416" s="239"/>
      <c r="P416" s="239"/>
      <c r="Q416" s="239"/>
      <c r="R416" s="239"/>
      <c r="S416" s="239"/>
      <c r="T416" s="239"/>
      <c r="U416" s="239"/>
      <c r="V416" s="239"/>
      <c r="W416" s="239"/>
      <c r="X416" s="239"/>
      <c r="Y416" s="239"/>
      <c r="Z416" s="239"/>
      <c r="AA416" s="239"/>
      <c r="AB416" s="239"/>
      <c r="AC416" s="239"/>
      <c r="AD416" s="239"/>
      <c r="AE416" s="239"/>
      <c r="AF416" s="239"/>
      <c r="AG416" s="239"/>
      <c r="AH416" s="239"/>
      <c r="AI416" s="239"/>
      <c r="AJ416" s="239"/>
      <c r="AK416" s="239"/>
      <c r="AL416" s="239"/>
      <c r="AM416" s="239"/>
      <c r="AN416" s="239"/>
      <c r="AO416" s="239"/>
      <c r="AP416" s="239"/>
      <c r="AQ416" s="239"/>
      <c r="AR416" s="239"/>
      <c r="AS416" s="239"/>
      <c r="AT416" s="239"/>
      <c r="AU416" s="239"/>
      <c r="AV416" s="239"/>
      <c r="AW416" s="239"/>
      <c r="AX416" s="239"/>
      <c r="AY416" s="239"/>
      <c r="AZ416" s="239"/>
      <c r="BA416" s="239"/>
      <c r="BB416" s="239"/>
      <c r="BC416" s="239"/>
      <c r="BD416" s="239"/>
      <c r="BE416" s="239"/>
      <c r="BF416" s="239"/>
      <c r="BG416" s="239"/>
      <c r="BH416" s="239"/>
      <c r="BI416" s="239"/>
      <c r="BJ416" s="239"/>
      <c r="BK416" s="239"/>
      <c r="BL416" s="239"/>
      <c r="BM416" s="239"/>
      <c r="BN416" s="239"/>
      <c r="BO416" s="239"/>
      <c r="BP416" s="239"/>
      <c r="BQ416" s="239"/>
      <c r="BR416" s="239"/>
      <c r="BS416" s="239"/>
      <c r="BT416" s="239"/>
      <c r="BU416" s="239"/>
      <c r="BV416" s="239"/>
      <c r="BW416" s="239"/>
      <c r="BX416" s="239"/>
      <c r="BY416" s="239"/>
      <c r="BZ416" s="239"/>
      <c r="CA416" s="239"/>
      <c r="CB416" s="239"/>
      <c r="CC416" s="239"/>
      <c r="CD416" s="239"/>
      <c r="CE416" s="239"/>
      <c r="CF416" s="239"/>
      <c r="CG416" s="239"/>
    </row>
    <row r="417" spans="1:85" ht="15.75" customHeight="1">
      <c r="A417" s="239"/>
      <c r="B417" s="239"/>
      <c r="C417" s="239"/>
      <c r="D417" s="239"/>
      <c r="E417" s="239"/>
      <c r="F417" s="239"/>
      <c r="G417" s="239"/>
      <c r="H417" s="239"/>
      <c r="I417" s="239"/>
      <c r="J417" s="239"/>
      <c r="K417" s="239"/>
      <c r="L417" s="239"/>
      <c r="M417" s="239"/>
      <c r="N417" s="239"/>
      <c r="O417" s="239"/>
      <c r="P417" s="239"/>
      <c r="Q417" s="239"/>
      <c r="R417" s="239"/>
      <c r="S417" s="239"/>
      <c r="T417" s="239"/>
      <c r="U417" s="239"/>
      <c r="V417" s="239"/>
      <c r="W417" s="239"/>
      <c r="X417" s="239"/>
      <c r="Y417" s="239"/>
      <c r="Z417" s="239"/>
      <c r="AA417" s="239"/>
      <c r="AB417" s="239"/>
      <c r="AC417" s="239"/>
      <c r="AD417" s="239"/>
      <c r="AE417" s="239"/>
      <c r="AF417" s="239"/>
      <c r="AG417" s="239"/>
      <c r="AH417" s="239"/>
      <c r="AI417" s="239"/>
      <c r="AJ417" s="239"/>
      <c r="AK417" s="239"/>
      <c r="AL417" s="239"/>
      <c r="AM417" s="239"/>
      <c r="AN417" s="239"/>
      <c r="AO417" s="239"/>
      <c r="AP417" s="239"/>
      <c r="AQ417" s="239"/>
      <c r="AR417" s="239"/>
      <c r="AS417" s="239"/>
      <c r="AT417" s="239"/>
      <c r="AU417" s="239"/>
      <c r="AV417" s="239"/>
      <c r="AW417" s="239"/>
      <c r="AX417" s="239"/>
      <c r="AY417" s="239"/>
      <c r="AZ417" s="239"/>
      <c r="BA417" s="239"/>
      <c r="BB417" s="239"/>
      <c r="BC417" s="239"/>
      <c r="BD417" s="239"/>
      <c r="BE417" s="239"/>
      <c r="BF417" s="239"/>
      <c r="BG417" s="239"/>
      <c r="BH417" s="239"/>
      <c r="BI417" s="239"/>
      <c r="BJ417" s="239"/>
      <c r="BK417" s="239"/>
      <c r="BL417" s="239"/>
      <c r="BM417" s="239"/>
      <c r="BN417" s="239"/>
      <c r="BO417" s="239"/>
      <c r="BP417" s="239"/>
      <c r="BQ417" s="239"/>
      <c r="BR417" s="239"/>
      <c r="BS417" s="239"/>
      <c r="BT417" s="239"/>
      <c r="BU417" s="239"/>
      <c r="BV417" s="239"/>
      <c r="BW417" s="239"/>
      <c r="BX417" s="239"/>
      <c r="BY417" s="239"/>
      <c r="BZ417" s="239"/>
      <c r="CA417" s="239"/>
      <c r="CB417" s="239"/>
      <c r="CC417" s="239"/>
      <c r="CD417" s="239"/>
      <c r="CE417" s="239"/>
      <c r="CF417" s="239"/>
      <c r="CG417" s="239"/>
    </row>
    <row r="418" spans="1:85" ht="15.75" customHeight="1">
      <c r="A418" s="239"/>
      <c r="B418" s="239"/>
      <c r="C418" s="239"/>
      <c r="D418" s="239"/>
      <c r="E418" s="239"/>
      <c r="F418" s="239"/>
      <c r="G418" s="239"/>
      <c r="H418" s="239"/>
      <c r="I418" s="239"/>
      <c r="J418" s="239"/>
      <c r="K418" s="239"/>
      <c r="L418" s="239"/>
      <c r="M418" s="239"/>
      <c r="N418" s="239"/>
      <c r="O418" s="239"/>
      <c r="P418" s="239"/>
      <c r="Q418" s="239"/>
      <c r="R418" s="239"/>
      <c r="S418" s="239"/>
      <c r="T418" s="239"/>
      <c r="U418" s="239"/>
      <c r="V418" s="239"/>
      <c r="W418" s="239"/>
      <c r="X418" s="239"/>
      <c r="Y418" s="239"/>
      <c r="Z418" s="239"/>
      <c r="AA418" s="239"/>
      <c r="AB418" s="239"/>
      <c r="AC418" s="239"/>
      <c r="AD418" s="239"/>
      <c r="AE418" s="239"/>
      <c r="AF418" s="239"/>
      <c r="AG418" s="239"/>
      <c r="AH418" s="239"/>
      <c r="AI418" s="239"/>
      <c r="AJ418" s="239"/>
      <c r="AK418" s="239"/>
      <c r="AL418" s="239"/>
      <c r="AM418" s="239"/>
      <c r="AN418" s="239"/>
      <c r="AO418" s="239"/>
      <c r="AP418" s="239"/>
      <c r="AQ418" s="239"/>
      <c r="AR418" s="239"/>
      <c r="AS418" s="239"/>
      <c r="AT418" s="239"/>
      <c r="AU418" s="239"/>
      <c r="AV418" s="239"/>
      <c r="AW418" s="239"/>
      <c r="AX418" s="239"/>
      <c r="AY418" s="239"/>
      <c r="AZ418" s="239"/>
      <c r="BA418" s="239"/>
      <c r="BB418" s="239"/>
      <c r="BC418" s="239"/>
      <c r="BD418" s="239"/>
      <c r="BE418" s="239"/>
      <c r="BF418" s="239"/>
      <c r="BG418" s="239"/>
      <c r="BH418" s="239"/>
      <c r="BI418" s="239"/>
      <c r="BJ418" s="239"/>
      <c r="BK418" s="239"/>
      <c r="BL418" s="239"/>
      <c r="BM418" s="239"/>
      <c r="BN418" s="239"/>
      <c r="BO418" s="239"/>
      <c r="BP418" s="239"/>
      <c r="BQ418" s="239"/>
      <c r="BR418" s="239"/>
      <c r="BS418" s="239"/>
      <c r="BT418" s="239"/>
      <c r="BU418" s="239"/>
      <c r="BV418" s="239"/>
      <c r="BW418" s="239"/>
      <c r="BX418" s="239"/>
      <c r="BY418" s="239"/>
      <c r="BZ418" s="239"/>
      <c r="CA418" s="239"/>
      <c r="CB418" s="239"/>
      <c r="CC418" s="239"/>
      <c r="CD418" s="239"/>
      <c r="CE418" s="239"/>
      <c r="CF418" s="239"/>
      <c r="CG418" s="239"/>
    </row>
    <row r="419" spans="1:85" ht="15.75" customHeight="1">
      <c r="A419" s="239"/>
      <c r="B419" s="239"/>
      <c r="C419" s="239"/>
      <c r="D419" s="239"/>
      <c r="E419" s="239"/>
      <c r="F419" s="239"/>
      <c r="G419" s="239"/>
      <c r="H419" s="239"/>
      <c r="I419" s="239"/>
      <c r="J419" s="239"/>
      <c r="K419" s="239"/>
      <c r="L419" s="239"/>
      <c r="M419" s="239"/>
      <c r="N419" s="239"/>
      <c r="O419" s="239"/>
      <c r="P419" s="239"/>
      <c r="Q419" s="239"/>
      <c r="R419" s="239"/>
      <c r="S419" s="239"/>
      <c r="T419" s="239"/>
      <c r="U419" s="239"/>
      <c r="V419" s="239"/>
      <c r="W419" s="239"/>
      <c r="X419" s="239"/>
      <c r="Y419" s="239"/>
      <c r="Z419" s="239"/>
      <c r="AA419" s="239"/>
      <c r="AB419" s="239"/>
      <c r="AC419" s="239"/>
      <c r="AD419" s="239"/>
      <c r="AE419" s="239"/>
      <c r="AF419" s="239"/>
      <c r="AG419" s="239"/>
      <c r="AH419" s="239"/>
      <c r="AI419" s="239"/>
      <c r="AJ419" s="239"/>
      <c r="AK419" s="239"/>
      <c r="AL419" s="239"/>
      <c r="AM419" s="239"/>
      <c r="AN419" s="239"/>
      <c r="AO419" s="239"/>
      <c r="AP419" s="239"/>
      <c r="AQ419" s="239"/>
      <c r="AR419" s="239"/>
      <c r="AS419" s="239"/>
      <c r="AT419" s="239"/>
      <c r="AU419" s="239"/>
      <c r="AV419" s="239"/>
      <c r="AW419" s="239"/>
      <c r="AX419" s="239"/>
      <c r="AY419" s="239"/>
      <c r="AZ419" s="239"/>
      <c r="BA419" s="239"/>
      <c r="BB419" s="239"/>
      <c r="BC419" s="239"/>
      <c r="BD419" s="239"/>
      <c r="BE419" s="239"/>
      <c r="BF419" s="239"/>
      <c r="BG419" s="239"/>
      <c r="BH419" s="239"/>
      <c r="BI419" s="239"/>
      <c r="BJ419" s="239"/>
      <c r="BK419" s="239"/>
      <c r="BL419" s="239"/>
      <c r="BM419" s="239"/>
      <c r="BN419" s="239"/>
      <c r="BO419" s="239"/>
      <c r="BP419" s="239"/>
      <c r="BQ419" s="239"/>
      <c r="BR419" s="239"/>
      <c r="BS419" s="239"/>
      <c r="BT419" s="239"/>
      <c r="BU419" s="239"/>
      <c r="BV419" s="239"/>
      <c r="BW419" s="239"/>
      <c r="BX419" s="239"/>
      <c r="BY419" s="239"/>
      <c r="BZ419" s="239"/>
      <c r="CA419" s="239"/>
      <c r="CB419" s="239"/>
      <c r="CC419" s="239"/>
      <c r="CD419" s="239"/>
      <c r="CE419" s="239"/>
      <c r="CF419" s="239"/>
      <c r="CG419" s="239"/>
    </row>
    <row r="420" spans="1:85" ht="15.75" customHeight="1">
      <c r="A420" s="239"/>
      <c r="B420" s="239"/>
      <c r="C420" s="239"/>
      <c r="D420" s="239"/>
      <c r="E420" s="239"/>
      <c r="F420" s="239"/>
      <c r="G420" s="239"/>
      <c r="H420" s="239"/>
      <c r="I420" s="239"/>
      <c r="J420" s="239"/>
      <c r="K420" s="239"/>
      <c r="L420" s="239"/>
      <c r="M420" s="239"/>
      <c r="N420" s="239"/>
      <c r="O420" s="239"/>
      <c r="P420" s="239"/>
      <c r="Q420" s="239"/>
      <c r="R420" s="239"/>
      <c r="S420" s="239"/>
      <c r="T420" s="239"/>
      <c r="U420" s="239"/>
      <c r="V420" s="239"/>
      <c r="W420" s="239"/>
      <c r="X420" s="239"/>
      <c r="Y420" s="239"/>
      <c r="Z420" s="239"/>
      <c r="AA420" s="239"/>
      <c r="AB420" s="239"/>
      <c r="AC420" s="239"/>
      <c r="AD420" s="239"/>
      <c r="AE420" s="239"/>
      <c r="AF420" s="239"/>
      <c r="AG420" s="239"/>
      <c r="AH420" s="239"/>
      <c r="AI420" s="239"/>
      <c r="AJ420" s="239"/>
      <c r="AK420" s="239"/>
      <c r="AL420" s="239"/>
      <c r="AM420" s="239"/>
      <c r="AN420" s="239"/>
      <c r="AO420" s="239"/>
      <c r="AP420" s="239"/>
      <c r="AQ420" s="239"/>
      <c r="AR420" s="239"/>
      <c r="AS420" s="239"/>
      <c r="AT420" s="239"/>
      <c r="AU420" s="239"/>
      <c r="AV420" s="239"/>
      <c r="AW420" s="239"/>
      <c r="AX420" s="239"/>
      <c r="AY420" s="239"/>
      <c r="AZ420" s="239"/>
      <c r="BA420" s="239"/>
      <c r="BB420" s="239"/>
      <c r="BC420" s="239"/>
      <c r="BD420" s="239"/>
      <c r="BE420" s="239"/>
      <c r="BF420" s="239"/>
      <c r="BG420" s="239"/>
      <c r="BH420" s="239"/>
      <c r="BI420" s="239"/>
      <c r="BJ420" s="239"/>
      <c r="BK420" s="239"/>
      <c r="BL420" s="239"/>
      <c r="BM420" s="239"/>
      <c r="BN420" s="239"/>
      <c r="BO420" s="239"/>
      <c r="BP420" s="239"/>
      <c r="BQ420" s="239"/>
      <c r="BR420" s="239"/>
      <c r="BS420" s="239"/>
      <c r="BT420" s="239"/>
      <c r="BU420" s="239"/>
      <c r="BV420" s="239"/>
      <c r="BW420" s="239"/>
      <c r="BX420" s="239"/>
      <c r="BY420" s="239"/>
      <c r="BZ420" s="239"/>
      <c r="CA420" s="239"/>
      <c r="CB420" s="239"/>
      <c r="CC420" s="239"/>
      <c r="CD420" s="239"/>
      <c r="CE420" s="239"/>
      <c r="CF420" s="239"/>
      <c r="CG420" s="239"/>
    </row>
    <row r="421" spans="1:85" ht="15.75" customHeight="1">
      <c r="A421" s="239"/>
      <c r="B421" s="239"/>
      <c r="C421" s="239"/>
      <c r="D421" s="239"/>
      <c r="E421" s="239"/>
      <c r="F421" s="239"/>
      <c r="G421" s="239"/>
      <c r="H421" s="239"/>
      <c r="I421" s="239"/>
      <c r="J421" s="239"/>
      <c r="K421" s="239"/>
      <c r="L421" s="239"/>
      <c r="M421" s="239"/>
      <c r="N421" s="239"/>
      <c r="O421" s="239"/>
      <c r="P421" s="239"/>
      <c r="Q421" s="239"/>
      <c r="R421" s="239"/>
      <c r="S421" s="239"/>
      <c r="T421" s="239"/>
      <c r="U421" s="239"/>
      <c r="V421" s="239"/>
      <c r="W421" s="239"/>
      <c r="X421" s="239"/>
      <c r="Y421" s="239"/>
      <c r="Z421" s="239"/>
      <c r="AA421" s="239"/>
      <c r="AB421" s="239"/>
      <c r="AC421" s="239"/>
      <c r="AD421" s="239"/>
      <c r="AE421" s="239"/>
      <c r="AF421" s="239"/>
      <c r="AG421" s="239"/>
      <c r="AH421" s="239"/>
      <c r="AI421" s="239"/>
      <c r="AJ421" s="239"/>
      <c r="AK421" s="239"/>
      <c r="AL421" s="239"/>
      <c r="AM421" s="239"/>
      <c r="AN421" s="239"/>
      <c r="AO421" s="239"/>
      <c r="AP421" s="239"/>
      <c r="AQ421" s="239"/>
      <c r="AR421" s="239"/>
      <c r="AS421" s="239"/>
      <c r="AT421" s="239"/>
      <c r="AU421" s="239"/>
      <c r="AV421" s="239"/>
      <c r="AW421" s="239"/>
      <c r="AX421" s="239"/>
      <c r="AY421" s="239"/>
      <c r="AZ421" s="239"/>
      <c r="BA421" s="239"/>
      <c r="BB421" s="239"/>
      <c r="BC421" s="239"/>
      <c r="BD421" s="239"/>
      <c r="BE421" s="239"/>
      <c r="BF421" s="239"/>
      <c r="BG421" s="239"/>
      <c r="BH421" s="239"/>
      <c r="BI421" s="239"/>
      <c r="BJ421" s="239"/>
      <c r="BK421" s="239"/>
      <c r="BL421" s="239"/>
      <c r="BM421" s="239"/>
      <c r="BN421" s="239"/>
      <c r="BO421" s="239"/>
      <c r="BP421" s="239"/>
      <c r="BQ421" s="239"/>
      <c r="BR421" s="239"/>
      <c r="BS421" s="239"/>
      <c r="BT421" s="239"/>
      <c r="BU421" s="239"/>
      <c r="BV421" s="239"/>
      <c r="BW421" s="239"/>
      <c r="BX421" s="239"/>
      <c r="BY421" s="239"/>
      <c r="BZ421" s="239"/>
      <c r="CA421" s="239"/>
      <c r="CB421" s="239"/>
      <c r="CC421" s="239"/>
      <c r="CD421" s="239"/>
      <c r="CE421" s="239"/>
      <c r="CF421" s="239"/>
      <c r="CG421" s="239"/>
    </row>
    <row r="422" spans="1:85" ht="15.75" customHeight="1">
      <c r="A422" s="239"/>
      <c r="B422" s="239"/>
      <c r="C422" s="239"/>
      <c r="D422" s="239"/>
      <c r="E422" s="239"/>
      <c r="F422" s="239"/>
      <c r="G422" s="239"/>
      <c r="H422" s="239"/>
      <c r="I422" s="239"/>
      <c r="J422" s="239"/>
      <c r="K422" s="239"/>
      <c r="L422" s="239"/>
      <c r="M422" s="239"/>
      <c r="N422" s="239"/>
      <c r="O422" s="239"/>
      <c r="P422" s="239"/>
      <c r="Q422" s="239"/>
      <c r="R422" s="239"/>
      <c r="S422" s="239"/>
      <c r="T422" s="239"/>
      <c r="U422" s="239"/>
      <c r="V422" s="239"/>
      <c r="W422" s="239"/>
      <c r="X422" s="239"/>
      <c r="Y422" s="239"/>
      <c r="Z422" s="239"/>
      <c r="AA422" s="239"/>
      <c r="AB422" s="239"/>
      <c r="AC422" s="239"/>
      <c r="AD422" s="239"/>
      <c r="AE422" s="239"/>
      <c r="AF422" s="239"/>
      <c r="AG422" s="239"/>
      <c r="AH422" s="239"/>
      <c r="AI422" s="239"/>
      <c r="AJ422" s="239"/>
      <c r="AK422" s="239"/>
      <c r="AL422" s="239"/>
      <c r="AM422" s="239"/>
      <c r="AN422" s="239"/>
      <c r="AO422" s="239"/>
      <c r="AP422" s="239"/>
      <c r="AQ422" s="239"/>
      <c r="AR422" s="239"/>
      <c r="AS422" s="239"/>
      <c r="AT422" s="239"/>
      <c r="AU422" s="239"/>
      <c r="AV422" s="239"/>
      <c r="AW422" s="239"/>
      <c r="AX422" s="239"/>
      <c r="AY422" s="239"/>
      <c r="AZ422" s="239"/>
      <c r="BA422" s="239"/>
      <c r="BB422" s="239"/>
      <c r="BC422" s="239"/>
      <c r="BD422" s="239"/>
      <c r="BE422" s="239"/>
      <c r="BF422" s="239"/>
      <c r="BG422" s="239"/>
      <c r="BH422" s="239"/>
      <c r="BI422" s="239"/>
      <c r="BJ422" s="239"/>
      <c r="BK422" s="239"/>
      <c r="BL422" s="239"/>
      <c r="BM422" s="239"/>
      <c r="BN422" s="239"/>
      <c r="BO422" s="239"/>
      <c r="BP422" s="239"/>
      <c r="BQ422" s="239"/>
      <c r="BR422" s="239"/>
      <c r="BS422" s="239"/>
      <c r="BT422" s="239"/>
      <c r="BU422" s="239"/>
      <c r="BV422" s="239"/>
      <c r="BW422" s="239"/>
      <c r="BX422" s="239"/>
      <c r="BY422" s="239"/>
      <c r="BZ422" s="239"/>
      <c r="CA422" s="239"/>
      <c r="CB422" s="239"/>
      <c r="CC422" s="239"/>
      <c r="CD422" s="239"/>
      <c r="CE422" s="239"/>
      <c r="CF422" s="239"/>
      <c r="CG422" s="239"/>
    </row>
    <row r="423" spans="1:85" ht="15.75" customHeight="1">
      <c r="A423" s="239"/>
      <c r="B423" s="239"/>
      <c r="C423" s="239"/>
      <c r="D423" s="239"/>
      <c r="E423" s="239"/>
      <c r="F423" s="239"/>
      <c r="G423" s="239"/>
      <c r="H423" s="239"/>
      <c r="I423" s="239"/>
      <c r="J423" s="239"/>
      <c r="K423" s="239"/>
      <c r="L423" s="239"/>
      <c r="M423" s="239"/>
      <c r="N423" s="239"/>
      <c r="O423" s="239"/>
      <c r="P423" s="239"/>
      <c r="Q423" s="239"/>
      <c r="R423" s="239"/>
      <c r="S423" s="239"/>
      <c r="T423" s="239"/>
      <c r="U423" s="239"/>
      <c r="V423" s="239"/>
      <c r="W423" s="239"/>
      <c r="X423" s="239"/>
      <c r="Y423" s="239"/>
      <c r="Z423" s="239"/>
      <c r="AA423" s="239"/>
      <c r="AB423" s="239"/>
      <c r="AC423" s="239"/>
      <c r="AD423" s="239"/>
      <c r="AE423" s="239"/>
      <c r="AF423" s="239"/>
      <c r="AG423" s="239"/>
      <c r="AH423" s="239"/>
      <c r="AI423" s="239"/>
      <c r="AJ423" s="239"/>
      <c r="AK423" s="239"/>
      <c r="AL423" s="239"/>
      <c r="AM423" s="239"/>
      <c r="AN423" s="239"/>
      <c r="AO423" s="239"/>
      <c r="AP423" s="239"/>
      <c r="AQ423" s="239"/>
      <c r="AR423" s="239"/>
      <c r="AS423" s="239"/>
      <c r="AT423" s="239"/>
      <c r="AU423" s="239"/>
      <c r="AV423" s="239"/>
      <c r="AW423" s="239"/>
      <c r="AX423" s="239"/>
      <c r="AY423" s="239"/>
      <c r="AZ423" s="239"/>
      <c r="BA423" s="239"/>
      <c r="BB423" s="239"/>
      <c r="BC423" s="239"/>
      <c r="BD423" s="239"/>
      <c r="BE423" s="239"/>
      <c r="BF423" s="239"/>
      <c r="BG423" s="239"/>
      <c r="BH423" s="239"/>
      <c r="BI423" s="239"/>
      <c r="BJ423" s="239"/>
      <c r="BK423" s="239"/>
      <c r="BL423" s="239"/>
      <c r="BM423" s="239"/>
      <c r="BN423" s="239"/>
      <c r="BO423" s="239"/>
      <c r="BP423" s="239"/>
      <c r="BQ423" s="239"/>
      <c r="BR423" s="239"/>
      <c r="BS423" s="239"/>
      <c r="BT423" s="239"/>
      <c r="BU423" s="239"/>
      <c r="BV423" s="239"/>
      <c r="BW423" s="239"/>
      <c r="BX423" s="239"/>
      <c r="BY423" s="239"/>
      <c r="BZ423" s="239"/>
      <c r="CA423" s="239"/>
      <c r="CB423" s="239"/>
      <c r="CC423" s="239"/>
      <c r="CD423" s="239"/>
      <c r="CE423" s="239"/>
      <c r="CF423" s="239"/>
      <c r="CG423" s="239"/>
    </row>
    <row r="424" spans="1:85" ht="15.75" customHeight="1">
      <c r="A424" s="239"/>
      <c r="B424" s="239"/>
      <c r="C424" s="239"/>
      <c r="D424" s="239"/>
      <c r="E424" s="239"/>
      <c r="F424" s="239"/>
      <c r="G424" s="239"/>
      <c r="H424" s="239"/>
      <c r="I424" s="239"/>
      <c r="J424" s="239"/>
      <c r="K424" s="239"/>
      <c r="L424" s="239"/>
      <c r="M424" s="239"/>
      <c r="N424" s="239"/>
      <c r="O424" s="239"/>
      <c r="P424" s="239"/>
      <c r="Q424" s="239"/>
      <c r="R424" s="239"/>
      <c r="S424" s="239"/>
      <c r="T424" s="239"/>
      <c r="U424" s="239"/>
      <c r="V424" s="239"/>
      <c r="W424" s="239"/>
      <c r="X424" s="239"/>
      <c r="Y424" s="239"/>
      <c r="Z424" s="239"/>
      <c r="AA424" s="239"/>
      <c r="AB424" s="239"/>
      <c r="AC424" s="239"/>
      <c r="AD424" s="239"/>
      <c r="AE424" s="239"/>
      <c r="AF424" s="239"/>
      <c r="AG424" s="239"/>
      <c r="AH424" s="239"/>
      <c r="AI424" s="239"/>
      <c r="AJ424" s="239"/>
      <c r="AK424" s="239"/>
      <c r="AL424" s="239"/>
      <c r="AM424" s="239"/>
      <c r="AN424" s="239"/>
      <c r="AO424" s="239"/>
      <c r="AP424" s="239"/>
      <c r="AQ424" s="239"/>
      <c r="AR424" s="239"/>
      <c r="AS424" s="239"/>
      <c r="AT424" s="239"/>
      <c r="AU424" s="239"/>
      <c r="AV424" s="239"/>
      <c r="AW424" s="239"/>
      <c r="AX424" s="239"/>
      <c r="AY424" s="239"/>
      <c r="AZ424" s="239"/>
      <c r="BA424" s="239"/>
      <c r="BB424" s="239"/>
      <c r="BC424" s="239"/>
      <c r="BD424" s="239"/>
      <c r="BE424" s="239"/>
      <c r="BF424" s="239"/>
      <c r="BG424" s="239"/>
      <c r="BH424" s="239"/>
      <c r="BI424" s="239"/>
      <c r="BJ424" s="239"/>
      <c r="BK424" s="239"/>
      <c r="BL424" s="239"/>
      <c r="BM424" s="239"/>
      <c r="BN424" s="239"/>
      <c r="BO424" s="239"/>
      <c r="BP424" s="239"/>
      <c r="BQ424" s="239"/>
      <c r="BR424" s="239"/>
      <c r="BS424" s="239"/>
      <c r="BT424" s="239"/>
      <c r="BU424" s="239"/>
      <c r="BV424" s="239"/>
      <c r="BW424" s="239"/>
      <c r="BX424" s="239"/>
      <c r="BY424" s="239"/>
      <c r="BZ424" s="239"/>
      <c r="CA424" s="239"/>
      <c r="CB424" s="239"/>
      <c r="CC424" s="239"/>
      <c r="CD424" s="239"/>
      <c r="CE424" s="239"/>
      <c r="CF424" s="239"/>
      <c r="CG424" s="239"/>
    </row>
    <row r="425" spans="1:85" ht="15.75" customHeight="1">
      <c r="A425" s="239"/>
      <c r="B425" s="239"/>
      <c r="C425" s="239"/>
      <c r="D425" s="239"/>
      <c r="E425" s="239"/>
      <c r="F425" s="239"/>
      <c r="G425" s="239"/>
      <c r="H425" s="239"/>
      <c r="I425" s="239"/>
      <c r="J425" s="239"/>
      <c r="K425" s="239"/>
      <c r="L425" s="239"/>
      <c r="M425" s="239"/>
      <c r="N425" s="239"/>
      <c r="O425" s="239"/>
      <c r="P425" s="239"/>
      <c r="Q425" s="239"/>
      <c r="R425" s="239"/>
      <c r="S425" s="239"/>
      <c r="T425" s="239"/>
      <c r="U425" s="239"/>
      <c r="V425" s="239"/>
      <c r="W425" s="239"/>
      <c r="X425" s="239"/>
      <c r="Y425" s="239"/>
      <c r="Z425" s="239"/>
      <c r="AA425" s="239"/>
      <c r="AB425" s="239"/>
      <c r="AC425" s="239"/>
      <c r="AD425" s="239"/>
      <c r="AE425" s="239"/>
      <c r="AF425" s="239"/>
      <c r="AG425" s="239"/>
      <c r="AH425" s="239"/>
      <c r="AI425" s="239"/>
      <c r="AJ425" s="239"/>
      <c r="AK425" s="239"/>
      <c r="AL425" s="239"/>
      <c r="AM425" s="239"/>
      <c r="AN425" s="239"/>
      <c r="AO425" s="239"/>
      <c r="AP425" s="239"/>
      <c r="AQ425" s="239"/>
      <c r="AR425" s="239"/>
      <c r="AS425" s="239"/>
      <c r="AT425" s="239"/>
      <c r="AU425" s="239"/>
      <c r="AV425" s="239"/>
      <c r="AW425" s="239"/>
      <c r="AX425" s="239"/>
      <c r="AY425" s="239"/>
      <c r="AZ425" s="239"/>
      <c r="BA425" s="239"/>
      <c r="BB425" s="239"/>
      <c r="BC425" s="239"/>
      <c r="BD425" s="239"/>
      <c r="BE425" s="239"/>
      <c r="BF425" s="239"/>
      <c r="BG425" s="239"/>
      <c r="BH425" s="239"/>
      <c r="BI425" s="239"/>
      <c r="BJ425" s="239"/>
      <c r="BK425" s="239"/>
      <c r="BL425" s="239"/>
      <c r="BM425" s="239"/>
      <c r="BN425" s="239"/>
      <c r="BO425" s="239"/>
      <c r="BP425" s="239"/>
      <c r="BQ425" s="239"/>
      <c r="BR425" s="239"/>
      <c r="BS425" s="239"/>
      <c r="BT425" s="239"/>
      <c r="BU425" s="239"/>
      <c r="BV425" s="239"/>
      <c r="BW425" s="239"/>
      <c r="BX425" s="239"/>
      <c r="BY425" s="239"/>
      <c r="BZ425" s="239"/>
      <c r="CA425" s="239"/>
      <c r="CB425" s="239"/>
      <c r="CC425" s="239"/>
      <c r="CD425" s="239"/>
      <c r="CE425" s="239"/>
      <c r="CF425" s="239"/>
      <c r="CG425" s="239"/>
    </row>
    <row r="426" spans="1:85" ht="15.75" customHeight="1">
      <c r="A426" s="239"/>
      <c r="B426" s="239"/>
      <c r="C426" s="239"/>
      <c r="D426" s="239"/>
      <c r="E426" s="239"/>
      <c r="F426" s="239"/>
      <c r="G426" s="239"/>
      <c r="H426" s="239"/>
      <c r="I426" s="239"/>
      <c r="J426" s="239"/>
      <c r="K426" s="239"/>
      <c r="L426" s="239"/>
      <c r="M426" s="239"/>
      <c r="N426" s="239"/>
      <c r="O426" s="239"/>
      <c r="P426" s="239"/>
      <c r="Q426" s="239"/>
      <c r="R426" s="239"/>
      <c r="S426" s="239"/>
      <c r="T426" s="239"/>
      <c r="U426" s="239"/>
      <c r="V426" s="239"/>
      <c r="W426" s="239"/>
      <c r="X426" s="239"/>
      <c r="Y426" s="239"/>
      <c r="Z426" s="239"/>
      <c r="AA426" s="239"/>
      <c r="AB426" s="239"/>
      <c r="AC426" s="239"/>
      <c r="AD426" s="239"/>
      <c r="AE426" s="239"/>
      <c r="AF426" s="239"/>
      <c r="AG426" s="239"/>
      <c r="AH426" s="239"/>
      <c r="AI426" s="239"/>
      <c r="AJ426" s="239"/>
      <c r="AK426" s="239"/>
      <c r="AL426" s="239"/>
      <c r="AM426" s="239"/>
      <c r="AN426" s="239"/>
      <c r="AO426" s="239"/>
      <c r="AP426" s="239"/>
      <c r="AQ426" s="239"/>
      <c r="AR426" s="239"/>
      <c r="AS426" s="239"/>
      <c r="AT426" s="239"/>
      <c r="AU426" s="239"/>
      <c r="AV426" s="239"/>
      <c r="AW426" s="239"/>
      <c r="AX426" s="239"/>
      <c r="AY426" s="239"/>
      <c r="AZ426" s="239"/>
      <c r="BA426" s="239"/>
      <c r="BB426" s="239"/>
      <c r="BC426" s="239"/>
      <c r="BD426" s="239"/>
      <c r="BE426" s="239"/>
      <c r="BF426" s="239"/>
      <c r="BG426" s="239"/>
      <c r="BH426" s="239"/>
      <c r="BI426" s="239"/>
      <c r="BJ426" s="239"/>
      <c r="BK426" s="239"/>
      <c r="BL426" s="239"/>
      <c r="BM426" s="239"/>
      <c r="BN426" s="239"/>
      <c r="BO426" s="239"/>
      <c r="BP426" s="239"/>
      <c r="BQ426" s="239"/>
      <c r="BR426" s="239"/>
      <c r="BS426" s="239"/>
      <c r="BT426" s="239"/>
      <c r="BU426" s="239"/>
      <c r="BV426" s="239"/>
      <c r="BW426" s="239"/>
      <c r="BX426" s="239"/>
      <c r="BY426" s="239"/>
      <c r="BZ426" s="239"/>
      <c r="CA426" s="239"/>
      <c r="CB426" s="239"/>
      <c r="CC426" s="239"/>
      <c r="CD426" s="239"/>
      <c r="CE426" s="239"/>
      <c r="CF426" s="239"/>
      <c r="CG426" s="239"/>
    </row>
    <row r="427" spans="1:85" ht="15.75" customHeight="1">
      <c r="A427" s="239"/>
      <c r="B427" s="239"/>
      <c r="C427" s="239"/>
      <c r="D427" s="239"/>
      <c r="E427" s="239"/>
      <c r="F427" s="239"/>
      <c r="G427" s="239"/>
      <c r="H427" s="239"/>
      <c r="I427" s="239"/>
      <c r="J427" s="239"/>
      <c r="K427" s="239"/>
      <c r="L427" s="239"/>
      <c r="M427" s="239"/>
      <c r="N427" s="239"/>
      <c r="O427" s="239"/>
      <c r="P427" s="239"/>
      <c r="Q427" s="239"/>
      <c r="R427" s="239"/>
      <c r="S427" s="239"/>
      <c r="T427" s="239"/>
      <c r="U427" s="239"/>
      <c r="V427" s="239"/>
      <c r="W427" s="239"/>
      <c r="X427" s="239"/>
      <c r="Y427" s="239"/>
      <c r="Z427" s="239"/>
      <c r="AA427" s="239"/>
      <c r="AB427" s="239"/>
      <c r="AC427" s="239"/>
      <c r="AD427" s="239"/>
      <c r="AE427" s="239"/>
      <c r="AF427" s="239"/>
      <c r="AG427" s="239"/>
      <c r="AH427" s="239"/>
      <c r="AI427" s="239"/>
      <c r="AJ427" s="239"/>
      <c r="AK427" s="239"/>
      <c r="AL427" s="239"/>
      <c r="AM427" s="239"/>
      <c r="AN427" s="239"/>
      <c r="AO427" s="239"/>
      <c r="AP427" s="239"/>
      <c r="AQ427" s="239"/>
      <c r="AR427" s="239"/>
      <c r="AS427" s="239"/>
      <c r="AT427" s="239"/>
      <c r="AU427" s="239"/>
      <c r="AV427" s="239"/>
      <c r="AW427" s="239"/>
      <c r="AX427" s="239"/>
      <c r="AY427" s="239"/>
      <c r="AZ427" s="239"/>
      <c r="BA427" s="239"/>
      <c r="BB427" s="239"/>
      <c r="BC427" s="239"/>
      <c r="BD427" s="239"/>
      <c r="BE427" s="239"/>
      <c r="BF427" s="239"/>
      <c r="BG427" s="239"/>
      <c r="BH427" s="239"/>
      <c r="BI427" s="239"/>
      <c r="BJ427" s="239"/>
      <c r="BK427" s="239"/>
      <c r="BL427" s="239"/>
      <c r="BM427" s="239"/>
      <c r="BN427" s="239"/>
      <c r="BO427" s="239"/>
      <c r="BP427" s="239"/>
      <c r="BQ427" s="239"/>
      <c r="BR427" s="239"/>
      <c r="BS427" s="239"/>
      <c r="BT427" s="239"/>
      <c r="BU427" s="239"/>
      <c r="BV427" s="239"/>
      <c r="BW427" s="239"/>
      <c r="BX427" s="239"/>
      <c r="BY427" s="239"/>
      <c r="BZ427" s="239"/>
      <c r="CA427" s="239"/>
      <c r="CB427" s="239"/>
      <c r="CC427" s="239"/>
      <c r="CD427" s="239"/>
      <c r="CE427" s="239"/>
      <c r="CF427" s="239"/>
      <c r="CG427" s="239"/>
    </row>
    <row r="428" spans="1:85" ht="15.75" customHeight="1">
      <c r="A428" s="239"/>
      <c r="B428" s="239"/>
      <c r="C428" s="239"/>
      <c r="D428" s="239"/>
      <c r="E428" s="239"/>
      <c r="F428" s="239"/>
      <c r="G428" s="239"/>
      <c r="H428" s="239"/>
      <c r="I428" s="239"/>
      <c r="J428" s="239"/>
      <c r="K428" s="239"/>
      <c r="L428" s="239"/>
      <c r="M428" s="239"/>
      <c r="N428" s="239"/>
      <c r="O428" s="239"/>
      <c r="P428" s="239"/>
      <c r="Q428" s="239"/>
      <c r="R428" s="239"/>
      <c r="S428" s="239"/>
      <c r="T428" s="239"/>
      <c r="U428" s="239"/>
      <c r="V428" s="239"/>
      <c r="W428" s="239"/>
      <c r="X428" s="239"/>
      <c r="Y428" s="239"/>
      <c r="Z428" s="239"/>
      <c r="AA428" s="239"/>
      <c r="AB428" s="239"/>
      <c r="AC428" s="239"/>
      <c r="AD428" s="239"/>
      <c r="AE428" s="239"/>
      <c r="AF428" s="239"/>
      <c r="AG428" s="239"/>
      <c r="AH428" s="239"/>
      <c r="AI428" s="239"/>
      <c r="AJ428" s="239"/>
      <c r="AK428" s="239"/>
      <c r="AL428" s="239"/>
      <c r="AM428" s="239"/>
      <c r="AN428" s="239"/>
      <c r="AO428" s="239"/>
      <c r="AP428" s="239"/>
      <c r="AQ428" s="239"/>
      <c r="AR428" s="239"/>
      <c r="AS428" s="239"/>
      <c r="AT428" s="239"/>
      <c r="AU428" s="239"/>
      <c r="AV428" s="239"/>
      <c r="AW428" s="239"/>
      <c r="AX428" s="239"/>
      <c r="AY428" s="239"/>
      <c r="AZ428" s="239"/>
      <c r="BA428" s="239"/>
      <c r="BB428" s="239"/>
      <c r="BC428" s="239"/>
      <c r="BD428" s="239"/>
      <c r="BE428" s="239"/>
      <c r="BF428" s="239"/>
      <c r="BG428" s="239"/>
      <c r="BH428" s="239"/>
      <c r="BI428" s="239"/>
      <c r="BJ428" s="239"/>
      <c r="BK428" s="239"/>
      <c r="BL428" s="239"/>
      <c r="BM428" s="239"/>
      <c r="BN428" s="239"/>
      <c r="BO428" s="239"/>
      <c r="BP428" s="239"/>
      <c r="BQ428" s="239"/>
      <c r="BR428" s="239"/>
      <c r="BS428" s="239"/>
      <c r="BT428" s="239"/>
      <c r="BU428" s="239"/>
      <c r="BV428" s="239"/>
      <c r="BW428" s="239"/>
      <c r="BX428" s="239"/>
      <c r="BY428" s="239"/>
      <c r="BZ428" s="239"/>
      <c r="CA428" s="239"/>
      <c r="CB428" s="239"/>
      <c r="CC428" s="239"/>
      <c r="CD428" s="239"/>
      <c r="CE428" s="239"/>
      <c r="CF428" s="239"/>
      <c r="CG428" s="239"/>
    </row>
    <row r="429" spans="1:85" ht="15.75" customHeight="1">
      <c r="A429" s="239"/>
      <c r="B429" s="239"/>
      <c r="C429" s="239"/>
      <c r="D429" s="239"/>
      <c r="E429" s="239"/>
      <c r="F429" s="239"/>
      <c r="G429" s="239"/>
      <c r="H429" s="239"/>
      <c r="I429" s="239"/>
      <c r="J429" s="239"/>
      <c r="K429" s="239"/>
      <c r="L429" s="239"/>
      <c r="M429" s="239"/>
      <c r="N429" s="239"/>
      <c r="O429" s="239"/>
      <c r="P429" s="239"/>
      <c r="Q429" s="239"/>
      <c r="R429" s="239"/>
      <c r="S429" s="239"/>
      <c r="T429" s="239"/>
      <c r="U429" s="239"/>
      <c r="V429" s="239"/>
      <c r="W429" s="239"/>
      <c r="X429" s="239"/>
      <c r="Y429" s="239"/>
      <c r="Z429" s="239"/>
      <c r="AA429" s="239"/>
      <c r="AB429" s="239"/>
      <c r="AC429" s="239"/>
      <c r="AD429" s="239"/>
      <c r="AE429" s="239"/>
      <c r="AF429" s="239"/>
      <c r="AG429" s="239"/>
      <c r="AH429" s="239"/>
      <c r="AI429" s="239"/>
      <c r="AJ429" s="239"/>
      <c r="AK429" s="239"/>
      <c r="AL429" s="239"/>
      <c r="AM429" s="239"/>
      <c r="AN429" s="239"/>
      <c r="AO429" s="239"/>
      <c r="AP429" s="239"/>
      <c r="AQ429" s="239"/>
      <c r="AR429" s="239"/>
      <c r="AS429" s="239"/>
      <c r="AT429" s="239"/>
      <c r="AU429" s="239"/>
      <c r="AV429" s="239"/>
      <c r="AW429" s="239"/>
      <c r="AX429" s="239"/>
      <c r="AY429" s="239"/>
      <c r="AZ429" s="239"/>
      <c r="BA429" s="239"/>
      <c r="BB429" s="239"/>
      <c r="BC429" s="239"/>
      <c r="BD429" s="239"/>
      <c r="BE429" s="239"/>
      <c r="BF429" s="239"/>
      <c r="BG429" s="239"/>
      <c r="BH429" s="239"/>
      <c r="BI429" s="239"/>
      <c r="BJ429" s="239"/>
      <c r="BK429" s="239"/>
      <c r="BL429" s="239"/>
      <c r="BM429" s="239"/>
      <c r="BN429" s="239"/>
      <c r="BO429" s="239"/>
      <c r="BP429" s="239"/>
      <c r="BQ429" s="239"/>
      <c r="BR429" s="239"/>
      <c r="BS429" s="239"/>
      <c r="BT429" s="239"/>
      <c r="BU429" s="239"/>
      <c r="BV429" s="239"/>
      <c r="BW429" s="239"/>
      <c r="BX429" s="239"/>
      <c r="BY429" s="239"/>
      <c r="BZ429" s="239"/>
      <c r="CA429" s="239"/>
      <c r="CB429" s="239"/>
      <c r="CC429" s="239"/>
      <c r="CD429" s="239"/>
      <c r="CE429" s="239"/>
      <c r="CF429" s="239"/>
      <c r="CG429" s="239"/>
    </row>
    <row r="430" spans="1:85" ht="15.75" customHeight="1">
      <c r="A430" s="239"/>
      <c r="B430" s="239"/>
      <c r="C430" s="239"/>
      <c r="D430" s="239"/>
      <c r="E430" s="239"/>
      <c r="F430" s="239"/>
      <c r="G430" s="239"/>
      <c r="H430" s="239"/>
      <c r="I430" s="239"/>
      <c r="J430" s="239"/>
      <c r="K430" s="239"/>
      <c r="L430" s="239"/>
      <c r="M430" s="239"/>
      <c r="N430" s="239"/>
      <c r="O430" s="239"/>
      <c r="P430" s="239"/>
      <c r="Q430" s="239"/>
      <c r="R430" s="239"/>
      <c r="S430" s="239"/>
      <c r="T430" s="239"/>
      <c r="U430" s="239"/>
      <c r="V430" s="239"/>
      <c r="W430" s="239"/>
      <c r="X430" s="239"/>
      <c r="Y430" s="239"/>
      <c r="Z430" s="239"/>
      <c r="AA430" s="239"/>
      <c r="AB430" s="239"/>
      <c r="AC430" s="239"/>
      <c r="AD430" s="239"/>
      <c r="AE430" s="239"/>
      <c r="AF430" s="239"/>
      <c r="AG430" s="239"/>
      <c r="AH430" s="239"/>
      <c r="AI430" s="239"/>
      <c r="AJ430" s="239"/>
      <c r="AK430" s="239"/>
      <c r="AL430" s="239"/>
      <c r="AM430" s="239"/>
      <c r="AN430" s="239"/>
      <c r="AO430" s="239"/>
      <c r="AP430" s="239"/>
      <c r="AQ430" s="239"/>
      <c r="AR430" s="239"/>
      <c r="AS430" s="239"/>
      <c r="AT430" s="239"/>
      <c r="AU430" s="239"/>
      <c r="AV430" s="239"/>
      <c r="AW430" s="239"/>
      <c r="AX430" s="239"/>
      <c r="AY430" s="239"/>
      <c r="AZ430" s="239"/>
      <c r="BA430" s="239"/>
      <c r="BB430" s="239"/>
      <c r="BC430" s="239"/>
      <c r="BD430" s="239"/>
      <c r="BE430" s="239"/>
      <c r="BF430" s="239"/>
      <c r="BG430" s="239"/>
      <c r="BH430" s="239"/>
      <c r="BI430" s="239"/>
      <c r="BJ430" s="239"/>
      <c r="BK430" s="239"/>
      <c r="BL430" s="239"/>
      <c r="BM430" s="239"/>
      <c r="BN430" s="239"/>
      <c r="BO430" s="239"/>
      <c r="BP430" s="239"/>
      <c r="BQ430" s="239"/>
      <c r="BR430" s="239"/>
      <c r="BS430" s="239"/>
      <c r="BT430" s="239"/>
      <c r="BU430" s="239"/>
      <c r="BV430" s="239"/>
      <c r="BW430" s="239"/>
      <c r="BX430" s="239"/>
      <c r="BY430" s="239"/>
      <c r="BZ430" s="239"/>
      <c r="CA430" s="239"/>
      <c r="CB430" s="239"/>
      <c r="CC430" s="239"/>
      <c r="CD430" s="239"/>
      <c r="CE430" s="239"/>
      <c r="CF430" s="239"/>
      <c r="CG430" s="239"/>
    </row>
    <row r="431" spans="1:85" ht="15.75" customHeight="1">
      <c r="A431" s="239"/>
      <c r="B431" s="239"/>
      <c r="C431" s="239"/>
      <c r="D431" s="239"/>
      <c r="E431" s="239"/>
      <c r="F431" s="239"/>
      <c r="G431" s="239"/>
      <c r="H431" s="239"/>
      <c r="I431" s="239"/>
      <c r="J431" s="239"/>
      <c r="K431" s="239"/>
      <c r="L431" s="239"/>
      <c r="M431" s="239"/>
      <c r="N431" s="239"/>
      <c r="O431" s="239"/>
      <c r="P431" s="239"/>
      <c r="Q431" s="239"/>
      <c r="R431" s="239"/>
      <c r="S431" s="239"/>
      <c r="T431" s="239"/>
      <c r="U431" s="239"/>
      <c r="V431" s="239"/>
      <c r="W431" s="239"/>
      <c r="X431" s="239"/>
      <c r="Y431" s="239"/>
      <c r="Z431" s="239"/>
      <c r="AA431" s="239"/>
      <c r="AB431" s="239"/>
      <c r="AC431" s="239"/>
      <c r="AD431" s="239"/>
      <c r="AE431" s="239"/>
      <c r="AF431" s="239"/>
      <c r="AG431" s="239"/>
      <c r="AH431" s="239"/>
      <c r="AI431" s="239"/>
      <c r="AJ431" s="239"/>
      <c r="AK431" s="239"/>
      <c r="AL431" s="239"/>
      <c r="AM431" s="239"/>
      <c r="AN431" s="239"/>
      <c r="AO431" s="239"/>
      <c r="AP431" s="239"/>
      <c r="AQ431" s="239"/>
      <c r="AR431" s="239"/>
      <c r="AS431" s="239"/>
      <c r="AT431" s="239"/>
      <c r="AU431" s="239"/>
      <c r="AV431" s="239"/>
      <c r="AW431" s="239"/>
      <c r="AX431" s="239"/>
      <c r="AY431" s="239"/>
      <c r="AZ431" s="239"/>
      <c r="BA431" s="239"/>
      <c r="BB431" s="239"/>
      <c r="BC431" s="239"/>
      <c r="BD431" s="239"/>
      <c r="BE431" s="239"/>
      <c r="BF431" s="239"/>
      <c r="BG431" s="239"/>
      <c r="BH431" s="239"/>
      <c r="BI431" s="239"/>
      <c r="BJ431" s="239"/>
      <c r="BK431" s="239"/>
      <c r="BL431" s="239"/>
      <c r="BM431" s="239"/>
      <c r="BN431" s="239"/>
      <c r="BO431" s="239"/>
      <c r="BP431" s="239"/>
      <c r="BQ431" s="239"/>
      <c r="BR431" s="239"/>
      <c r="BS431" s="239"/>
      <c r="BT431" s="239"/>
      <c r="BU431" s="239"/>
      <c r="BV431" s="239"/>
      <c r="BW431" s="239"/>
      <c r="BX431" s="239"/>
      <c r="BY431" s="239"/>
      <c r="BZ431" s="239"/>
      <c r="CA431" s="239"/>
      <c r="CB431" s="239"/>
      <c r="CC431" s="239"/>
      <c r="CD431" s="239"/>
      <c r="CE431" s="239"/>
      <c r="CF431" s="239"/>
      <c r="CG431" s="239"/>
    </row>
    <row r="432" spans="1:85" ht="15.75" customHeight="1">
      <c r="A432" s="239"/>
      <c r="B432" s="239"/>
      <c r="C432" s="239"/>
      <c r="D432" s="239"/>
      <c r="E432" s="239"/>
      <c r="F432" s="239"/>
      <c r="G432" s="239"/>
      <c r="H432" s="239"/>
      <c r="I432" s="239"/>
      <c r="J432" s="239"/>
      <c r="K432" s="239"/>
      <c r="L432" s="239"/>
      <c r="M432" s="239"/>
      <c r="N432" s="239"/>
      <c r="O432" s="239"/>
      <c r="P432" s="239"/>
      <c r="Q432" s="239"/>
      <c r="R432" s="239"/>
      <c r="S432" s="239"/>
      <c r="T432" s="239"/>
      <c r="U432" s="239"/>
      <c r="V432" s="239"/>
      <c r="W432" s="239"/>
      <c r="X432" s="239"/>
      <c r="Y432" s="239"/>
      <c r="Z432" s="239"/>
      <c r="AA432" s="239"/>
      <c r="AB432" s="239"/>
      <c r="AC432" s="239"/>
      <c r="AD432" s="239"/>
      <c r="AE432" s="239"/>
      <c r="AF432" s="239"/>
      <c r="AG432" s="239"/>
      <c r="AH432" s="239"/>
      <c r="AI432" s="239"/>
      <c r="AJ432" s="239"/>
      <c r="AK432" s="239"/>
      <c r="AL432" s="239"/>
      <c r="AM432" s="239"/>
      <c r="AN432" s="239"/>
      <c r="AO432" s="239"/>
      <c r="AP432" s="239"/>
      <c r="AQ432" s="239"/>
      <c r="AR432" s="239"/>
      <c r="AS432" s="239"/>
      <c r="AT432" s="239"/>
      <c r="AU432" s="239"/>
      <c r="AV432" s="239"/>
      <c r="AW432" s="239"/>
      <c r="AX432" s="239"/>
      <c r="AY432" s="239"/>
      <c r="AZ432" s="239"/>
      <c r="BA432" s="239"/>
      <c r="BB432" s="239"/>
      <c r="BC432" s="239"/>
      <c r="BD432" s="239"/>
      <c r="BE432" s="239"/>
      <c r="BF432" s="239"/>
      <c r="BG432" s="239"/>
      <c r="BH432" s="239"/>
      <c r="BI432" s="239"/>
      <c r="BJ432" s="239"/>
      <c r="BK432" s="239"/>
      <c r="BL432" s="239"/>
      <c r="BM432" s="239"/>
      <c r="BN432" s="239"/>
      <c r="BO432" s="239"/>
      <c r="BP432" s="239"/>
      <c r="BQ432" s="239"/>
      <c r="BR432" s="239"/>
      <c r="BS432" s="239"/>
      <c r="BT432" s="239"/>
      <c r="BU432" s="239"/>
      <c r="BV432" s="239"/>
      <c r="BW432" s="239"/>
      <c r="BX432" s="239"/>
      <c r="BY432" s="239"/>
      <c r="BZ432" s="239"/>
      <c r="CA432" s="239"/>
      <c r="CB432" s="239"/>
      <c r="CC432" s="239"/>
      <c r="CD432" s="239"/>
      <c r="CE432" s="239"/>
      <c r="CF432" s="239"/>
      <c r="CG432" s="239"/>
    </row>
    <row r="433" spans="1:85" ht="15.75" customHeight="1">
      <c r="A433" s="239"/>
      <c r="B433" s="239"/>
      <c r="C433" s="239"/>
      <c r="D433" s="239"/>
      <c r="E433" s="239"/>
      <c r="F433" s="239"/>
      <c r="G433" s="239"/>
      <c r="H433" s="239"/>
      <c r="I433" s="239"/>
      <c r="J433" s="239"/>
      <c r="K433" s="239"/>
      <c r="L433" s="239"/>
      <c r="M433" s="239"/>
      <c r="N433" s="239"/>
      <c r="O433" s="239"/>
      <c r="P433" s="239"/>
      <c r="Q433" s="239"/>
      <c r="R433" s="239"/>
      <c r="S433" s="239"/>
      <c r="T433" s="239"/>
      <c r="U433" s="239"/>
      <c r="V433" s="239"/>
      <c r="W433" s="239"/>
      <c r="X433" s="239"/>
      <c r="Y433" s="239"/>
      <c r="Z433" s="239"/>
      <c r="AA433" s="239"/>
      <c r="AB433" s="239"/>
      <c r="AC433" s="239"/>
      <c r="AD433" s="239"/>
      <c r="AE433" s="239"/>
      <c r="AF433" s="239"/>
      <c r="AG433" s="239"/>
      <c r="AH433" s="239"/>
      <c r="AI433" s="239"/>
      <c r="AJ433" s="239"/>
      <c r="AK433" s="239"/>
      <c r="AL433" s="239"/>
      <c r="AM433" s="239"/>
      <c r="AN433" s="239"/>
      <c r="AO433" s="239"/>
      <c r="AP433" s="239"/>
      <c r="AQ433" s="239"/>
      <c r="AR433" s="239"/>
      <c r="AS433" s="239"/>
      <c r="AT433" s="239"/>
      <c r="AU433" s="239"/>
      <c r="AV433" s="239"/>
      <c r="AW433" s="239"/>
      <c r="AX433" s="239"/>
      <c r="AY433" s="239"/>
      <c r="AZ433" s="239"/>
      <c r="BA433" s="239"/>
      <c r="BB433" s="239"/>
      <c r="BC433" s="239"/>
      <c r="BD433" s="239"/>
      <c r="BE433" s="239"/>
      <c r="BF433" s="239"/>
      <c r="BG433" s="239"/>
      <c r="BH433" s="239"/>
      <c r="BI433" s="239"/>
      <c r="BJ433" s="239"/>
      <c r="BK433" s="239"/>
      <c r="BL433" s="239"/>
      <c r="BM433" s="239"/>
      <c r="BN433" s="239"/>
      <c r="BO433" s="239"/>
      <c r="BP433" s="239"/>
      <c r="BQ433" s="239"/>
      <c r="BR433" s="239"/>
      <c r="BS433" s="239"/>
      <c r="BT433" s="239"/>
      <c r="BU433" s="239"/>
      <c r="BV433" s="239"/>
      <c r="BW433" s="239"/>
      <c r="BX433" s="239"/>
      <c r="BY433" s="239"/>
      <c r="BZ433" s="239"/>
      <c r="CA433" s="239"/>
      <c r="CB433" s="239"/>
      <c r="CC433" s="239"/>
      <c r="CD433" s="239"/>
      <c r="CE433" s="239"/>
      <c r="CF433" s="239"/>
      <c r="CG433" s="239"/>
    </row>
    <row r="434" spans="1:85" ht="15.75" customHeight="1">
      <c r="A434" s="239"/>
      <c r="B434" s="239"/>
      <c r="C434" s="239"/>
      <c r="D434" s="239"/>
      <c r="E434" s="239"/>
      <c r="F434" s="239"/>
      <c r="G434" s="239"/>
      <c r="H434" s="239"/>
      <c r="I434" s="239"/>
      <c r="J434" s="239"/>
      <c r="K434" s="239"/>
      <c r="L434" s="239"/>
      <c r="M434" s="239"/>
      <c r="N434" s="239"/>
      <c r="O434" s="239"/>
      <c r="P434" s="239"/>
      <c r="Q434" s="239"/>
      <c r="R434" s="239"/>
      <c r="S434" s="239"/>
      <c r="T434" s="239"/>
      <c r="U434" s="239"/>
      <c r="V434" s="239"/>
      <c r="W434" s="239"/>
      <c r="X434" s="239"/>
      <c r="Y434" s="239"/>
      <c r="Z434" s="239"/>
      <c r="AA434" s="239"/>
      <c r="AB434" s="239"/>
      <c r="AC434" s="239"/>
      <c r="AD434" s="239"/>
      <c r="AE434" s="239"/>
      <c r="AF434" s="239"/>
      <c r="AG434" s="239"/>
      <c r="AH434" s="239"/>
      <c r="AI434" s="239"/>
      <c r="AJ434" s="239"/>
      <c r="AK434" s="239"/>
      <c r="AL434" s="239"/>
      <c r="AM434" s="239"/>
      <c r="AN434" s="239"/>
      <c r="AO434" s="239"/>
      <c r="AP434" s="239"/>
      <c r="AQ434" s="239"/>
      <c r="AR434" s="239"/>
      <c r="AS434" s="239"/>
      <c r="AT434" s="239"/>
      <c r="AU434" s="239"/>
      <c r="AV434" s="239"/>
      <c r="AW434" s="239"/>
      <c r="AX434" s="239"/>
      <c r="AY434" s="239"/>
      <c r="AZ434" s="239"/>
      <c r="BA434" s="239"/>
      <c r="BB434" s="239"/>
      <c r="BC434" s="239"/>
      <c r="BD434" s="239"/>
      <c r="BE434" s="239"/>
      <c r="BF434" s="239"/>
      <c r="BG434" s="239"/>
      <c r="BH434" s="239"/>
      <c r="BI434" s="239"/>
      <c r="BJ434" s="239"/>
      <c r="BK434" s="239"/>
      <c r="BL434" s="239"/>
      <c r="BM434" s="239"/>
      <c r="BN434" s="239"/>
      <c r="BO434" s="239"/>
      <c r="BP434" s="239"/>
      <c r="BQ434" s="239"/>
      <c r="BR434" s="239"/>
      <c r="BS434" s="239"/>
      <c r="BT434" s="239"/>
      <c r="BU434" s="239"/>
      <c r="BV434" s="239"/>
      <c r="BW434" s="239"/>
      <c r="BX434" s="239"/>
      <c r="BY434" s="239"/>
      <c r="BZ434" s="239"/>
      <c r="CA434" s="239"/>
      <c r="CB434" s="239"/>
      <c r="CC434" s="239"/>
      <c r="CD434" s="239"/>
      <c r="CE434" s="239"/>
      <c r="CF434" s="239"/>
      <c r="CG434" s="239"/>
    </row>
    <row r="435" spans="1:85" ht="15.75" customHeight="1">
      <c r="A435" s="239"/>
      <c r="B435" s="239"/>
      <c r="C435" s="239"/>
      <c r="D435" s="239"/>
      <c r="E435" s="239"/>
      <c r="F435" s="239"/>
      <c r="G435" s="239"/>
      <c r="H435" s="239"/>
      <c r="I435" s="239"/>
      <c r="J435" s="239"/>
      <c r="K435" s="239"/>
      <c r="L435" s="239"/>
      <c r="M435" s="239"/>
      <c r="N435" s="239"/>
      <c r="O435" s="239"/>
      <c r="P435" s="239"/>
      <c r="Q435" s="239"/>
      <c r="R435" s="239"/>
      <c r="S435" s="239"/>
      <c r="T435" s="239"/>
      <c r="U435" s="239"/>
      <c r="V435" s="239"/>
      <c r="W435" s="239"/>
      <c r="X435" s="239"/>
      <c r="Y435" s="239"/>
      <c r="Z435" s="239"/>
      <c r="AA435" s="239"/>
      <c r="AB435" s="239"/>
      <c r="AC435" s="239"/>
      <c r="AD435" s="239"/>
      <c r="AE435" s="239"/>
      <c r="AF435" s="239"/>
      <c r="AG435" s="239"/>
      <c r="AH435" s="239"/>
      <c r="AI435" s="239"/>
      <c r="AJ435" s="239"/>
      <c r="AK435" s="239"/>
      <c r="AL435" s="239"/>
      <c r="AM435" s="239"/>
      <c r="AN435" s="239"/>
      <c r="AO435" s="239"/>
      <c r="AP435" s="239"/>
      <c r="AQ435" s="239"/>
      <c r="AR435" s="239"/>
      <c r="AS435" s="239"/>
      <c r="AT435" s="239"/>
      <c r="AU435" s="239"/>
      <c r="AV435" s="239"/>
      <c r="AW435" s="239"/>
      <c r="AX435" s="239"/>
      <c r="AY435" s="239"/>
      <c r="AZ435" s="239"/>
      <c r="BA435" s="239"/>
      <c r="BB435" s="239"/>
      <c r="BC435" s="239"/>
      <c r="BD435" s="239"/>
      <c r="BE435" s="239"/>
      <c r="BF435" s="239"/>
      <c r="BG435" s="239"/>
      <c r="BH435" s="239"/>
      <c r="BI435" s="239"/>
      <c r="BJ435" s="239"/>
      <c r="BK435" s="239"/>
      <c r="BL435" s="239"/>
      <c r="BM435" s="239"/>
      <c r="BN435" s="239"/>
      <c r="BO435" s="239"/>
      <c r="BP435" s="239"/>
      <c r="BQ435" s="239"/>
      <c r="BR435" s="239"/>
      <c r="BS435" s="239"/>
      <c r="BT435" s="239"/>
      <c r="BU435" s="239"/>
      <c r="BV435" s="239"/>
      <c r="BW435" s="239"/>
      <c r="BX435" s="239"/>
      <c r="BY435" s="239"/>
      <c r="BZ435" s="239"/>
      <c r="CA435" s="239"/>
      <c r="CB435" s="239"/>
      <c r="CC435" s="239"/>
      <c r="CD435" s="239"/>
      <c r="CE435" s="239"/>
      <c r="CF435" s="239"/>
      <c r="CG435" s="239"/>
    </row>
    <row r="436" spans="1:85" ht="15.75" customHeight="1">
      <c r="A436" s="239"/>
      <c r="B436" s="239"/>
      <c r="C436" s="239"/>
      <c r="D436" s="239"/>
      <c r="E436" s="239"/>
      <c r="F436" s="239"/>
      <c r="G436" s="239"/>
      <c r="H436" s="239"/>
      <c r="I436" s="239"/>
      <c r="J436" s="239"/>
      <c r="K436" s="239"/>
      <c r="L436" s="239"/>
      <c r="M436" s="239"/>
      <c r="N436" s="239"/>
      <c r="O436" s="239"/>
      <c r="P436" s="239"/>
      <c r="Q436" s="239"/>
      <c r="R436" s="239"/>
      <c r="S436" s="239"/>
      <c r="T436" s="239"/>
      <c r="U436" s="239"/>
      <c r="V436" s="239"/>
      <c r="W436" s="239"/>
      <c r="X436" s="239"/>
      <c r="Y436" s="239"/>
      <c r="Z436" s="239"/>
      <c r="AA436" s="239"/>
      <c r="AB436" s="239"/>
      <c r="AC436" s="239"/>
      <c r="AD436" s="239"/>
      <c r="AE436" s="239"/>
      <c r="AF436" s="239"/>
      <c r="AG436" s="239"/>
      <c r="AH436" s="239"/>
      <c r="AI436" s="239"/>
      <c r="AJ436" s="239"/>
      <c r="AK436" s="239"/>
      <c r="AL436" s="239"/>
      <c r="AM436" s="239"/>
      <c r="AN436" s="239"/>
      <c r="AO436" s="239"/>
      <c r="AP436" s="239"/>
      <c r="AQ436" s="239"/>
      <c r="AR436" s="239"/>
      <c r="AS436" s="239"/>
      <c r="AT436" s="239"/>
      <c r="AU436" s="239"/>
      <c r="AV436" s="239"/>
      <c r="AW436" s="239"/>
      <c r="AX436" s="239"/>
      <c r="AY436" s="239"/>
      <c r="AZ436" s="239"/>
      <c r="BA436" s="239"/>
      <c r="BB436" s="239"/>
      <c r="BC436" s="239"/>
      <c r="BD436" s="239"/>
      <c r="BE436" s="239"/>
      <c r="BF436" s="239"/>
      <c r="BG436" s="239"/>
      <c r="BH436" s="239"/>
      <c r="BI436" s="239"/>
      <c r="BJ436" s="239"/>
      <c r="BK436" s="239"/>
      <c r="BL436" s="239"/>
      <c r="BM436" s="239"/>
      <c r="BN436" s="239"/>
      <c r="BO436" s="239"/>
      <c r="BP436" s="239"/>
      <c r="BQ436" s="239"/>
      <c r="BR436" s="239"/>
      <c r="BS436" s="239"/>
      <c r="BT436" s="239"/>
      <c r="BU436" s="239"/>
      <c r="BV436" s="239"/>
      <c r="BW436" s="239"/>
      <c r="BX436" s="239"/>
      <c r="BY436" s="239"/>
      <c r="BZ436" s="239"/>
      <c r="CA436" s="239"/>
      <c r="CB436" s="239"/>
      <c r="CC436" s="239"/>
      <c r="CD436" s="239"/>
      <c r="CE436" s="239"/>
      <c r="CF436" s="239"/>
      <c r="CG436" s="239"/>
    </row>
    <row r="437" spans="1:85" ht="15.75" customHeight="1">
      <c r="A437" s="239"/>
      <c r="B437" s="239"/>
      <c r="C437" s="239"/>
      <c r="D437" s="239"/>
      <c r="E437" s="239"/>
      <c r="F437" s="239"/>
      <c r="G437" s="239"/>
      <c r="H437" s="239"/>
      <c r="I437" s="239"/>
      <c r="J437" s="239"/>
      <c r="K437" s="239"/>
      <c r="L437" s="239"/>
      <c r="M437" s="239"/>
      <c r="N437" s="239"/>
      <c r="O437" s="239"/>
      <c r="P437" s="239"/>
      <c r="Q437" s="239"/>
      <c r="R437" s="239"/>
      <c r="S437" s="239"/>
      <c r="T437" s="239"/>
      <c r="U437" s="239"/>
      <c r="V437" s="239"/>
      <c r="W437" s="239"/>
      <c r="X437" s="239"/>
      <c r="Y437" s="239"/>
      <c r="Z437" s="239"/>
      <c r="AA437" s="239"/>
      <c r="AB437" s="239"/>
      <c r="AC437" s="239"/>
      <c r="AD437" s="239"/>
      <c r="AE437" s="239"/>
      <c r="AF437" s="239"/>
      <c r="AG437" s="239"/>
      <c r="AH437" s="239"/>
      <c r="AI437" s="239"/>
      <c r="AJ437" s="239"/>
      <c r="AK437" s="239"/>
      <c r="AL437" s="239"/>
      <c r="AM437" s="239"/>
      <c r="AN437" s="239"/>
      <c r="AO437" s="239"/>
      <c r="AP437" s="239"/>
      <c r="AQ437" s="239"/>
      <c r="AR437" s="239"/>
      <c r="AS437" s="239"/>
      <c r="AT437" s="239"/>
      <c r="AU437" s="239"/>
      <c r="AV437" s="239"/>
      <c r="AW437" s="239"/>
      <c r="AX437" s="239"/>
      <c r="AY437" s="239"/>
      <c r="AZ437" s="239"/>
      <c r="BA437" s="239"/>
      <c r="BB437" s="239"/>
      <c r="BC437" s="239"/>
      <c r="BD437" s="239"/>
      <c r="BE437" s="239"/>
      <c r="BF437" s="239"/>
      <c r="BG437" s="239"/>
      <c r="BH437" s="239"/>
      <c r="BI437" s="239"/>
      <c r="BJ437" s="239"/>
      <c r="BK437" s="239"/>
      <c r="BL437" s="239"/>
      <c r="BM437" s="239"/>
      <c r="BN437" s="239"/>
      <c r="BO437" s="239"/>
      <c r="BP437" s="239"/>
      <c r="BQ437" s="239"/>
      <c r="BR437" s="239"/>
      <c r="BS437" s="239"/>
      <c r="BT437" s="239"/>
      <c r="BU437" s="239"/>
      <c r="BV437" s="239"/>
      <c r="BW437" s="239"/>
      <c r="BX437" s="239"/>
      <c r="BY437" s="239"/>
      <c r="BZ437" s="239"/>
      <c r="CA437" s="239"/>
      <c r="CB437" s="239"/>
      <c r="CC437" s="239"/>
      <c r="CD437" s="239"/>
      <c r="CE437" s="239"/>
      <c r="CF437" s="239"/>
      <c r="CG437" s="239"/>
    </row>
    <row r="438" spans="1:85" ht="15.75" customHeight="1">
      <c r="A438" s="239"/>
      <c r="B438" s="239"/>
      <c r="C438" s="239"/>
      <c r="D438" s="239"/>
      <c r="E438" s="239"/>
      <c r="F438" s="239"/>
      <c r="G438" s="239"/>
      <c r="H438" s="239"/>
      <c r="I438" s="239"/>
      <c r="J438" s="239"/>
      <c r="K438" s="239"/>
      <c r="L438" s="239"/>
      <c r="M438" s="239"/>
      <c r="N438" s="239"/>
      <c r="O438" s="239"/>
      <c r="P438" s="239"/>
      <c r="Q438" s="239"/>
      <c r="R438" s="239"/>
      <c r="S438" s="239"/>
      <c r="T438" s="239"/>
      <c r="U438" s="239"/>
      <c r="V438" s="239"/>
      <c r="W438" s="239"/>
      <c r="X438" s="239"/>
      <c r="Y438" s="239"/>
      <c r="Z438" s="239"/>
      <c r="AA438" s="239"/>
      <c r="AB438" s="239"/>
      <c r="AC438" s="239"/>
      <c r="AD438" s="239"/>
      <c r="AE438" s="239"/>
      <c r="AF438" s="239"/>
      <c r="AG438" s="239"/>
      <c r="AH438" s="239"/>
      <c r="AI438" s="239"/>
      <c r="AJ438" s="239"/>
      <c r="AK438" s="239"/>
      <c r="AL438" s="239"/>
      <c r="AM438" s="239"/>
      <c r="AN438" s="239"/>
      <c r="AO438" s="239"/>
      <c r="AP438" s="239"/>
      <c r="AQ438" s="239"/>
      <c r="AR438" s="239"/>
      <c r="AS438" s="239"/>
      <c r="AT438" s="239"/>
      <c r="AU438" s="239"/>
      <c r="AV438" s="239"/>
      <c r="AW438" s="239"/>
      <c r="AX438" s="239"/>
      <c r="AY438" s="239"/>
      <c r="AZ438" s="239"/>
      <c r="BA438" s="239"/>
      <c r="BB438" s="239"/>
      <c r="BC438" s="239"/>
      <c r="BD438" s="239"/>
      <c r="BE438" s="239"/>
      <c r="BF438" s="239"/>
      <c r="BG438" s="239"/>
      <c r="BH438" s="239"/>
      <c r="BI438" s="239"/>
      <c r="BJ438" s="239"/>
      <c r="BK438" s="239"/>
      <c r="BL438" s="239"/>
      <c r="BM438" s="239"/>
      <c r="BN438" s="239"/>
      <c r="BO438" s="239"/>
      <c r="BP438" s="239"/>
      <c r="BQ438" s="239"/>
      <c r="BR438" s="239"/>
      <c r="BS438" s="239"/>
      <c r="BT438" s="239"/>
      <c r="BU438" s="239"/>
      <c r="BV438" s="239"/>
      <c r="BW438" s="239"/>
      <c r="BX438" s="239"/>
      <c r="BY438" s="239"/>
      <c r="BZ438" s="239"/>
      <c r="CA438" s="239"/>
      <c r="CB438" s="239"/>
      <c r="CC438" s="239"/>
      <c r="CD438" s="239"/>
      <c r="CE438" s="239"/>
      <c r="CF438" s="239"/>
      <c r="CG438" s="239"/>
    </row>
    <row r="439" spans="1:85" ht="15.75" customHeight="1">
      <c r="A439" s="239"/>
      <c r="B439" s="239"/>
      <c r="C439" s="239"/>
      <c r="D439" s="239"/>
      <c r="E439" s="239"/>
      <c r="F439" s="239"/>
      <c r="G439" s="239"/>
      <c r="H439" s="239"/>
      <c r="I439" s="239"/>
      <c r="J439" s="239"/>
      <c r="K439" s="239"/>
      <c r="L439" s="239"/>
      <c r="M439" s="239"/>
      <c r="N439" s="239"/>
      <c r="O439" s="239"/>
      <c r="P439" s="239"/>
      <c r="Q439" s="239"/>
      <c r="R439" s="239"/>
      <c r="S439" s="239"/>
      <c r="T439" s="239"/>
      <c r="U439" s="239"/>
      <c r="V439" s="239"/>
      <c r="W439" s="239"/>
      <c r="X439" s="239"/>
      <c r="Y439" s="239"/>
      <c r="Z439" s="239"/>
      <c r="AA439" s="239"/>
      <c r="AB439" s="239"/>
      <c r="AC439" s="239"/>
      <c r="AD439" s="239"/>
      <c r="AE439" s="239"/>
      <c r="AF439" s="239"/>
      <c r="AG439" s="239"/>
      <c r="AH439" s="239"/>
      <c r="AI439" s="239"/>
      <c r="AJ439" s="239"/>
      <c r="AK439" s="239"/>
      <c r="AL439" s="239"/>
      <c r="AM439" s="239"/>
      <c r="AN439" s="239"/>
      <c r="AO439" s="239"/>
      <c r="AP439" s="239"/>
      <c r="AQ439" s="239"/>
      <c r="AR439" s="239"/>
      <c r="AS439" s="239"/>
      <c r="AT439" s="239"/>
      <c r="AU439" s="239"/>
      <c r="AV439" s="239"/>
      <c r="AW439" s="239"/>
      <c r="AX439" s="239"/>
      <c r="AY439" s="239"/>
      <c r="AZ439" s="239"/>
      <c r="BA439" s="239"/>
      <c r="BB439" s="239"/>
      <c r="BC439" s="239"/>
      <c r="BD439" s="239"/>
      <c r="BE439" s="239"/>
      <c r="BF439" s="239"/>
      <c r="BG439" s="239"/>
      <c r="BH439" s="239"/>
      <c r="BI439" s="239"/>
      <c r="BJ439" s="239"/>
      <c r="BK439" s="239"/>
      <c r="BL439" s="239"/>
      <c r="BM439" s="239"/>
      <c r="BN439" s="239"/>
      <c r="BO439" s="239"/>
      <c r="BP439" s="239"/>
      <c r="BQ439" s="239"/>
      <c r="BR439" s="239"/>
      <c r="BS439" s="239"/>
      <c r="BT439" s="239"/>
      <c r="BU439" s="239"/>
      <c r="BV439" s="239"/>
      <c r="BW439" s="239"/>
      <c r="BX439" s="239"/>
      <c r="BY439" s="239"/>
      <c r="BZ439" s="239"/>
      <c r="CA439" s="239"/>
      <c r="CB439" s="239"/>
      <c r="CC439" s="239"/>
      <c r="CD439" s="239"/>
      <c r="CE439" s="239"/>
      <c r="CF439" s="239"/>
      <c r="CG439" s="239"/>
    </row>
    <row r="440" spans="1:85" ht="15.75" customHeight="1">
      <c r="A440" s="239"/>
      <c r="B440" s="239"/>
      <c r="C440" s="239"/>
      <c r="D440" s="239"/>
      <c r="E440" s="239"/>
      <c r="F440" s="239"/>
      <c r="G440" s="239"/>
      <c r="H440" s="239"/>
      <c r="I440" s="239"/>
      <c r="J440" s="239"/>
      <c r="K440" s="239"/>
      <c r="L440" s="239"/>
      <c r="M440" s="239"/>
      <c r="N440" s="239"/>
      <c r="O440" s="239"/>
      <c r="P440" s="239"/>
      <c r="Q440" s="239"/>
      <c r="R440" s="239"/>
      <c r="S440" s="239"/>
      <c r="T440" s="239"/>
      <c r="U440" s="239"/>
      <c r="V440" s="239"/>
      <c r="W440" s="239"/>
      <c r="X440" s="239"/>
      <c r="Y440" s="239"/>
      <c r="Z440" s="239"/>
      <c r="AA440" s="239"/>
      <c r="AB440" s="239"/>
      <c r="AC440" s="239"/>
      <c r="AD440" s="239"/>
      <c r="AE440" s="239"/>
      <c r="AF440" s="239"/>
      <c r="AG440" s="239"/>
      <c r="AH440" s="239"/>
      <c r="AI440" s="239"/>
      <c r="AJ440" s="239"/>
      <c r="AK440" s="239"/>
      <c r="AL440" s="239"/>
      <c r="AM440" s="239"/>
      <c r="AN440" s="239"/>
      <c r="AO440" s="239"/>
      <c r="AP440" s="239"/>
      <c r="AQ440" s="239"/>
      <c r="AR440" s="239"/>
      <c r="AS440" s="239"/>
      <c r="AT440" s="239"/>
      <c r="AU440" s="239"/>
      <c r="AV440" s="239"/>
      <c r="AW440" s="239"/>
      <c r="AX440" s="239"/>
      <c r="AY440" s="239"/>
      <c r="AZ440" s="239"/>
      <c r="BA440" s="239"/>
      <c r="BB440" s="239"/>
      <c r="BC440" s="239"/>
      <c r="BD440" s="239"/>
      <c r="BE440" s="239"/>
      <c r="BF440" s="239"/>
      <c r="BG440" s="239"/>
      <c r="BH440" s="239"/>
      <c r="BI440" s="239"/>
      <c r="BJ440" s="239"/>
      <c r="BK440" s="239"/>
      <c r="BL440" s="239"/>
      <c r="BM440" s="239"/>
      <c r="BN440" s="239"/>
      <c r="BO440" s="239"/>
      <c r="BP440" s="239"/>
      <c r="BQ440" s="239"/>
      <c r="BR440" s="239"/>
      <c r="BS440" s="239"/>
      <c r="BT440" s="239"/>
      <c r="BU440" s="239"/>
      <c r="BV440" s="239"/>
      <c r="BW440" s="239"/>
      <c r="BX440" s="239"/>
      <c r="BY440" s="239"/>
      <c r="BZ440" s="239"/>
      <c r="CA440" s="239"/>
      <c r="CB440" s="239"/>
      <c r="CC440" s="239"/>
      <c r="CD440" s="239"/>
      <c r="CE440" s="239"/>
      <c r="CF440" s="239"/>
      <c r="CG440" s="239"/>
    </row>
    <row r="441" spans="1:85" ht="15.75" customHeight="1">
      <c r="A441" s="239"/>
      <c r="B441" s="239"/>
      <c r="C441" s="239"/>
      <c r="D441" s="239"/>
      <c r="E441" s="239"/>
      <c r="F441" s="239"/>
      <c r="G441" s="239"/>
      <c r="H441" s="239"/>
      <c r="I441" s="239"/>
      <c r="J441" s="239"/>
      <c r="K441" s="239"/>
      <c r="L441" s="239"/>
      <c r="M441" s="239"/>
      <c r="N441" s="239"/>
      <c r="O441" s="239"/>
      <c r="P441" s="239"/>
      <c r="Q441" s="239"/>
      <c r="R441" s="239"/>
      <c r="S441" s="239"/>
      <c r="T441" s="239"/>
      <c r="U441" s="239"/>
      <c r="V441" s="239"/>
      <c r="W441" s="239"/>
      <c r="X441" s="239"/>
      <c r="Y441" s="239"/>
      <c r="Z441" s="239"/>
      <c r="AA441" s="239"/>
      <c r="AB441" s="239"/>
      <c r="AC441" s="239"/>
      <c r="AD441" s="239"/>
      <c r="AE441" s="239"/>
      <c r="AF441" s="239"/>
      <c r="AG441" s="239"/>
      <c r="AH441" s="239"/>
      <c r="AI441" s="239"/>
      <c r="AJ441" s="239"/>
      <c r="AK441" s="239"/>
      <c r="AL441" s="239"/>
      <c r="AM441" s="239"/>
      <c r="AN441" s="239"/>
      <c r="AO441" s="239"/>
      <c r="AP441" s="239"/>
      <c r="AQ441" s="239"/>
      <c r="AR441" s="239"/>
      <c r="AS441" s="239"/>
      <c r="AT441" s="239"/>
      <c r="AU441" s="239"/>
      <c r="AV441" s="239"/>
      <c r="AW441" s="239"/>
      <c r="AX441" s="239"/>
      <c r="AY441" s="239"/>
      <c r="AZ441" s="239"/>
      <c r="BA441" s="239"/>
      <c r="BB441" s="239"/>
      <c r="BC441" s="239"/>
      <c r="BD441" s="239"/>
      <c r="BE441" s="239"/>
      <c r="BF441" s="239"/>
      <c r="BG441" s="239"/>
      <c r="BH441" s="239"/>
      <c r="BI441" s="239"/>
      <c r="BJ441" s="239"/>
      <c r="BK441" s="239"/>
      <c r="BL441" s="239"/>
      <c r="BM441" s="239"/>
      <c r="BN441" s="239"/>
      <c r="BO441" s="239"/>
      <c r="BP441" s="239"/>
      <c r="BQ441" s="239"/>
      <c r="BR441" s="239"/>
      <c r="BS441" s="239"/>
      <c r="BT441" s="239"/>
      <c r="BU441" s="239"/>
      <c r="BV441" s="239"/>
      <c r="BW441" s="239"/>
      <c r="BX441" s="239"/>
      <c r="BY441" s="239"/>
      <c r="BZ441" s="239"/>
      <c r="CA441" s="239"/>
      <c r="CB441" s="239"/>
      <c r="CC441" s="239"/>
      <c r="CD441" s="239"/>
      <c r="CE441" s="239"/>
      <c r="CF441" s="239"/>
      <c r="CG441" s="239"/>
    </row>
    <row r="442" spans="1:85" ht="15.75" customHeight="1">
      <c r="A442" s="239"/>
      <c r="B442" s="239"/>
      <c r="C442" s="239"/>
      <c r="D442" s="239"/>
      <c r="E442" s="239"/>
      <c r="F442" s="239"/>
      <c r="G442" s="239"/>
      <c r="H442" s="239"/>
      <c r="I442" s="239"/>
      <c r="J442" s="239"/>
      <c r="K442" s="239"/>
      <c r="L442" s="239"/>
      <c r="M442" s="239"/>
      <c r="N442" s="239"/>
      <c r="O442" s="239"/>
      <c r="P442" s="239"/>
      <c r="Q442" s="239"/>
      <c r="R442" s="239"/>
      <c r="S442" s="239"/>
      <c r="T442" s="239"/>
      <c r="U442" s="239"/>
      <c r="V442" s="239"/>
      <c r="W442" s="239"/>
      <c r="X442" s="239"/>
      <c r="Y442" s="239"/>
      <c r="Z442" s="239"/>
      <c r="AA442" s="239"/>
      <c r="AB442" s="239"/>
      <c r="AC442" s="239"/>
      <c r="AD442" s="239"/>
      <c r="AE442" s="239"/>
      <c r="AF442" s="239"/>
      <c r="AG442" s="239"/>
      <c r="AH442" s="239"/>
      <c r="AI442" s="239"/>
      <c r="AJ442" s="239"/>
      <c r="AK442" s="239"/>
      <c r="AL442" s="239"/>
      <c r="AM442" s="239"/>
      <c r="AN442" s="239"/>
      <c r="AO442" s="239"/>
      <c r="AP442" s="239"/>
      <c r="AQ442" s="239"/>
      <c r="AR442" s="239"/>
      <c r="AS442" s="239"/>
      <c r="AT442" s="239"/>
      <c r="AU442" s="239"/>
      <c r="AV442" s="239"/>
      <c r="AW442" s="239"/>
      <c r="AX442" s="239"/>
      <c r="AY442" s="239"/>
      <c r="AZ442" s="239"/>
      <c r="BA442" s="239"/>
      <c r="BB442" s="239"/>
      <c r="BC442" s="239"/>
      <c r="BD442" s="239"/>
      <c r="BE442" s="239"/>
      <c r="BF442" s="239"/>
      <c r="BG442" s="239"/>
      <c r="BH442" s="239"/>
      <c r="BI442" s="239"/>
      <c r="BJ442" s="239"/>
      <c r="BK442" s="239"/>
      <c r="BL442" s="239"/>
      <c r="BM442" s="239"/>
      <c r="BN442" s="239"/>
      <c r="BO442" s="239"/>
      <c r="BP442" s="239"/>
      <c r="BQ442" s="239"/>
      <c r="BR442" s="239"/>
      <c r="BS442" s="239"/>
      <c r="BT442" s="239"/>
      <c r="BU442" s="239"/>
      <c r="BV442" s="239"/>
      <c r="BW442" s="239"/>
      <c r="BX442" s="239"/>
      <c r="BY442" s="239"/>
      <c r="BZ442" s="239"/>
      <c r="CA442" s="239"/>
      <c r="CB442" s="239"/>
      <c r="CC442" s="239"/>
      <c r="CD442" s="239"/>
      <c r="CE442" s="239"/>
      <c r="CF442" s="239"/>
      <c r="CG442" s="239"/>
    </row>
    <row r="443" spans="1:85" ht="15.75" customHeight="1">
      <c r="A443" s="239"/>
      <c r="B443" s="239"/>
      <c r="C443" s="239"/>
      <c r="D443" s="239"/>
      <c r="E443" s="239"/>
      <c r="F443" s="239"/>
      <c r="G443" s="239"/>
      <c r="H443" s="239"/>
      <c r="I443" s="239"/>
      <c r="J443" s="239"/>
      <c r="K443" s="239"/>
      <c r="L443" s="239"/>
      <c r="M443" s="239"/>
      <c r="N443" s="239"/>
      <c r="O443" s="239"/>
      <c r="P443" s="239"/>
      <c r="Q443" s="239"/>
      <c r="R443" s="239"/>
      <c r="S443" s="239"/>
      <c r="T443" s="239"/>
      <c r="U443" s="239"/>
      <c r="V443" s="239"/>
      <c r="W443" s="239"/>
      <c r="X443" s="239"/>
      <c r="Y443" s="239"/>
      <c r="Z443" s="239"/>
      <c r="AA443" s="239"/>
      <c r="AB443" s="239"/>
      <c r="AC443" s="239"/>
      <c r="AD443" s="239"/>
      <c r="AE443" s="239"/>
      <c r="AF443" s="239"/>
      <c r="AG443" s="239"/>
      <c r="AH443" s="239"/>
      <c r="AI443" s="239"/>
      <c r="AJ443" s="239"/>
      <c r="AK443" s="239"/>
      <c r="AL443" s="239"/>
      <c r="AM443" s="239"/>
      <c r="AN443" s="239"/>
      <c r="AO443" s="239"/>
      <c r="AP443" s="239"/>
      <c r="AQ443" s="239"/>
      <c r="AR443" s="239"/>
      <c r="AS443" s="239"/>
      <c r="AT443" s="239"/>
      <c r="AU443" s="239"/>
      <c r="AV443" s="239"/>
      <c r="AW443" s="239"/>
      <c r="AX443" s="239"/>
      <c r="AY443" s="239"/>
      <c r="AZ443" s="239"/>
      <c r="BA443" s="239"/>
      <c r="BB443" s="239"/>
      <c r="BC443" s="239"/>
      <c r="BD443" s="239"/>
      <c r="BE443" s="239"/>
      <c r="BF443" s="239"/>
      <c r="BG443" s="239"/>
      <c r="BH443" s="239"/>
      <c r="BI443" s="239"/>
      <c r="BJ443" s="239"/>
      <c r="BK443" s="239"/>
      <c r="BL443" s="239"/>
      <c r="BM443" s="239"/>
      <c r="BN443" s="239"/>
      <c r="BO443" s="239"/>
      <c r="BP443" s="239"/>
      <c r="BQ443" s="239"/>
      <c r="BR443" s="239"/>
      <c r="BS443" s="239"/>
      <c r="BT443" s="239"/>
      <c r="BU443" s="239"/>
      <c r="BV443" s="239"/>
      <c r="BW443" s="239"/>
      <c r="BX443" s="239"/>
      <c r="BY443" s="239"/>
      <c r="BZ443" s="239"/>
      <c r="CA443" s="239"/>
      <c r="CB443" s="239"/>
      <c r="CC443" s="239"/>
      <c r="CD443" s="239"/>
      <c r="CE443" s="239"/>
      <c r="CF443" s="239"/>
      <c r="CG443" s="239"/>
    </row>
    <row r="444" spans="1:85" ht="15.75" customHeight="1">
      <c r="A444" s="239"/>
      <c r="B444" s="239"/>
      <c r="C444" s="239"/>
      <c r="D444" s="239"/>
      <c r="E444" s="239"/>
      <c r="F444" s="239"/>
      <c r="G444" s="239"/>
      <c r="H444" s="239"/>
      <c r="I444" s="239"/>
      <c r="J444" s="239"/>
      <c r="K444" s="239"/>
      <c r="L444" s="239"/>
      <c r="M444" s="239"/>
      <c r="N444" s="239"/>
      <c r="O444" s="239"/>
      <c r="P444" s="239"/>
      <c r="Q444" s="239"/>
      <c r="R444" s="239"/>
      <c r="S444" s="239"/>
      <c r="T444" s="239"/>
      <c r="U444" s="239"/>
      <c r="V444" s="239"/>
      <c r="W444" s="239"/>
      <c r="X444" s="239"/>
      <c r="Y444" s="239"/>
      <c r="Z444" s="239"/>
      <c r="AA444" s="239"/>
      <c r="AB444" s="239"/>
      <c r="AC444" s="239"/>
      <c r="AD444" s="239"/>
      <c r="AE444" s="239"/>
      <c r="AF444" s="239"/>
      <c r="AG444" s="239"/>
      <c r="AH444" s="239"/>
      <c r="AI444" s="239"/>
      <c r="AJ444" s="239"/>
      <c r="AK444" s="239"/>
      <c r="AL444" s="239"/>
      <c r="AM444" s="239"/>
      <c r="AN444" s="239"/>
      <c r="AO444" s="239"/>
      <c r="AP444" s="239"/>
      <c r="AQ444" s="239"/>
      <c r="AR444" s="239"/>
      <c r="AS444" s="239"/>
      <c r="AT444" s="239"/>
      <c r="AU444" s="239"/>
      <c r="AV444" s="239"/>
      <c r="AW444" s="239"/>
      <c r="AX444" s="239"/>
      <c r="AY444" s="239"/>
      <c r="AZ444" s="239"/>
      <c r="BA444" s="239"/>
      <c r="BB444" s="239"/>
      <c r="BC444" s="239"/>
      <c r="BD444" s="239"/>
      <c r="BE444" s="239"/>
      <c r="BF444" s="239"/>
      <c r="BG444" s="239"/>
      <c r="BH444" s="239"/>
      <c r="BI444" s="239"/>
      <c r="BJ444" s="239"/>
      <c r="BK444" s="239"/>
      <c r="BL444" s="239"/>
      <c r="BM444" s="239"/>
      <c r="BN444" s="239"/>
      <c r="BO444" s="239"/>
      <c r="BP444" s="239"/>
      <c r="BQ444" s="239"/>
      <c r="BR444" s="239"/>
      <c r="BS444" s="239"/>
      <c r="BT444" s="239"/>
      <c r="BU444" s="239"/>
      <c r="BV444" s="239"/>
      <c r="BW444" s="239"/>
      <c r="BX444" s="239"/>
      <c r="BY444" s="239"/>
      <c r="BZ444" s="239"/>
      <c r="CA444" s="239"/>
      <c r="CB444" s="239"/>
      <c r="CC444" s="239"/>
      <c r="CD444" s="239"/>
      <c r="CE444" s="239"/>
      <c r="CF444" s="239"/>
      <c r="CG444" s="239"/>
    </row>
    <row r="445" spans="1:85" ht="15.75" customHeight="1">
      <c r="A445" s="239"/>
      <c r="B445" s="239"/>
      <c r="C445" s="239"/>
      <c r="D445" s="239"/>
      <c r="E445" s="239"/>
      <c r="F445" s="239"/>
      <c r="G445" s="239"/>
      <c r="H445" s="239"/>
      <c r="I445" s="239"/>
      <c r="J445" s="239"/>
      <c r="K445" s="239"/>
      <c r="L445" s="239"/>
      <c r="M445" s="239"/>
      <c r="N445" s="239"/>
      <c r="O445" s="239"/>
      <c r="P445" s="239"/>
      <c r="Q445" s="239"/>
      <c r="R445" s="239"/>
      <c r="S445" s="239"/>
      <c r="T445" s="239"/>
      <c r="U445" s="239"/>
      <c r="V445" s="239"/>
      <c r="W445" s="239"/>
      <c r="X445" s="239"/>
      <c r="Y445" s="239"/>
      <c r="Z445" s="239"/>
      <c r="AA445" s="239"/>
      <c r="AB445" s="239"/>
      <c r="AC445" s="239"/>
      <c r="AD445" s="239"/>
      <c r="AE445" s="239"/>
      <c r="AF445" s="239"/>
      <c r="AG445" s="239"/>
      <c r="AH445" s="239"/>
      <c r="AI445" s="239"/>
      <c r="AJ445" s="239"/>
      <c r="AK445" s="239"/>
      <c r="AL445" s="239"/>
      <c r="AM445" s="239"/>
      <c r="AN445" s="239"/>
      <c r="AO445" s="239"/>
      <c r="AP445" s="239"/>
      <c r="AQ445" s="239"/>
      <c r="AR445" s="239"/>
      <c r="AS445" s="239"/>
      <c r="AT445" s="239"/>
      <c r="AU445" s="239"/>
      <c r="AV445" s="239"/>
      <c r="AW445" s="239"/>
      <c r="AX445" s="239"/>
      <c r="AY445" s="239"/>
      <c r="AZ445" s="239"/>
      <c r="BA445" s="239"/>
      <c r="BB445" s="239"/>
      <c r="BC445" s="239"/>
      <c r="BD445" s="239"/>
      <c r="BE445" s="239"/>
      <c r="BF445" s="239"/>
      <c r="BG445" s="239"/>
      <c r="BH445" s="239"/>
      <c r="BI445" s="239"/>
      <c r="BJ445" s="239"/>
      <c r="BK445" s="239"/>
      <c r="BL445" s="239"/>
      <c r="BM445" s="239"/>
      <c r="BN445" s="239"/>
      <c r="BO445" s="239"/>
      <c r="BP445" s="239"/>
      <c r="BQ445" s="239"/>
      <c r="BR445" s="239"/>
      <c r="BS445" s="239"/>
      <c r="BT445" s="239"/>
      <c r="BU445" s="239"/>
      <c r="BV445" s="239"/>
      <c r="BW445" s="239"/>
      <c r="BX445" s="239"/>
      <c r="BY445" s="239"/>
      <c r="BZ445" s="239"/>
      <c r="CA445" s="239"/>
      <c r="CB445" s="239"/>
      <c r="CC445" s="239"/>
      <c r="CD445" s="239"/>
      <c r="CE445" s="239"/>
      <c r="CF445" s="239"/>
      <c r="CG445" s="239"/>
    </row>
    <row r="446" spans="1:85" ht="15.75" customHeight="1">
      <c r="A446" s="239"/>
      <c r="B446" s="239"/>
      <c r="C446" s="239"/>
      <c r="D446" s="239"/>
      <c r="E446" s="239"/>
      <c r="F446" s="239"/>
      <c r="G446" s="239"/>
      <c r="H446" s="239"/>
      <c r="I446" s="239"/>
      <c r="J446" s="239"/>
      <c r="K446" s="239"/>
      <c r="L446" s="239"/>
      <c r="M446" s="239"/>
      <c r="N446" s="239"/>
      <c r="O446" s="239"/>
      <c r="P446" s="239"/>
      <c r="Q446" s="239"/>
      <c r="R446" s="239"/>
      <c r="S446" s="239"/>
      <c r="T446" s="239"/>
      <c r="U446" s="239"/>
      <c r="V446" s="239"/>
      <c r="W446" s="239"/>
      <c r="X446" s="239"/>
      <c r="Y446" s="239"/>
      <c r="Z446" s="239"/>
      <c r="AA446" s="239"/>
      <c r="AB446" s="239"/>
      <c r="AC446" s="239"/>
      <c r="AD446" s="239"/>
      <c r="AE446" s="239"/>
      <c r="AF446" s="239"/>
      <c r="AG446" s="239"/>
      <c r="AH446" s="239"/>
      <c r="AI446" s="239"/>
      <c r="AJ446" s="239"/>
      <c r="AK446" s="239"/>
      <c r="AL446" s="239"/>
      <c r="AM446" s="239"/>
      <c r="AN446" s="239"/>
      <c r="AO446" s="239"/>
      <c r="AP446" s="239"/>
      <c r="AQ446" s="239"/>
      <c r="AR446" s="239"/>
      <c r="AS446" s="239"/>
      <c r="AT446" s="239"/>
      <c r="AU446" s="239"/>
      <c r="AV446" s="239"/>
      <c r="AW446" s="239"/>
      <c r="AX446" s="239"/>
      <c r="AY446" s="239"/>
      <c r="AZ446" s="239"/>
      <c r="BA446" s="239"/>
      <c r="BB446" s="239"/>
      <c r="BC446" s="239"/>
      <c r="BD446" s="239"/>
      <c r="BE446" s="239"/>
      <c r="BF446" s="239"/>
      <c r="BG446" s="239"/>
      <c r="BH446" s="239"/>
      <c r="BI446" s="239"/>
      <c r="BJ446" s="239"/>
      <c r="BK446" s="239"/>
      <c r="BL446" s="239"/>
      <c r="BM446" s="239"/>
      <c r="BN446" s="239"/>
      <c r="BO446" s="239"/>
      <c r="BP446" s="239"/>
      <c r="BQ446" s="239"/>
      <c r="BR446" s="239"/>
      <c r="BS446" s="239"/>
      <c r="BT446" s="239"/>
      <c r="BU446" s="239"/>
      <c r="BV446" s="239"/>
      <c r="BW446" s="239"/>
      <c r="BX446" s="239"/>
      <c r="BY446" s="239"/>
      <c r="BZ446" s="239"/>
      <c r="CA446" s="239"/>
      <c r="CB446" s="239"/>
      <c r="CC446" s="239"/>
      <c r="CD446" s="239"/>
      <c r="CE446" s="239"/>
      <c r="CF446" s="239"/>
      <c r="CG446" s="239"/>
    </row>
    <row r="447" spans="1:85" ht="15.75" customHeight="1">
      <c r="A447" s="239"/>
      <c r="B447" s="239"/>
      <c r="C447" s="239"/>
      <c r="D447" s="239"/>
      <c r="E447" s="239"/>
      <c r="F447" s="239"/>
      <c r="G447" s="239"/>
      <c r="H447" s="239"/>
      <c r="I447" s="239"/>
      <c r="J447" s="239"/>
      <c r="K447" s="239"/>
      <c r="L447" s="239"/>
      <c r="M447" s="239"/>
      <c r="N447" s="239"/>
      <c r="O447" s="239"/>
      <c r="P447" s="239"/>
      <c r="Q447" s="239"/>
      <c r="R447" s="239"/>
      <c r="S447" s="239"/>
      <c r="T447" s="239"/>
      <c r="U447" s="239"/>
      <c r="V447" s="239"/>
      <c r="W447" s="239"/>
      <c r="X447" s="239"/>
      <c r="Y447" s="239"/>
      <c r="Z447" s="239"/>
      <c r="AA447" s="239"/>
      <c r="AB447" s="239"/>
      <c r="AC447" s="239"/>
      <c r="AD447" s="239"/>
      <c r="AE447" s="239"/>
      <c r="AF447" s="239"/>
      <c r="AG447" s="239"/>
      <c r="AH447" s="239"/>
      <c r="AI447" s="239"/>
      <c r="AJ447" s="239"/>
      <c r="AK447" s="239"/>
      <c r="AL447" s="239"/>
      <c r="AM447" s="239"/>
      <c r="AN447" s="239"/>
      <c r="AO447" s="239"/>
      <c r="AP447" s="239"/>
      <c r="AQ447" s="239"/>
      <c r="AR447" s="239"/>
      <c r="AS447" s="239"/>
      <c r="AT447" s="239"/>
      <c r="AU447" s="239"/>
      <c r="AV447" s="239"/>
      <c r="AW447" s="239"/>
      <c r="AX447" s="239"/>
      <c r="AY447" s="239"/>
      <c r="AZ447" s="239"/>
      <c r="BA447" s="239"/>
      <c r="BB447" s="239"/>
      <c r="BC447" s="239"/>
      <c r="BD447" s="239"/>
      <c r="BE447" s="239"/>
      <c r="BF447" s="239"/>
      <c r="BG447" s="239"/>
      <c r="BH447" s="239"/>
      <c r="BI447" s="239"/>
      <c r="BJ447" s="239"/>
      <c r="BK447" s="239"/>
      <c r="BL447" s="239"/>
      <c r="BM447" s="239"/>
      <c r="BN447" s="239"/>
      <c r="BO447" s="239"/>
      <c r="BP447" s="239"/>
      <c r="BQ447" s="239"/>
      <c r="BR447" s="239"/>
      <c r="BS447" s="239"/>
      <c r="BT447" s="239"/>
      <c r="BU447" s="239"/>
      <c r="BV447" s="239"/>
      <c r="BW447" s="239"/>
      <c r="BX447" s="239"/>
      <c r="BY447" s="239"/>
      <c r="BZ447" s="239"/>
      <c r="CA447" s="239"/>
      <c r="CB447" s="239"/>
      <c r="CC447" s="239"/>
      <c r="CD447" s="239"/>
      <c r="CE447" s="239"/>
      <c r="CF447" s="239"/>
      <c r="CG447" s="239"/>
    </row>
    <row r="448" spans="1:85" ht="15.75" customHeight="1">
      <c r="A448" s="239"/>
      <c r="B448" s="239"/>
      <c r="C448" s="239"/>
      <c r="D448" s="239"/>
      <c r="E448" s="239"/>
      <c r="F448" s="239"/>
      <c r="G448" s="239"/>
      <c r="H448" s="239"/>
      <c r="I448" s="239"/>
      <c r="J448" s="239"/>
      <c r="K448" s="239"/>
      <c r="L448" s="239"/>
      <c r="M448" s="239"/>
      <c r="N448" s="239"/>
      <c r="O448" s="239"/>
      <c r="P448" s="239"/>
      <c r="Q448" s="239"/>
      <c r="R448" s="239"/>
      <c r="S448" s="239"/>
      <c r="T448" s="239"/>
      <c r="U448" s="239"/>
      <c r="V448" s="239"/>
      <c r="W448" s="239"/>
      <c r="X448" s="239"/>
      <c r="Y448" s="239"/>
      <c r="Z448" s="239"/>
      <c r="AA448" s="239"/>
      <c r="AB448" s="239"/>
      <c r="AC448" s="239"/>
      <c r="AD448" s="239"/>
      <c r="AE448" s="239"/>
      <c r="AF448" s="239"/>
      <c r="AG448" s="239"/>
      <c r="AH448" s="239"/>
      <c r="AI448" s="239"/>
      <c r="AJ448" s="239"/>
      <c r="AK448" s="239"/>
      <c r="AL448" s="239"/>
      <c r="AM448" s="239"/>
      <c r="AN448" s="239"/>
      <c r="AO448" s="239"/>
      <c r="AP448" s="239"/>
      <c r="AQ448" s="239"/>
      <c r="AR448" s="239"/>
      <c r="AS448" s="239"/>
      <c r="AT448" s="239"/>
      <c r="AU448" s="239"/>
      <c r="AV448" s="239"/>
      <c r="AW448" s="239"/>
      <c r="AX448" s="239"/>
      <c r="AY448" s="239"/>
      <c r="AZ448" s="239"/>
      <c r="BA448" s="239"/>
      <c r="BB448" s="239"/>
      <c r="BC448" s="239"/>
      <c r="BD448" s="239"/>
      <c r="BE448" s="239"/>
      <c r="BF448" s="239"/>
      <c r="BG448" s="239"/>
      <c r="BH448" s="239"/>
      <c r="BI448" s="239"/>
      <c r="BJ448" s="239"/>
      <c r="BK448" s="239"/>
      <c r="BL448" s="239"/>
      <c r="BM448" s="239"/>
      <c r="BN448" s="239"/>
      <c r="BO448" s="239"/>
      <c r="BP448" s="239"/>
      <c r="BQ448" s="239"/>
      <c r="BR448" s="239"/>
      <c r="BS448" s="239"/>
      <c r="BT448" s="239"/>
      <c r="BU448" s="239"/>
      <c r="BV448" s="239"/>
      <c r="BW448" s="239"/>
      <c r="BX448" s="239"/>
      <c r="BY448" s="239"/>
      <c r="BZ448" s="239"/>
      <c r="CA448" s="239"/>
      <c r="CB448" s="239"/>
      <c r="CC448" s="239"/>
      <c r="CD448" s="239"/>
      <c r="CE448" s="239"/>
      <c r="CF448" s="239"/>
      <c r="CG448" s="239"/>
    </row>
    <row r="449" spans="1:85" ht="15.75" customHeight="1">
      <c r="A449" s="239"/>
      <c r="B449" s="239"/>
      <c r="C449" s="239"/>
      <c r="D449" s="239"/>
      <c r="E449" s="239"/>
      <c r="F449" s="239"/>
      <c r="G449" s="239"/>
      <c r="H449" s="239"/>
      <c r="I449" s="239"/>
      <c r="J449" s="239"/>
      <c r="K449" s="239"/>
      <c r="L449" s="239"/>
      <c r="M449" s="239"/>
      <c r="N449" s="239"/>
      <c r="O449" s="239"/>
      <c r="P449" s="239"/>
      <c r="Q449" s="239"/>
      <c r="R449" s="239"/>
      <c r="S449" s="239"/>
      <c r="T449" s="239"/>
      <c r="U449" s="239"/>
      <c r="V449" s="239"/>
      <c r="W449" s="239"/>
      <c r="X449" s="239"/>
      <c r="Y449" s="239"/>
      <c r="Z449" s="239"/>
      <c r="AA449" s="239"/>
      <c r="AB449" s="239"/>
      <c r="AC449" s="239"/>
      <c r="AD449" s="239"/>
      <c r="AE449" s="239"/>
      <c r="AF449" s="239"/>
      <c r="AG449" s="239"/>
      <c r="AH449" s="239"/>
      <c r="AI449" s="239"/>
      <c r="AJ449" s="239"/>
      <c r="AK449" s="239"/>
      <c r="AL449" s="239"/>
      <c r="AM449" s="239"/>
      <c r="AN449" s="239"/>
      <c r="AO449" s="239"/>
      <c r="AP449" s="239"/>
      <c r="AQ449" s="239"/>
      <c r="AR449" s="239"/>
      <c r="AS449" s="239"/>
      <c r="AT449" s="239"/>
      <c r="AU449" s="239"/>
      <c r="AV449" s="239"/>
      <c r="AW449" s="239"/>
      <c r="AX449" s="239"/>
      <c r="AY449" s="239"/>
      <c r="AZ449" s="239"/>
      <c r="BA449" s="239"/>
      <c r="BB449" s="239"/>
      <c r="BC449" s="239"/>
      <c r="BD449" s="239"/>
      <c r="BE449" s="239"/>
      <c r="BF449" s="239"/>
      <c r="BG449" s="239"/>
      <c r="BH449" s="239"/>
      <c r="BI449" s="239"/>
      <c r="BJ449" s="239"/>
      <c r="BK449" s="239"/>
      <c r="BL449" s="239"/>
      <c r="BM449" s="239"/>
      <c r="BN449" s="239"/>
      <c r="BO449" s="239"/>
      <c r="BP449" s="239"/>
      <c r="BQ449" s="239"/>
      <c r="BR449" s="239"/>
      <c r="BS449" s="239"/>
      <c r="BT449" s="239"/>
      <c r="BU449" s="239"/>
      <c r="BV449" s="239"/>
      <c r="BW449" s="239"/>
      <c r="BX449" s="239"/>
      <c r="BY449" s="239"/>
      <c r="BZ449" s="239"/>
      <c r="CA449" s="239"/>
      <c r="CB449" s="239"/>
      <c r="CC449" s="239"/>
      <c r="CD449" s="239"/>
      <c r="CE449" s="239"/>
      <c r="CF449" s="239"/>
      <c r="CG449" s="239"/>
    </row>
    <row r="450" spans="1:85" ht="15.75" customHeight="1">
      <c r="A450" s="239"/>
      <c r="B450" s="239"/>
      <c r="C450" s="239"/>
      <c r="D450" s="239"/>
      <c r="E450" s="239"/>
      <c r="F450" s="239"/>
      <c r="G450" s="239"/>
      <c r="H450" s="239"/>
      <c r="I450" s="239"/>
      <c r="J450" s="239"/>
      <c r="K450" s="239"/>
      <c r="L450" s="239"/>
      <c r="M450" s="239"/>
      <c r="N450" s="239"/>
      <c r="O450" s="239"/>
      <c r="P450" s="239"/>
      <c r="Q450" s="239"/>
      <c r="R450" s="239"/>
      <c r="S450" s="239"/>
      <c r="T450" s="239"/>
      <c r="U450" s="239"/>
      <c r="V450" s="239"/>
      <c r="W450" s="239"/>
      <c r="X450" s="239"/>
      <c r="Y450" s="239"/>
      <c r="Z450" s="239"/>
      <c r="AA450" s="239"/>
      <c r="AB450" s="239"/>
      <c r="AC450" s="239"/>
      <c r="AD450" s="239"/>
      <c r="AE450" s="239"/>
      <c r="AF450" s="239"/>
      <c r="AG450" s="239"/>
      <c r="AH450" s="239"/>
      <c r="AI450" s="239"/>
      <c r="AJ450" s="239"/>
      <c r="AK450" s="239"/>
      <c r="AL450" s="239"/>
      <c r="AM450" s="239"/>
      <c r="AN450" s="239"/>
      <c r="AO450" s="239"/>
      <c r="AP450" s="239"/>
      <c r="AQ450" s="239"/>
      <c r="AR450" s="239"/>
      <c r="AS450" s="239"/>
      <c r="AT450" s="239"/>
      <c r="AU450" s="239"/>
      <c r="AV450" s="239"/>
      <c r="AW450" s="239"/>
      <c r="AX450" s="239"/>
      <c r="AY450" s="239"/>
      <c r="AZ450" s="239"/>
      <c r="BA450" s="239"/>
      <c r="BB450" s="239"/>
      <c r="BC450" s="239"/>
      <c r="BD450" s="239"/>
      <c r="BE450" s="239"/>
      <c r="BF450" s="239"/>
      <c r="BG450" s="239"/>
      <c r="BH450" s="239"/>
      <c r="BI450" s="239"/>
      <c r="BJ450" s="239"/>
      <c r="BK450" s="239"/>
      <c r="BL450" s="239"/>
      <c r="BM450" s="239"/>
      <c r="BN450" s="239"/>
      <c r="BO450" s="239"/>
      <c r="BP450" s="239"/>
      <c r="BQ450" s="239"/>
      <c r="BR450" s="239"/>
      <c r="BS450" s="239"/>
      <c r="BT450" s="239"/>
      <c r="BU450" s="239"/>
      <c r="BV450" s="239"/>
      <c r="BW450" s="239"/>
      <c r="BX450" s="239"/>
      <c r="BY450" s="239"/>
      <c r="BZ450" s="239"/>
      <c r="CA450" s="239"/>
      <c r="CB450" s="239"/>
      <c r="CC450" s="239"/>
      <c r="CD450" s="239"/>
      <c r="CE450" s="239"/>
      <c r="CF450" s="239"/>
      <c r="CG450" s="239"/>
    </row>
    <row r="451" spans="1:85" ht="15.75" customHeight="1">
      <c r="A451" s="239"/>
      <c r="B451" s="239"/>
      <c r="C451" s="239"/>
      <c r="D451" s="239"/>
      <c r="E451" s="239"/>
      <c r="F451" s="239"/>
      <c r="G451" s="239"/>
      <c r="H451" s="239"/>
      <c r="I451" s="239"/>
      <c r="J451" s="239"/>
      <c r="K451" s="239"/>
      <c r="L451" s="239"/>
      <c r="M451" s="239"/>
      <c r="N451" s="239"/>
      <c r="O451" s="239"/>
      <c r="P451" s="239"/>
      <c r="Q451" s="239"/>
      <c r="R451" s="239"/>
      <c r="S451" s="239"/>
      <c r="T451" s="239"/>
      <c r="U451" s="239"/>
      <c r="V451" s="239"/>
      <c r="W451" s="239"/>
      <c r="X451" s="239"/>
      <c r="Y451" s="239"/>
      <c r="Z451" s="239"/>
      <c r="AA451" s="239"/>
      <c r="AB451" s="239"/>
      <c r="AC451" s="239"/>
      <c r="AD451" s="239"/>
      <c r="AE451" s="239"/>
      <c r="AF451" s="239"/>
      <c r="AG451" s="239"/>
      <c r="AH451" s="239"/>
      <c r="AI451" s="239"/>
      <c r="AJ451" s="239"/>
      <c r="AK451" s="239"/>
      <c r="AL451" s="239"/>
      <c r="AM451" s="239"/>
      <c r="AN451" s="239"/>
      <c r="AO451" s="239"/>
      <c r="AP451" s="239"/>
      <c r="AQ451" s="239"/>
      <c r="AR451" s="239"/>
      <c r="AS451" s="239"/>
      <c r="AT451" s="239"/>
      <c r="AU451" s="239"/>
      <c r="AV451" s="239"/>
      <c r="AW451" s="239"/>
      <c r="AX451" s="239"/>
      <c r="AY451" s="239"/>
      <c r="AZ451" s="239"/>
      <c r="BA451" s="239"/>
      <c r="BB451" s="239"/>
      <c r="BC451" s="239"/>
      <c r="BD451" s="239"/>
      <c r="BE451" s="239"/>
      <c r="BF451" s="239"/>
      <c r="BG451" s="239"/>
      <c r="BH451" s="239"/>
      <c r="BI451" s="239"/>
      <c r="BJ451" s="239"/>
      <c r="BK451" s="239"/>
      <c r="BL451" s="239"/>
      <c r="BM451" s="239"/>
      <c r="BN451" s="239"/>
      <c r="BO451" s="239"/>
      <c r="BP451" s="239"/>
      <c r="BQ451" s="239"/>
      <c r="BR451" s="239"/>
      <c r="BS451" s="239"/>
      <c r="BT451" s="239"/>
      <c r="BU451" s="239"/>
      <c r="BV451" s="239"/>
      <c r="BW451" s="239"/>
      <c r="BX451" s="239"/>
      <c r="BY451" s="239"/>
      <c r="BZ451" s="239"/>
      <c r="CA451" s="239"/>
      <c r="CB451" s="239"/>
      <c r="CC451" s="239"/>
      <c r="CD451" s="239"/>
      <c r="CE451" s="239"/>
      <c r="CF451" s="239"/>
      <c r="CG451" s="239"/>
    </row>
    <row r="452" spans="1:85" ht="15.75" customHeight="1">
      <c r="A452" s="239"/>
      <c r="B452" s="239"/>
      <c r="C452" s="239"/>
      <c r="D452" s="239"/>
      <c r="E452" s="239"/>
      <c r="F452" s="239"/>
      <c r="G452" s="239"/>
      <c r="H452" s="239"/>
      <c r="I452" s="239"/>
      <c r="J452" s="239"/>
      <c r="K452" s="239"/>
      <c r="L452" s="239"/>
      <c r="M452" s="239"/>
      <c r="N452" s="239"/>
      <c r="O452" s="239"/>
      <c r="P452" s="239"/>
      <c r="Q452" s="239"/>
      <c r="R452" s="239"/>
      <c r="S452" s="239"/>
      <c r="T452" s="239"/>
      <c r="U452" s="239"/>
      <c r="V452" s="239"/>
      <c r="W452" s="239"/>
      <c r="X452" s="239"/>
      <c r="Y452" s="239"/>
      <c r="Z452" s="239"/>
      <c r="AA452" s="239"/>
      <c r="AB452" s="239"/>
      <c r="AC452" s="239"/>
      <c r="AD452" s="239"/>
      <c r="AE452" s="239"/>
      <c r="AF452" s="239"/>
      <c r="AG452" s="239"/>
      <c r="AH452" s="239"/>
      <c r="AI452" s="239"/>
      <c r="AJ452" s="239"/>
      <c r="AK452" s="239"/>
      <c r="AL452" s="239"/>
      <c r="AM452" s="239"/>
      <c r="AN452" s="239"/>
      <c r="AO452" s="239"/>
      <c r="AP452" s="239"/>
      <c r="AQ452" s="239"/>
      <c r="AR452" s="239"/>
      <c r="AS452" s="239"/>
      <c r="AT452" s="239"/>
      <c r="AU452" s="239"/>
      <c r="AV452" s="239"/>
      <c r="AW452" s="239"/>
      <c r="AX452" s="239"/>
      <c r="AY452" s="239"/>
      <c r="AZ452" s="239"/>
      <c r="BA452" s="239"/>
      <c r="BB452" s="239"/>
      <c r="BC452" s="239"/>
      <c r="BD452" s="239"/>
      <c r="BE452" s="239"/>
      <c r="BF452" s="239"/>
      <c r="BG452" s="239"/>
      <c r="BH452" s="239"/>
      <c r="BI452" s="239"/>
      <c r="BJ452" s="239"/>
      <c r="BK452" s="239"/>
      <c r="BL452" s="239"/>
      <c r="BM452" s="239"/>
      <c r="BN452" s="239"/>
      <c r="BO452" s="239"/>
      <c r="BP452" s="239"/>
      <c r="BQ452" s="239"/>
      <c r="BR452" s="239"/>
      <c r="BS452" s="239"/>
      <c r="BT452" s="239"/>
      <c r="BU452" s="239"/>
      <c r="BV452" s="239"/>
      <c r="BW452" s="239"/>
      <c r="BX452" s="239"/>
      <c r="BY452" s="239"/>
      <c r="BZ452" s="239"/>
      <c r="CA452" s="239"/>
      <c r="CB452" s="239"/>
      <c r="CC452" s="239"/>
      <c r="CD452" s="239"/>
      <c r="CE452" s="239"/>
      <c r="CF452" s="239"/>
      <c r="CG452" s="239"/>
    </row>
    <row r="453" spans="1:85" ht="15.75" customHeight="1">
      <c r="A453" s="239"/>
      <c r="B453" s="239"/>
      <c r="C453" s="239"/>
      <c r="D453" s="239"/>
      <c r="E453" s="239"/>
      <c r="F453" s="239"/>
      <c r="G453" s="239"/>
      <c r="H453" s="239"/>
      <c r="I453" s="239"/>
      <c r="J453" s="239"/>
      <c r="K453" s="239"/>
      <c r="L453" s="239"/>
      <c r="M453" s="239"/>
      <c r="N453" s="239"/>
      <c r="O453" s="239"/>
      <c r="P453" s="239"/>
      <c r="Q453" s="239"/>
      <c r="R453" s="239"/>
      <c r="S453" s="239"/>
      <c r="T453" s="239"/>
      <c r="U453" s="239"/>
      <c r="V453" s="239"/>
      <c r="W453" s="239"/>
      <c r="X453" s="239"/>
      <c r="Y453" s="239"/>
      <c r="Z453" s="239"/>
      <c r="AA453" s="239"/>
      <c r="AB453" s="239"/>
      <c r="AC453" s="239"/>
      <c r="AD453" s="239"/>
      <c r="AE453" s="239"/>
      <c r="AF453" s="239"/>
      <c r="AG453" s="239"/>
      <c r="AH453" s="239"/>
      <c r="AI453" s="239"/>
      <c r="AJ453" s="239"/>
      <c r="AK453" s="239"/>
      <c r="AL453" s="239"/>
      <c r="AM453" s="239"/>
      <c r="AN453" s="239"/>
      <c r="AO453" s="239"/>
      <c r="AP453" s="239"/>
      <c r="AQ453" s="239"/>
      <c r="AR453" s="239"/>
      <c r="AS453" s="239"/>
      <c r="AT453" s="239"/>
      <c r="AU453" s="239"/>
      <c r="AV453" s="239"/>
      <c r="AW453" s="239"/>
      <c r="AX453" s="239"/>
      <c r="AY453" s="239"/>
      <c r="AZ453" s="239"/>
      <c r="BA453" s="239"/>
      <c r="BB453" s="239"/>
      <c r="BC453" s="239"/>
      <c r="BD453" s="239"/>
      <c r="BE453" s="239"/>
      <c r="BF453" s="239"/>
      <c r="BG453" s="239"/>
      <c r="BH453" s="239"/>
      <c r="BI453" s="239"/>
      <c r="BJ453" s="239"/>
      <c r="BK453" s="239"/>
      <c r="BL453" s="239"/>
      <c r="BM453" s="239"/>
      <c r="BN453" s="239"/>
      <c r="BO453" s="239"/>
      <c r="BP453" s="239"/>
      <c r="BQ453" s="239"/>
      <c r="BR453" s="239"/>
      <c r="BS453" s="239"/>
      <c r="BT453" s="239"/>
      <c r="BU453" s="239"/>
      <c r="BV453" s="239"/>
      <c r="BW453" s="239"/>
      <c r="BX453" s="239"/>
      <c r="BY453" s="239"/>
      <c r="BZ453" s="239"/>
      <c r="CA453" s="239"/>
      <c r="CB453" s="239"/>
      <c r="CC453" s="239"/>
      <c r="CD453" s="239"/>
      <c r="CE453" s="239"/>
      <c r="CF453" s="239"/>
      <c r="CG453" s="239"/>
    </row>
    <row r="454" spans="1:85" ht="15.75" customHeight="1">
      <c r="A454" s="239"/>
      <c r="B454" s="239"/>
      <c r="C454" s="239"/>
      <c r="D454" s="239"/>
      <c r="E454" s="239"/>
      <c r="F454" s="239"/>
      <c r="G454" s="239"/>
      <c r="H454" s="239"/>
      <c r="I454" s="239"/>
      <c r="J454" s="239"/>
      <c r="K454" s="239"/>
      <c r="L454" s="239"/>
      <c r="M454" s="239"/>
      <c r="N454" s="239"/>
      <c r="O454" s="239"/>
      <c r="P454" s="239"/>
      <c r="Q454" s="239"/>
      <c r="R454" s="239"/>
      <c r="S454" s="239"/>
      <c r="T454" s="239"/>
      <c r="U454" s="239"/>
      <c r="V454" s="239"/>
      <c r="W454" s="239"/>
      <c r="X454" s="239"/>
      <c r="Y454" s="239"/>
      <c r="Z454" s="239"/>
      <c r="AA454" s="239"/>
      <c r="AB454" s="239"/>
      <c r="AC454" s="239"/>
      <c r="AD454" s="239"/>
      <c r="AE454" s="239"/>
      <c r="AF454" s="239"/>
      <c r="AG454" s="239"/>
      <c r="AH454" s="239"/>
      <c r="AI454" s="239"/>
      <c r="AJ454" s="239"/>
      <c r="AK454" s="239"/>
      <c r="AL454" s="239"/>
      <c r="AM454" s="239"/>
      <c r="AN454" s="239"/>
      <c r="AO454" s="239"/>
      <c r="AP454" s="239"/>
      <c r="AQ454" s="239"/>
      <c r="AR454" s="239"/>
      <c r="AS454" s="239"/>
      <c r="AT454" s="239"/>
      <c r="AU454" s="239"/>
      <c r="AV454" s="239"/>
      <c r="AW454" s="239"/>
      <c r="AX454" s="239"/>
      <c r="AY454" s="239"/>
      <c r="AZ454" s="239"/>
      <c r="BA454" s="239"/>
      <c r="BB454" s="239"/>
      <c r="BC454" s="239"/>
      <c r="BD454" s="239"/>
      <c r="BE454" s="239"/>
      <c r="BF454" s="239"/>
      <c r="BG454" s="239"/>
      <c r="BH454" s="239"/>
      <c r="BI454" s="239"/>
      <c r="BJ454" s="239"/>
      <c r="BK454" s="239"/>
      <c r="BL454" s="239"/>
      <c r="BM454" s="239"/>
      <c r="BN454" s="239"/>
      <c r="BO454" s="239"/>
      <c r="BP454" s="239"/>
      <c r="BQ454" s="239"/>
      <c r="BR454" s="239"/>
      <c r="BS454" s="239"/>
      <c r="BT454" s="239"/>
      <c r="BU454" s="239"/>
      <c r="BV454" s="239"/>
      <c r="BW454" s="239"/>
      <c r="BX454" s="239"/>
      <c r="BY454" s="239"/>
      <c r="BZ454" s="239"/>
      <c r="CA454" s="239"/>
      <c r="CB454" s="239"/>
      <c r="CC454" s="239"/>
      <c r="CD454" s="239"/>
      <c r="CE454" s="239"/>
      <c r="CF454" s="239"/>
      <c r="CG454" s="239"/>
    </row>
    <row r="455" spans="1:85" ht="15.75" customHeight="1">
      <c r="A455" s="239"/>
      <c r="B455" s="239"/>
      <c r="C455" s="239"/>
      <c r="D455" s="239"/>
      <c r="E455" s="239"/>
      <c r="F455" s="239"/>
      <c r="G455" s="239"/>
      <c r="H455" s="239"/>
      <c r="I455" s="239"/>
      <c r="J455" s="239"/>
      <c r="K455" s="239"/>
      <c r="L455" s="239"/>
      <c r="M455" s="239"/>
      <c r="N455" s="239"/>
      <c r="O455" s="239"/>
      <c r="P455" s="239"/>
      <c r="Q455" s="239"/>
      <c r="R455" s="239"/>
      <c r="S455" s="239"/>
      <c r="T455" s="239"/>
      <c r="U455" s="239"/>
      <c r="V455" s="239"/>
      <c r="W455" s="239"/>
      <c r="X455" s="239"/>
      <c r="Y455" s="239"/>
      <c r="Z455" s="239"/>
      <c r="AA455" s="239"/>
      <c r="AB455" s="239"/>
      <c r="AC455" s="239"/>
      <c r="AD455" s="239"/>
      <c r="AE455" s="239"/>
      <c r="AF455" s="239"/>
      <c r="AG455" s="239"/>
      <c r="AH455" s="239"/>
      <c r="AI455" s="239"/>
      <c r="AJ455" s="239"/>
      <c r="AK455" s="239"/>
      <c r="AL455" s="239"/>
      <c r="AM455" s="239"/>
      <c r="AN455" s="239"/>
      <c r="AO455" s="239"/>
      <c r="AP455" s="239"/>
      <c r="AQ455" s="239"/>
      <c r="AR455" s="239"/>
      <c r="AS455" s="239"/>
      <c r="AT455" s="239"/>
      <c r="AU455" s="239"/>
      <c r="AV455" s="239"/>
      <c r="AW455" s="239"/>
      <c r="AX455" s="239"/>
      <c r="AY455" s="239"/>
      <c r="AZ455" s="239"/>
      <c r="BA455" s="239"/>
      <c r="BB455" s="239"/>
      <c r="BC455" s="239"/>
      <c r="BD455" s="239"/>
      <c r="BE455" s="239"/>
      <c r="BF455" s="239"/>
      <c r="BG455" s="239"/>
      <c r="BH455" s="239"/>
      <c r="BI455" s="239"/>
      <c r="BJ455" s="239"/>
      <c r="BK455" s="239"/>
      <c r="BL455" s="239"/>
      <c r="BM455" s="239"/>
      <c r="BN455" s="239"/>
      <c r="BO455" s="239"/>
      <c r="BP455" s="239"/>
      <c r="BQ455" s="239"/>
      <c r="BR455" s="239"/>
      <c r="BS455" s="239"/>
      <c r="BT455" s="239"/>
      <c r="BU455" s="239"/>
      <c r="BV455" s="239"/>
      <c r="BW455" s="239"/>
      <c r="BX455" s="239"/>
      <c r="BY455" s="239"/>
      <c r="BZ455" s="239"/>
      <c r="CA455" s="239"/>
      <c r="CB455" s="239"/>
      <c r="CC455" s="239"/>
      <c r="CD455" s="239"/>
      <c r="CE455" s="239"/>
      <c r="CF455" s="239"/>
      <c r="CG455" s="239"/>
    </row>
    <row r="456" spans="1:85" ht="15.75" customHeight="1">
      <c r="A456" s="239"/>
      <c r="B456" s="239"/>
      <c r="C456" s="239"/>
      <c r="D456" s="239"/>
      <c r="E456" s="239"/>
      <c r="F456" s="239"/>
      <c r="G456" s="239"/>
      <c r="H456" s="239"/>
      <c r="I456" s="239"/>
      <c r="J456" s="239"/>
      <c r="K456" s="239"/>
      <c r="L456" s="239"/>
      <c r="M456" s="239"/>
      <c r="N456" s="239"/>
      <c r="O456" s="239"/>
      <c r="P456" s="239"/>
      <c r="Q456" s="239"/>
      <c r="R456" s="239"/>
      <c r="S456" s="239"/>
      <c r="T456" s="239"/>
      <c r="U456" s="239"/>
      <c r="V456" s="239"/>
      <c r="W456" s="239"/>
      <c r="X456" s="239"/>
      <c r="Y456" s="239"/>
      <c r="Z456" s="239"/>
      <c r="AA456" s="239"/>
      <c r="AB456" s="239"/>
      <c r="AC456" s="239"/>
      <c r="AD456" s="239"/>
      <c r="AE456" s="239"/>
      <c r="AF456" s="239"/>
      <c r="AG456" s="239"/>
      <c r="AH456" s="239"/>
      <c r="AI456" s="239"/>
      <c r="AJ456" s="239"/>
      <c r="AK456" s="239"/>
      <c r="AL456" s="239"/>
      <c r="AM456" s="239"/>
      <c r="AN456" s="239"/>
      <c r="AO456" s="239"/>
      <c r="AP456" s="239"/>
      <c r="AQ456" s="239"/>
      <c r="AR456" s="239"/>
      <c r="AS456" s="239"/>
      <c r="AT456" s="239"/>
      <c r="AU456" s="239"/>
      <c r="AV456" s="239"/>
      <c r="AW456" s="239"/>
      <c r="AX456" s="239"/>
      <c r="AY456" s="239"/>
      <c r="AZ456" s="239"/>
      <c r="BA456" s="239"/>
      <c r="BB456" s="239"/>
      <c r="BC456" s="239"/>
      <c r="BD456" s="239"/>
      <c r="BE456" s="239"/>
      <c r="BF456" s="239"/>
      <c r="BG456" s="239"/>
      <c r="BH456" s="239"/>
      <c r="BI456" s="239"/>
      <c r="BJ456" s="239"/>
      <c r="BK456" s="239"/>
      <c r="BL456" s="239"/>
      <c r="BM456" s="239"/>
      <c r="BN456" s="239"/>
      <c r="BO456" s="239"/>
      <c r="BP456" s="239"/>
      <c r="BQ456" s="239"/>
      <c r="BR456" s="239"/>
      <c r="BS456" s="239"/>
      <c r="BT456" s="239"/>
      <c r="BU456" s="239"/>
      <c r="BV456" s="239"/>
      <c r="BW456" s="239"/>
      <c r="BX456" s="239"/>
      <c r="BY456" s="239"/>
      <c r="BZ456" s="239"/>
      <c r="CA456" s="239"/>
      <c r="CB456" s="239"/>
      <c r="CC456" s="239"/>
      <c r="CD456" s="239"/>
      <c r="CE456" s="239"/>
      <c r="CF456" s="239"/>
      <c r="CG456" s="239"/>
    </row>
    <row r="457" spans="1:85" ht="15.75" customHeight="1">
      <c r="A457" s="239"/>
      <c r="B457" s="239"/>
      <c r="C457" s="239"/>
      <c r="D457" s="239"/>
      <c r="E457" s="239"/>
      <c r="F457" s="239"/>
      <c r="G457" s="239"/>
      <c r="H457" s="239"/>
      <c r="I457" s="239"/>
      <c r="J457" s="239"/>
      <c r="K457" s="239"/>
      <c r="L457" s="239"/>
      <c r="M457" s="239"/>
      <c r="N457" s="239"/>
      <c r="O457" s="239"/>
      <c r="P457" s="239"/>
      <c r="Q457" s="239"/>
      <c r="R457" s="239"/>
      <c r="S457" s="239"/>
      <c r="T457" s="239"/>
      <c r="U457" s="239"/>
      <c r="V457" s="239"/>
      <c r="W457" s="239"/>
      <c r="X457" s="239"/>
      <c r="Y457" s="239"/>
      <c r="Z457" s="239"/>
      <c r="AA457" s="239"/>
      <c r="AB457" s="239"/>
      <c r="AC457" s="239"/>
      <c r="AD457" s="239"/>
      <c r="AE457" s="239"/>
      <c r="AF457" s="239"/>
      <c r="AG457" s="239"/>
      <c r="AH457" s="239"/>
      <c r="AI457" s="239"/>
      <c r="AJ457" s="239"/>
      <c r="AK457" s="239"/>
      <c r="AL457" s="239"/>
      <c r="AM457" s="239"/>
      <c r="AN457" s="239"/>
      <c r="AO457" s="239"/>
      <c r="AP457" s="239"/>
      <c r="AQ457" s="239"/>
      <c r="AR457" s="239"/>
      <c r="AS457" s="239"/>
      <c r="AT457" s="239"/>
      <c r="AU457" s="239"/>
      <c r="AV457" s="239"/>
      <c r="AW457" s="239"/>
      <c r="AX457" s="239"/>
      <c r="AY457" s="239"/>
      <c r="AZ457" s="239"/>
      <c r="BA457" s="239"/>
      <c r="BB457" s="239"/>
      <c r="BC457" s="239"/>
      <c r="BD457" s="239"/>
      <c r="BE457" s="239"/>
      <c r="BF457" s="239"/>
      <c r="BG457" s="239"/>
      <c r="BH457" s="239"/>
      <c r="BI457" s="239"/>
      <c r="BJ457" s="239"/>
      <c r="BK457" s="239"/>
      <c r="BL457" s="239"/>
      <c r="BM457" s="239"/>
      <c r="BN457" s="239"/>
      <c r="BO457" s="239"/>
      <c r="BP457" s="239"/>
      <c r="BQ457" s="239"/>
      <c r="BR457" s="239"/>
      <c r="BS457" s="239"/>
      <c r="BT457" s="239"/>
      <c r="BU457" s="239"/>
      <c r="BV457" s="239"/>
      <c r="BW457" s="239"/>
      <c r="BX457" s="239"/>
      <c r="BY457" s="239"/>
      <c r="BZ457" s="239"/>
      <c r="CA457" s="239"/>
      <c r="CB457" s="239"/>
      <c r="CC457" s="239"/>
      <c r="CD457" s="239"/>
      <c r="CE457" s="239"/>
      <c r="CF457" s="239"/>
      <c r="CG457" s="239"/>
    </row>
    <row r="458" spans="1:85" ht="15.75" customHeight="1">
      <c r="A458" s="239"/>
      <c r="B458" s="239"/>
      <c r="C458" s="239"/>
      <c r="D458" s="239"/>
      <c r="E458" s="239"/>
      <c r="F458" s="239"/>
      <c r="G458" s="239"/>
      <c r="H458" s="239"/>
      <c r="I458" s="239"/>
      <c r="J458" s="239"/>
      <c r="K458" s="239"/>
      <c r="L458" s="239"/>
      <c r="M458" s="239"/>
      <c r="N458" s="239"/>
      <c r="O458" s="239"/>
      <c r="P458" s="239"/>
      <c r="Q458" s="239"/>
      <c r="R458" s="239"/>
      <c r="S458" s="239"/>
      <c r="T458" s="239"/>
      <c r="U458" s="239"/>
      <c r="V458" s="239"/>
      <c r="W458" s="239"/>
      <c r="X458" s="239"/>
      <c r="Y458" s="239"/>
      <c r="Z458" s="239"/>
      <c r="AA458" s="239"/>
      <c r="AB458" s="239"/>
      <c r="AC458" s="239"/>
      <c r="AD458" s="239"/>
      <c r="AE458" s="239"/>
      <c r="AF458" s="239"/>
      <c r="AG458" s="239"/>
      <c r="AH458" s="239"/>
      <c r="AI458" s="239"/>
      <c r="AJ458" s="239"/>
      <c r="AK458" s="239"/>
      <c r="AL458" s="239"/>
      <c r="AM458" s="239"/>
      <c r="AN458" s="239"/>
      <c r="AO458" s="239"/>
      <c r="AP458" s="239"/>
      <c r="AQ458" s="239"/>
      <c r="AR458" s="239"/>
      <c r="AS458" s="239"/>
      <c r="AT458" s="239"/>
      <c r="AU458" s="239"/>
      <c r="AV458" s="239"/>
      <c r="AW458" s="239"/>
      <c r="AX458" s="239"/>
      <c r="AY458" s="239"/>
      <c r="AZ458" s="239"/>
      <c r="BA458" s="239"/>
      <c r="BB458" s="239"/>
      <c r="BC458" s="239"/>
      <c r="BD458" s="239"/>
      <c r="BE458" s="239"/>
      <c r="BF458" s="239"/>
      <c r="BG458" s="239"/>
      <c r="BH458" s="239"/>
      <c r="BI458" s="239"/>
      <c r="BJ458" s="239"/>
      <c r="BK458" s="239"/>
      <c r="BL458" s="239"/>
      <c r="BM458" s="239"/>
      <c r="BN458" s="239"/>
      <c r="BO458" s="239"/>
      <c r="BP458" s="239"/>
      <c r="BQ458" s="239"/>
      <c r="BR458" s="239"/>
      <c r="BS458" s="239"/>
      <c r="BT458" s="239"/>
      <c r="BU458" s="239"/>
      <c r="BV458" s="239"/>
      <c r="BW458" s="239"/>
      <c r="BX458" s="239"/>
      <c r="BY458" s="239"/>
      <c r="BZ458" s="239"/>
      <c r="CA458" s="239"/>
      <c r="CB458" s="239"/>
      <c r="CC458" s="239"/>
      <c r="CD458" s="239"/>
      <c r="CE458" s="239"/>
      <c r="CF458" s="239"/>
      <c r="CG458" s="239"/>
    </row>
    <row r="459" spans="1:85" ht="15.75" customHeight="1">
      <c r="A459" s="239"/>
      <c r="B459" s="239"/>
      <c r="C459" s="239"/>
      <c r="D459" s="239"/>
      <c r="E459" s="239"/>
      <c r="F459" s="239"/>
      <c r="G459" s="239"/>
      <c r="H459" s="239"/>
      <c r="I459" s="239"/>
      <c r="J459" s="239"/>
      <c r="K459" s="239"/>
      <c r="L459" s="239"/>
      <c r="M459" s="239"/>
      <c r="N459" s="239"/>
      <c r="O459" s="239"/>
      <c r="P459" s="239"/>
      <c r="Q459" s="239"/>
      <c r="R459" s="239"/>
      <c r="S459" s="239"/>
      <c r="T459" s="239"/>
      <c r="U459" s="239"/>
      <c r="V459" s="239"/>
      <c r="W459" s="239"/>
      <c r="X459" s="239"/>
      <c r="Y459" s="239"/>
      <c r="Z459" s="239"/>
      <c r="AA459" s="239"/>
      <c r="AB459" s="239"/>
      <c r="AC459" s="239"/>
      <c r="AD459" s="239"/>
      <c r="AE459" s="239"/>
      <c r="AF459" s="239"/>
      <c r="AG459" s="239"/>
      <c r="AH459" s="239"/>
      <c r="AI459" s="239"/>
      <c r="AJ459" s="239"/>
      <c r="AK459" s="239"/>
      <c r="AL459" s="239"/>
      <c r="AM459" s="239"/>
      <c r="AN459" s="239"/>
      <c r="AO459" s="239"/>
      <c r="AP459" s="239"/>
      <c r="AQ459" s="239"/>
      <c r="AR459" s="239"/>
      <c r="AS459" s="239"/>
      <c r="AT459" s="239"/>
      <c r="AU459" s="239"/>
      <c r="AV459" s="239"/>
      <c r="AW459" s="239"/>
      <c r="AX459" s="239"/>
      <c r="AY459" s="239"/>
      <c r="AZ459" s="239"/>
      <c r="BA459" s="239"/>
      <c r="BB459" s="239"/>
      <c r="BC459" s="239"/>
      <c r="BD459" s="239"/>
      <c r="BE459" s="239"/>
      <c r="BF459" s="239"/>
      <c r="BG459" s="239"/>
      <c r="BH459" s="239"/>
      <c r="BI459" s="239"/>
      <c r="BJ459" s="239"/>
      <c r="BK459" s="239"/>
      <c r="BL459" s="239"/>
      <c r="BM459" s="239"/>
      <c r="BN459" s="239"/>
      <c r="BO459" s="239"/>
      <c r="BP459" s="239"/>
      <c r="BQ459" s="239"/>
      <c r="BR459" s="239"/>
      <c r="BS459" s="239"/>
      <c r="BT459" s="239"/>
      <c r="BU459" s="239"/>
      <c r="BV459" s="239"/>
      <c r="BW459" s="239"/>
      <c r="BX459" s="239"/>
      <c r="BY459" s="239"/>
      <c r="BZ459" s="239"/>
      <c r="CA459" s="239"/>
      <c r="CB459" s="239"/>
      <c r="CC459" s="239"/>
      <c r="CD459" s="239"/>
      <c r="CE459" s="239"/>
      <c r="CF459" s="239"/>
      <c r="CG459" s="239"/>
    </row>
    <row r="460" spans="1:85" ht="15.75" customHeight="1">
      <c r="A460" s="239"/>
      <c r="B460" s="239"/>
      <c r="C460" s="239"/>
      <c r="D460" s="239"/>
      <c r="E460" s="239"/>
      <c r="F460" s="239"/>
      <c r="G460" s="239"/>
      <c r="H460" s="239"/>
      <c r="I460" s="239"/>
      <c r="J460" s="239"/>
      <c r="K460" s="239"/>
      <c r="L460" s="239"/>
      <c r="M460" s="239"/>
      <c r="N460" s="239"/>
      <c r="O460" s="239"/>
      <c r="P460" s="239"/>
      <c r="Q460" s="239"/>
      <c r="R460" s="239"/>
      <c r="S460" s="239"/>
      <c r="T460" s="239"/>
      <c r="U460" s="239"/>
      <c r="V460" s="239"/>
      <c r="W460" s="239"/>
      <c r="X460" s="239"/>
      <c r="Y460" s="239"/>
      <c r="Z460" s="239"/>
      <c r="AA460" s="239"/>
      <c r="AB460" s="239"/>
      <c r="AC460" s="239"/>
      <c r="AD460" s="239"/>
      <c r="AE460" s="239"/>
      <c r="AF460" s="239"/>
      <c r="AG460" s="239"/>
      <c r="AH460" s="239"/>
      <c r="AI460" s="239"/>
      <c r="AJ460" s="239"/>
      <c r="AK460" s="239"/>
      <c r="AL460" s="239"/>
      <c r="AM460" s="239"/>
      <c r="AN460" s="239"/>
      <c r="AO460" s="239"/>
      <c r="AP460" s="239"/>
      <c r="AQ460" s="239"/>
      <c r="AR460" s="239"/>
      <c r="AS460" s="239"/>
      <c r="AT460" s="239"/>
      <c r="AU460" s="239"/>
      <c r="AV460" s="239"/>
      <c r="AW460" s="239"/>
      <c r="AX460" s="239"/>
      <c r="AY460" s="239"/>
      <c r="AZ460" s="239"/>
      <c r="BA460" s="239"/>
      <c r="BB460" s="239"/>
      <c r="BC460" s="239"/>
      <c r="BD460" s="239"/>
      <c r="BE460" s="239"/>
      <c r="BF460" s="239"/>
      <c r="BG460" s="239"/>
      <c r="BH460" s="239"/>
      <c r="BI460" s="239"/>
      <c r="BJ460" s="239"/>
      <c r="BK460" s="239"/>
      <c r="BL460" s="239"/>
      <c r="BM460" s="239"/>
      <c r="BN460" s="239"/>
      <c r="BO460" s="239"/>
      <c r="BP460" s="239"/>
      <c r="BQ460" s="239"/>
      <c r="BR460" s="239"/>
      <c r="BS460" s="239"/>
      <c r="BT460" s="239"/>
      <c r="BU460" s="239"/>
      <c r="BV460" s="239"/>
      <c r="BW460" s="239"/>
      <c r="BX460" s="239"/>
      <c r="BY460" s="239"/>
      <c r="BZ460" s="239"/>
      <c r="CA460" s="239"/>
      <c r="CB460" s="239"/>
      <c r="CC460" s="239"/>
      <c r="CD460" s="239"/>
      <c r="CE460" s="239"/>
      <c r="CF460" s="239"/>
      <c r="CG460" s="239"/>
    </row>
    <row r="461" spans="1:85" ht="15.75" customHeight="1">
      <c r="A461" s="239"/>
      <c r="B461" s="239"/>
      <c r="C461" s="239"/>
      <c r="D461" s="239"/>
      <c r="E461" s="239"/>
      <c r="F461" s="239"/>
      <c r="G461" s="239"/>
      <c r="H461" s="239"/>
      <c r="I461" s="239"/>
      <c r="J461" s="239"/>
      <c r="K461" s="239"/>
      <c r="L461" s="239"/>
      <c r="M461" s="239"/>
      <c r="N461" s="239"/>
      <c r="O461" s="239"/>
      <c r="P461" s="239"/>
      <c r="Q461" s="239"/>
      <c r="R461" s="239"/>
      <c r="S461" s="239"/>
      <c r="T461" s="239"/>
      <c r="U461" s="239"/>
      <c r="V461" s="239"/>
      <c r="W461" s="239"/>
      <c r="X461" s="239"/>
      <c r="Y461" s="239"/>
      <c r="Z461" s="239"/>
      <c r="AA461" s="239"/>
      <c r="AB461" s="239"/>
      <c r="AC461" s="239"/>
      <c r="AD461" s="239"/>
      <c r="AE461" s="239"/>
      <c r="AF461" s="239"/>
      <c r="AG461" s="239"/>
      <c r="AH461" s="239"/>
      <c r="AI461" s="239"/>
      <c r="AJ461" s="239"/>
      <c r="AK461" s="239"/>
      <c r="AL461" s="239"/>
      <c r="AM461" s="239"/>
      <c r="AN461" s="239"/>
      <c r="AO461" s="239"/>
      <c r="AP461" s="239"/>
      <c r="AQ461" s="239"/>
      <c r="AR461" s="239"/>
      <c r="AS461" s="239"/>
      <c r="AT461" s="239"/>
      <c r="AU461" s="239"/>
      <c r="AV461" s="239"/>
      <c r="AW461" s="239"/>
      <c r="AX461" s="239"/>
      <c r="AY461" s="239"/>
      <c r="AZ461" s="239"/>
      <c r="BA461" s="239"/>
      <c r="BB461" s="239"/>
      <c r="BC461" s="239"/>
      <c r="BD461" s="239"/>
      <c r="BE461" s="239"/>
      <c r="BF461" s="239"/>
      <c r="BG461" s="239"/>
      <c r="BH461" s="239"/>
      <c r="BI461" s="239"/>
      <c r="BJ461" s="239"/>
      <c r="BK461" s="239"/>
      <c r="BL461" s="239"/>
      <c r="BM461" s="239"/>
      <c r="BN461" s="239"/>
      <c r="BO461" s="239"/>
      <c r="BP461" s="239"/>
      <c r="BQ461" s="239"/>
      <c r="BR461" s="239"/>
      <c r="BS461" s="239"/>
      <c r="BT461" s="239"/>
      <c r="BU461" s="239"/>
      <c r="BV461" s="239"/>
      <c r="BW461" s="239"/>
      <c r="BX461" s="239"/>
      <c r="BY461" s="239"/>
      <c r="BZ461" s="239"/>
      <c r="CA461" s="239"/>
      <c r="CB461" s="239"/>
      <c r="CC461" s="239"/>
      <c r="CD461" s="239"/>
      <c r="CE461" s="239"/>
      <c r="CF461" s="239"/>
      <c r="CG461" s="239"/>
    </row>
    <row r="462" spans="1:85" ht="15.75" customHeight="1">
      <c r="A462" s="239"/>
      <c r="B462" s="239"/>
      <c r="C462" s="239"/>
      <c r="D462" s="239"/>
      <c r="E462" s="239"/>
      <c r="F462" s="239"/>
      <c r="G462" s="239"/>
      <c r="H462" s="239"/>
      <c r="I462" s="239"/>
      <c r="J462" s="239"/>
      <c r="K462" s="239"/>
      <c r="L462" s="239"/>
      <c r="M462" s="239"/>
      <c r="N462" s="239"/>
      <c r="O462" s="239"/>
      <c r="P462" s="239"/>
      <c r="Q462" s="239"/>
      <c r="R462" s="239"/>
      <c r="S462" s="239"/>
      <c r="T462" s="239"/>
      <c r="U462" s="239"/>
      <c r="V462" s="239"/>
      <c r="W462" s="239"/>
      <c r="X462" s="239"/>
      <c r="Y462" s="239"/>
      <c r="Z462" s="239"/>
      <c r="AA462" s="239"/>
      <c r="AB462" s="239"/>
      <c r="AC462" s="239"/>
      <c r="AD462" s="239"/>
      <c r="AE462" s="239"/>
      <c r="AF462" s="239"/>
      <c r="AG462" s="239"/>
      <c r="AH462" s="239"/>
      <c r="AI462" s="239"/>
      <c r="AJ462" s="239"/>
      <c r="AK462" s="239"/>
      <c r="AL462" s="239"/>
      <c r="AM462" s="239"/>
      <c r="AN462" s="239"/>
      <c r="AO462" s="239"/>
      <c r="AP462" s="239"/>
      <c r="AQ462" s="239"/>
      <c r="AR462" s="239"/>
      <c r="AS462" s="239"/>
      <c r="AT462" s="239"/>
      <c r="AU462" s="239"/>
      <c r="AV462" s="239"/>
      <c r="AW462" s="239"/>
      <c r="AX462" s="239"/>
      <c r="AY462" s="239"/>
      <c r="AZ462" s="239"/>
      <c r="BA462" s="239"/>
      <c r="BB462" s="239"/>
      <c r="BC462" s="239"/>
      <c r="BD462" s="239"/>
      <c r="BE462" s="239"/>
      <c r="BF462" s="239"/>
      <c r="BG462" s="239"/>
      <c r="BH462" s="239"/>
      <c r="BI462" s="239"/>
      <c r="BJ462" s="239"/>
      <c r="BK462" s="239"/>
      <c r="BL462" s="239"/>
      <c r="BM462" s="239"/>
      <c r="BN462" s="239"/>
      <c r="BO462" s="239"/>
      <c r="BP462" s="239"/>
      <c r="BQ462" s="239"/>
      <c r="BR462" s="239"/>
      <c r="BS462" s="239"/>
      <c r="BT462" s="239"/>
      <c r="BU462" s="239"/>
      <c r="BV462" s="239"/>
      <c r="BW462" s="239"/>
      <c r="BX462" s="239"/>
      <c r="BY462" s="239"/>
      <c r="BZ462" s="239"/>
      <c r="CA462" s="239"/>
      <c r="CB462" s="239"/>
      <c r="CC462" s="239"/>
      <c r="CD462" s="239"/>
      <c r="CE462" s="239"/>
      <c r="CF462" s="239"/>
      <c r="CG462" s="239"/>
    </row>
    <row r="463" spans="1:85" ht="15.75" customHeight="1">
      <c r="A463" s="239"/>
      <c r="B463" s="239"/>
      <c r="C463" s="239"/>
      <c r="D463" s="239"/>
      <c r="E463" s="239"/>
      <c r="F463" s="239"/>
      <c r="G463" s="239"/>
      <c r="H463" s="239"/>
      <c r="I463" s="239"/>
      <c r="J463" s="239"/>
      <c r="K463" s="239"/>
      <c r="L463" s="239"/>
      <c r="M463" s="239"/>
      <c r="N463" s="239"/>
      <c r="O463" s="239"/>
      <c r="P463" s="239"/>
      <c r="Q463" s="239"/>
      <c r="R463" s="239"/>
      <c r="S463" s="239"/>
      <c r="T463" s="239"/>
      <c r="U463" s="239"/>
      <c r="V463" s="239"/>
      <c r="W463" s="239"/>
      <c r="X463" s="239"/>
      <c r="Y463" s="239"/>
      <c r="Z463" s="239"/>
      <c r="AA463" s="239"/>
      <c r="AB463" s="239"/>
      <c r="AC463" s="239"/>
      <c r="AD463" s="239"/>
      <c r="AE463" s="239"/>
      <c r="AF463" s="239"/>
      <c r="AG463" s="239"/>
      <c r="AH463" s="239"/>
      <c r="AI463" s="239"/>
      <c r="AJ463" s="239"/>
      <c r="AK463" s="239"/>
      <c r="AL463" s="239"/>
      <c r="AM463" s="239"/>
      <c r="AN463" s="239"/>
      <c r="AO463" s="239"/>
      <c r="AP463" s="239"/>
      <c r="AQ463" s="239"/>
      <c r="AR463" s="239"/>
      <c r="AS463" s="239"/>
      <c r="AT463" s="239"/>
      <c r="AU463" s="239"/>
      <c r="AV463" s="239"/>
      <c r="AW463" s="239"/>
      <c r="AX463" s="239"/>
      <c r="AY463" s="239"/>
      <c r="AZ463" s="239"/>
      <c r="BA463" s="239"/>
      <c r="BB463" s="239"/>
      <c r="BC463" s="239"/>
      <c r="BD463" s="239"/>
      <c r="BE463" s="239"/>
      <c r="BF463" s="239"/>
      <c r="BG463" s="239"/>
      <c r="BH463" s="239"/>
      <c r="BI463" s="239"/>
      <c r="BJ463" s="239"/>
      <c r="BK463" s="239"/>
      <c r="BL463" s="239"/>
      <c r="BM463" s="239"/>
      <c r="BN463" s="239"/>
      <c r="BO463" s="239"/>
      <c r="BP463" s="239"/>
      <c r="BQ463" s="239"/>
      <c r="BR463" s="239"/>
      <c r="BS463" s="239"/>
      <c r="BT463" s="239"/>
      <c r="BU463" s="239"/>
      <c r="BV463" s="239"/>
      <c r="BW463" s="239"/>
      <c r="BX463" s="239"/>
      <c r="BY463" s="239"/>
      <c r="BZ463" s="239"/>
      <c r="CA463" s="239"/>
      <c r="CB463" s="239"/>
      <c r="CC463" s="239"/>
      <c r="CD463" s="239"/>
      <c r="CE463" s="239"/>
      <c r="CF463" s="239"/>
      <c r="CG463" s="239"/>
    </row>
    <row r="464" spans="1:85" ht="15.75" customHeight="1">
      <c r="A464" s="239"/>
      <c r="B464" s="239"/>
      <c r="C464" s="239"/>
      <c r="D464" s="239"/>
      <c r="E464" s="239"/>
      <c r="F464" s="239"/>
      <c r="G464" s="239"/>
      <c r="H464" s="239"/>
      <c r="I464" s="239"/>
      <c r="J464" s="239"/>
      <c r="K464" s="239"/>
      <c r="L464" s="239"/>
      <c r="M464" s="239"/>
      <c r="N464" s="239"/>
      <c r="O464" s="239"/>
      <c r="P464" s="239"/>
      <c r="Q464" s="239"/>
      <c r="R464" s="239"/>
      <c r="S464" s="239"/>
      <c r="T464" s="239"/>
      <c r="U464" s="239"/>
      <c r="V464" s="239"/>
      <c r="W464" s="239"/>
      <c r="X464" s="239"/>
      <c r="Y464" s="239"/>
      <c r="Z464" s="239"/>
      <c r="AA464" s="239"/>
      <c r="AB464" s="239"/>
      <c r="AC464" s="239"/>
      <c r="AD464" s="239"/>
      <c r="AE464" s="239"/>
      <c r="AF464" s="239"/>
      <c r="AG464" s="239"/>
      <c r="AH464" s="239"/>
      <c r="AI464" s="239"/>
      <c r="AJ464" s="239"/>
      <c r="AK464" s="239"/>
      <c r="AL464" s="239"/>
      <c r="AM464" s="239"/>
      <c r="AN464" s="239"/>
      <c r="AO464" s="239"/>
      <c r="AP464" s="239"/>
      <c r="AQ464" s="239"/>
      <c r="AR464" s="239"/>
      <c r="AS464" s="239"/>
      <c r="AT464" s="239"/>
      <c r="AU464" s="239"/>
      <c r="AV464" s="239"/>
      <c r="AW464" s="239"/>
      <c r="AX464" s="239"/>
      <c r="AY464" s="239"/>
      <c r="AZ464" s="239"/>
      <c r="BA464" s="239"/>
      <c r="BB464" s="239"/>
      <c r="BC464" s="239"/>
      <c r="BD464" s="239"/>
      <c r="BE464" s="239"/>
      <c r="BF464" s="239"/>
      <c r="BG464" s="239"/>
      <c r="BH464" s="239"/>
      <c r="BI464" s="239"/>
      <c r="BJ464" s="239"/>
      <c r="BK464" s="239"/>
      <c r="BL464" s="239"/>
      <c r="BM464" s="239"/>
      <c r="BN464" s="239"/>
      <c r="BO464" s="239"/>
      <c r="BP464" s="239"/>
      <c r="BQ464" s="239"/>
      <c r="BR464" s="239"/>
      <c r="BS464" s="239"/>
      <c r="BT464" s="239"/>
      <c r="BU464" s="239"/>
      <c r="BV464" s="239"/>
      <c r="BW464" s="239"/>
      <c r="BX464" s="239"/>
      <c r="BY464" s="239"/>
      <c r="BZ464" s="239"/>
      <c r="CA464" s="239"/>
      <c r="CB464" s="239"/>
      <c r="CC464" s="239"/>
      <c r="CD464" s="239"/>
      <c r="CE464" s="239"/>
      <c r="CF464" s="239"/>
      <c r="CG464" s="239"/>
    </row>
    <row r="465" spans="1:85" ht="15.75" customHeight="1">
      <c r="A465" s="239"/>
      <c r="B465" s="239"/>
      <c r="C465" s="239"/>
      <c r="D465" s="239"/>
      <c r="E465" s="239"/>
      <c r="F465" s="239"/>
      <c r="G465" s="239"/>
      <c r="H465" s="239"/>
      <c r="I465" s="239"/>
      <c r="J465" s="239"/>
      <c r="K465" s="239"/>
      <c r="L465" s="239"/>
      <c r="M465" s="239"/>
      <c r="N465" s="239"/>
      <c r="O465" s="239"/>
      <c r="P465" s="239"/>
      <c r="Q465" s="239"/>
      <c r="R465" s="239"/>
      <c r="S465" s="239"/>
      <c r="T465" s="239"/>
      <c r="U465" s="239"/>
      <c r="V465" s="239"/>
      <c r="W465" s="239"/>
      <c r="X465" s="239"/>
      <c r="Y465" s="239"/>
      <c r="Z465" s="239"/>
      <c r="AA465" s="239"/>
      <c r="AB465" s="239"/>
      <c r="AC465" s="239"/>
      <c r="AD465" s="239"/>
      <c r="AE465" s="239"/>
      <c r="AF465" s="239"/>
      <c r="AG465" s="239"/>
      <c r="AH465" s="239"/>
      <c r="AI465" s="239"/>
      <c r="AJ465" s="239"/>
      <c r="AK465" s="239"/>
      <c r="AL465" s="239"/>
      <c r="AM465" s="239"/>
      <c r="AN465" s="239"/>
      <c r="AO465" s="239"/>
      <c r="AP465" s="239"/>
      <c r="AQ465" s="239"/>
      <c r="AR465" s="239"/>
      <c r="AS465" s="239"/>
      <c r="AT465" s="239"/>
      <c r="AU465" s="239"/>
      <c r="AV465" s="239"/>
      <c r="AW465" s="239"/>
      <c r="AX465" s="239"/>
      <c r="AY465" s="239"/>
      <c r="AZ465" s="239"/>
      <c r="BA465" s="239"/>
      <c r="BB465" s="239"/>
      <c r="BC465" s="239"/>
      <c r="BD465" s="239"/>
      <c r="BE465" s="239"/>
      <c r="BF465" s="239"/>
      <c r="BG465" s="239"/>
      <c r="BH465" s="239"/>
      <c r="BI465" s="239"/>
      <c r="BJ465" s="239"/>
      <c r="BK465" s="239"/>
      <c r="BL465" s="239"/>
      <c r="BM465" s="239"/>
      <c r="BN465" s="239"/>
      <c r="BO465" s="239"/>
      <c r="BP465" s="239"/>
      <c r="BQ465" s="239"/>
      <c r="BR465" s="239"/>
      <c r="BS465" s="239"/>
      <c r="BT465" s="239"/>
      <c r="BU465" s="239"/>
      <c r="BV465" s="239"/>
      <c r="BW465" s="239"/>
      <c r="BX465" s="239"/>
      <c r="BY465" s="239"/>
      <c r="BZ465" s="239"/>
      <c r="CA465" s="239"/>
      <c r="CB465" s="239"/>
      <c r="CC465" s="239"/>
      <c r="CD465" s="239"/>
      <c r="CE465" s="239"/>
      <c r="CF465" s="239"/>
      <c r="CG465" s="239"/>
    </row>
    <row r="466" spans="1:85" ht="15.75" customHeight="1">
      <c r="A466" s="239"/>
      <c r="B466" s="239"/>
      <c r="C466" s="239"/>
      <c r="D466" s="239"/>
      <c r="E466" s="239"/>
      <c r="F466" s="239"/>
      <c r="G466" s="239"/>
      <c r="H466" s="239"/>
      <c r="I466" s="239"/>
      <c r="J466" s="239"/>
      <c r="K466" s="239"/>
      <c r="L466" s="239"/>
      <c r="M466" s="239"/>
      <c r="N466" s="239"/>
      <c r="O466" s="239"/>
      <c r="P466" s="239"/>
      <c r="Q466" s="239"/>
      <c r="R466" s="239"/>
      <c r="S466" s="239"/>
      <c r="T466" s="239"/>
      <c r="U466" s="239"/>
      <c r="V466" s="239"/>
      <c r="W466" s="239"/>
      <c r="X466" s="239"/>
      <c r="Y466" s="239"/>
      <c r="Z466" s="239"/>
      <c r="AA466" s="239"/>
      <c r="AB466" s="239"/>
      <c r="AC466" s="239"/>
      <c r="AD466" s="239"/>
      <c r="AE466" s="239"/>
      <c r="AF466" s="239"/>
      <c r="AG466" s="239"/>
      <c r="AH466" s="239"/>
      <c r="AI466" s="239"/>
      <c r="AJ466" s="239"/>
      <c r="AK466" s="239"/>
      <c r="AL466" s="239"/>
      <c r="AM466" s="239"/>
      <c r="AN466" s="239"/>
      <c r="AO466" s="239"/>
      <c r="AP466" s="239"/>
      <c r="AQ466" s="239"/>
      <c r="AR466" s="239"/>
      <c r="AS466" s="239"/>
      <c r="AT466" s="239"/>
      <c r="AU466" s="239"/>
      <c r="AV466" s="239"/>
      <c r="AW466" s="239"/>
      <c r="AX466" s="239"/>
      <c r="AY466" s="239"/>
      <c r="AZ466" s="239"/>
      <c r="BA466" s="239"/>
      <c r="BB466" s="239"/>
      <c r="BC466" s="239"/>
      <c r="BD466" s="239"/>
      <c r="BE466" s="239"/>
      <c r="BF466" s="239"/>
      <c r="BG466" s="239"/>
      <c r="BH466" s="239"/>
      <c r="BI466" s="239"/>
      <c r="BJ466" s="239"/>
      <c r="BK466" s="239"/>
      <c r="BL466" s="239"/>
      <c r="BM466" s="239"/>
      <c r="BN466" s="239"/>
      <c r="BO466" s="239"/>
      <c r="BP466" s="239"/>
      <c r="BQ466" s="239"/>
      <c r="BR466" s="239"/>
      <c r="BS466" s="239"/>
      <c r="BT466" s="239"/>
      <c r="BU466" s="239"/>
      <c r="BV466" s="239"/>
      <c r="BW466" s="239"/>
      <c r="BX466" s="239"/>
      <c r="BY466" s="239"/>
      <c r="BZ466" s="239"/>
      <c r="CA466" s="239"/>
      <c r="CB466" s="239"/>
      <c r="CC466" s="239"/>
      <c r="CD466" s="239"/>
      <c r="CE466" s="239"/>
      <c r="CF466" s="239"/>
      <c r="CG466" s="239"/>
    </row>
    <row r="467" spans="1:85" ht="15.75" customHeight="1">
      <c r="A467" s="239"/>
      <c r="B467" s="239"/>
      <c r="C467" s="239"/>
      <c r="D467" s="239"/>
      <c r="E467" s="239"/>
      <c r="F467" s="239"/>
      <c r="G467" s="239"/>
      <c r="H467" s="239"/>
      <c r="I467" s="239"/>
      <c r="J467" s="239"/>
      <c r="K467" s="239"/>
      <c r="L467" s="239"/>
      <c r="M467" s="239"/>
      <c r="N467" s="239"/>
      <c r="O467" s="239"/>
      <c r="P467" s="239"/>
      <c r="Q467" s="239"/>
      <c r="R467" s="239"/>
      <c r="S467" s="239"/>
      <c r="T467" s="239"/>
      <c r="U467" s="239"/>
      <c r="V467" s="239"/>
      <c r="W467" s="239"/>
      <c r="X467" s="239"/>
      <c r="Y467" s="239"/>
      <c r="Z467" s="239"/>
      <c r="AA467" s="239"/>
      <c r="AB467" s="239"/>
      <c r="AC467" s="239"/>
      <c r="AD467" s="239"/>
      <c r="AE467" s="239"/>
      <c r="AF467" s="239"/>
      <c r="AG467" s="239"/>
      <c r="AH467" s="239"/>
      <c r="AI467" s="239"/>
      <c r="AJ467" s="239"/>
      <c r="AK467" s="239"/>
      <c r="AL467" s="239"/>
      <c r="AM467" s="239"/>
      <c r="AN467" s="239"/>
      <c r="AO467" s="239"/>
      <c r="AP467" s="239"/>
      <c r="AQ467" s="239"/>
      <c r="AR467" s="239"/>
      <c r="AS467" s="239"/>
      <c r="AT467" s="239"/>
      <c r="AU467" s="239"/>
      <c r="AV467" s="239"/>
      <c r="AW467" s="239"/>
      <c r="AX467" s="239"/>
      <c r="AY467" s="239"/>
      <c r="AZ467" s="239"/>
      <c r="BA467" s="239"/>
      <c r="BB467" s="239"/>
      <c r="BC467" s="239"/>
      <c r="BD467" s="239"/>
      <c r="BE467" s="239"/>
      <c r="BF467" s="239"/>
      <c r="BG467" s="239"/>
      <c r="BH467" s="239"/>
      <c r="BI467" s="239"/>
      <c r="BJ467" s="239"/>
      <c r="BK467" s="239"/>
      <c r="BL467" s="239"/>
      <c r="BM467" s="239"/>
      <c r="BN467" s="239"/>
      <c r="BO467" s="239"/>
      <c r="BP467" s="239"/>
      <c r="BQ467" s="239"/>
      <c r="BR467" s="239"/>
      <c r="BS467" s="239"/>
      <c r="BT467" s="239"/>
      <c r="BU467" s="239"/>
      <c r="BV467" s="239"/>
      <c r="BW467" s="239"/>
      <c r="BX467" s="239"/>
      <c r="BY467" s="239"/>
      <c r="BZ467" s="239"/>
      <c r="CA467" s="239"/>
      <c r="CB467" s="239"/>
      <c r="CC467" s="239"/>
      <c r="CD467" s="239"/>
      <c r="CE467" s="239"/>
      <c r="CF467" s="239"/>
      <c r="CG467" s="239"/>
    </row>
    <row r="468" spans="1:85" ht="15.75" customHeight="1">
      <c r="A468" s="239"/>
      <c r="B468" s="239"/>
      <c r="C468" s="239"/>
      <c r="D468" s="239"/>
      <c r="E468" s="239"/>
      <c r="F468" s="239"/>
      <c r="G468" s="239"/>
      <c r="H468" s="239"/>
      <c r="I468" s="239"/>
      <c r="J468" s="239"/>
      <c r="K468" s="239"/>
      <c r="L468" s="239"/>
      <c r="M468" s="239"/>
      <c r="N468" s="239"/>
      <c r="O468" s="239"/>
      <c r="P468" s="239"/>
      <c r="Q468" s="239"/>
      <c r="R468" s="239"/>
      <c r="S468" s="239"/>
      <c r="T468" s="239"/>
      <c r="U468" s="239"/>
      <c r="V468" s="239"/>
      <c r="W468" s="239"/>
      <c r="X468" s="239"/>
      <c r="Y468" s="239"/>
      <c r="Z468" s="239"/>
      <c r="AA468" s="239"/>
      <c r="AB468" s="239"/>
      <c r="AC468" s="239"/>
      <c r="AD468" s="239"/>
      <c r="AE468" s="239"/>
      <c r="AF468" s="239"/>
      <c r="AG468" s="239"/>
      <c r="AH468" s="239"/>
      <c r="AI468" s="239"/>
      <c r="AJ468" s="239"/>
      <c r="AK468" s="239"/>
      <c r="AL468" s="239"/>
      <c r="AM468" s="239"/>
      <c r="AN468" s="239"/>
      <c r="AO468" s="239"/>
      <c r="AP468" s="239"/>
      <c r="AQ468" s="239"/>
      <c r="AR468" s="239"/>
      <c r="AS468" s="239"/>
      <c r="AT468" s="239"/>
      <c r="AU468" s="239"/>
      <c r="AV468" s="239"/>
      <c r="AW468" s="239"/>
      <c r="AX468" s="239"/>
      <c r="AY468" s="239"/>
      <c r="AZ468" s="239"/>
      <c r="BA468" s="239"/>
      <c r="BB468" s="239"/>
      <c r="BC468" s="239"/>
      <c r="BD468" s="239"/>
      <c r="BE468" s="239"/>
      <c r="BF468" s="239"/>
      <c r="BG468" s="239"/>
      <c r="BH468" s="239"/>
      <c r="BI468" s="239"/>
      <c r="BJ468" s="239"/>
      <c r="BK468" s="239"/>
      <c r="BL468" s="239"/>
      <c r="BM468" s="239"/>
      <c r="BN468" s="239"/>
      <c r="BO468" s="239"/>
      <c r="BP468" s="239"/>
      <c r="BQ468" s="239"/>
      <c r="BR468" s="239"/>
      <c r="BS468" s="239"/>
      <c r="BT468" s="239"/>
      <c r="BU468" s="239"/>
      <c r="BV468" s="239"/>
      <c r="BW468" s="239"/>
      <c r="BX468" s="239"/>
      <c r="BY468" s="239"/>
      <c r="BZ468" s="239"/>
      <c r="CA468" s="239"/>
      <c r="CB468" s="239"/>
      <c r="CC468" s="239"/>
      <c r="CD468" s="239"/>
      <c r="CE468" s="239"/>
      <c r="CF468" s="239"/>
      <c r="CG468" s="239"/>
    </row>
    <row r="469" spans="1:85" ht="15.75" customHeight="1">
      <c r="A469" s="239"/>
      <c r="B469" s="239"/>
      <c r="C469" s="239"/>
      <c r="D469" s="239"/>
      <c r="E469" s="239"/>
      <c r="F469" s="239"/>
      <c r="G469" s="239"/>
      <c r="H469" s="239"/>
      <c r="I469" s="239"/>
      <c r="J469" s="239"/>
      <c r="K469" s="239"/>
      <c r="L469" s="239"/>
      <c r="M469" s="239"/>
      <c r="N469" s="239"/>
      <c r="O469" s="239"/>
      <c r="P469" s="239"/>
      <c r="Q469" s="239"/>
      <c r="R469" s="239"/>
      <c r="S469" s="239"/>
      <c r="T469" s="239"/>
      <c r="U469" s="239"/>
      <c r="V469" s="239"/>
      <c r="W469" s="239"/>
      <c r="X469" s="239"/>
      <c r="Y469" s="239"/>
      <c r="Z469" s="239"/>
      <c r="AA469" s="239"/>
      <c r="AB469" s="239"/>
      <c r="AC469" s="239"/>
      <c r="AD469" s="239"/>
      <c r="AE469" s="239"/>
      <c r="AF469" s="239"/>
      <c r="AG469" s="239"/>
      <c r="AH469" s="239"/>
      <c r="AI469" s="239"/>
      <c r="AJ469" s="239"/>
      <c r="AK469" s="239"/>
      <c r="AL469" s="239"/>
      <c r="AM469" s="239"/>
      <c r="AN469" s="239"/>
      <c r="AO469" s="239"/>
      <c r="AP469" s="239"/>
      <c r="AQ469" s="239"/>
      <c r="AR469" s="239"/>
      <c r="AS469" s="239"/>
      <c r="AT469" s="239"/>
      <c r="AU469" s="239"/>
      <c r="AV469" s="239"/>
      <c r="AW469" s="239"/>
      <c r="AX469" s="239"/>
      <c r="AY469" s="239"/>
      <c r="AZ469" s="239"/>
      <c r="BA469" s="239"/>
      <c r="BB469" s="239"/>
      <c r="BC469" s="239"/>
      <c r="BD469" s="239"/>
      <c r="BE469" s="239"/>
      <c r="BF469" s="239"/>
      <c r="BG469" s="239"/>
      <c r="BH469" s="239"/>
      <c r="BI469" s="239"/>
      <c r="BJ469" s="239"/>
      <c r="BK469" s="239"/>
      <c r="BL469" s="239"/>
      <c r="BM469" s="239"/>
      <c r="BN469" s="239"/>
      <c r="BO469" s="239"/>
      <c r="BP469" s="239"/>
      <c r="BQ469" s="239"/>
      <c r="BR469" s="239"/>
      <c r="BS469" s="239"/>
      <c r="BT469" s="239"/>
      <c r="BU469" s="239"/>
      <c r="BV469" s="239"/>
      <c r="BW469" s="239"/>
      <c r="BX469" s="239"/>
      <c r="BY469" s="239"/>
      <c r="BZ469" s="239"/>
      <c r="CA469" s="239"/>
      <c r="CB469" s="239"/>
      <c r="CC469" s="239"/>
      <c r="CD469" s="239"/>
      <c r="CE469" s="239"/>
      <c r="CF469" s="239"/>
      <c r="CG469" s="239"/>
    </row>
    <row r="470" spans="1:85" ht="15.75" customHeight="1">
      <c r="A470" s="239"/>
      <c r="B470" s="239"/>
      <c r="C470" s="239"/>
      <c r="D470" s="239"/>
      <c r="E470" s="239"/>
      <c r="F470" s="239"/>
      <c r="G470" s="239"/>
      <c r="H470" s="239"/>
      <c r="I470" s="239"/>
      <c r="J470" s="239"/>
      <c r="K470" s="239"/>
      <c r="L470" s="239"/>
      <c r="M470" s="239"/>
      <c r="N470" s="239"/>
      <c r="O470" s="239"/>
      <c r="P470" s="239"/>
      <c r="Q470" s="239"/>
      <c r="R470" s="239"/>
      <c r="S470" s="239"/>
      <c r="T470" s="239"/>
      <c r="U470" s="239"/>
      <c r="V470" s="239"/>
      <c r="W470" s="239"/>
      <c r="X470" s="239"/>
      <c r="Y470" s="239"/>
      <c r="Z470" s="239"/>
      <c r="AA470" s="239"/>
      <c r="AB470" s="239"/>
      <c r="AC470" s="239"/>
      <c r="AD470" s="239"/>
      <c r="AE470" s="239"/>
      <c r="AF470" s="239"/>
      <c r="AG470" s="239"/>
      <c r="AH470" s="239"/>
      <c r="AI470" s="239"/>
      <c r="AJ470" s="239"/>
      <c r="AK470" s="239"/>
      <c r="AL470" s="239"/>
      <c r="AM470" s="239"/>
      <c r="AN470" s="239"/>
      <c r="AO470" s="239"/>
      <c r="AP470" s="239"/>
      <c r="AQ470" s="239"/>
      <c r="AR470" s="239"/>
      <c r="AS470" s="239"/>
      <c r="AT470" s="239"/>
      <c r="AU470" s="239"/>
      <c r="AV470" s="239"/>
      <c r="AW470" s="239"/>
      <c r="AX470" s="239"/>
      <c r="AY470" s="239"/>
      <c r="AZ470" s="239"/>
      <c r="BA470" s="239"/>
      <c r="BB470" s="239"/>
      <c r="BC470" s="239"/>
      <c r="BD470" s="239"/>
      <c r="BE470" s="239"/>
      <c r="BF470" s="239"/>
      <c r="BG470" s="239"/>
      <c r="BH470" s="239"/>
      <c r="BI470" s="239"/>
      <c r="BJ470" s="239"/>
      <c r="BK470" s="239"/>
      <c r="BL470" s="239"/>
      <c r="BM470" s="239"/>
      <c r="BN470" s="239"/>
      <c r="BO470" s="239"/>
      <c r="BP470" s="239"/>
      <c r="BQ470" s="239"/>
      <c r="BR470" s="239"/>
      <c r="BS470" s="239"/>
      <c r="BT470" s="239"/>
      <c r="BU470" s="239"/>
      <c r="BV470" s="239"/>
      <c r="BW470" s="239"/>
      <c r="BX470" s="239"/>
      <c r="BY470" s="239"/>
      <c r="BZ470" s="239"/>
      <c r="CA470" s="239"/>
      <c r="CB470" s="239"/>
      <c r="CC470" s="239"/>
      <c r="CD470" s="239"/>
      <c r="CE470" s="239"/>
      <c r="CF470" s="239"/>
      <c r="CG470" s="239"/>
    </row>
    <row r="471" spans="1:85" ht="15.75" customHeight="1">
      <c r="A471" s="239"/>
      <c r="B471" s="239"/>
      <c r="C471" s="239"/>
      <c r="D471" s="239"/>
      <c r="E471" s="239"/>
      <c r="F471" s="239"/>
      <c r="G471" s="239"/>
      <c r="H471" s="239"/>
      <c r="I471" s="239"/>
      <c r="J471" s="239"/>
      <c r="K471" s="239"/>
      <c r="L471" s="239"/>
      <c r="M471" s="239"/>
      <c r="N471" s="239"/>
      <c r="O471" s="239"/>
      <c r="P471" s="239"/>
      <c r="Q471" s="239"/>
      <c r="R471" s="239"/>
      <c r="S471" s="239"/>
      <c r="T471" s="239"/>
      <c r="U471" s="239"/>
      <c r="V471" s="239"/>
      <c r="W471" s="239"/>
      <c r="X471" s="239"/>
      <c r="Y471" s="239"/>
      <c r="Z471" s="239"/>
      <c r="AA471" s="239"/>
      <c r="AB471" s="239"/>
      <c r="AC471" s="239"/>
      <c r="AD471" s="239"/>
      <c r="AE471" s="239"/>
      <c r="AF471" s="239"/>
      <c r="AG471" s="239"/>
      <c r="AH471" s="239"/>
      <c r="AI471" s="239"/>
      <c r="AJ471" s="239"/>
      <c r="AK471" s="239"/>
      <c r="AL471" s="239"/>
      <c r="AM471" s="239"/>
      <c r="AN471" s="239"/>
      <c r="AO471" s="239"/>
      <c r="AP471" s="239"/>
      <c r="AQ471" s="239"/>
      <c r="AR471" s="239"/>
      <c r="AS471" s="239"/>
      <c r="AT471" s="239"/>
      <c r="AU471" s="239"/>
      <c r="AV471" s="239"/>
      <c r="AW471" s="239"/>
      <c r="AX471" s="239"/>
      <c r="AY471" s="239"/>
      <c r="AZ471" s="239"/>
      <c r="BA471" s="239"/>
      <c r="BB471" s="239"/>
      <c r="BC471" s="239"/>
      <c r="BD471" s="239"/>
      <c r="BE471" s="239"/>
      <c r="BF471" s="239"/>
      <c r="BG471" s="239"/>
      <c r="BH471" s="239"/>
      <c r="BI471" s="239"/>
      <c r="BJ471" s="239"/>
      <c r="BK471" s="239"/>
      <c r="BL471" s="239"/>
      <c r="BM471" s="239"/>
      <c r="BN471" s="239"/>
      <c r="BO471" s="239"/>
      <c r="BP471" s="239"/>
      <c r="BQ471" s="239"/>
      <c r="BR471" s="239"/>
      <c r="BS471" s="239"/>
      <c r="BT471" s="239"/>
      <c r="BU471" s="239"/>
      <c r="BV471" s="239"/>
      <c r="BW471" s="239"/>
      <c r="BX471" s="239"/>
      <c r="BY471" s="239"/>
      <c r="BZ471" s="239"/>
      <c r="CA471" s="239"/>
      <c r="CB471" s="239"/>
      <c r="CC471" s="239"/>
      <c r="CD471" s="239"/>
      <c r="CE471" s="239"/>
      <c r="CF471" s="239"/>
      <c r="CG471" s="239"/>
    </row>
    <row r="472" spans="1:85" ht="15.75" customHeight="1">
      <c r="A472" s="239"/>
      <c r="B472" s="239"/>
      <c r="C472" s="239"/>
      <c r="D472" s="239"/>
      <c r="E472" s="239"/>
      <c r="F472" s="239"/>
      <c r="G472" s="239"/>
      <c r="H472" s="239"/>
      <c r="I472" s="239"/>
      <c r="J472" s="239"/>
      <c r="K472" s="239"/>
      <c r="L472" s="239"/>
      <c r="M472" s="239"/>
      <c r="N472" s="239"/>
      <c r="O472" s="239"/>
      <c r="P472" s="239"/>
      <c r="Q472" s="239"/>
      <c r="R472" s="239"/>
      <c r="S472" s="239"/>
      <c r="T472" s="239"/>
      <c r="U472" s="239"/>
      <c r="V472" s="239"/>
      <c r="W472" s="239"/>
      <c r="X472" s="239"/>
      <c r="Y472" s="239"/>
      <c r="Z472" s="239"/>
      <c r="AA472" s="239"/>
      <c r="AB472" s="239"/>
      <c r="AC472" s="239"/>
      <c r="AD472" s="239"/>
      <c r="AE472" s="239"/>
      <c r="AF472" s="239"/>
      <c r="AG472" s="239"/>
      <c r="AH472" s="239"/>
      <c r="AI472" s="239"/>
      <c r="AJ472" s="239"/>
      <c r="AK472" s="239"/>
      <c r="AL472" s="239"/>
      <c r="AM472" s="239"/>
      <c r="AN472" s="239"/>
      <c r="AO472" s="239"/>
      <c r="AP472" s="239"/>
      <c r="AQ472" s="239"/>
      <c r="AR472" s="239"/>
      <c r="AS472" s="239"/>
      <c r="AT472" s="239"/>
      <c r="AU472" s="239"/>
      <c r="AV472" s="239"/>
      <c r="AW472" s="239"/>
      <c r="AX472" s="239"/>
      <c r="AY472" s="239"/>
      <c r="AZ472" s="239"/>
      <c r="BA472" s="239"/>
      <c r="BB472" s="239"/>
      <c r="BC472" s="239"/>
      <c r="BD472" s="239"/>
      <c r="BE472" s="239"/>
      <c r="BF472" s="239"/>
      <c r="BG472" s="239"/>
      <c r="BH472" s="239"/>
      <c r="BI472" s="239"/>
      <c r="BJ472" s="239"/>
      <c r="BK472" s="239"/>
      <c r="BL472" s="239"/>
      <c r="BM472" s="239"/>
      <c r="BN472" s="239"/>
      <c r="BO472" s="239"/>
      <c r="BP472" s="239"/>
      <c r="BQ472" s="239"/>
      <c r="BR472" s="239"/>
      <c r="BS472" s="239"/>
      <c r="BT472" s="239"/>
      <c r="BU472" s="239"/>
      <c r="BV472" s="239"/>
      <c r="BW472" s="239"/>
      <c r="BX472" s="239"/>
      <c r="BY472" s="239"/>
      <c r="BZ472" s="239"/>
      <c r="CA472" s="239"/>
      <c r="CB472" s="239"/>
      <c r="CC472" s="239"/>
      <c r="CD472" s="239"/>
      <c r="CE472" s="239"/>
      <c r="CF472" s="239"/>
      <c r="CG472" s="239"/>
    </row>
    <row r="473" spans="1:85" ht="15.75" customHeight="1">
      <c r="A473" s="239"/>
      <c r="B473" s="239"/>
      <c r="C473" s="239"/>
      <c r="D473" s="239"/>
      <c r="E473" s="239"/>
      <c r="F473" s="239"/>
      <c r="G473" s="239"/>
      <c r="H473" s="239"/>
      <c r="I473" s="239"/>
      <c r="J473" s="239"/>
      <c r="K473" s="239"/>
      <c r="L473" s="239"/>
      <c r="M473" s="239"/>
      <c r="N473" s="239"/>
      <c r="O473" s="239"/>
      <c r="P473" s="239"/>
      <c r="Q473" s="239"/>
      <c r="R473" s="239"/>
      <c r="S473" s="239"/>
      <c r="T473" s="239"/>
      <c r="U473" s="239"/>
      <c r="V473" s="239"/>
      <c r="W473" s="239"/>
      <c r="X473" s="239"/>
      <c r="Y473" s="239"/>
      <c r="Z473" s="239"/>
      <c r="AA473" s="239"/>
      <c r="AB473" s="239"/>
      <c r="AC473" s="239"/>
      <c r="AD473" s="239"/>
      <c r="AE473" s="239"/>
      <c r="AF473" s="239"/>
      <c r="AG473" s="239"/>
      <c r="AH473" s="239"/>
      <c r="AI473" s="239"/>
      <c r="AJ473" s="239"/>
      <c r="AK473" s="239"/>
      <c r="AL473" s="239"/>
      <c r="AM473" s="239"/>
      <c r="AN473" s="239"/>
      <c r="AO473" s="239"/>
      <c r="AP473" s="239"/>
      <c r="AQ473" s="239"/>
      <c r="AR473" s="239"/>
      <c r="AS473" s="239"/>
      <c r="AT473" s="239"/>
      <c r="AU473" s="239"/>
      <c r="AV473" s="239"/>
      <c r="AW473" s="239"/>
      <c r="AX473" s="239"/>
      <c r="AY473" s="239"/>
      <c r="AZ473" s="239"/>
      <c r="BA473" s="239"/>
      <c r="BB473" s="239"/>
      <c r="BC473" s="239"/>
      <c r="BD473" s="239"/>
      <c r="BE473" s="239"/>
      <c r="BF473" s="239"/>
      <c r="BG473" s="239"/>
      <c r="BH473" s="239"/>
      <c r="BI473" s="239"/>
      <c r="BJ473" s="239"/>
      <c r="BK473" s="239"/>
      <c r="BL473" s="239"/>
      <c r="BM473" s="239"/>
      <c r="BN473" s="239"/>
      <c r="BO473" s="239"/>
      <c r="BP473" s="239"/>
      <c r="BQ473" s="239"/>
      <c r="BR473" s="239"/>
      <c r="BS473" s="239"/>
      <c r="BT473" s="239"/>
      <c r="BU473" s="239"/>
      <c r="BV473" s="239"/>
      <c r="BW473" s="239"/>
      <c r="BX473" s="239"/>
      <c r="BY473" s="239"/>
      <c r="BZ473" s="239"/>
      <c r="CA473" s="239"/>
      <c r="CB473" s="239"/>
      <c r="CC473" s="239"/>
      <c r="CD473" s="239"/>
      <c r="CE473" s="239"/>
      <c r="CF473" s="239"/>
      <c r="CG473" s="239"/>
    </row>
    <row r="474" spans="1:85" ht="15.75" customHeight="1">
      <c r="A474" s="239"/>
      <c r="B474" s="239"/>
      <c r="C474" s="239"/>
      <c r="D474" s="239"/>
      <c r="E474" s="239"/>
      <c r="F474" s="239"/>
      <c r="G474" s="239"/>
      <c r="H474" s="239"/>
      <c r="I474" s="239"/>
      <c r="J474" s="239"/>
      <c r="K474" s="239"/>
      <c r="L474" s="239"/>
      <c r="M474" s="239"/>
      <c r="N474" s="239"/>
      <c r="O474" s="239"/>
      <c r="P474" s="239"/>
      <c r="Q474" s="239"/>
      <c r="R474" s="239"/>
      <c r="S474" s="239"/>
      <c r="T474" s="239"/>
      <c r="U474" s="239"/>
      <c r="V474" s="239"/>
      <c r="W474" s="239"/>
      <c r="X474" s="239"/>
      <c r="Y474" s="239"/>
      <c r="Z474" s="239"/>
      <c r="AA474" s="239"/>
      <c r="AB474" s="239"/>
      <c r="AC474" s="239"/>
      <c r="AD474" s="239"/>
      <c r="AE474" s="239"/>
      <c r="AF474" s="239"/>
      <c r="AG474" s="239"/>
      <c r="AH474" s="239"/>
      <c r="AI474" s="239"/>
      <c r="AJ474" s="239"/>
      <c r="AK474" s="239"/>
      <c r="AL474" s="239"/>
      <c r="AM474" s="239"/>
      <c r="AN474" s="239"/>
      <c r="AO474" s="239"/>
      <c r="AP474" s="239"/>
      <c r="AQ474" s="239"/>
      <c r="AR474" s="239"/>
      <c r="AS474" s="239"/>
      <c r="AT474" s="239"/>
      <c r="AU474" s="239"/>
      <c r="AV474" s="239"/>
      <c r="AW474" s="239"/>
      <c r="AX474" s="239"/>
      <c r="AY474" s="239"/>
      <c r="AZ474" s="239"/>
      <c r="BA474" s="239"/>
      <c r="BB474" s="239"/>
      <c r="BC474" s="239"/>
      <c r="BD474" s="239"/>
      <c r="BE474" s="239"/>
      <c r="BF474" s="239"/>
      <c r="BG474" s="239"/>
      <c r="BH474" s="239"/>
      <c r="BI474" s="239"/>
      <c r="BJ474" s="239"/>
      <c r="BK474" s="239"/>
      <c r="BL474" s="239"/>
      <c r="BM474" s="239"/>
      <c r="BN474" s="239"/>
      <c r="BO474" s="239"/>
      <c r="BP474" s="239"/>
      <c r="BQ474" s="239"/>
      <c r="BR474" s="239"/>
      <c r="BS474" s="239"/>
      <c r="BT474" s="239"/>
      <c r="BU474" s="239"/>
      <c r="BV474" s="239"/>
      <c r="BW474" s="239"/>
      <c r="BX474" s="239"/>
      <c r="BY474" s="239"/>
      <c r="BZ474" s="239"/>
      <c r="CA474" s="239"/>
      <c r="CB474" s="239"/>
      <c r="CC474" s="239"/>
      <c r="CD474" s="239"/>
      <c r="CE474" s="239"/>
      <c r="CF474" s="239"/>
      <c r="CG474" s="239"/>
    </row>
    <row r="475" spans="1:85" ht="15.75" customHeight="1">
      <c r="A475" s="239"/>
      <c r="B475" s="239"/>
      <c r="C475" s="239"/>
      <c r="D475" s="239"/>
      <c r="E475" s="239"/>
      <c r="F475" s="239"/>
      <c r="G475" s="239"/>
      <c r="H475" s="239"/>
      <c r="I475" s="239"/>
      <c r="J475" s="239"/>
      <c r="K475" s="239"/>
      <c r="L475" s="239"/>
      <c r="M475" s="239"/>
      <c r="N475" s="239"/>
      <c r="O475" s="239"/>
      <c r="P475" s="239"/>
      <c r="Q475" s="239"/>
      <c r="R475" s="239"/>
      <c r="S475" s="239"/>
      <c r="T475" s="239"/>
      <c r="U475" s="239"/>
      <c r="V475" s="239"/>
      <c r="W475" s="239"/>
      <c r="X475" s="239"/>
      <c r="Y475" s="239"/>
      <c r="Z475" s="239"/>
      <c r="AA475" s="239"/>
      <c r="AB475" s="239"/>
      <c r="AC475" s="239"/>
      <c r="AD475" s="239"/>
      <c r="AE475" s="239"/>
      <c r="AF475" s="239"/>
      <c r="AG475" s="239"/>
      <c r="AH475" s="239"/>
      <c r="AI475" s="239"/>
      <c r="AJ475" s="239"/>
      <c r="AK475" s="239"/>
      <c r="AL475" s="239"/>
      <c r="AM475" s="239"/>
      <c r="AN475" s="239"/>
      <c r="AO475" s="239"/>
      <c r="AP475" s="239"/>
      <c r="AQ475" s="239"/>
      <c r="AR475" s="239"/>
      <c r="AS475" s="239"/>
      <c r="AT475" s="239"/>
      <c r="AU475" s="239"/>
      <c r="AV475" s="239"/>
      <c r="AW475" s="239"/>
      <c r="AX475" s="239"/>
      <c r="AY475" s="239"/>
      <c r="AZ475" s="239"/>
      <c r="BA475" s="239"/>
      <c r="BB475" s="239"/>
      <c r="BC475" s="239"/>
      <c r="BD475" s="239"/>
      <c r="BE475" s="239"/>
      <c r="BF475" s="239"/>
      <c r="BG475" s="239"/>
      <c r="BH475" s="239"/>
      <c r="BI475" s="239"/>
      <c r="BJ475" s="239"/>
      <c r="BK475" s="239"/>
      <c r="BL475" s="239"/>
      <c r="BM475" s="239"/>
      <c r="BN475" s="239"/>
      <c r="BO475" s="239"/>
      <c r="BP475" s="239"/>
      <c r="BQ475" s="239"/>
      <c r="BR475" s="239"/>
      <c r="BS475" s="239"/>
      <c r="BT475" s="239"/>
      <c r="BU475" s="239"/>
      <c r="BV475" s="239"/>
      <c r="BW475" s="239"/>
      <c r="BX475" s="239"/>
      <c r="BY475" s="239"/>
      <c r="BZ475" s="239"/>
      <c r="CA475" s="239"/>
      <c r="CB475" s="239"/>
      <c r="CC475" s="239"/>
      <c r="CD475" s="239"/>
      <c r="CE475" s="239"/>
      <c r="CF475" s="239"/>
      <c r="CG475" s="239"/>
    </row>
    <row r="476" spans="1:85" ht="15.75" customHeight="1">
      <c r="A476" s="239"/>
      <c r="B476" s="239"/>
      <c r="C476" s="239"/>
      <c r="D476" s="239"/>
      <c r="E476" s="239"/>
      <c r="F476" s="239"/>
      <c r="G476" s="239"/>
      <c r="H476" s="239"/>
      <c r="I476" s="239"/>
      <c r="J476" s="239"/>
      <c r="K476" s="239"/>
      <c r="L476" s="239"/>
      <c r="M476" s="239"/>
      <c r="N476" s="239"/>
      <c r="O476" s="239"/>
      <c r="P476" s="239"/>
      <c r="Q476" s="239"/>
      <c r="R476" s="239"/>
      <c r="S476" s="239"/>
      <c r="T476" s="239"/>
      <c r="U476" s="239"/>
      <c r="V476" s="239"/>
      <c r="W476" s="239"/>
      <c r="X476" s="239"/>
      <c r="Y476" s="239"/>
      <c r="Z476" s="239"/>
      <c r="AA476" s="239"/>
      <c r="AB476" s="239"/>
      <c r="AC476" s="239"/>
      <c r="AD476" s="239"/>
      <c r="AE476" s="239"/>
      <c r="AF476" s="239"/>
      <c r="AG476" s="239"/>
      <c r="AH476" s="239"/>
      <c r="AI476" s="239"/>
      <c r="AJ476" s="239"/>
      <c r="AK476" s="239"/>
      <c r="AL476" s="239"/>
      <c r="AM476" s="239"/>
      <c r="AN476" s="239"/>
      <c r="AO476" s="239"/>
      <c r="AP476" s="239"/>
      <c r="AQ476" s="239"/>
      <c r="AR476" s="239"/>
      <c r="AS476" s="239"/>
      <c r="AT476" s="239"/>
      <c r="AU476" s="239"/>
      <c r="AV476" s="239"/>
      <c r="AW476" s="239"/>
      <c r="AX476" s="239"/>
      <c r="AY476" s="239"/>
      <c r="AZ476" s="239"/>
      <c r="BA476" s="239"/>
      <c r="BB476" s="239"/>
      <c r="BC476" s="239"/>
      <c r="BD476" s="239"/>
      <c r="BE476" s="239"/>
      <c r="BF476" s="239"/>
      <c r="BG476" s="239"/>
      <c r="BH476" s="239"/>
      <c r="BI476" s="239"/>
      <c r="BJ476" s="239"/>
      <c r="BK476" s="239"/>
      <c r="BL476" s="239"/>
      <c r="BM476" s="239"/>
      <c r="BN476" s="239"/>
      <c r="BO476" s="239"/>
      <c r="BP476" s="239"/>
      <c r="BQ476" s="239"/>
      <c r="BR476" s="239"/>
      <c r="BS476" s="239"/>
      <c r="BT476" s="239"/>
      <c r="BU476" s="239"/>
      <c r="BV476" s="239"/>
      <c r="BW476" s="239"/>
      <c r="BX476" s="239"/>
      <c r="BY476" s="239"/>
      <c r="BZ476" s="239"/>
      <c r="CA476" s="239"/>
      <c r="CB476" s="239"/>
      <c r="CC476" s="239"/>
      <c r="CD476" s="239"/>
      <c r="CE476" s="239"/>
      <c r="CF476" s="239"/>
      <c r="CG476" s="239"/>
    </row>
    <row r="477" spans="1:85" ht="15.75" customHeight="1">
      <c r="A477" s="239"/>
      <c r="B477" s="239"/>
      <c r="C477" s="239"/>
      <c r="D477" s="239"/>
      <c r="E477" s="239"/>
      <c r="F477" s="239"/>
      <c r="G477" s="239"/>
      <c r="H477" s="239"/>
      <c r="I477" s="239"/>
      <c r="J477" s="239"/>
      <c r="K477" s="239"/>
      <c r="L477" s="239"/>
      <c r="M477" s="239"/>
      <c r="N477" s="239"/>
      <c r="O477" s="239"/>
      <c r="P477" s="239"/>
      <c r="Q477" s="239"/>
      <c r="R477" s="239"/>
      <c r="S477" s="239"/>
      <c r="T477" s="239"/>
      <c r="U477" s="239"/>
      <c r="V477" s="239"/>
      <c r="W477" s="239"/>
      <c r="X477" s="239"/>
      <c r="Y477" s="239"/>
      <c r="Z477" s="239"/>
      <c r="AA477" s="239"/>
      <c r="AB477" s="239"/>
      <c r="AC477" s="239"/>
      <c r="AD477" s="239"/>
      <c r="AE477" s="239"/>
      <c r="AF477" s="239"/>
      <c r="AG477" s="239"/>
      <c r="AH477" s="239"/>
      <c r="AI477" s="239"/>
      <c r="AJ477" s="239"/>
      <c r="AK477" s="239"/>
      <c r="AL477" s="239"/>
      <c r="AM477" s="239"/>
      <c r="AN477" s="239"/>
      <c r="AO477" s="239"/>
      <c r="AP477" s="239"/>
      <c r="AQ477" s="239"/>
      <c r="AR477" s="239"/>
      <c r="AS477" s="239"/>
      <c r="AT477" s="239"/>
      <c r="AU477" s="239"/>
      <c r="AV477" s="239"/>
      <c r="AW477" s="239"/>
      <c r="AX477" s="239"/>
      <c r="AY477" s="239"/>
      <c r="AZ477" s="239"/>
      <c r="BA477" s="239"/>
      <c r="BB477" s="239"/>
      <c r="BC477" s="239"/>
      <c r="BD477" s="239"/>
      <c r="BE477" s="239"/>
      <c r="BF477" s="239"/>
      <c r="BG477" s="239"/>
      <c r="BH477" s="239"/>
      <c r="BI477" s="239"/>
      <c r="BJ477" s="239"/>
      <c r="BK477" s="239"/>
      <c r="BL477" s="239"/>
      <c r="BM477" s="239"/>
      <c r="BN477" s="239"/>
      <c r="BO477" s="239"/>
      <c r="BP477" s="239"/>
      <c r="BQ477" s="239"/>
      <c r="BR477" s="239"/>
      <c r="BS477" s="239"/>
      <c r="BT477" s="239"/>
      <c r="BU477" s="239"/>
      <c r="BV477" s="239"/>
      <c r="BW477" s="239"/>
      <c r="BX477" s="239"/>
      <c r="BY477" s="239"/>
      <c r="BZ477" s="239"/>
      <c r="CA477" s="239"/>
      <c r="CB477" s="239"/>
      <c r="CC477" s="239"/>
      <c r="CD477" s="239"/>
      <c r="CE477" s="239"/>
      <c r="CF477" s="239"/>
      <c r="CG477" s="239"/>
    </row>
    <row r="478" spans="1:85" ht="15.75" customHeight="1">
      <c r="A478" s="239"/>
      <c r="B478" s="239"/>
      <c r="C478" s="239"/>
      <c r="D478" s="239"/>
      <c r="E478" s="239"/>
      <c r="F478" s="239"/>
      <c r="G478" s="239"/>
      <c r="H478" s="239"/>
      <c r="I478" s="239"/>
      <c r="J478" s="239"/>
      <c r="K478" s="239"/>
      <c r="L478" s="239"/>
      <c r="M478" s="239"/>
      <c r="N478" s="239"/>
      <c r="O478" s="239"/>
      <c r="P478" s="239"/>
      <c r="Q478" s="239"/>
      <c r="R478" s="239"/>
      <c r="S478" s="239"/>
      <c r="T478" s="239"/>
      <c r="U478" s="239"/>
      <c r="V478" s="239"/>
      <c r="W478" s="239"/>
      <c r="X478" s="239"/>
      <c r="Y478" s="239"/>
      <c r="Z478" s="239"/>
      <c r="AA478" s="239"/>
      <c r="AB478" s="239"/>
      <c r="AC478" s="239"/>
      <c r="AD478" s="239"/>
      <c r="AE478" s="239"/>
      <c r="AF478" s="239"/>
      <c r="AG478" s="239"/>
      <c r="AH478" s="239"/>
      <c r="AI478" s="239"/>
      <c r="AJ478" s="239"/>
      <c r="AK478" s="239"/>
      <c r="AL478" s="239"/>
      <c r="AM478" s="239"/>
      <c r="AN478" s="239"/>
      <c r="AO478" s="239"/>
      <c r="AP478" s="239"/>
      <c r="AQ478" s="239"/>
      <c r="AR478" s="239"/>
      <c r="AS478" s="239"/>
      <c r="AT478" s="239"/>
      <c r="AU478" s="239"/>
      <c r="AV478" s="239"/>
      <c r="AW478" s="239"/>
      <c r="AX478" s="239"/>
      <c r="AY478" s="239"/>
      <c r="AZ478" s="239"/>
      <c r="BA478" s="239"/>
      <c r="BB478" s="239"/>
      <c r="BC478" s="239"/>
      <c r="BD478" s="239"/>
      <c r="BE478" s="239"/>
      <c r="BF478" s="239"/>
      <c r="BG478" s="239"/>
      <c r="BH478" s="239"/>
      <c r="BI478" s="239"/>
      <c r="BJ478" s="239"/>
      <c r="BK478" s="239"/>
      <c r="BL478" s="239"/>
      <c r="BM478" s="239"/>
      <c r="BN478" s="239"/>
      <c r="BO478" s="239"/>
      <c r="BP478" s="239"/>
      <c r="BQ478" s="239"/>
      <c r="BR478" s="239"/>
      <c r="BS478" s="239"/>
      <c r="BT478" s="239"/>
      <c r="BU478" s="239"/>
      <c r="BV478" s="239"/>
      <c r="BW478" s="239"/>
      <c r="BX478" s="239"/>
      <c r="BY478" s="239"/>
      <c r="BZ478" s="239"/>
      <c r="CA478" s="239"/>
      <c r="CB478" s="239"/>
      <c r="CC478" s="239"/>
      <c r="CD478" s="239"/>
      <c r="CE478" s="239"/>
      <c r="CF478" s="239"/>
      <c r="CG478" s="239"/>
    </row>
    <row r="479" spans="1:85" ht="15.75" customHeight="1">
      <c r="A479" s="239"/>
      <c r="B479" s="239"/>
      <c r="C479" s="239"/>
      <c r="D479" s="239"/>
      <c r="E479" s="239"/>
      <c r="F479" s="239"/>
      <c r="G479" s="239"/>
      <c r="H479" s="239"/>
      <c r="I479" s="239"/>
      <c r="J479" s="239"/>
      <c r="K479" s="239"/>
      <c r="L479" s="239"/>
      <c r="M479" s="239"/>
      <c r="N479" s="239"/>
      <c r="O479" s="239"/>
      <c r="P479" s="239"/>
      <c r="Q479" s="239"/>
      <c r="R479" s="239"/>
      <c r="S479" s="239"/>
      <c r="T479" s="239"/>
      <c r="U479" s="239"/>
      <c r="V479" s="239"/>
      <c r="W479" s="239"/>
      <c r="X479" s="239"/>
      <c r="Y479" s="239"/>
      <c r="Z479" s="239"/>
      <c r="AA479" s="239"/>
      <c r="AB479" s="239"/>
      <c r="AC479" s="239"/>
      <c r="AD479" s="239"/>
      <c r="AE479" s="239"/>
      <c r="AF479" s="239"/>
      <c r="AG479" s="239"/>
      <c r="AH479" s="239"/>
      <c r="AI479" s="239"/>
      <c r="AJ479" s="239"/>
      <c r="AK479" s="239"/>
      <c r="AL479" s="239"/>
      <c r="AM479" s="239"/>
      <c r="AN479" s="239"/>
      <c r="AO479" s="239"/>
      <c r="AP479" s="239"/>
      <c r="AQ479" s="239"/>
      <c r="AR479" s="239"/>
      <c r="AS479" s="239"/>
      <c r="AT479" s="239"/>
      <c r="AU479" s="239"/>
      <c r="AV479" s="239"/>
      <c r="AW479" s="239"/>
      <c r="AX479" s="239"/>
      <c r="AY479" s="239"/>
      <c r="AZ479" s="239"/>
      <c r="BA479" s="239"/>
      <c r="BB479" s="239"/>
      <c r="BC479" s="239"/>
      <c r="BD479" s="239"/>
      <c r="BE479" s="239"/>
      <c r="BF479" s="239"/>
      <c r="BG479" s="239"/>
      <c r="BH479" s="239"/>
      <c r="BI479" s="239"/>
      <c r="BJ479" s="239"/>
      <c r="BK479" s="239"/>
      <c r="BL479" s="239"/>
      <c r="BM479" s="239"/>
      <c r="BN479" s="239"/>
      <c r="BO479" s="239"/>
      <c r="BP479" s="239"/>
      <c r="BQ479" s="239"/>
      <c r="BR479" s="239"/>
      <c r="BS479" s="239"/>
      <c r="BT479" s="239"/>
      <c r="BU479" s="239"/>
      <c r="BV479" s="239"/>
      <c r="BW479" s="239"/>
      <c r="BX479" s="239"/>
      <c r="BY479" s="239"/>
      <c r="BZ479" s="239"/>
      <c r="CA479" s="239"/>
      <c r="CB479" s="239"/>
      <c r="CC479" s="239"/>
      <c r="CD479" s="239"/>
      <c r="CE479" s="239"/>
      <c r="CF479" s="239"/>
      <c r="CG479" s="239"/>
    </row>
    <row r="480" spans="1:85" ht="15.75" customHeight="1">
      <c r="A480" s="239"/>
      <c r="B480" s="239"/>
      <c r="C480" s="239"/>
      <c r="D480" s="239"/>
      <c r="E480" s="239"/>
      <c r="F480" s="239"/>
      <c r="G480" s="239"/>
      <c r="H480" s="239"/>
      <c r="I480" s="239"/>
      <c r="J480" s="239"/>
      <c r="K480" s="239"/>
      <c r="L480" s="239"/>
      <c r="M480" s="239"/>
      <c r="N480" s="239"/>
      <c r="O480" s="239"/>
      <c r="P480" s="239"/>
      <c r="Q480" s="239"/>
      <c r="R480" s="239"/>
      <c r="S480" s="239"/>
      <c r="T480" s="239"/>
      <c r="U480" s="239"/>
      <c r="V480" s="239"/>
      <c r="W480" s="239"/>
      <c r="X480" s="239"/>
      <c r="Y480" s="239"/>
      <c r="Z480" s="239"/>
      <c r="AA480" s="239"/>
      <c r="AB480" s="239"/>
      <c r="AC480" s="239"/>
      <c r="AD480" s="239"/>
      <c r="AE480" s="239"/>
      <c r="AF480" s="239"/>
      <c r="AG480" s="239"/>
      <c r="AH480" s="239"/>
      <c r="AI480" s="239"/>
      <c r="AJ480" s="239"/>
      <c r="AK480" s="239"/>
      <c r="AL480" s="239"/>
      <c r="AM480" s="239"/>
      <c r="AN480" s="239"/>
      <c r="AO480" s="239"/>
      <c r="AP480" s="239"/>
      <c r="AQ480" s="239"/>
      <c r="AR480" s="239"/>
      <c r="AS480" s="239"/>
      <c r="AT480" s="239"/>
      <c r="AU480" s="239"/>
      <c r="AV480" s="239"/>
      <c r="AW480" s="239"/>
      <c r="AX480" s="239"/>
      <c r="AY480" s="239"/>
      <c r="AZ480" s="239"/>
      <c r="BA480" s="239"/>
      <c r="BB480" s="239"/>
      <c r="BC480" s="239"/>
      <c r="BD480" s="239"/>
      <c r="BE480" s="239"/>
      <c r="BF480" s="239"/>
      <c r="BG480" s="239"/>
      <c r="BH480" s="239"/>
      <c r="BI480" s="239"/>
      <c r="BJ480" s="239"/>
      <c r="BK480" s="239"/>
      <c r="BL480" s="239"/>
      <c r="BM480" s="239"/>
      <c r="BN480" s="239"/>
      <c r="BO480" s="239"/>
      <c r="BP480" s="239"/>
      <c r="BQ480" s="239"/>
      <c r="BR480" s="239"/>
      <c r="BS480" s="239"/>
      <c r="BT480" s="239"/>
      <c r="BU480" s="239"/>
      <c r="BV480" s="239"/>
      <c r="BW480" s="239"/>
      <c r="BX480" s="239"/>
      <c r="BY480" s="239"/>
      <c r="BZ480" s="239"/>
      <c r="CA480" s="239"/>
      <c r="CB480" s="239"/>
      <c r="CC480" s="239"/>
      <c r="CD480" s="239"/>
      <c r="CE480" s="239"/>
      <c r="CF480" s="239"/>
      <c r="CG480" s="239"/>
    </row>
    <row r="481" spans="1:85" ht="15.75" customHeight="1">
      <c r="A481" s="239"/>
      <c r="B481" s="239"/>
      <c r="C481" s="239"/>
      <c r="D481" s="239"/>
      <c r="E481" s="239"/>
      <c r="F481" s="239"/>
      <c r="G481" s="239"/>
      <c r="H481" s="239"/>
      <c r="I481" s="239"/>
      <c r="J481" s="239"/>
      <c r="K481" s="239"/>
      <c r="L481" s="239"/>
      <c r="M481" s="239"/>
      <c r="N481" s="239"/>
      <c r="O481" s="239"/>
      <c r="P481" s="239"/>
      <c r="Q481" s="239"/>
      <c r="R481" s="239"/>
      <c r="S481" s="239"/>
      <c r="T481" s="239"/>
      <c r="U481" s="239"/>
      <c r="V481" s="239"/>
      <c r="W481" s="239"/>
      <c r="X481" s="239"/>
      <c r="Y481" s="239"/>
      <c r="Z481" s="239"/>
      <c r="AA481" s="239"/>
      <c r="AB481" s="239"/>
      <c r="AC481" s="239"/>
      <c r="AD481" s="239"/>
      <c r="AE481" s="239"/>
      <c r="AF481" s="239"/>
      <c r="AG481" s="239"/>
      <c r="AH481" s="239"/>
      <c r="AI481" s="239"/>
      <c r="AJ481" s="239"/>
      <c r="AK481" s="239"/>
      <c r="AL481" s="239"/>
      <c r="AM481" s="239"/>
      <c r="AN481" s="239"/>
      <c r="AO481" s="239"/>
      <c r="AP481" s="239"/>
      <c r="AQ481" s="239"/>
      <c r="AR481" s="239"/>
      <c r="AS481" s="239"/>
      <c r="AT481" s="239"/>
      <c r="AU481" s="239"/>
      <c r="AV481" s="239"/>
      <c r="AW481" s="239"/>
      <c r="AX481" s="239"/>
      <c r="AY481" s="239"/>
      <c r="AZ481" s="239"/>
      <c r="BA481" s="239"/>
      <c r="BB481" s="239"/>
      <c r="BC481" s="239"/>
      <c r="BD481" s="239"/>
      <c r="BE481" s="239"/>
      <c r="BF481" s="239"/>
      <c r="BG481" s="239"/>
      <c r="BH481" s="239"/>
      <c r="BI481" s="239"/>
      <c r="BJ481" s="239"/>
      <c r="BK481" s="239"/>
      <c r="BL481" s="239"/>
      <c r="BM481" s="239"/>
      <c r="BN481" s="239"/>
      <c r="BO481" s="239"/>
      <c r="BP481" s="239"/>
      <c r="BQ481" s="239"/>
      <c r="BR481" s="239"/>
      <c r="BS481" s="239"/>
      <c r="BT481" s="239"/>
      <c r="BU481" s="239"/>
      <c r="BV481" s="239"/>
      <c r="BW481" s="239"/>
      <c r="BX481" s="239"/>
      <c r="BY481" s="239"/>
      <c r="BZ481" s="239"/>
      <c r="CA481" s="239"/>
      <c r="CB481" s="239"/>
      <c r="CC481" s="239"/>
      <c r="CD481" s="239"/>
      <c r="CE481" s="239"/>
      <c r="CF481" s="239"/>
      <c r="CG481" s="239"/>
    </row>
    <row r="482" spans="1:85" ht="15.75" customHeight="1">
      <c r="A482" s="239"/>
      <c r="B482" s="239"/>
      <c r="C482" s="239"/>
      <c r="D482" s="239"/>
      <c r="E482" s="239"/>
      <c r="F482" s="239"/>
      <c r="G482" s="239"/>
      <c r="H482" s="239"/>
      <c r="I482" s="239"/>
      <c r="J482" s="239"/>
      <c r="K482" s="239"/>
      <c r="L482" s="239"/>
      <c r="M482" s="239"/>
      <c r="N482" s="239"/>
      <c r="O482" s="239"/>
      <c r="P482" s="239"/>
      <c r="Q482" s="239"/>
      <c r="R482" s="239"/>
      <c r="S482" s="239"/>
      <c r="T482" s="239"/>
      <c r="U482" s="239"/>
      <c r="V482" s="239"/>
      <c r="W482" s="239"/>
      <c r="X482" s="239"/>
      <c r="Y482" s="239"/>
      <c r="Z482" s="239"/>
      <c r="AA482" s="239"/>
      <c r="AB482" s="239"/>
      <c r="AC482" s="239"/>
      <c r="AD482" s="239"/>
      <c r="AE482" s="239"/>
      <c r="AF482" s="239"/>
      <c r="AG482" s="239"/>
      <c r="AH482" s="239"/>
      <c r="AI482" s="239"/>
      <c r="AJ482" s="239"/>
      <c r="AK482" s="239"/>
      <c r="AL482" s="239"/>
      <c r="AM482" s="239"/>
      <c r="AN482" s="239"/>
      <c r="AO482" s="239"/>
      <c r="AP482" s="239"/>
      <c r="AQ482" s="239"/>
      <c r="AR482" s="239"/>
      <c r="AS482" s="239"/>
      <c r="AT482" s="239"/>
      <c r="AU482" s="239"/>
      <c r="AV482" s="239"/>
      <c r="AW482" s="239"/>
      <c r="AX482" s="239"/>
      <c r="AY482" s="239"/>
      <c r="AZ482" s="239"/>
      <c r="BA482" s="239"/>
      <c r="BB482" s="239"/>
      <c r="BC482" s="239"/>
      <c r="BD482" s="239"/>
      <c r="BE482" s="239"/>
      <c r="BF482" s="239"/>
      <c r="BG482" s="239"/>
      <c r="BH482" s="239"/>
      <c r="BI482" s="239"/>
      <c r="BJ482" s="239"/>
      <c r="BK482" s="239"/>
      <c r="BL482" s="239"/>
      <c r="BM482" s="239"/>
      <c r="BN482" s="239"/>
      <c r="BO482" s="239"/>
      <c r="BP482" s="239"/>
      <c r="BQ482" s="239"/>
      <c r="BR482" s="239"/>
      <c r="BS482" s="239"/>
      <c r="BT482" s="239"/>
      <c r="BU482" s="239"/>
      <c r="BV482" s="239"/>
      <c r="BW482" s="239"/>
      <c r="BX482" s="239"/>
      <c r="BY482" s="239"/>
      <c r="BZ482" s="239"/>
      <c r="CA482" s="239"/>
      <c r="CB482" s="239"/>
      <c r="CC482" s="239"/>
      <c r="CD482" s="239"/>
      <c r="CE482" s="239"/>
      <c r="CF482" s="239"/>
      <c r="CG482" s="239"/>
    </row>
    <row r="483" spans="1:85" ht="15.75" customHeight="1">
      <c r="A483" s="239"/>
      <c r="B483" s="239"/>
      <c r="C483" s="239"/>
      <c r="D483" s="239"/>
      <c r="E483" s="239"/>
      <c r="F483" s="239"/>
      <c r="G483" s="239"/>
      <c r="H483" s="239"/>
      <c r="I483" s="239"/>
      <c r="J483" s="239"/>
      <c r="K483" s="239"/>
      <c r="L483" s="239"/>
      <c r="M483" s="239"/>
      <c r="N483" s="239"/>
      <c r="O483" s="239"/>
      <c r="P483" s="239"/>
      <c r="Q483" s="239"/>
      <c r="R483" s="239"/>
      <c r="S483" s="239"/>
      <c r="T483" s="239"/>
      <c r="U483" s="239"/>
      <c r="V483" s="239"/>
      <c r="W483" s="239"/>
      <c r="X483" s="239"/>
      <c r="Y483" s="239"/>
      <c r="Z483" s="239"/>
      <c r="AA483" s="239"/>
      <c r="AB483" s="239"/>
      <c r="AC483" s="239"/>
      <c r="AD483" s="239"/>
      <c r="AE483" s="239"/>
      <c r="AF483" s="239"/>
      <c r="AG483" s="239"/>
      <c r="AH483" s="239"/>
      <c r="AI483" s="239"/>
      <c r="AJ483" s="239"/>
      <c r="AK483" s="239"/>
      <c r="AL483" s="239"/>
      <c r="AM483" s="239"/>
      <c r="AN483" s="239"/>
      <c r="AO483" s="239"/>
      <c r="AP483" s="239"/>
      <c r="AQ483" s="239"/>
      <c r="AR483" s="239"/>
      <c r="AS483" s="239"/>
      <c r="AT483" s="239"/>
      <c r="AU483" s="239"/>
      <c r="AV483" s="239"/>
      <c r="AW483" s="239"/>
      <c r="AX483" s="239"/>
      <c r="AY483" s="239"/>
      <c r="AZ483" s="239"/>
      <c r="BA483" s="239"/>
      <c r="BB483" s="239"/>
      <c r="BC483" s="239"/>
      <c r="BD483" s="239"/>
      <c r="BE483" s="239"/>
      <c r="BF483" s="239"/>
      <c r="BG483" s="239"/>
      <c r="BH483" s="239"/>
      <c r="BI483" s="239"/>
      <c r="BJ483" s="239"/>
      <c r="BK483" s="239"/>
      <c r="BL483" s="239"/>
      <c r="BM483" s="239"/>
      <c r="BN483" s="239"/>
      <c r="BO483" s="239"/>
      <c r="BP483" s="239"/>
      <c r="BQ483" s="239"/>
      <c r="BR483" s="239"/>
      <c r="BS483" s="239"/>
      <c r="BT483" s="239"/>
      <c r="BU483" s="239"/>
      <c r="BV483" s="239"/>
      <c r="BW483" s="239"/>
      <c r="BX483" s="239"/>
      <c r="BY483" s="239"/>
      <c r="BZ483" s="239"/>
      <c r="CA483" s="239"/>
      <c r="CB483" s="239"/>
      <c r="CC483" s="239"/>
      <c r="CD483" s="239"/>
      <c r="CE483" s="239"/>
      <c r="CF483" s="239"/>
      <c r="CG483" s="239"/>
    </row>
    <row r="484" spans="1:85" ht="15.75" customHeight="1">
      <c r="A484" s="239"/>
      <c r="B484" s="239"/>
      <c r="C484" s="239"/>
      <c r="D484" s="239"/>
      <c r="E484" s="239"/>
      <c r="F484" s="239"/>
      <c r="G484" s="239"/>
      <c r="H484" s="239"/>
      <c r="I484" s="239"/>
      <c r="J484" s="239"/>
      <c r="K484" s="239"/>
      <c r="L484" s="239"/>
      <c r="M484" s="239"/>
      <c r="N484" s="239"/>
      <c r="O484" s="239"/>
      <c r="P484" s="239"/>
      <c r="Q484" s="239"/>
      <c r="R484" s="239"/>
      <c r="S484" s="239"/>
      <c r="T484" s="239"/>
      <c r="U484" s="239"/>
      <c r="V484" s="239"/>
      <c r="W484" s="239"/>
      <c r="X484" s="239"/>
      <c r="Y484" s="239"/>
      <c r="Z484" s="239"/>
      <c r="AA484" s="239"/>
      <c r="AB484" s="239"/>
      <c r="AC484" s="239"/>
      <c r="AD484" s="239"/>
      <c r="AE484" s="239"/>
      <c r="AF484" s="239"/>
      <c r="AG484" s="239"/>
      <c r="AH484" s="239"/>
      <c r="AI484" s="239"/>
      <c r="AJ484" s="239"/>
      <c r="AK484" s="239"/>
      <c r="AL484" s="239"/>
      <c r="AM484" s="239"/>
      <c r="AN484" s="239"/>
      <c r="AO484" s="239"/>
      <c r="AP484" s="239"/>
      <c r="AQ484" s="239"/>
      <c r="AR484" s="239"/>
      <c r="AS484" s="239"/>
      <c r="AT484" s="239"/>
      <c r="AU484" s="239"/>
      <c r="AV484" s="239"/>
      <c r="AW484" s="239"/>
      <c r="AX484" s="239"/>
      <c r="AY484" s="239"/>
      <c r="AZ484" s="239"/>
      <c r="BA484" s="239"/>
      <c r="BB484" s="239"/>
      <c r="BC484" s="239"/>
      <c r="BD484" s="239"/>
      <c r="BE484" s="239"/>
      <c r="BF484" s="239"/>
      <c r="BG484" s="239"/>
      <c r="BH484" s="239"/>
      <c r="BI484" s="239"/>
      <c r="BJ484" s="239"/>
      <c r="BK484" s="239"/>
      <c r="BL484" s="239"/>
      <c r="BM484" s="239"/>
      <c r="BN484" s="239"/>
      <c r="BO484" s="239"/>
      <c r="BP484" s="239"/>
      <c r="BQ484" s="239"/>
      <c r="BR484" s="239"/>
      <c r="BS484" s="239"/>
      <c r="BT484" s="239"/>
      <c r="BU484" s="239"/>
      <c r="BV484" s="239"/>
      <c r="BW484" s="239"/>
      <c r="BX484" s="239"/>
      <c r="BY484" s="239"/>
      <c r="BZ484" s="239"/>
      <c r="CA484" s="239"/>
      <c r="CB484" s="239"/>
      <c r="CC484" s="239"/>
      <c r="CD484" s="239"/>
      <c r="CE484" s="239"/>
      <c r="CF484" s="239"/>
      <c r="CG484" s="239"/>
    </row>
    <row r="485" spans="1:85" ht="15.75" customHeight="1">
      <c r="A485" s="239"/>
      <c r="B485" s="239"/>
      <c r="C485" s="239"/>
      <c r="D485" s="239"/>
      <c r="E485" s="239"/>
      <c r="F485" s="239"/>
      <c r="G485" s="239"/>
      <c r="H485" s="239"/>
      <c r="I485" s="239"/>
      <c r="J485" s="239"/>
      <c r="K485" s="239"/>
      <c r="L485" s="239"/>
      <c r="M485" s="239"/>
      <c r="N485" s="239"/>
      <c r="O485" s="239"/>
      <c r="P485" s="239"/>
      <c r="Q485" s="239"/>
      <c r="R485" s="239"/>
      <c r="S485" s="239"/>
      <c r="T485" s="239"/>
      <c r="U485" s="239"/>
      <c r="V485" s="239"/>
      <c r="W485" s="239"/>
      <c r="X485" s="239"/>
      <c r="Y485" s="239"/>
      <c r="Z485" s="239"/>
      <c r="AA485" s="239"/>
      <c r="AB485" s="239"/>
      <c r="AC485" s="239"/>
      <c r="AD485" s="239"/>
      <c r="AE485" s="239"/>
      <c r="AF485" s="239"/>
      <c r="AG485" s="239"/>
      <c r="AH485" s="239"/>
      <c r="AI485" s="239"/>
      <c r="AJ485" s="239"/>
      <c r="AK485" s="239"/>
      <c r="AL485" s="239"/>
      <c r="AM485" s="239"/>
      <c r="AN485" s="239"/>
      <c r="AO485" s="239"/>
      <c r="AP485" s="239"/>
      <c r="AQ485" s="239"/>
      <c r="AR485" s="239"/>
      <c r="AS485" s="239"/>
      <c r="AT485" s="239"/>
      <c r="AU485" s="239"/>
      <c r="AV485" s="239"/>
      <c r="AW485" s="239"/>
      <c r="AX485" s="239"/>
      <c r="AY485" s="239"/>
      <c r="AZ485" s="239"/>
      <c r="BA485" s="239"/>
      <c r="BB485" s="239"/>
      <c r="BC485" s="239"/>
      <c r="BD485" s="239"/>
      <c r="BE485" s="239"/>
      <c r="BF485" s="239"/>
      <c r="BG485" s="239"/>
      <c r="BH485" s="239"/>
      <c r="BI485" s="239"/>
      <c r="BJ485" s="239"/>
      <c r="BK485" s="239"/>
      <c r="BL485" s="239"/>
      <c r="BM485" s="239"/>
      <c r="BN485" s="239"/>
      <c r="BO485" s="239"/>
      <c r="BP485" s="239"/>
      <c r="BQ485" s="239"/>
      <c r="BR485" s="239"/>
      <c r="BS485" s="239"/>
      <c r="BT485" s="239"/>
      <c r="BU485" s="239"/>
      <c r="BV485" s="239"/>
      <c r="BW485" s="239"/>
      <c r="BX485" s="239"/>
      <c r="BY485" s="239"/>
      <c r="BZ485" s="239"/>
      <c r="CA485" s="239"/>
      <c r="CB485" s="239"/>
      <c r="CC485" s="239"/>
      <c r="CD485" s="239"/>
      <c r="CE485" s="239"/>
      <c r="CF485" s="239"/>
      <c r="CG485" s="239"/>
    </row>
    <row r="486" spans="1:85" ht="15.75" customHeight="1">
      <c r="A486" s="239"/>
      <c r="B486" s="239"/>
      <c r="C486" s="239"/>
      <c r="D486" s="239"/>
      <c r="E486" s="239"/>
      <c r="F486" s="239"/>
      <c r="G486" s="239"/>
      <c r="H486" s="239"/>
      <c r="I486" s="239"/>
      <c r="J486" s="239"/>
      <c r="K486" s="239"/>
      <c r="L486" s="239"/>
      <c r="M486" s="239"/>
      <c r="N486" s="239"/>
      <c r="O486" s="239"/>
      <c r="P486" s="239"/>
      <c r="Q486" s="239"/>
      <c r="R486" s="239"/>
      <c r="S486" s="239"/>
      <c r="T486" s="239"/>
      <c r="U486" s="239"/>
      <c r="V486" s="239"/>
      <c r="W486" s="239"/>
      <c r="X486" s="239"/>
      <c r="Y486" s="239"/>
      <c r="Z486" s="239"/>
      <c r="AA486" s="239"/>
      <c r="AB486" s="239"/>
      <c r="AC486" s="239"/>
      <c r="AD486" s="239"/>
      <c r="AE486" s="239"/>
      <c r="AF486" s="239"/>
      <c r="AG486" s="239"/>
      <c r="AH486" s="239"/>
      <c r="AI486" s="239"/>
      <c r="AJ486" s="239"/>
      <c r="AK486" s="239"/>
      <c r="AL486" s="239"/>
      <c r="AM486" s="239"/>
      <c r="AN486" s="239"/>
      <c r="AO486" s="239"/>
      <c r="AP486" s="239"/>
      <c r="AQ486" s="239"/>
      <c r="AR486" s="239"/>
      <c r="AS486" s="239"/>
      <c r="AT486" s="239"/>
      <c r="AU486" s="239"/>
      <c r="AV486" s="239"/>
      <c r="AW486" s="239"/>
      <c r="AX486" s="239"/>
      <c r="AY486" s="239"/>
      <c r="AZ486" s="239"/>
      <c r="BA486" s="239"/>
      <c r="BB486" s="239"/>
      <c r="BC486" s="239"/>
      <c r="BD486" s="239"/>
      <c r="BE486" s="239"/>
      <c r="BF486" s="239"/>
      <c r="BG486" s="239"/>
      <c r="BH486" s="239"/>
      <c r="BI486" s="239"/>
      <c r="BJ486" s="239"/>
      <c r="BK486" s="239"/>
      <c r="BL486" s="239"/>
      <c r="BM486" s="239"/>
      <c r="BN486" s="239"/>
      <c r="BO486" s="239"/>
      <c r="BP486" s="239"/>
      <c r="BQ486" s="239"/>
      <c r="BR486" s="239"/>
      <c r="BS486" s="239"/>
      <c r="BT486" s="239"/>
      <c r="BU486" s="239"/>
      <c r="BV486" s="239"/>
      <c r="BW486" s="239"/>
      <c r="BX486" s="239"/>
      <c r="BY486" s="239"/>
      <c r="BZ486" s="239"/>
      <c r="CA486" s="239"/>
      <c r="CB486" s="239"/>
      <c r="CC486" s="239"/>
      <c r="CD486" s="239"/>
      <c r="CE486" s="239"/>
      <c r="CF486" s="239"/>
      <c r="CG486" s="239"/>
    </row>
    <row r="487" spans="1:85" ht="15.75" customHeight="1">
      <c r="A487" s="239"/>
      <c r="B487" s="239"/>
      <c r="C487" s="239"/>
      <c r="D487" s="239"/>
      <c r="E487" s="239"/>
      <c r="F487" s="239"/>
      <c r="G487" s="239"/>
      <c r="H487" s="239"/>
      <c r="I487" s="239"/>
      <c r="J487" s="239"/>
      <c r="K487" s="239"/>
      <c r="L487" s="239"/>
      <c r="M487" s="239"/>
      <c r="N487" s="239"/>
      <c r="O487" s="239"/>
      <c r="P487" s="239"/>
      <c r="Q487" s="239"/>
      <c r="R487" s="239"/>
      <c r="S487" s="239"/>
      <c r="T487" s="239"/>
      <c r="U487" s="239"/>
      <c r="V487" s="239"/>
      <c r="W487" s="239"/>
      <c r="X487" s="239"/>
      <c r="Y487" s="239"/>
      <c r="Z487" s="239"/>
      <c r="AA487" s="239"/>
      <c r="AB487" s="239"/>
      <c r="AC487" s="239"/>
      <c r="AD487" s="239"/>
      <c r="AE487" s="239"/>
      <c r="AF487" s="239"/>
      <c r="AG487" s="239"/>
      <c r="AH487" s="239"/>
      <c r="AI487" s="239"/>
      <c r="AJ487" s="239"/>
      <c r="AK487" s="239"/>
      <c r="AL487" s="239"/>
      <c r="AM487" s="239"/>
      <c r="AN487" s="239"/>
      <c r="AO487" s="239"/>
      <c r="AP487" s="239"/>
      <c r="AQ487" s="239"/>
      <c r="AR487" s="239"/>
      <c r="AS487" s="239"/>
      <c r="AT487" s="239"/>
      <c r="AU487" s="239"/>
      <c r="AV487" s="239"/>
      <c r="AW487" s="239"/>
      <c r="AX487" s="239"/>
      <c r="AY487" s="239"/>
      <c r="AZ487" s="239"/>
      <c r="BA487" s="239"/>
      <c r="BB487" s="239"/>
      <c r="BC487" s="239"/>
      <c r="BD487" s="239"/>
      <c r="BE487" s="239"/>
      <c r="BF487" s="239"/>
      <c r="BG487" s="239"/>
      <c r="BH487" s="239"/>
      <c r="BI487" s="239"/>
      <c r="BJ487" s="239"/>
      <c r="BK487" s="239"/>
      <c r="BL487" s="239"/>
      <c r="BM487" s="239"/>
      <c r="BN487" s="239"/>
      <c r="BO487" s="239"/>
      <c r="BP487" s="239"/>
      <c r="BQ487" s="239"/>
      <c r="BR487" s="239"/>
      <c r="BS487" s="239"/>
      <c r="BT487" s="239"/>
      <c r="BU487" s="239"/>
      <c r="BV487" s="239"/>
      <c r="BW487" s="239"/>
      <c r="BX487" s="239"/>
      <c r="BY487" s="239"/>
      <c r="BZ487" s="239"/>
      <c r="CA487" s="239"/>
      <c r="CB487" s="239"/>
      <c r="CC487" s="239"/>
      <c r="CD487" s="239"/>
      <c r="CE487" s="239"/>
      <c r="CF487" s="239"/>
      <c r="CG487" s="239"/>
    </row>
    <row r="488" spans="1:85" ht="15.75" customHeight="1">
      <c r="A488" s="239"/>
      <c r="B488" s="239"/>
      <c r="C488" s="239"/>
      <c r="D488" s="239"/>
      <c r="E488" s="239"/>
      <c r="F488" s="239"/>
      <c r="G488" s="239"/>
      <c r="H488" s="239"/>
      <c r="I488" s="239"/>
      <c r="J488" s="239"/>
      <c r="K488" s="239"/>
      <c r="L488" s="239"/>
      <c r="M488" s="239"/>
      <c r="N488" s="239"/>
      <c r="O488" s="239"/>
      <c r="P488" s="239"/>
      <c r="Q488" s="239"/>
      <c r="R488" s="239"/>
      <c r="S488" s="239"/>
      <c r="T488" s="239"/>
      <c r="U488" s="239"/>
      <c r="V488" s="239"/>
      <c r="W488" s="239"/>
      <c r="X488" s="239"/>
      <c r="Y488" s="239"/>
      <c r="Z488" s="239"/>
      <c r="AA488" s="239"/>
      <c r="AB488" s="239"/>
      <c r="AC488" s="239"/>
      <c r="AD488" s="239"/>
      <c r="AE488" s="239"/>
      <c r="AF488" s="239"/>
      <c r="AG488" s="239"/>
      <c r="AH488" s="239"/>
      <c r="AI488" s="239"/>
      <c r="AJ488" s="239"/>
      <c r="AK488" s="239"/>
      <c r="AL488" s="239"/>
      <c r="AM488" s="239"/>
      <c r="AN488" s="239"/>
      <c r="AO488" s="239"/>
      <c r="AP488" s="239"/>
      <c r="AQ488" s="239"/>
      <c r="AR488" s="239"/>
      <c r="AS488" s="239"/>
      <c r="AT488" s="239"/>
      <c r="AU488" s="239"/>
      <c r="AV488" s="239"/>
      <c r="AW488" s="239"/>
      <c r="AX488" s="239"/>
      <c r="AY488" s="239"/>
      <c r="AZ488" s="239"/>
      <c r="BA488" s="239"/>
      <c r="BB488" s="239"/>
      <c r="BC488" s="239"/>
      <c r="BD488" s="239"/>
      <c r="BE488" s="239"/>
      <c r="BF488" s="239"/>
      <c r="BG488" s="239"/>
      <c r="BH488" s="239"/>
      <c r="BI488" s="239"/>
      <c r="BJ488" s="239"/>
      <c r="BK488" s="239"/>
      <c r="BL488" s="239"/>
      <c r="BM488" s="239"/>
      <c r="BN488" s="239"/>
      <c r="BO488" s="239"/>
      <c r="BP488" s="239"/>
      <c r="BQ488" s="239"/>
      <c r="BR488" s="239"/>
      <c r="BS488" s="239"/>
      <c r="BT488" s="239"/>
      <c r="BU488" s="239"/>
      <c r="BV488" s="239"/>
      <c r="BW488" s="239"/>
      <c r="BX488" s="239"/>
      <c r="BY488" s="239"/>
      <c r="BZ488" s="239"/>
      <c r="CA488" s="239"/>
      <c r="CB488" s="239"/>
      <c r="CC488" s="239"/>
      <c r="CD488" s="239"/>
      <c r="CE488" s="239"/>
      <c r="CF488" s="239"/>
      <c r="CG488" s="239"/>
    </row>
    <row r="489" spans="1:85" ht="15.75" customHeight="1">
      <c r="A489" s="239"/>
      <c r="B489" s="239"/>
      <c r="C489" s="239"/>
      <c r="D489" s="239"/>
      <c r="E489" s="239"/>
      <c r="F489" s="239"/>
      <c r="G489" s="239"/>
      <c r="H489" s="239"/>
      <c r="I489" s="239"/>
      <c r="J489" s="239"/>
      <c r="K489" s="239"/>
      <c r="L489" s="239"/>
      <c r="M489" s="239"/>
      <c r="N489" s="239"/>
      <c r="O489" s="239"/>
      <c r="P489" s="239"/>
      <c r="Q489" s="239"/>
      <c r="R489" s="239"/>
      <c r="S489" s="239"/>
      <c r="T489" s="239"/>
      <c r="U489" s="239"/>
      <c r="V489" s="239"/>
      <c r="W489" s="239"/>
      <c r="X489" s="239"/>
      <c r="Y489" s="239"/>
      <c r="Z489" s="239"/>
      <c r="AA489" s="239"/>
      <c r="AB489" s="239"/>
      <c r="AC489" s="239"/>
      <c r="AD489" s="239"/>
      <c r="AE489" s="239"/>
      <c r="AF489" s="239"/>
      <c r="AG489" s="239"/>
      <c r="AH489" s="239"/>
      <c r="AI489" s="239"/>
      <c r="AJ489" s="239"/>
      <c r="AK489" s="239"/>
      <c r="AL489" s="239"/>
      <c r="AM489" s="239"/>
      <c r="AN489" s="239"/>
      <c r="AO489" s="239"/>
      <c r="AP489" s="239"/>
      <c r="AQ489" s="239"/>
      <c r="AR489" s="239"/>
      <c r="AS489" s="239"/>
      <c r="AT489" s="239"/>
      <c r="AU489" s="239"/>
      <c r="AV489" s="239"/>
      <c r="AW489" s="239"/>
      <c r="AX489" s="239"/>
      <c r="AY489" s="239"/>
      <c r="AZ489" s="239"/>
      <c r="BA489" s="239"/>
      <c r="BB489" s="239"/>
      <c r="BC489" s="239"/>
      <c r="BD489" s="239"/>
      <c r="BE489" s="239"/>
      <c r="BF489" s="239"/>
      <c r="BG489" s="239"/>
      <c r="BH489" s="239"/>
      <c r="BI489" s="239"/>
      <c r="BJ489" s="239"/>
      <c r="BK489" s="239"/>
      <c r="BL489" s="239"/>
      <c r="BM489" s="239"/>
      <c r="BN489" s="239"/>
      <c r="BO489" s="239"/>
      <c r="BP489" s="239"/>
      <c r="BQ489" s="239"/>
      <c r="BR489" s="239"/>
      <c r="BS489" s="239"/>
      <c r="BT489" s="239"/>
      <c r="BU489" s="239"/>
      <c r="BV489" s="239"/>
      <c r="BW489" s="239"/>
      <c r="BX489" s="239"/>
      <c r="BY489" s="239"/>
      <c r="BZ489" s="239"/>
      <c r="CA489" s="239"/>
      <c r="CB489" s="239"/>
      <c r="CC489" s="239"/>
      <c r="CD489" s="239"/>
      <c r="CE489" s="239"/>
      <c r="CF489" s="239"/>
      <c r="CG489" s="239"/>
    </row>
    <row r="490" spans="1:85" ht="15.75" customHeight="1">
      <c r="A490" s="239"/>
      <c r="B490" s="239"/>
      <c r="C490" s="239"/>
      <c r="D490" s="239"/>
      <c r="E490" s="239"/>
      <c r="F490" s="239"/>
      <c r="G490" s="239"/>
      <c r="H490" s="239"/>
      <c r="I490" s="239"/>
      <c r="J490" s="239"/>
      <c r="K490" s="239"/>
      <c r="L490" s="239"/>
      <c r="M490" s="239"/>
      <c r="N490" s="239"/>
      <c r="O490" s="239"/>
      <c r="P490" s="239"/>
      <c r="Q490" s="239"/>
      <c r="R490" s="239"/>
      <c r="S490" s="239"/>
      <c r="T490" s="239"/>
      <c r="U490" s="239"/>
      <c r="V490" s="239"/>
      <c r="W490" s="239"/>
      <c r="X490" s="239"/>
      <c r="Y490" s="239"/>
      <c r="Z490" s="239"/>
      <c r="AA490" s="239"/>
      <c r="AB490" s="239"/>
      <c r="AC490" s="239"/>
      <c r="AD490" s="239"/>
      <c r="AE490" s="239"/>
      <c r="AF490" s="239"/>
      <c r="AG490" s="239"/>
      <c r="AH490" s="239"/>
      <c r="AI490" s="239"/>
      <c r="AJ490" s="239"/>
      <c r="AK490" s="239"/>
      <c r="AL490" s="239"/>
      <c r="AM490" s="239"/>
      <c r="AN490" s="239"/>
      <c r="AO490" s="239"/>
      <c r="AP490" s="239"/>
      <c r="AQ490" s="239"/>
      <c r="AR490" s="239"/>
      <c r="AS490" s="239"/>
      <c r="AT490" s="239"/>
      <c r="AU490" s="239"/>
      <c r="AV490" s="239"/>
      <c r="AW490" s="239"/>
      <c r="AX490" s="239"/>
      <c r="AY490" s="239"/>
      <c r="AZ490" s="239"/>
      <c r="BA490" s="239"/>
      <c r="BB490" s="239"/>
      <c r="BC490" s="239"/>
      <c r="BD490" s="239"/>
      <c r="BE490" s="239"/>
      <c r="BF490" s="239"/>
      <c r="BG490" s="239"/>
      <c r="BH490" s="239"/>
      <c r="BI490" s="239"/>
      <c r="BJ490" s="239"/>
      <c r="BK490" s="239"/>
      <c r="BL490" s="239"/>
      <c r="BM490" s="239"/>
      <c r="BN490" s="239"/>
      <c r="BO490" s="239"/>
      <c r="BP490" s="239"/>
      <c r="BQ490" s="239"/>
      <c r="BR490" s="239"/>
      <c r="BS490" s="239"/>
      <c r="BT490" s="239"/>
      <c r="BU490" s="239"/>
      <c r="BV490" s="239"/>
      <c r="BW490" s="239"/>
      <c r="BX490" s="239"/>
      <c r="BY490" s="239"/>
      <c r="BZ490" s="239"/>
      <c r="CA490" s="239"/>
      <c r="CB490" s="239"/>
      <c r="CC490" s="239"/>
      <c r="CD490" s="239"/>
      <c r="CE490" s="239"/>
      <c r="CF490" s="239"/>
      <c r="CG490" s="239"/>
    </row>
    <row r="491" spans="1:85" ht="15.75" customHeight="1">
      <c r="A491" s="239"/>
      <c r="B491" s="239"/>
      <c r="C491" s="239"/>
      <c r="D491" s="239"/>
      <c r="E491" s="239"/>
      <c r="F491" s="239"/>
      <c r="G491" s="239"/>
      <c r="H491" s="239"/>
      <c r="I491" s="239"/>
      <c r="J491" s="239"/>
      <c r="K491" s="239"/>
      <c r="L491" s="239"/>
      <c r="M491" s="239"/>
      <c r="N491" s="239"/>
      <c r="O491" s="239"/>
      <c r="P491" s="239"/>
      <c r="Q491" s="239"/>
      <c r="R491" s="239"/>
      <c r="S491" s="239"/>
      <c r="T491" s="239"/>
      <c r="U491" s="239"/>
      <c r="V491" s="239"/>
      <c r="W491" s="239"/>
      <c r="X491" s="239"/>
      <c r="Y491" s="239"/>
      <c r="Z491" s="239"/>
      <c r="AA491" s="239"/>
      <c r="AB491" s="239"/>
      <c r="AC491" s="239"/>
      <c r="AD491" s="239"/>
      <c r="AE491" s="239"/>
      <c r="AF491" s="239"/>
      <c r="AG491" s="239"/>
      <c r="AH491" s="239"/>
      <c r="AI491" s="239"/>
      <c r="AJ491" s="239"/>
      <c r="AK491" s="239"/>
      <c r="AL491" s="239"/>
      <c r="AM491" s="239"/>
      <c r="AN491" s="239"/>
      <c r="AO491" s="239"/>
      <c r="AP491" s="239"/>
      <c r="AQ491" s="239"/>
      <c r="AR491" s="239"/>
      <c r="AS491" s="239"/>
      <c r="AT491" s="239"/>
      <c r="AU491" s="239"/>
      <c r="AV491" s="239"/>
      <c r="AW491" s="239"/>
      <c r="AX491" s="239"/>
      <c r="AY491" s="239"/>
      <c r="AZ491" s="239"/>
      <c r="BA491" s="239"/>
      <c r="BB491" s="239"/>
      <c r="BC491" s="239"/>
      <c r="BD491" s="239"/>
      <c r="BE491" s="239"/>
      <c r="BF491" s="239"/>
      <c r="BG491" s="239"/>
      <c r="BH491" s="239"/>
      <c r="BI491" s="239"/>
      <c r="BJ491" s="239"/>
      <c r="BK491" s="239"/>
      <c r="BL491" s="239"/>
      <c r="BM491" s="239"/>
      <c r="BN491" s="239"/>
      <c r="BO491" s="239"/>
      <c r="BP491" s="239"/>
      <c r="BQ491" s="239"/>
      <c r="BR491" s="239"/>
      <c r="BS491" s="239"/>
      <c r="BT491" s="239"/>
      <c r="BU491" s="239"/>
      <c r="BV491" s="239"/>
      <c r="BW491" s="239"/>
      <c r="BX491" s="239"/>
      <c r="BY491" s="239"/>
      <c r="BZ491" s="239"/>
      <c r="CA491" s="239"/>
      <c r="CB491" s="239"/>
      <c r="CC491" s="239"/>
      <c r="CD491" s="239"/>
      <c r="CE491" s="239"/>
      <c r="CF491" s="239"/>
      <c r="CG491" s="239"/>
    </row>
    <row r="492" spans="1:85" ht="15.75" customHeight="1">
      <c r="A492" s="239"/>
      <c r="B492" s="239"/>
      <c r="C492" s="239"/>
      <c r="D492" s="239"/>
      <c r="E492" s="239"/>
      <c r="F492" s="239"/>
      <c r="G492" s="239"/>
      <c r="H492" s="239"/>
      <c r="I492" s="239"/>
      <c r="J492" s="239"/>
      <c r="K492" s="239"/>
      <c r="L492" s="239"/>
      <c r="M492" s="239"/>
      <c r="N492" s="239"/>
      <c r="O492" s="239"/>
      <c r="P492" s="239"/>
      <c r="Q492" s="239"/>
      <c r="R492" s="239"/>
      <c r="S492" s="239"/>
      <c r="T492" s="239"/>
      <c r="U492" s="239"/>
      <c r="V492" s="239"/>
      <c r="W492" s="239"/>
      <c r="X492" s="239"/>
      <c r="Y492" s="239"/>
      <c r="Z492" s="239"/>
      <c r="AA492" s="239"/>
      <c r="AB492" s="239"/>
      <c r="AC492" s="239"/>
      <c r="AD492" s="239"/>
      <c r="AE492" s="239"/>
      <c r="AF492" s="239"/>
      <c r="AG492" s="239"/>
      <c r="AH492" s="239"/>
      <c r="AI492" s="239"/>
      <c r="AJ492" s="239"/>
      <c r="AK492" s="239"/>
      <c r="AL492" s="239"/>
      <c r="AM492" s="239"/>
      <c r="AN492" s="239"/>
      <c r="AO492" s="239"/>
      <c r="AP492" s="239"/>
      <c r="AQ492" s="239"/>
      <c r="AR492" s="239"/>
      <c r="AS492" s="239"/>
      <c r="AT492" s="239"/>
      <c r="AU492" s="239"/>
      <c r="AV492" s="239"/>
      <c r="AW492" s="239"/>
      <c r="AX492" s="239"/>
      <c r="AY492" s="239"/>
      <c r="AZ492" s="239"/>
      <c r="BA492" s="239"/>
      <c r="BB492" s="239"/>
      <c r="BC492" s="239"/>
      <c r="BD492" s="239"/>
      <c r="BE492" s="239"/>
      <c r="BF492" s="239"/>
      <c r="BG492" s="239"/>
      <c r="BH492" s="239"/>
      <c r="BI492" s="239"/>
      <c r="BJ492" s="239"/>
      <c r="BK492" s="239"/>
      <c r="BL492" s="239"/>
      <c r="BM492" s="239"/>
      <c r="BN492" s="239"/>
      <c r="BO492" s="239"/>
      <c r="BP492" s="239"/>
      <c r="BQ492" s="239"/>
      <c r="BR492" s="239"/>
      <c r="BS492" s="239"/>
      <c r="BT492" s="239"/>
      <c r="BU492" s="239"/>
      <c r="BV492" s="239"/>
      <c r="BW492" s="239"/>
      <c r="BX492" s="239"/>
      <c r="BY492" s="239"/>
      <c r="BZ492" s="239"/>
      <c r="CA492" s="239"/>
      <c r="CB492" s="239"/>
      <c r="CC492" s="239"/>
      <c r="CD492" s="239"/>
      <c r="CE492" s="239"/>
      <c r="CF492" s="239"/>
      <c r="CG492" s="239"/>
    </row>
    <row r="493" spans="1:85" ht="15.75" customHeight="1">
      <c r="A493" s="239"/>
      <c r="B493" s="239"/>
      <c r="C493" s="239"/>
      <c r="D493" s="239"/>
      <c r="E493" s="239"/>
      <c r="F493" s="239"/>
      <c r="G493" s="239"/>
      <c r="H493" s="239"/>
      <c r="I493" s="239"/>
      <c r="J493" s="239"/>
      <c r="K493" s="239"/>
      <c r="L493" s="239"/>
      <c r="M493" s="239"/>
      <c r="N493" s="239"/>
      <c r="O493" s="239"/>
      <c r="P493" s="239"/>
      <c r="Q493" s="239"/>
      <c r="R493" s="239"/>
      <c r="S493" s="239"/>
      <c r="T493" s="239"/>
      <c r="U493" s="239"/>
      <c r="V493" s="239"/>
      <c r="W493" s="239"/>
      <c r="X493" s="239"/>
      <c r="Y493" s="239"/>
      <c r="Z493" s="239"/>
      <c r="AA493" s="239"/>
      <c r="AB493" s="239"/>
      <c r="AC493" s="239"/>
      <c r="AD493" s="239"/>
      <c r="AE493" s="239"/>
      <c r="AF493" s="239"/>
      <c r="AG493" s="239"/>
      <c r="AH493" s="239"/>
      <c r="AI493" s="239"/>
      <c r="AJ493" s="239"/>
      <c r="AK493" s="239"/>
      <c r="AL493" s="239"/>
      <c r="AM493" s="239"/>
      <c r="AN493" s="239"/>
      <c r="AO493" s="239"/>
      <c r="AP493" s="239"/>
      <c r="AQ493" s="239"/>
      <c r="AR493" s="239"/>
      <c r="AS493" s="239"/>
      <c r="AT493" s="239"/>
      <c r="AU493" s="239"/>
      <c r="AV493" s="239"/>
      <c r="AW493" s="239"/>
      <c r="AX493" s="239"/>
      <c r="AY493" s="239"/>
      <c r="AZ493" s="239"/>
      <c r="BA493" s="239"/>
      <c r="BB493" s="239"/>
      <c r="BC493" s="239"/>
      <c r="BD493" s="239"/>
      <c r="BE493" s="239"/>
      <c r="BF493" s="239"/>
      <c r="BG493" s="239"/>
      <c r="BH493" s="239"/>
      <c r="BI493" s="239"/>
      <c r="BJ493" s="239"/>
      <c r="BK493" s="239"/>
      <c r="BL493" s="239"/>
      <c r="BM493" s="239"/>
      <c r="BN493" s="239"/>
      <c r="BO493" s="239"/>
      <c r="BP493" s="239"/>
      <c r="BQ493" s="239"/>
      <c r="BR493" s="239"/>
      <c r="BS493" s="239"/>
      <c r="BT493" s="239"/>
      <c r="BU493" s="239"/>
      <c r="BV493" s="239"/>
      <c r="BW493" s="239"/>
      <c r="BX493" s="239"/>
      <c r="BY493" s="239"/>
      <c r="BZ493" s="239"/>
      <c r="CA493" s="239"/>
      <c r="CB493" s="239"/>
      <c r="CC493" s="239"/>
      <c r="CD493" s="239"/>
      <c r="CE493" s="239"/>
      <c r="CF493" s="239"/>
      <c r="CG493" s="239"/>
    </row>
    <row r="494" spans="1:85" ht="15.75" customHeight="1">
      <c r="A494" s="239"/>
      <c r="B494" s="239"/>
      <c r="C494" s="239"/>
      <c r="D494" s="239"/>
      <c r="E494" s="239"/>
      <c r="F494" s="239"/>
      <c r="G494" s="239"/>
      <c r="H494" s="239"/>
      <c r="I494" s="239"/>
      <c r="J494" s="239"/>
      <c r="K494" s="239"/>
      <c r="L494" s="239"/>
      <c r="M494" s="239"/>
      <c r="N494" s="239"/>
      <c r="O494" s="239"/>
      <c r="P494" s="239"/>
      <c r="Q494" s="239"/>
      <c r="R494" s="239"/>
      <c r="S494" s="239"/>
      <c r="T494" s="239"/>
      <c r="U494" s="239"/>
      <c r="V494" s="239"/>
      <c r="W494" s="239"/>
      <c r="X494" s="239"/>
      <c r="Y494" s="239"/>
      <c r="Z494" s="239"/>
      <c r="AA494" s="239"/>
      <c r="AB494" s="239"/>
      <c r="AC494" s="239"/>
      <c r="AD494" s="239"/>
      <c r="AE494" s="239"/>
      <c r="AF494" s="239"/>
      <c r="AG494" s="239"/>
      <c r="AH494" s="239"/>
      <c r="AI494" s="239"/>
      <c r="AJ494" s="239"/>
      <c r="AK494" s="239"/>
      <c r="AL494" s="239"/>
      <c r="AM494" s="239"/>
      <c r="AN494" s="239"/>
      <c r="AO494" s="239"/>
      <c r="AP494" s="239"/>
      <c r="AQ494" s="239"/>
      <c r="AR494" s="239"/>
      <c r="AS494" s="239"/>
      <c r="AT494" s="239"/>
      <c r="AU494" s="239"/>
      <c r="AV494" s="239"/>
      <c r="AW494" s="239"/>
      <c r="AX494" s="239"/>
      <c r="AY494" s="239"/>
      <c r="AZ494" s="239"/>
      <c r="BA494" s="239"/>
      <c r="BB494" s="239"/>
      <c r="BC494" s="239"/>
      <c r="BD494" s="239"/>
      <c r="BE494" s="239"/>
      <c r="BF494" s="239"/>
      <c r="BG494" s="239"/>
      <c r="BH494" s="239"/>
      <c r="BI494" s="239"/>
      <c r="BJ494" s="239"/>
      <c r="BK494" s="239"/>
      <c r="BL494" s="239"/>
      <c r="BM494" s="239"/>
      <c r="BN494" s="239"/>
      <c r="BO494" s="239"/>
      <c r="BP494" s="239"/>
      <c r="BQ494" s="239"/>
      <c r="BR494" s="239"/>
      <c r="BS494" s="239"/>
      <c r="BT494" s="239"/>
      <c r="BU494" s="239"/>
      <c r="BV494" s="239"/>
      <c r="BW494" s="239"/>
      <c r="BX494" s="239"/>
      <c r="BY494" s="239"/>
      <c r="BZ494" s="239"/>
      <c r="CA494" s="239"/>
      <c r="CB494" s="239"/>
      <c r="CC494" s="239"/>
      <c r="CD494" s="239"/>
      <c r="CE494" s="239"/>
      <c r="CF494" s="239"/>
      <c r="CG494" s="239"/>
    </row>
    <row r="495" spans="1:85" ht="15.75" customHeight="1">
      <c r="A495" s="239"/>
      <c r="B495" s="239"/>
      <c r="C495" s="239"/>
      <c r="D495" s="239"/>
      <c r="E495" s="239"/>
      <c r="F495" s="239"/>
      <c r="G495" s="239"/>
      <c r="H495" s="239"/>
      <c r="I495" s="239"/>
      <c r="J495" s="239"/>
      <c r="K495" s="239"/>
      <c r="L495" s="239"/>
      <c r="M495" s="239"/>
      <c r="N495" s="239"/>
      <c r="O495" s="239"/>
      <c r="P495" s="239"/>
      <c r="Q495" s="239"/>
      <c r="R495" s="239"/>
      <c r="S495" s="239"/>
      <c r="T495" s="239"/>
      <c r="U495" s="239"/>
      <c r="V495" s="239"/>
      <c r="W495" s="239"/>
      <c r="X495" s="239"/>
      <c r="Y495" s="239"/>
      <c r="Z495" s="239"/>
      <c r="AA495" s="239"/>
      <c r="AB495" s="239"/>
      <c r="AC495" s="239"/>
      <c r="AD495" s="239"/>
      <c r="AE495" s="239"/>
      <c r="AF495" s="239"/>
      <c r="AG495" s="239"/>
      <c r="AH495" s="239"/>
      <c r="AI495" s="239"/>
      <c r="AJ495" s="239"/>
      <c r="AK495" s="239"/>
      <c r="AL495" s="239"/>
      <c r="AM495" s="239"/>
      <c r="AN495" s="239"/>
      <c r="AO495" s="239"/>
      <c r="AP495" s="239"/>
      <c r="AQ495" s="239"/>
      <c r="AR495" s="239"/>
      <c r="AS495" s="239"/>
      <c r="AT495" s="239"/>
      <c r="AU495" s="239"/>
      <c r="AV495" s="239"/>
      <c r="AW495" s="239"/>
      <c r="AX495" s="239"/>
      <c r="AY495" s="239"/>
      <c r="AZ495" s="239"/>
      <c r="BA495" s="239"/>
      <c r="BB495" s="239"/>
      <c r="BC495" s="239"/>
      <c r="BD495" s="239"/>
      <c r="BE495" s="239"/>
      <c r="BF495" s="239"/>
      <c r="BG495" s="239"/>
      <c r="BH495" s="239"/>
      <c r="BI495" s="239"/>
      <c r="BJ495" s="239"/>
      <c r="BK495" s="239"/>
      <c r="BL495" s="239"/>
      <c r="BM495" s="239"/>
      <c r="BN495" s="239"/>
      <c r="BO495" s="239"/>
      <c r="BP495" s="239"/>
      <c r="BQ495" s="239"/>
      <c r="BR495" s="239"/>
      <c r="BS495" s="239"/>
      <c r="BT495" s="239"/>
      <c r="BU495" s="239"/>
      <c r="BV495" s="239"/>
      <c r="BW495" s="239"/>
      <c r="BX495" s="239"/>
      <c r="BY495" s="239"/>
      <c r="BZ495" s="239"/>
      <c r="CA495" s="239"/>
      <c r="CB495" s="239"/>
      <c r="CC495" s="239"/>
      <c r="CD495" s="239"/>
      <c r="CE495" s="239"/>
      <c r="CF495" s="239"/>
      <c r="CG495" s="239"/>
    </row>
    <row r="496" spans="1:85" ht="15.75" customHeight="1">
      <c r="A496" s="239"/>
      <c r="B496" s="239"/>
      <c r="C496" s="239"/>
      <c r="D496" s="239"/>
      <c r="E496" s="239"/>
      <c r="F496" s="239"/>
      <c r="G496" s="239"/>
      <c r="H496" s="239"/>
      <c r="I496" s="239"/>
      <c r="J496" s="239"/>
      <c r="K496" s="239"/>
      <c r="L496" s="239"/>
      <c r="M496" s="239"/>
      <c r="N496" s="239"/>
      <c r="O496" s="239"/>
      <c r="P496" s="239"/>
      <c r="Q496" s="239"/>
      <c r="R496" s="239"/>
      <c r="S496" s="239"/>
      <c r="T496" s="239"/>
      <c r="U496" s="239"/>
      <c r="V496" s="239"/>
      <c r="W496" s="239"/>
      <c r="X496" s="239"/>
      <c r="Y496" s="239"/>
      <c r="Z496" s="239"/>
      <c r="AA496" s="239"/>
      <c r="AB496" s="239"/>
      <c r="AC496" s="239"/>
      <c r="AD496" s="239"/>
      <c r="AE496" s="239"/>
      <c r="AF496" s="239"/>
      <c r="AG496" s="239"/>
      <c r="AH496" s="239"/>
      <c r="AI496" s="239"/>
      <c r="AJ496" s="239"/>
      <c r="AK496" s="239"/>
      <c r="AL496" s="239"/>
      <c r="AM496" s="239"/>
      <c r="AN496" s="239"/>
      <c r="AO496" s="239"/>
      <c r="AP496" s="239"/>
      <c r="AQ496" s="239"/>
      <c r="AR496" s="239"/>
      <c r="AS496" s="239"/>
      <c r="AT496" s="239"/>
      <c r="AU496" s="239"/>
      <c r="AV496" s="239"/>
      <c r="AW496" s="239"/>
      <c r="AX496" s="239"/>
      <c r="AY496" s="239"/>
      <c r="AZ496" s="239"/>
      <c r="BA496" s="239"/>
      <c r="BB496" s="239"/>
      <c r="BC496" s="239"/>
      <c r="BD496" s="239"/>
      <c r="BE496" s="239"/>
      <c r="BF496" s="239"/>
      <c r="BG496" s="239"/>
      <c r="BH496" s="239"/>
      <c r="BI496" s="239"/>
      <c r="BJ496" s="239"/>
      <c r="BK496" s="239"/>
      <c r="BL496" s="239"/>
      <c r="BM496" s="239"/>
      <c r="BN496" s="239"/>
      <c r="BO496" s="239"/>
      <c r="BP496" s="239"/>
      <c r="BQ496" s="239"/>
      <c r="BR496" s="239"/>
      <c r="BS496" s="239"/>
      <c r="BT496" s="239"/>
      <c r="BU496" s="239"/>
      <c r="BV496" s="239"/>
      <c r="BW496" s="239"/>
      <c r="BX496" s="239"/>
      <c r="BY496" s="239"/>
      <c r="BZ496" s="239"/>
      <c r="CA496" s="239"/>
      <c r="CB496" s="239"/>
      <c r="CC496" s="239"/>
      <c r="CD496" s="239"/>
      <c r="CE496" s="239"/>
      <c r="CF496" s="239"/>
      <c r="CG496" s="239"/>
    </row>
    <row r="497" spans="1:85" ht="15.75" customHeight="1">
      <c r="A497" s="239"/>
      <c r="B497" s="239"/>
      <c r="C497" s="239"/>
      <c r="D497" s="239"/>
      <c r="E497" s="239"/>
      <c r="F497" s="239"/>
      <c r="G497" s="239"/>
      <c r="H497" s="239"/>
      <c r="I497" s="239"/>
      <c r="J497" s="239"/>
      <c r="K497" s="239"/>
      <c r="L497" s="239"/>
      <c r="M497" s="239"/>
      <c r="N497" s="239"/>
      <c r="O497" s="239"/>
      <c r="P497" s="239"/>
      <c r="Q497" s="239"/>
      <c r="R497" s="239"/>
      <c r="S497" s="239"/>
      <c r="T497" s="239"/>
      <c r="U497" s="239"/>
      <c r="V497" s="239"/>
      <c r="W497" s="239"/>
      <c r="X497" s="239"/>
      <c r="Y497" s="239"/>
      <c r="Z497" s="239"/>
      <c r="AA497" s="239"/>
      <c r="AB497" s="239"/>
      <c r="AC497" s="239"/>
      <c r="AD497" s="239"/>
      <c r="AE497" s="239"/>
      <c r="AF497" s="239"/>
      <c r="AG497" s="239"/>
      <c r="AH497" s="239"/>
      <c r="AI497" s="239"/>
      <c r="AJ497" s="239"/>
      <c r="AK497" s="239"/>
      <c r="AL497" s="239"/>
      <c r="AM497" s="239"/>
      <c r="AN497" s="239"/>
      <c r="AO497" s="239"/>
      <c r="AP497" s="239"/>
      <c r="AQ497" s="239"/>
      <c r="AR497" s="239"/>
      <c r="AS497" s="239"/>
      <c r="AT497" s="239"/>
      <c r="AU497" s="239"/>
      <c r="AV497" s="239"/>
      <c r="AW497" s="239"/>
      <c r="AX497" s="239"/>
      <c r="AY497" s="239"/>
      <c r="AZ497" s="239"/>
      <c r="BA497" s="239"/>
      <c r="BB497" s="239"/>
      <c r="BC497" s="239"/>
      <c r="BD497" s="239"/>
      <c r="BE497" s="239"/>
      <c r="BF497" s="239"/>
      <c r="BG497" s="239"/>
      <c r="BH497" s="239"/>
      <c r="BI497" s="239"/>
      <c r="BJ497" s="239"/>
      <c r="BK497" s="239"/>
      <c r="BL497" s="239"/>
      <c r="BM497" s="239"/>
      <c r="BN497" s="239"/>
      <c r="BO497" s="239"/>
      <c r="BP497" s="239"/>
      <c r="BQ497" s="239"/>
      <c r="BR497" s="239"/>
      <c r="BS497" s="239"/>
      <c r="BT497" s="239"/>
      <c r="BU497" s="239"/>
      <c r="BV497" s="239"/>
      <c r="BW497" s="239"/>
      <c r="BX497" s="239"/>
      <c r="BY497" s="239"/>
      <c r="BZ497" s="239"/>
      <c r="CA497" s="239"/>
      <c r="CB497" s="239"/>
      <c r="CC497" s="239"/>
      <c r="CD497" s="239"/>
      <c r="CE497" s="239"/>
      <c r="CF497" s="239"/>
      <c r="CG497" s="239"/>
    </row>
    <row r="498" spans="1:85" ht="15.75" customHeight="1">
      <c r="A498" s="239"/>
      <c r="B498" s="239"/>
      <c r="C498" s="239"/>
      <c r="D498" s="239"/>
      <c r="E498" s="239"/>
      <c r="F498" s="239"/>
      <c r="G498" s="239"/>
      <c r="H498" s="239"/>
      <c r="I498" s="239"/>
      <c r="J498" s="239"/>
      <c r="K498" s="239"/>
      <c r="L498" s="239"/>
      <c r="M498" s="239"/>
      <c r="N498" s="239"/>
      <c r="O498" s="239"/>
      <c r="P498" s="239"/>
      <c r="Q498" s="239"/>
      <c r="R498" s="239"/>
      <c r="S498" s="239"/>
      <c r="T498" s="239"/>
      <c r="U498" s="239"/>
      <c r="V498" s="239"/>
      <c r="W498" s="239"/>
      <c r="X498" s="239"/>
      <c r="Y498" s="239"/>
      <c r="Z498" s="239"/>
      <c r="AA498" s="239"/>
      <c r="AB498" s="239"/>
      <c r="AC498" s="239"/>
      <c r="AD498" s="239"/>
      <c r="AE498" s="239"/>
      <c r="AF498" s="239"/>
      <c r="AG498" s="239"/>
      <c r="AH498" s="239"/>
      <c r="AI498" s="239"/>
      <c r="AJ498" s="239"/>
      <c r="AK498" s="239"/>
      <c r="AL498" s="239"/>
      <c r="AM498" s="239"/>
      <c r="AN498" s="239"/>
      <c r="AO498" s="239"/>
      <c r="AP498" s="239"/>
      <c r="AQ498" s="239"/>
      <c r="AR498" s="239"/>
      <c r="AS498" s="239"/>
      <c r="AT498" s="239"/>
      <c r="AU498" s="239"/>
      <c r="AV498" s="239"/>
      <c r="AW498" s="239"/>
      <c r="AX498" s="239"/>
      <c r="AY498" s="239"/>
      <c r="AZ498" s="239"/>
      <c r="BA498" s="239"/>
      <c r="BB498" s="239"/>
      <c r="BC498" s="239"/>
      <c r="BD498" s="239"/>
      <c r="BE498" s="239"/>
      <c r="BF498" s="239"/>
      <c r="BG498" s="239"/>
      <c r="BH498" s="239"/>
      <c r="BI498" s="239"/>
      <c r="BJ498" s="239"/>
      <c r="BK498" s="239"/>
      <c r="BL498" s="239"/>
      <c r="BM498" s="239"/>
      <c r="BN498" s="239"/>
      <c r="BO498" s="239"/>
      <c r="BP498" s="239"/>
      <c r="BQ498" s="239"/>
      <c r="BR498" s="239"/>
      <c r="BS498" s="239"/>
      <c r="BT498" s="239"/>
      <c r="BU498" s="239"/>
      <c r="BV498" s="239"/>
      <c r="BW498" s="239"/>
      <c r="BX498" s="239"/>
      <c r="BY498" s="239"/>
      <c r="BZ498" s="239"/>
      <c r="CA498" s="239"/>
      <c r="CB498" s="239"/>
      <c r="CC498" s="239"/>
      <c r="CD498" s="239"/>
      <c r="CE498" s="239"/>
      <c r="CF498" s="239"/>
      <c r="CG498" s="239"/>
    </row>
    <row r="499" spans="1:85" ht="15.75" customHeight="1">
      <c r="A499" s="239"/>
      <c r="B499" s="239"/>
      <c r="C499" s="239"/>
      <c r="D499" s="239"/>
      <c r="E499" s="239"/>
      <c r="F499" s="239"/>
      <c r="G499" s="239"/>
      <c r="H499" s="239"/>
      <c r="I499" s="239"/>
      <c r="J499" s="239"/>
      <c r="K499" s="239"/>
      <c r="L499" s="239"/>
      <c r="M499" s="239"/>
      <c r="N499" s="239"/>
      <c r="O499" s="239"/>
      <c r="P499" s="239"/>
      <c r="Q499" s="239"/>
      <c r="R499" s="239"/>
      <c r="S499" s="239"/>
      <c r="T499" s="239"/>
      <c r="U499" s="239"/>
      <c r="V499" s="239"/>
      <c r="W499" s="239"/>
      <c r="X499" s="239"/>
      <c r="Y499" s="239"/>
      <c r="Z499" s="239"/>
      <c r="AA499" s="239"/>
      <c r="AB499" s="239"/>
      <c r="AC499" s="239"/>
      <c r="AD499" s="239"/>
      <c r="AE499" s="239"/>
      <c r="AF499" s="239"/>
      <c r="AG499" s="239"/>
      <c r="AH499" s="239"/>
      <c r="AI499" s="239"/>
      <c r="AJ499" s="239"/>
      <c r="AK499" s="239"/>
      <c r="AL499" s="239"/>
      <c r="AM499" s="239"/>
      <c r="AN499" s="239"/>
      <c r="AO499" s="239"/>
      <c r="AP499" s="239"/>
      <c r="AQ499" s="239"/>
      <c r="AR499" s="239"/>
      <c r="AS499" s="239"/>
      <c r="AT499" s="239"/>
      <c r="AU499" s="239"/>
      <c r="AV499" s="239"/>
      <c r="AW499" s="239"/>
      <c r="AX499" s="239"/>
      <c r="AY499" s="239"/>
      <c r="AZ499" s="239"/>
      <c r="BA499" s="239"/>
      <c r="BB499" s="239"/>
      <c r="BC499" s="239"/>
      <c r="BD499" s="239"/>
      <c r="BE499" s="239"/>
      <c r="BF499" s="239"/>
      <c r="BG499" s="239"/>
      <c r="BH499" s="239"/>
      <c r="BI499" s="239"/>
      <c r="BJ499" s="239"/>
      <c r="BK499" s="239"/>
      <c r="BL499" s="239"/>
      <c r="BM499" s="239"/>
      <c r="BN499" s="239"/>
      <c r="BO499" s="239"/>
      <c r="BP499" s="239"/>
      <c r="BQ499" s="239"/>
      <c r="BR499" s="239"/>
      <c r="BS499" s="239"/>
      <c r="BT499" s="239"/>
      <c r="BU499" s="239"/>
      <c r="BV499" s="239"/>
      <c r="BW499" s="239"/>
      <c r="BX499" s="239"/>
      <c r="BY499" s="239"/>
      <c r="BZ499" s="239"/>
      <c r="CA499" s="239"/>
      <c r="CB499" s="239"/>
      <c r="CC499" s="239"/>
      <c r="CD499" s="239"/>
      <c r="CE499" s="239"/>
      <c r="CF499" s="239"/>
      <c r="CG499" s="239"/>
    </row>
    <row r="500" spans="1:85" ht="15.75" customHeight="1">
      <c r="A500" s="239"/>
      <c r="B500" s="239"/>
      <c r="C500" s="239"/>
      <c r="D500" s="239"/>
      <c r="E500" s="239"/>
      <c r="F500" s="239"/>
      <c r="G500" s="239"/>
      <c r="H500" s="239"/>
      <c r="I500" s="239"/>
      <c r="J500" s="239"/>
      <c r="K500" s="239"/>
      <c r="L500" s="239"/>
      <c r="M500" s="239"/>
      <c r="N500" s="239"/>
      <c r="O500" s="239"/>
      <c r="P500" s="239"/>
      <c r="Q500" s="239"/>
      <c r="R500" s="239"/>
      <c r="S500" s="239"/>
      <c r="T500" s="239"/>
      <c r="U500" s="239"/>
      <c r="V500" s="239"/>
      <c r="W500" s="239"/>
      <c r="X500" s="239"/>
      <c r="Y500" s="239"/>
      <c r="Z500" s="239"/>
      <c r="AA500" s="239"/>
      <c r="AB500" s="239"/>
      <c r="AC500" s="239"/>
      <c r="AD500" s="239"/>
      <c r="AE500" s="239"/>
      <c r="AF500" s="239"/>
      <c r="AG500" s="239"/>
      <c r="AH500" s="239"/>
      <c r="AI500" s="239"/>
      <c r="AJ500" s="239"/>
      <c r="AK500" s="239"/>
      <c r="AL500" s="239"/>
      <c r="AM500" s="239"/>
      <c r="AN500" s="239"/>
      <c r="AO500" s="239"/>
      <c r="AP500" s="239"/>
      <c r="AQ500" s="239"/>
      <c r="AR500" s="239"/>
      <c r="AS500" s="239"/>
      <c r="AT500" s="239"/>
      <c r="AU500" s="239"/>
      <c r="AV500" s="239"/>
      <c r="AW500" s="239"/>
      <c r="AX500" s="239"/>
      <c r="AY500" s="239"/>
      <c r="AZ500" s="239"/>
      <c r="BA500" s="239"/>
      <c r="BB500" s="239"/>
      <c r="BC500" s="239"/>
      <c r="BD500" s="239"/>
      <c r="BE500" s="239"/>
      <c r="BF500" s="239"/>
      <c r="BG500" s="239"/>
      <c r="BH500" s="239"/>
      <c r="BI500" s="239"/>
      <c r="BJ500" s="239"/>
      <c r="BK500" s="239"/>
      <c r="BL500" s="239"/>
      <c r="BM500" s="239"/>
      <c r="BN500" s="239"/>
      <c r="BO500" s="239"/>
      <c r="BP500" s="239"/>
      <c r="BQ500" s="239"/>
      <c r="BR500" s="239"/>
      <c r="BS500" s="239"/>
      <c r="BT500" s="239"/>
      <c r="BU500" s="239"/>
      <c r="BV500" s="239"/>
      <c r="BW500" s="239"/>
      <c r="BX500" s="239"/>
      <c r="BY500" s="239"/>
      <c r="BZ500" s="239"/>
      <c r="CA500" s="239"/>
      <c r="CB500" s="239"/>
      <c r="CC500" s="239"/>
      <c r="CD500" s="239"/>
      <c r="CE500" s="239"/>
      <c r="CF500" s="239"/>
      <c r="CG500" s="239"/>
    </row>
    <row r="501" spans="1:85" ht="15.75" customHeight="1">
      <c r="A501" s="239"/>
      <c r="B501" s="239"/>
      <c r="C501" s="239"/>
      <c r="D501" s="239"/>
      <c r="E501" s="239"/>
      <c r="F501" s="239"/>
      <c r="G501" s="239"/>
      <c r="H501" s="239"/>
      <c r="I501" s="239"/>
      <c r="J501" s="239"/>
      <c r="K501" s="239"/>
      <c r="L501" s="239"/>
      <c r="M501" s="239"/>
      <c r="N501" s="239"/>
      <c r="O501" s="239"/>
      <c r="P501" s="239"/>
      <c r="Q501" s="239"/>
      <c r="R501" s="239"/>
      <c r="S501" s="239"/>
      <c r="T501" s="239"/>
      <c r="U501" s="239"/>
      <c r="V501" s="239"/>
      <c r="W501" s="239"/>
      <c r="X501" s="239"/>
      <c r="Y501" s="239"/>
      <c r="Z501" s="239"/>
      <c r="AA501" s="239"/>
      <c r="AB501" s="239"/>
      <c r="AC501" s="239"/>
      <c r="AD501" s="239"/>
      <c r="AE501" s="239"/>
      <c r="AF501" s="239"/>
      <c r="AG501" s="239"/>
      <c r="AH501" s="239"/>
      <c r="AI501" s="239"/>
      <c r="AJ501" s="239"/>
      <c r="AK501" s="239"/>
      <c r="AL501" s="239"/>
      <c r="AM501" s="239"/>
      <c r="AN501" s="239"/>
      <c r="AO501" s="239"/>
      <c r="AP501" s="239"/>
      <c r="AQ501" s="239"/>
      <c r="AR501" s="239"/>
      <c r="AS501" s="239"/>
      <c r="AT501" s="239"/>
      <c r="AU501" s="239"/>
      <c r="AV501" s="239"/>
      <c r="AW501" s="239"/>
      <c r="AX501" s="239"/>
      <c r="AY501" s="239"/>
      <c r="AZ501" s="239"/>
      <c r="BA501" s="239"/>
      <c r="BB501" s="239"/>
      <c r="BC501" s="239"/>
      <c r="BD501" s="239"/>
      <c r="BE501" s="239"/>
      <c r="BF501" s="239"/>
      <c r="BG501" s="239"/>
      <c r="BH501" s="239"/>
      <c r="BI501" s="239"/>
      <c r="BJ501" s="239"/>
      <c r="BK501" s="239"/>
      <c r="BL501" s="239"/>
      <c r="BM501" s="239"/>
      <c r="BN501" s="239"/>
      <c r="BO501" s="239"/>
      <c r="BP501" s="239"/>
      <c r="BQ501" s="239"/>
      <c r="BR501" s="239"/>
      <c r="BS501" s="239"/>
      <c r="BT501" s="239"/>
      <c r="BU501" s="239"/>
      <c r="BV501" s="239"/>
      <c r="BW501" s="239"/>
      <c r="BX501" s="239"/>
      <c r="BY501" s="239"/>
      <c r="BZ501" s="239"/>
      <c r="CA501" s="239"/>
      <c r="CB501" s="239"/>
      <c r="CC501" s="239"/>
      <c r="CD501" s="239"/>
      <c r="CE501" s="239"/>
      <c r="CF501" s="239"/>
      <c r="CG501" s="239"/>
    </row>
    <row r="502" spans="1:85" ht="15.75" customHeight="1">
      <c r="A502" s="239"/>
      <c r="B502" s="239"/>
      <c r="C502" s="239"/>
      <c r="D502" s="239"/>
      <c r="E502" s="239"/>
      <c r="F502" s="239"/>
      <c r="G502" s="239"/>
      <c r="H502" s="239"/>
      <c r="I502" s="239"/>
      <c r="J502" s="239"/>
      <c r="K502" s="239"/>
      <c r="L502" s="239"/>
      <c r="M502" s="239"/>
      <c r="N502" s="239"/>
      <c r="O502" s="239"/>
      <c r="P502" s="239"/>
      <c r="Q502" s="239"/>
      <c r="R502" s="239"/>
      <c r="S502" s="239"/>
      <c r="T502" s="239"/>
      <c r="U502" s="239"/>
      <c r="V502" s="239"/>
      <c r="W502" s="239"/>
      <c r="X502" s="239"/>
      <c r="Y502" s="239"/>
      <c r="Z502" s="239"/>
      <c r="AA502" s="239"/>
      <c r="AB502" s="239"/>
      <c r="AC502" s="239"/>
      <c r="AD502" s="239"/>
      <c r="AE502" s="239"/>
      <c r="AF502" s="239"/>
      <c r="AG502" s="239"/>
      <c r="AH502" s="239"/>
      <c r="AI502" s="239"/>
      <c r="AJ502" s="239"/>
      <c r="AK502" s="239"/>
      <c r="AL502" s="239"/>
      <c r="AM502" s="239"/>
      <c r="AN502" s="239"/>
      <c r="AO502" s="239"/>
      <c r="AP502" s="239"/>
      <c r="AQ502" s="239"/>
      <c r="AR502" s="239"/>
      <c r="AS502" s="239"/>
      <c r="AT502" s="239"/>
      <c r="AU502" s="239"/>
      <c r="AV502" s="239"/>
      <c r="AW502" s="239"/>
      <c r="AX502" s="239"/>
      <c r="AY502" s="239"/>
      <c r="AZ502" s="239"/>
      <c r="BA502" s="239"/>
      <c r="BB502" s="239"/>
      <c r="BC502" s="239"/>
      <c r="BD502" s="239"/>
      <c r="BE502" s="239"/>
      <c r="BF502" s="239"/>
      <c r="BG502" s="239"/>
      <c r="BH502" s="239"/>
      <c r="BI502" s="239"/>
      <c r="BJ502" s="239"/>
      <c r="BK502" s="239"/>
      <c r="BL502" s="239"/>
      <c r="BM502" s="239"/>
      <c r="BN502" s="239"/>
      <c r="BO502" s="239"/>
      <c r="BP502" s="239"/>
      <c r="BQ502" s="239"/>
      <c r="BR502" s="239"/>
      <c r="BS502" s="239"/>
      <c r="BT502" s="239"/>
      <c r="BU502" s="239"/>
      <c r="BV502" s="239"/>
      <c r="BW502" s="239"/>
      <c r="BX502" s="239"/>
      <c r="BY502" s="239"/>
      <c r="BZ502" s="239"/>
      <c r="CA502" s="239"/>
      <c r="CB502" s="239"/>
      <c r="CC502" s="239"/>
      <c r="CD502" s="239"/>
      <c r="CE502" s="239"/>
      <c r="CF502" s="239"/>
      <c r="CG502" s="239"/>
    </row>
    <row r="503" spans="1:85" ht="15.75" customHeight="1">
      <c r="A503" s="239"/>
      <c r="B503" s="239"/>
      <c r="C503" s="239"/>
      <c r="D503" s="239"/>
      <c r="E503" s="239"/>
      <c r="F503" s="239"/>
      <c r="G503" s="239"/>
      <c r="H503" s="239"/>
      <c r="I503" s="239"/>
      <c r="J503" s="239"/>
      <c r="K503" s="239"/>
      <c r="L503" s="239"/>
      <c r="M503" s="239"/>
      <c r="N503" s="239"/>
      <c r="O503" s="239"/>
      <c r="P503" s="239"/>
      <c r="Q503" s="239"/>
      <c r="R503" s="239"/>
      <c r="S503" s="239"/>
      <c r="T503" s="239"/>
      <c r="U503" s="239"/>
      <c r="V503" s="239"/>
      <c r="W503" s="239"/>
      <c r="X503" s="239"/>
      <c r="Y503" s="239"/>
      <c r="Z503" s="239"/>
      <c r="AA503" s="239"/>
      <c r="AB503" s="239"/>
      <c r="AC503" s="239"/>
      <c r="AD503" s="239"/>
      <c r="AE503" s="239"/>
      <c r="AF503" s="239"/>
      <c r="AG503" s="239"/>
      <c r="AH503" s="239"/>
      <c r="AI503" s="239"/>
      <c r="AJ503" s="239"/>
      <c r="AK503" s="239"/>
      <c r="AL503" s="239"/>
      <c r="AM503" s="239"/>
      <c r="AN503" s="239"/>
      <c r="AO503" s="239"/>
      <c r="AP503" s="239"/>
      <c r="AQ503" s="239"/>
      <c r="AR503" s="239"/>
      <c r="AS503" s="239"/>
      <c r="AT503" s="239"/>
      <c r="AU503" s="239"/>
      <c r="AV503" s="239"/>
      <c r="AW503" s="239"/>
      <c r="AX503" s="239"/>
      <c r="AY503" s="239"/>
      <c r="AZ503" s="239"/>
      <c r="BA503" s="239"/>
      <c r="BB503" s="239"/>
      <c r="BC503" s="239"/>
      <c r="BD503" s="239"/>
      <c r="BE503" s="239"/>
      <c r="BF503" s="239"/>
      <c r="BG503" s="239"/>
      <c r="BH503" s="239"/>
      <c r="BI503" s="239"/>
      <c r="BJ503" s="239"/>
      <c r="BK503" s="239"/>
      <c r="BL503" s="239"/>
      <c r="BM503" s="239"/>
      <c r="BN503" s="239"/>
      <c r="BO503" s="239"/>
      <c r="BP503" s="239"/>
      <c r="BQ503" s="239"/>
      <c r="BR503" s="239"/>
      <c r="BS503" s="239"/>
      <c r="BT503" s="239"/>
      <c r="BU503" s="239"/>
      <c r="BV503" s="239"/>
      <c r="BW503" s="239"/>
      <c r="BX503" s="239"/>
      <c r="BY503" s="239"/>
      <c r="BZ503" s="239"/>
      <c r="CA503" s="239"/>
      <c r="CB503" s="239"/>
      <c r="CC503" s="239"/>
      <c r="CD503" s="239"/>
      <c r="CE503" s="239"/>
      <c r="CF503" s="239"/>
      <c r="CG503" s="239"/>
    </row>
    <row r="504" spans="1:85" ht="15.75" customHeight="1">
      <c r="A504" s="239"/>
      <c r="B504" s="239"/>
      <c r="C504" s="239"/>
      <c r="D504" s="239"/>
      <c r="E504" s="239"/>
      <c r="F504" s="239"/>
      <c r="G504" s="239"/>
      <c r="H504" s="239"/>
      <c r="I504" s="239"/>
      <c r="J504" s="239"/>
      <c r="K504" s="239"/>
      <c r="L504" s="239"/>
      <c r="M504" s="239"/>
      <c r="N504" s="239"/>
      <c r="O504" s="239"/>
      <c r="P504" s="239"/>
      <c r="Q504" s="239"/>
      <c r="R504" s="239"/>
      <c r="S504" s="239"/>
      <c r="T504" s="239"/>
      <c r="U504" s="239"/>
      <c r="V504" s="239"/>
      <c r="W504" s="239"/>
      <c r="X504" s="239"/>
      <c r="Y504" s="239"/>
      <c r="Z504" s="239"/>
      <c r="AA504" s="239"/>
      <c r="AB504" s="239"/>
      <c r="AC504" s="239"/>
      <c r="AD504" s="239"/>
      <c r="AE504" s="239"/>
      <c r="AF504" s="239"/>
      <c r="AG504" s="239"/>
      <c r="AH504" s="239"/>
      <c r="AI504" s="239"/>
      <c r="AJ504" s="239"/>
      <c r="AK504" s="239"/>
      <c r="AL504" s="239"/>
      <c r="AM504" s="239"/>
      <c r="AN504" s="239"/>
      <c r="AO504" s="239"/>
      <c r="AP504" s="239"/>
      <c r="AQ504" s="239"/>
      <c r="AR504" s="239"/>
      <c r="AS504" s="239"/>
      <c r="AT504" s="239"/>
      <c r="AU504" s="239"/>
      <c r="AV504" s="239"/>
      <c r="AW504" s="239"/>
      <c r="AX504" s="239"/>
      <c r="AY504" s="239"/>
      <c r="AZ504" s="239"/>
      <c r="BA504" s="239"/>
      <c r="BB504" s="239"/>
      <c r="BC504" s="239"/>
      <c r="BD504" s="239"/>
      <c r="BE504" s="239"/>
      <c r="BF504" s="239"/>
      <c r="BG504" s="239"/>
      <c r="BH504" s="239"/>
      <c r="BI504" s="239"/>
      <c r="BJ504" s="239"/>
      <c r="BK504" s="239"/>
      <c r="BL504" s="239"/>
      <c r="BM504" s="239"/>
      <c r="BN504" s="239"/>
      <c r="BO504" s="239"/>
      <c r="BP504" s="239"/>
      <c r="BQ504" s="239"/>
      <c r="BR504" s="239"/>
      <c r="BS504" s="239"/>
      <c r="BT504" s="239"/>
      <c r="BU504" s="239"/>
      <c r="BV504" s="239"/>
      <c r="BW504" s="239"/>
      <c r="BX504" s="239"/>
      <c r="BY504" s="239"/>
      <c r="BZ504" s="239"/>
      <c r="CA504" s="239"/>
      <c r="CB504" s="239"/>
      <c r="CC504" s="239"/>
      <c r="CD504" s="239"/>
      <c r="CE504" s="239"/>
      <c r="CF504" s="239"/>
      <c r="CG504" s="239"/>
    </row>
    <row r="505" spans="1:85" ht="15.75" customHeight="1">
      <c r="A505" s="239"/>
      <c r="B505" s="239"/>
      <c r="C505" s="239"/>
      <c r="D505" s="239"/>
      <c r="E505" s="239"/>
      <c r="F505" s="239"/>
      <c r="G505" s="239"/>
      <c r="H505" s="239"/>
      <c r="I505" s="239"/>
      <c r="J505" s="239"/>
      <c r="K505" s="239"/>
      <c r="L505" s="239"/>
      <c r="M505" s="239"/>
      <c r="N505" s="239"/>
      <c r="O505" s="239"/>
      <c r="P505" s="239"/>
      <c r="Q505" s="239"/>
      <c r="R505" s="239"/>
      <c r="S505" s="239"/>
      <c r="T505" s="239"/>
      <c r="U505" s="239"/>
      <c r="V505" s="239"/>
      <c r="W505" s="239"/>
      <c r="X505" s="239"/>
      <c r="Y505" s="239"/>
      <c r="Z505" s="239"/>
      <c r="AA505" s="239"/>
      <c r="AB505" s="239"/>
      <c r="AC505" s="239"/>
      <c r="AD505" s="239"/>
      <c r="AE505" s="239"/>
      <c r="AF505" s="239"/>
      <c r="AG505" s="239"/>
      <c r="AH505" s="239"/>
      <c r="AI505" s="239"/>
      <c r="AJ505" s="239"/>
      <c r="AK505" s="239"/>
      <c r="AL505" s="239"/>
      <c r="AM505" s="239"/>
      <c r="AN505" s="239"/>
      <c r="AO505" s="239"/>
      <c r="AP505" s="239"/>
      <c r="AQ505" s="239"/>
      <c r="AR505" s="239"/>
      <c r="AS505" s="239"/>
      <c r="AT505" s="239"/>
      <c r="AU505" s="239"/>
      <c r="AV505" s="239"/>
      <c r="AW505" s="239"/>
      <c r="AX505" s="239"/>
      <c r="AY505" s="239"/>
      <c r="AZ505" s="239"/>
      <c r="BA505" s="239"/>
      <c r="BB505" s="239"/>
      <c r="BC505" s="239"/>
      <c r="BD505" s="239"/>
      <c r="BE505" s="239"/>
      <c r="BF505" s="239"/>
      <c r="BG505" s="239"/>
      <c r="BH505" s="239"/>
      <c r="BI505" s="239"/>
      <c r="BJ505" s="239"/>
      <c r="BK505" s="239"/>
      <c r="BL505" s="239"/>
      <c r="BM505" s="239"/>
      <c r="BN505" s="239"/>
      <c r="BO505" s="239"/>
      <c r="BP505" s="239"/>
      <c r="BQ505" s="239"/>
      <c r="BR505" s="239"/>
      <c r="BS505" s="239"/>
      <c r="BT505" s="239"/>
      <c r="BU505" s="239"/>
      <c r="BV505" s="239"/>
      <c r="BW505" s="239"/>
      <c r="BX505" s="239"/>
      <c r="BY505" s="239"/>
      <c r="BZ505" s="239"/>
      <c r="CA505" s="239"/>
      <c r="CB505" s="239"/>
      <c r="CC505" s="239"/>
      <c r="CD505" s="239"/>
      <c r="CE505" s="239"/>
      <c r="CF505" s="239"/>
      <c r="CG505" s="239"/>
    </row>
    <row r="506" spans="1:85" ht="15.75" customHeight="1">
      <c r="A506" s="239"/>
      <c r="B506" s="239"/>
      <c r="C506" s="239"/>
      <c r="D506" s="239"/>
      <c r="E506" s="239"/>
      <c r="F506" s="239"/>
      <c r="G506" s="239"/>
      <c r="H506" s="239"/>
      <c r="I506" s="239"/>
      <c r="J506" s="239"/>
      <c r="K506" s="239"/>
      <c r="L506" s="239"/>
      <c r="M506" s="239"/>
      <c r="N506" s="239"/>
      <c r="O506" s="239"/>
      <c r="P506" s="239"/>
      <c r="Q506" s="239"/>
      <c r="R506" s="239"/>
      <c r="S506" s="239"/>
      <c r="T506" s="239"/>
      <c r="U506" s="239"/>
      <c r="V506" s="239"/>
      <c r="W506" s="239"/>
      <c r="X506" s="239"/>
      <c r="Y506" s="239"/>
      <c r="Z506" s="239"/>
      <c r="AA506" s="239"/>
      <c r="AB506" s="239"/>
      <c r="AC506" s="239"/>
      <c r="AD506" s="239"/>
      <c r="AE506" s="239"/>
      <c r="AF506" s="239"/>
      <c r="AG506" s="239"/>
      <c r="AH506" s="239"/>
      <c r="AI506" s="239"/>
      <c r="AJ506" s="239"/>
      <c r="AK506" s="239"/>
      <c r="AL506" s="239"/>
      <c r="AM506" s="239"/>
      <c r="AN506" s="239"/>
      <c r="AO506" s="239"/>
      <c r="AP506" s="239"/>
      <c r="AQ506" s="239"/>
      <c r="AR506" s="239"/>
      <c r="AS506" s="239"/>
      <c r="AT506" s="239"/>
      <c r="AU506" s="239"/>
      <c r="AV506" s="239"/>
      <c r="AW506" s="239"/>
      <c r="AX506" s="239"/>
      <c r="AY506" s="239"/>
      <c r="AZ506" s="239"/>
      <c r="BA506" s="239"/>
      <c r="BB506" s="239"/>
      <c r="BC506" s="239"/>
      <c r="BD506" s="239"/>
      <c r="BE506" s="239"/>
      <c r="BF506" s="239"/>
      <c r="BG506" s="239"/>
      <c r="BH506" s="239"/>
      <c r="BI506" s="239"/>
      <c r="BJ506" s="239"/>
      <c r="BK506" s="239"/>
      <c r="BL506" s="239"/>
      <c r="BM506" s="239"/>
      <c r="BN506" s="239"/>
      <c r="BO506" s="239"/>
      <c r="BP506" s="239"/>
      <c r="BQ506" s="239"/>
      <c r="BR506" s="239"/>
      <c r="BS506" s="239"/>
      <c r="BT506" s="239"/>
      <c r="BU506" s="239"/>
      <c r="BV506" s="239"/>
      <c r="BW506" s="239"/>
      <c r="BX506" s="239"/>
      <c r="BY506" s="239"/>
      <c r="BZ506" s="239"/>
      <c r="CA506" s="239"/>
      <c r="CB506" s="239"/>
      <c r="CC506" s="239"/>
      <c r="CD506" s="239"/>
      <c r="CE506" s="239"/>
      <c r="CF506" s="239"/>
      <c r="CG506" s="239"/>
    </row>
    <row r="507" spans="1:85" ht="15.75" customHeight="1">
      <c r="A507" s="239"/>
      <c r="B507" s="239"/>
      <c r="C507" s="239"/>
      <c r="D507" s="239"/>
      <c r="E507" s="239"/>
      <c r="F507" s="239"/>
      <c r="G507" s="239"/>
      <c r="H507" s="239"/>
      <c r="I507" s="239"/>
      <c r="J507" s="239"/>
      <c r="K507" s="239"/>
      <c r="L507" s="239"/>
      <c r="M507" s="239"/>
      <c r="N507" s="239"/>
      <c r="O507" s="239"/>
      <c r="P507" s="239"/>
      <c r="Q507" s="239"/>
      <c r="R507" s="239"/>
      <c r="S507" s="239"/>
      <c r="T507" s="239"/>
      <c r="U507" s="239"/>
      <c r="V507" s="239"/>
      <c r="W507" s="239"/>
      <c r="X507" s="239"/>
      <c r="Y507" s="239"/>
      <c r="Z507" s="239"/>
      <c r="AA507" s="239"/>
      <c r="AB507" s="239"/>
      <c r="AC507" s="239"/>
      <c r="AD507" s="239"/>
      <c r="AE507" s="239"/>
      <c r="AF507" s="239"/>
      <c r="AG507" s="239"/>
      <c r="AH507" s="239"/>
      <c r="AI507" s="239"/>
      <c r="AJ507" s="239"/>
      <c r="AK507" s="239"/>
      <c r="AL507" s="239"/>
      <c r="AM507" s="239"/>
      <c r="AN507" s="239"/>
      <c r="AO507" s="239"/>
      <c r="AP507" s="239"/>
      <c r="AQ507" s="239"/>
      <c r="AR507" s="239"/>
      <c r="AS507" s="239"/>
      <c r="AT507" s="239"/>
      <c r="AU507" s="239"/>
      <c r="AV507" s="239"/>
      <c r="AW507" s="239"/>
      <c r="AX507" s="239"/>
      <c r="AY507" s="239"/>
      <c r="AZ507" s="239"/>
      <c r="BA507" s="239"/>
      <c r="BB507" s="239"/>
      <c r="BC507" s="239"/>
      <c r="BD507" s="239"/>
      <c r="BE507" s="239"/>
      <c r="BF507" s="239"/>
      <c r="BG507" s="239"/>
      <c r="BH507" s="239"/>
      <c r="BI507" s="239"/>
      <c r="BJ507" s="239"/>
      <c r="BK507" s="239"/>
      <c r="BL507" s="239"/>
      <c r="BM507" s="239"/>
      <c r="BN507" s="239"/>
      <c r="BO507" s="239"/>
      <c r="BP507" s="239"/>
      <c r="BQ507" s="239"/>
      <c r="BR507" s="239"/>
      <c r="BS507" s="239"/>
      <c r="BT507" s="239"/>
      <c r="BU507" s="239"/>
      <c r="BV507" s="239"/>
      <c r="BW507" s="239"/>
      <c r="BX507" s="239"/>
      <c r="BY507" s="239"/>
      <c r="BZ507" s="239"/>
      <c r="CA507" s="239"/>
      <c r="CB507" s="239"/>
      <c r="CC507" s="239"/>
      <c r="CD507" s="239"/>
      <c r="CE507" s="239"/>
      <c r="CF507" s="239"/>
      <c r="CG507" s="239"/>
    </row>
    <row r="508" spans="1:85" ht="15.75" customHeight="1">
      <c r="A508" s="239"/>
      <c r="B508" s="239"/>
      <c r="C508" s="239"/>
      <c r="D508" s="239"/>
      <c r="E508" s="239"/>
      <c r="F508" s="239"/>
      <c r="G508" s="239"/>
      <c r="H508" s="239"/>
      <c r="I508" s="239"/>
      <c r="J508" s="239"/>
      <c r="K508" s="239"/>
      <c r="L508" s="239"/>
      <c r="M508" s="239"/>
      <c r="N508" s="239"/>
      <c r="O508" s="239"/>
      <c r="P508" s="239"/>
      <c r="Q508" s="239"/>
      <c r="R508" s="239"/>
      <c r="S508" s="239"/>
      <c r="T508" s="239"/>
      <c r="U508" s="239"/>
      <c r="V508" s="239"/>
      <c r="W508" s="239"/>
      <c r="X508" s="239"/>
      <c r="Y508" s="239"/>
      <c r="Z508" s="239"/>
      <c r="AA508" s="239"/>
      <c r="AB508" s="239"/>
      <c r="AC508" s="239"/>
      <c r="AD508" s="239"/>
      <c r="AE508" s="239"/>
      <c r="AF508" s="239"/>
      <c r="AG508" s="239"/>
      <c r="AH508" s="239"/>
      <c r="AI508" s="239"/>
      <c r="AJ508" s="239"/>
      <c r="AK508" s="239"/>
      <c r="AL508" s="239"/>
      <c r="AM508" s="239"/>
      <c r="AN508" s="239"/>
      <c r="AO508" s="239"/>
      <c r="AP508" s="239"/>
      <c r="AQ508" s="239"/>
      <c r="AR508" s="239"/>
      <c r="AS508" s="239"/>
      <c r="AT508" s="239"/>
      <c r="AU508" s="239"/>
      <c r="AV508" s="239"/>
      <c r="AW508" s="239"/>
      <c r="AX508" s="239"/>
      <c r="AY508" s="239"/>
      <c r="AZ508" s="239"/>
      <c r="BA508" s="239"/>
      <c r="BB508" s="239"/>
      <c r="BC508" s="239"/>
      <c r="BD508" s="239"/>
      <c r="BE508" s="239"/>
      <c r="BF508" s="239"/>
      <c r="BG508" s="239"/>
      <c r="BH508" s="239"/>
      <c r="BI508" s="239"/>
      <c r="BJ508" s="239"/>
      <c r="BK508" s="239"/>
      <c r="BL508" s="239"/>
      <c r="BM508" s="239"/>
      <c r="BN508" s="239"/>
      <c r="BO508" s="239"/>
      <c r="BP508" s="239"/>
      <c r="BQ508" s="239"/>
      <c r="BR508" s="239"/>
      <c r="BS508" s="239"/>
      <c r="BT508" s="239"/>
      <c r="BU508" s="239"/>
      <c r="BV508" s="239"/>
      <c r="BW508" s="239"/>
      <c r="BX508" s="239"/>
      <c r="BY508" s="239"/>
      <c r="BZ508" s="239"/>
      <c r="CA508" s="239"/>
      <c r="CB508" s="239"/>
      <c r="CC508" s="239"/>
      <c r="CD508" s="239"/>
      <c r="CE508" s="239"/>
      <c r="CF508" s="239"/>
      <c r="CG508" s="239"/>
    </row>
    <row r="509" spans="1:85" ht="15.75" customHeight="1">
      <c r="A509" s="239"/>
      <c r="B509" s="239"/>
      <c r="C509" s="239"/>
      <c r="D509" s="239"/>
      <c r="E509" s="239"/>
      <c r="F509" s="239"/>
      <c r="G509" s="239"/>
      <c r="H509" s="239"/>
      <c r="I509" s="239"/>
      <c r="J509" s="239"/>
      <c r="K509" s="239"/>
      <c r="L509" s="239"/>
      <c r="M509" s="239"/>
      <c r="N509" s="239"/>
      <c r="O509" s="239"/>
      <c r="P509" s="239"/>
      <c r="Q509" s="239"/>
      <c r="R509" s="239"/>
      <c r="S509" s="239"/>
      <c r="T509" s="239"/>
      <c r="U509" s="239"/>
      <c r="V509" s="239"/>
      <c r="W509" s="239"/>
      <c r="X509" s="239"/>
      <c r="Y509" s="239"/>
      <c r="Z509" s="239"/>
      <c r="AA509" s="239"/>
      <c r="AB509" s="239"/>
      <c r="AC509" s="239"/>
      <c r="AD509" s="239"/>
      <c r="AE509" s="239"/>
      <c r="AF509" s="239"/>
      <c r="AG509" s="239"/>
      <c r="AH509" s="239"/>
      <c r="AI509" s="239"/>
      <c r="AJ509" s="239"/>
      <c r="AK509" s="239"/>
      <c r="AL509" s="239"/>
      <c r="AM509" s="239"/>
      <c r="AN509" s="239"/>
      <c r="AO509" s="239"/>
      <c r="AP509" s="239"/>
      <c r="AQ509" s="239"/>
      <c r="AR509" s="239"/>
      <c r="AS509" s="239"/>
      <c r="AT509" s="239"/>
      <c r="AU509" s="239"/>
      <c r="AV509" s="239"/>
      <c r="AW509" s="239"/>
      <c r="AX509" s="239"/>
      <c r="AY509" s="239"/>
      <c r="AZ509" s="239"/>
      <c r="BA509" s="239"/>
      <c r="BB509" s="239"/>
      <c r="BC509" s="239"/>
      <c r="BD509" s="239"/>
      <c r="BE509" s="239"/>
      <c r="BF509" s="239"/>
      <c r="BG509" s="239"/>
      <c r="BH509" s="239"/>
      <c r="BI509" s="239"/>
      <c r="BJ509" s="239"/>
      <c r="BK509" s="239"/>
      <c r="BL509" s="239"/>
      <c r="BM509" s="239"/>
      <c r="BN509" s="239"/>
      <c r="BO509" s="239"/>
      <c r="BP509" s="239"/>
      <c r="BQ509" s="239"/>
      <c r="BR509" s="239"/>
      <c r="BS509" s="239"/>
      <c r="BT509" s="239"/>
      <c r="BU509" s="239"/>
      <c r="BV509" s="239"/>
      <c r="BW509" s="239"/>
      <c r="BX509" s="239"/>
      <c r="BY509" s="239"/>
      <c r="BZ509" s="239"/>
      <c r="CA509" s="239"/>
      <c r="CB509" s="239"/>
      <c r="CC509" s="239"/>
      <c r="CD509" s="239"/>
      <c r="CE509" s="239"/>
      <c r="CF509" s="239"/>
      <c r="CG509" s="239"/>
    </row>
    <row r="510" spans="1:85" ht="15.75" customHeight="1">
      <c r="A510" s="239"/>
      <c r="B510" s="239"/>
      <c r="C510" s="239"/>
      <c r="D510" s="239"/>
      <c r="E510" s="239"/>
      <c r="F510" s="239"/>
      <c r="G510" s="239"/>
      <c r="H510" s="239"/>
      <c r="I510" s="239"/>
      <c r="J510" s="239"/>
      <c r="K510" s="239"/>
      <c r="L510" s="239"/>
      <c r="M510" s="239"/>
      <c r="N510" s="239"/>
      <c r="O510" s="239"/>
      <c r="P510" s="239"/>
      <c r="Q510" s="239"/>
      <c r="R510" s="239"/>
      <c r="S510" s="239"/>
      <c r="T510" s="239"/>
      <c r="U510" s="239"/>
      <c r="V510" s="239"/>
      <c r="W510" s="239"/>
      <c r="X510" s="239"/>
      <c r="Y510" s="239"/>
      <c r="Z510" s="239"/>
      <c r="AA510" s="239"/>
      <c r="AB510" s="239"/>
      <c r="AC510" s="239"/>
      <c r="AD510" s="239"/>
      <c r="AE510" s="239"/>
      <c r="AF510" s="239"/>
      <c r="AG510" s="239"/>
      <c r="AH510" s="239"/>
      <c r="AI510" s="239"/>
      <c r="AJ510" s="239"/>
      <c r="AK510" s="239"/>
      <c r="AL510" s="239"/>
      <c r="AM510" s="239"/>
      <c r="AN510" s="239"/>
      <c r="AO510" s="239"/>
      <c r="AP510" s="239"/>
      <c r="AQ510" s="239"/>
      <c r="AR510" s="239"/>
      <c r="AS510" s="239"/>
      <c r="AT510" s="239"/>
      <c r="AU510" s="239"/>
      <c r="AV510" s="239"/>
      <c r="AW510" s="239"/>
      <c r="AX510" s="239"/>
      <c r="AY510" s="239"/>
      <c r="AZ510" s="239"/>
      <c r="BA510" s="239"/>
      <c r="BB510" s="239"/>
      <c r="BC510" s="239"/>
      <c r="BD510" s="239"/>
      <c r="BE510" s="239"/>
      <c r="BF510" s="239"/>
      <c r="BG510" s="239"/>
      <c r="BH510" s="239"/>
      <c r="BI510" s="239"/>
      <c r="BJ510" s="239"/>
      <c r="BK510" s="239"/>
      <c r="BL510" s="239"/>
      <c r="BM510" s="239"/>
      <c r="BN510" s="239"/>
      <c r="BO510" s="239"/>
      <c r="BP510" s="239"/>
      <c r="BQ510" s="239"/>
      <c r="BR510" s="239"/>
      <c r="BS510" s="239"/>
      <c r="BT510" s="239"/>
      <c r="BU510" s="239"/>
      <c r="BV510" s="239"/>
      <c r="BW510" s="239"/>
      <c r="BX510" s="239"/>
      <c r="BY510" s="239"/>
      <c r="BZ510" s="239"/>
      <c r="CA510" s="239"/>
      <c r="CB510" s="239"/>
      <c r="CC510" s="239"/>
      <c r="CD510" s="239"/>
      <c r="CE510" s="239"/>
      <c r="CF510" s="239"/>
      <c r="CG510" s="239"/>
    </row>
    <row r="511" spans="1:85" ht="15.75" customHeight="1">
      <c r="A511" s="239"/>
      <c r="B511" s="239"/>
      <c r="C511" s="239"/>
      <c r="D511" s="239"/>
      <c r="E511" s="239"/>
      <c r="F511" s="239"/>
      <c r="G511" s="239"/>
      <c r="H511" s="239"/>
      <c r="I511" s="239"/>
      <c r="J511" s="239"/>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39"/>
      <c r="AG511" s="239"/>
      <c r="AH511" s="239"/>
      <c r="AI511" s="239"/>
      <c r="AJ511" s="239"/>
      <c r="AK511" s="239"/>
      <c r="AL511" s="239"/>
      <c r="AM511" s="239"/>
      <c r="AN511" s="239"/>
      <c r="AO511" s="239"/>
      <c r="AP511" s="239"/>
      <c r="AQ511" s="239"/>
      <c r="AR511" s="239"/>
      <c r="AS511" s="239"/>
      <c r="AT511" s="239"/>
      <c r="AU511" s="239"/>
      <c r="AV511" s="239"/>
      <c r="AW511" s="239"/>
      <c r="AX511" s="239"/>
      <c r="AY511" s="239"/>
      <c r="AZ511" s="239"/>
      <c r="BA511" s="239"/>
      <c r="BB511" s="239"/>
      <c r="BC511" s="239"/>
      <c r="BD511" s="239"/>
      <c r="BE511" s="239"/>
      <c r="BF511" s="239"/>
      <c r="BG511" s="239"/>
      <c r="BH511" s="239"/>
      <c r="BI511" s="239"/>
      <c r="BJ511" s="239"/>
      <c r="BK511" s="239"/>
      <c r="BL511" s="239"/>
      <c r="BM511" s="239"/>
      <c r="BN511" s="239"/>
      <c r="BO511" s="239"/>
      <c r="BP511" s="239"/>
      <c r="BQ511" s="239"/>
      <c r="BR511" s="239"/>
      <c r="BS511" s="239"/>
      <c r="BT511" s="239"/>
      <c r="BU511" s="239"/>
      <c r="BV511" s="239"/>
      <c r="BW511" s="239"/>
      <c r="BX511" s="239"/>
      <c r="BY511" s="239"/>
      <c r="BZ511" s="239"/>
      <c r="CA511" s="239"/>
      <c r="CB511" s="239"/>
      <c r="CC511" s="239"/>
      <c r="CD511" s="239"/>
      <c r="CE511" s="239"/>
      <c r="CF511" s="239"/>
      <c r="CG511" s="239"/>
    </row>
    <row r="512" spans="1:85" ht="15.75" customHeight="1">
      <c r="A512" s="239"/>
      <c r="B512" s="239"/>
      <c r="C512" s="239"/>
      <c r="D512" s="239"/>
      <c r="E512" s="239"/>
      <c r="F512" s="239"/>
      <c r="G512" s="239"/>
      <c r="H512" s="239"/>
      <c r="I512" s="239"/>
      <c r="J512" s="239"/>
      <c r="K512" s="239"/>
      <c r="L512" s="239"/>
      <c r="M512" s="239"/>
      <c r="N512" s="239"/>
      <c r="O512" s="239"/>
      <c r="P512" s="239"/>
      <c r="Q512" s="239"/>
      <c r="R512" s="239"/>
      <c r="S512" s="239"/>
      <c r="T512" s="239"/>
      <c r="U512" s="239"/>
      <c r="V512" s="239"/>
      <c r="W512" s="239"/>
      <c r="X512" s="239"/>
      <c r="Y512" s="239"/>
      <c r="Z512" s="239"/>
      <c r="AA512" s="239"/>
      <c r="AB512" s="239"/>
      <c r="AC512" s="239"/>
      <c r="AD512" s="239"/>
      <c r="AE512" s="239"/>
      <c r="AF512" s="239"/>
      <c r="AG512" s="239"/>
      <c r="AH512" s="239"/>
      <c r="AI512" s="239"/>
      <c r="AJ512" s="239"/>
      <c r="AK512" s="239"/>
      <c r="AL512" s="239"/>
      <c r="AM512" s="239"/>
      <c r="AN512" s="239"/>
      <c r="AO512" s="239"/>
      <c r="AP512" s="239"/>
      <c r="AQ512" s="239"/>
      <c r="AR512" s="239"/>
      <c r="AS512" s="239"/>
      <c r="AT512" s="239"/>
      <c r="AU512" s="239"/>
      <c r="AV512" s="239"/>
      <c r="AW512" s="239"/>
      <c r="AX512" s="239"/>
      <c r="AY512" s="239"/>
      <c r="AZ512" s="239"/>
      <c r="BA512" s="239"/>
      <c r="BB512" s="239"/>
      <c r="BC512" s="239"/>
      <c r="BD512" s="239"/>
      <c r="BE512" s="239"/>
      <c r="BF512" s="239"/>
      <c r="BG512" s="239"/>
      <c r="BH512" s="239"/>
      <c r="BI512" s="239"/>
      <c r="BJ512" s="239"/>
      <c r="BK512" s="239"/>
      <c r="BL512" s="239"/>
      <c r="BM512" s="239"/>
      <c r="BN512" s="239"/>
      <c r="BO512" s="239"/>
      <c r="BP512" s="239"/>
      <c r="BQ512" s="239"/>
      <c r="BR512" s="239"/>
      <c r="BS512" s="239"/>
      <c r="BT512" s="239"/>
      <c r="BU512" s="239"/>
      <c r="BV512" s="239"/>
      <c r="BW512" s="239"/>
      <c r="BX512" s="239"/>
      <c r="BY512" s="239"/>
      <c r="BZ512" s="239"/>
      <c r="CA512" s="239"/>
      <c r="CB512" s="239"/>
      <c r="CC512" s="239"/>
      <c r="CD512" s="239"/>
      <c r="CE512" s="239"/>
      <c r="CF512" s="239"/>
      <c r="CG512" s="239"/>
    </row>
    <row r="513" spans="1:85" ht="15.75" customHeight="1">
      <c r="A513" s="239"/>
      <c r="B513" s="239"/>
      <c r="C513" s="239"/>
      <c r="D513" s="239"/>
      <c r="E513" s="239"/>
      <c r="F513" s="239"/>
      <c r="G513" s="239"/>
      <c r="H513" s="239"/>
      <c r="I513" s="239"/>
      <c r="J513" s="239"/>
      <c r="K513" s="239"/>
      <c r="L513" s="239"/>
      <c r="M513" s="239"/>
      <c r="N513" s="239"/>
      <c r="O513" s="239"/>
      <c r="P513" s="239"/>
      <c r="Q513" s="239"/>
      <c r="R513" s="239"/>
      <c r="S513" s="239"/>
      <c r="T513" s="239"/>
      <c r="U513" s="239"/>
      <c r="V513" s="239"/>
      <c r="W513" s="239"/>
      <c r="X513" s="239"/>
      <c r="Y513" s="239"/>
      <c r="Z513" s="239"/>
      <c r="AA513" s="239"/>
      <c r="AB513" s="239"/>
      <c r="AC513" s="239"/>
      <c r="AD513" s="239"/>
      <c r="AE513" s="239"/>
      <c r="AF513" s="239"/>
      <c r="AG513" s="239"/>
      <c r="AH513" s="239"/>
      <c r="AI513" s="239"/>
      <c r="AJ513" s="239"/>
      <c r="AK513" s="239"/>
      <c r="AL513" s="239"/>
      <c r="AM513" s="239"/>
      <c r="AN513" s="239"/>
      <c r="AO513" s="239"/>
      <c r="AP513" s="239"/>
      <c r="AQ513" s="239"/>
      <c r="AR513" s="239"/>
      <c r="AS513" s="239"/>
      <c r="AT513" s="239"/>
      <c r="AU513" s="239"/>
      <c r="AV513" s="239"/>
      <c r="AW513" s="239"/>
      <c r="AX513" s="239"/>
      <c r="AY513" s="239"/>
      <c r="AZ513" s="239"/>
      <c r="BA513" s="239"/>
      <c r="BB513" s="239"/>
      <c r="BC513" s="239"/>
      <c r="BD513" s="239"/>
      <c r="BE513" s="239"/>
      <c r="BF513" s="239"/>
      <c r="BG513" s="239"/>
      <c r="BH513" s="239"/>
      <c r="BI513" s="239"/>
      <c r="BJ513" s="239"/>
      <c r="BK513" s="239"/>
      <c r="BL513" s="239"/>
      <c r="BM513" s="239"/>
      <c r="BN513" s="239"/>
      <c r="BO513" s="239"/>
      <c r="BP513" s="239"/>
      <c r="BQ513" s="239"/>
      <c r="BR513" s="239"/>
      <c r="BS513" s="239"/>
      <c r="BT513" s="239"/>
      <c r="BU513" s="239"/>
      <c r="BV513" s="239"/>
      <c r="BW513" s="239"/>
      <c r="BX513" s="239"/>
      <c r="BY513" s="239"/>
      <c r="BZ513" s="239"/>
      <c r="CA513" s="239"/>
      <c r="CB513" s="239"/>
      <c r="CC513" s="239"/>
      <c r="CD513" s="239"/>
      <c r="CE513" s="239"/>
      <c r="CF513" s="239"/>
      <c r="CG513" s="239"/>
    </row>
    <row r="514" spans="1:85" ht="15.75" customHeight="1">
      <c r="A514" s="239"/>
      <c r="B514" s="239"/>
      <c r="C514" s="239"/>
      <c r="D514" s="239"/>
      <c r="E514" s="239"/>
      <c r="F514" s="239"/>
      <c r="G514" s="239"/>
      <c r="H514" s="239"/>
      <c r="I514" s="239"/>
      <c r="J514" s="239"/>
      <c r="K514" s="239"/>
      <c r="L514" s="239"/>
      <c r="M514" s="239"/>
      <c r="N514" s="239"/>
      <c r="O514" s="239"/>
      <c r="P514" s="239"/>
      <c r="Q514" s="239"/>
      <c r="R514" s="239"/>
      <c r="S514" s="239"/>
      <c r="T514" s="239"/>
      <c r="U514" s="239"/>
      <c r="V514" s="239"/>
      <c r="W514" s="239"/>
      <c r="X514" s="239"/>
      <c r="Y514" s="239"/>
      <c r="Z514" s="239"/>
      <c r="AA514" s="239"/>
      <c r="AB514" s="239"/>
      <c r="AC514" s="239"/>
      <c r="AD514" s="239"/>
      <c r="AE514" s="239"/>
      <c r="AF514" s="239"/>
      <c r="AG514" s="239"/>
      <c r="AH514" s="239"/>
      <c r="AI514" s="239"/>
      <c r="AJ514" s="239"/>
      <c r="AK514" s="239"/>
      <c r="AL514" s="239"/>
      <c r="AM514" s="239"/>
      <c r="AN514" s="239"/>
      <c r="AO514" s="239"/>
      <c r="AP514" s="239"/>
      <c r="AQ514" s="239"/>
      <c r="AR514" s="239"/>
      <c r="AS514" s="239"/>
      <c r="AT514" s="239"/>
      <c r="AU514" s="239"/>
      <c r="AV514" s="239"/>
      <c r="AW514" s="239"/>
      <c r="AX514" s="239"/>
      <c r="AY514" s="239"/>
      <c r="AZ514" s="239"/>
      <c r="BA514" s="239"/>
      <c r="BB514" s="239"/>
      <c r="BC514" s="239"/>
      <c r="BD514" s="239"/>
      <c r="BE514" s="239"/>
      <c r="BF514" s="239"/>
      <c r="BG514" s="239"/>
      <c r="BH514" s="239"/>
      <c r="BI514" s="239"/>
      <c r="BJ514" s="239"/>
      <c r="BK514" s="239"/>
      <c r="BL514" s="239"/>
      <c r="BM514" s="239"/>
      <c r="BN514" s="239"/>
      <c r="BO514" s="239"/>
      <c r="BP514" s="239"/>
      <c r="BQ514" s="239"/>
      <c r="BR514" s="239"/>
      <c r="BS514" s="239"/>
      <c r="BT514" s="239"/>
      <c r="BU514" s="239"/>
      <c r="BV514" s="239"/>
      <c r="BW514" s="239"/>
      <c r="BX514" s="239"/>
      <c r="BY514" s="239"/>
      <c r="BZ514" s="239"/>
      <c r="CA514" s="239"/>
      <c r="CB514" s="239"/>
      <c r="CC514" s="239"/>
      <c r="CD514" s="239"/>
      <c r="CE514" s="239"/>
      <c r="CF514" s="239"/>
      <c r="CG514" s="239"/>
    </row>
    <row r="515" spans="1:85" ht="15.75" customHeight="1">
      <c r="A515" s="239"/>
      <c r="B515" s="239"/>
      <c r="C515" s="239"/>
      <c r="D515" s="239"/>
      <c r="E515" s="239"/>
      <c r="F515" s="239"/>
      <c r="G515" s="239"/>
      <c r="H515" s="239"/>
      <c r="I515" s="239"/>
      <c r="J515" s="239"/>
      <c r="K515" s="239"/>
      <c r="L515" s="239"/>
      <c r="M515" s="239"/>
      <c r="N515" s="239"/>
      <c r="O515" s="239"/>
      <c r="P515" s="239"/>
      <c r="Q515" s="239"/>
      <c r="R515" s="239"/>
      <c r="S515" s="239"/>
      <c r="T515" s="239"/>
      <c r="U515" s="239"/>
      <c r="V515" s="239"/>
      <c r="W515" s="239"/>
      <c r="X515" s="239"/>
      <c r="Y515" s="239"/>
      <c r="Z515" s="239"/>
      <c r="AA515" s="239"/>
      <c r="AB515" s="239"/>
      <c r="AC515" s="239"/>
      <c r="AD515" s="239"/>
      <c r="AE515" s="239"/>
      <c r="AF515" s="239"/>
      <c r="AG515" s="239"/>
      <c r="AH515" s="239"/>
      <c r="AI515" s="239"/>
      <c r="AJ515" s="239"/>
      <c r="AK515" s="239"/>
      <c r="AL515" s="239"/>
      <c r="AM515" s="239"/>
      <c r="AN515" s="239"/>
      <c r="AO515" s="239"/>
      <c r="AP515" s="239"/>
      <c r="AQ515" s="239"/>
      <c r="AR515" s="239"/>
      <c r="AS515" s="239"/>
      <c r="AT515" s="239"/>
      <c r="AU515" s="239"/>
      <c r="AV515" s="239"/>
      <c r="AW515" s="239"/>
      <c r="AX515" s="239"/>
      <c r="AY515" s="239"/>
      <c r="AZ515" s="239"/>
      <c r="BA515" s="239"/>
      <c r="BB515" s="239"/>
      <c r="BC515" s="239"/>
      <c r="BD515" s="239"/>
      <c r="BE515" s="239"/>
      <c r="BF515" s="239"/>
      <c r="BG515" s="239"/>
      <c r="BH515" s="239"/>
      <c r="BI515" s="239"/>
      <c r="BJ515" s="239"/>
      <c r="BK515" s="239"/>
      <c r="BL515" s="239"/>
      <c r="BM515" s="239"/>
      <c r="BN515" s="239"/>
      <c r="BO515" s="239"/>
      <c r="BP515" s="239"/>
      <c r="BQ515" s="239"/>
      <c r="BR515" s="239"/>
      <c r="BS515" s="239"/>
      <c r="BT515" s="239"/>
      <c r="BU515" s="239"/>
      <c r="BV515" s="239"/>
      <c r="BW515" s="239"/>
      <c r="BX515" s="239"/>
      <c r="BY515" s="239"/>
      <c r="BZ515" s="239"/>
      <c r="CA515" s="239"/>
      <c r="CB515" s="239"/>
      <c r="CC515" s="239"/>
      <c r="CD515" s="239"/>
      <c r="CE515" s="239"/>
      <c r="CF515" s="239"/>
      <c r="CG515" s="239"/>
    </row>
    <row r="516" spans="1:85" ht="15.75" customHeight="1">
      <c r="A516" s="239"/>
      <c r="B516" s="239"/>
      <c r="C516" s="239"/>
      <c r="D516" s="239"/>
      <c r="E516" s="239"/>
      <c r="F516" s="239"/>
      <c r="G516" s="239"/>
      <c r="H516" s="239"/>
      <c r="I516" s="239"/>
      <c r="J516" s="239"/>
      <c r="K516" s="239"/>
      <c r="L516" s="239"/>
      <c r="M516" s="239"/>
      <c r="N516" s="239"/>
      <c r="O516" s="239"/>
      <c r="P516" s="239"/>
      <c r="Q516" s="239"/>
      <c r="R516" s="239"/>
      <c r="S516" s="239"/>
      <c r="T516" s="239"/>
      <c r="U516" s="239"/>
      <c r="V516" s="239"/>
      <c r="W516" s="239"/>
      <c r="X516" s="239"/>
      <c r="Y516" s="239"/>
      <c r="Z516" s="239"/>
      <c r="AA516" s="239"/>
      <c r="AB516" s="239"/>
      <c r="AC516" s="239"/>
      <c r="AD516" s="239"/>
      <c r="AE516" s="239"/>
      <c r="AF516" s="239"/>
      <c r="AG516" s="239"/>
      <c r="AH516" s="239"/>
      <c r="AI516" s="239"/>
      <c r="AJ516" s="239"/>
      <c r="AK516" s="239"/>
      <c r="AL516" s="239"/>
      <c r="AM516" s="239"/>
      <c r="AN516" s="239"/>
      <c r="AO516" s="239"/>
      <c r="AP516" s="239"/>
      <c r="AQ516" s="239"/>
      <c r="AR516" s="239"/>
      <c r="AS516" s="239"/>
      <c r="AT516" s="239"/>
      <c r="AU516" s="239"/>
      <c r="AV516" s="239"/>
      <c r="AW516" s="239"/>
      <c r="AX516" s="239"/>
      <c r="AY516" s="239"/>
      <c r="AZ516" s="239"/>
      <c r="BA516" s="239"/>
      <c r="BB516" s="239"/>
      <c r="BC516" s="239"/>
      <c r="BD516" s="239"/>
      <c r="BE516" s="239"/>
      <c r="BF516" s="239"/>
      <c r="BG516" s="239"/>
      <c r="BH516" s="239"/>
      <c r="BI516" s="239"/>
      <c r="BJ516" s="239"/>
      <c r="BK516" s="239"/>
      <c r="BL516" s="239"/>
      <c r="BM516" s="239"/>
      <c r="BN516" s="239"/>
      <c r="BO516" s="239"/>
      <c r="BP516" s="239"/>
      <c r="BQ516" s="239"/>
      <c r="BR516" s="239"/>
      <c r="BS516" s="239"/>
      <c r="BT516" s="239"/>
      <c r="BU516" s="239"/>
      <c r="BV516" s="239"/>
      <c r="BW516" s="239"/>
      <c r="BX516" s="239"/>
      <c r="BY516" s="239"/>
      <c r="BZ516" s="239"/>
      <c r="CA516" s="239"/>
      <c r="CB516" s="239"/>
      <c r="CC516" s="239"/>
      <c r="CD516" s="239"/>
      <c r="CE516" s="239"/>
      <c r="CF516" s="239"/>
      <c r="CG516" s="239"/>
    </row>
    <row r="517" spans="1:85" ht="15.75" customHeight="1">
      <c r="A517" s="239"/>
      <c r="B517" s="239"/>
      <c r="C517" s="239"/>
      <c r="D517" s="239"/>
      <c r="E517" s="239"/>
      <c r="F517" s="239"/>
      <c r="G517" s="239"/>
      <c r="H517" s="239"/>
      <c r="I517" s="239"/>
      <c r="J517" s="239"/>
      <c r="K517" s="239"/>
      <c r="L517" s="239"/>
      <c r="M517" s="239"/>
      <c r="N517" s="239"/>
      <c r="O517" s="239"/>
      <c r="P517" s="239"/>
      <c r="Q517" s="239"/>
      <c r="R517" s="239"/>
      <c r="S517" s="239"/>
      <c r="T517" s="239"/>
      <c r="U517" s="239"/>
      <c r="V517" s="239"/>
      <c r="W517" s="239"/>
      <c r="X517" s="239"/>
      <c r="Y517" s="239"/>
      <c r="Z517" s="239"/>
      <c r="AA517" s="239"/>
      <c r="AB517" s="239"/>
      <c r="AC517" s="239"/>
      <c r="AD517" s="239"/>
      <c r="AE517" s="239"/>
      <c r="AF517" s="239"/>
      <c r="AG517" s="239"/>
      <c r="AH517" s="239"/>
      <c r="AI517" s="239"/>
      <c r="AJ517" s="239"/>
      <c r="AK517" s="239"/>
      <c r="AL517" s="239"/>
      <c r="AM517" s="239"/>
      <c r="AN517" s="239"/>
      <c r="AO517" s="239"/>
      <c r="AP517" s="239"/>
      <c r="AQ517" s="239"/>
      <c r="AR517" s="239"/>
      <c r="AS517" s="239"/>
      <c r="AT517" s="239"/>
      <c r="AU517" s="239"/>
      <c r="AV517" s="239"/>
      <c r="AW517" s="239"/>
      <c r="AX517" s="239"/>
      <c r="AY517" s="239"/>
      <c r="AZ517" s="239"/>
      <c r="BA517" s="239"/>
      <c r="BB517" s="239"/>
      <c r="BC517" s="239"/>
      <c r="BD517" s="239"/>
      <c r="BE517" s="239"/>
      <c r="BF517" s="239"/>
      <c r="BG517" s="239"/>
      <c r="BH517" s="239"/>
      <c r="BI517" s="239"/>
      <c r="BJ517" s="239"/>
      <c r="BK517" s="239"/>
      <c r="BL517" s="239"/>
      <c r="BM517" s="239"/>
      <c r="BN517" s="239"/>
      <c r="BO517" s="239"/>
      <c r="BP517" s="239"/>
      <c r="BQ517" s="239"/>
      <c r="BR517" s="239"/>
      <c r="BS517" s="239"/>
      <c r="BT517" s="239"/>
      <c r="BU517" s="239"/>
      <c r="BV517" s="239"/>
      <c r="BW517" s="239"/>
      <c r="BX517" s="239"/>
      <c r="BY517" s="239"/>
      <c r="BZ517" s="239"/>
      <c r="CA517" s="239"/>
      <c r="CB517" s="239"/>
      <c r="CC517" s="239"/>
      <c r="CD517" s="239"/>
      <c r="CE517" s="239"/>
      <c r="CF517" s="239"/>
      <c r="CG517" s="239"/>
    </row>
    <row r="518" spans="1:85" ht="15.75" customHeight="1">
      <c r="A518" s="239"/>
      <c r="B518" s="239"/>
      <c r="C518" s="239"/>
      <c r="D518" s="239"/>
      <c r="E518" s="239"/>
      <c r="F518" s="239"/>
      <c r="G518" s="239"/>
      <c r="H518" s="239"/>
      <c r="I518" s="239"/>
      <c r="J518" s="239"/>
      <c r="K518" s="239"/>
      <c r="L518" s="239"/>
      <c r="M518" s="239"/>
      <c r="N518" s="239"/>
      <c r="O518" s="239"/>
      <c r="P518" s="239"/>
      <c r="Q518" s="239"/>
      <c r="R518" s="239"/>
      <c r="S518" s="239"/>
      <c r="T518" s="239"/>
      <c r="U518" s="239"/>
      <c r="V518" s="239"/>
      <c r="W518" s="239"/>
      <c r="X518" s="239"/>
      <c r="Y518" s="239"/>
      <c r="Z518" s="239"/>
      <c r="AA518" s="239"/>
      <c r="AB518" s="239"/>
      <c r="AC518" s="239"/>
      <c r="AD518" s="239"/>
      <c r="AE518" s="239"/>
      <c r="AF518" s="239"/>
      <c r="AG518" s="239"/>
      <c r="AH518" s="239"/>
      <c r="AI518" s="239"/>
      <c r="AJ518" s="239"/>
      <c r="AK518" s="239"/>
      <c r="AL518" s="239"/>
      <c r="AM518" s="239"/>
      <c r="AN518" s="239"/>
      <c r="AO518" s="239"/>
      <c r="AP518" s="239"/>
      <c r="AQ518" s="239"/>
      <c r="AR518" s="239"/>
      <c r="AS518" s="239"/>
      <c r="AT518" s="239"/>
      <c r="AU518" s="239"/>
      <c r="AV518" s="239"/>
      <c r="AW518" s="239"/>
      <c r="AX518" s="239"/>
      <c r="AY518" s="239"/>
      <c r="AZ518" s="239"/>
      <c r="BA518" s="239"/>
      <c r="BB518" s="239"/>
      <c r="BC518" s="239"/>
      <c r="BD518" s="239"/>
      <c r="BE518" s="239"/>
      <c r="BF518" s="239"/>
      <c r="BG518" s="239"/>
      <c r="BH518" s="239"/>
      <c r="BI518" s="239"/>
      <c r="BJ518" s="239"/>
      <c r="BK518" s="239"/>
      <c r="BL518" s="239"/>
      <c r="BM518" s="239"/>
      <c r="BN518" s="239"/>
      <c r="BO518" s="239"/>
      <c r="BP518" s="239"/>
      <c r="BQ518" s="239"/>
      <c r="BR518" s="239"/>
      <c r="BS518" s="239"/>
      <c r="BT518" s="239"/>
      <c r="BU518" s="239"/>
      <c r="BV518" s="239"/>
      <c r="BW518" s="239"/>
      <c r="BX518" s="239"/>
      <c r="BY518" s="239"/>
      <c r="BZ518" s="239"/>
      <c r="CA518" s="239"/>
      <c r="CB518" s="239"/>
      <c r="CC518" s="239"/>
      <c r="CD518" s="239"/>
      <c r="CE518" s="239"/>
      <c r="CF518" s="239"/>
      <c r="CG518" s="239"/>
    </row>
    <row r="519" spans="1:85" ht="15.75" customHeight="1">
      <c r="A519" s="239"/>
      <c r="B519" s="239"/>
      <c r="C519" s="239"/>
      <c r="D519" s="239"/>
      <c r="E519" s="239"/>
      <c r="F519" s="239"/>
      <c r="G519" s="239"/>
      <c r="H519" s="239"/>
      <c r="I519" s="239"/>
      <c r="J519" s="239"/>
      <c r="K519" s="239"/>
      <c r="L519" s="239"/>
      <c r="M519" s="239"/>
      <c r="N519" s="239"/>
      <c r="O519" s="239"/>
      <c r="P519" s="239"/>
      <c r="Q519" s="239"/>
      <c r="R519" s="239"/>
      <c r="S519" s="239"/>
      <c r="T519" s="239"/>
      <c r="U519" s="239"/>
      <c r="V519" s="239"/>
      <c r="W519" s="239"/>
      <c r="X519" s="239"/>
      <c r="Y519" s="239"/>
      <c r="Z519" s="239"/>
      <c r="AA519" s="239"/>
      <c r="AB519" s="239"/>
      <c r="AC519" s="239"/>
      <c r="AD519" s="239"/>
      <c r="AE519" s="239"/>
      <c r="AF519" s="239"/>
      <c r="AG519" s="239"/>
      <c r="AH519" s="239"/>
      <c r="AI519" s="239"/>
      <c r="AJ519" s="239"/>
      <c r="AK519" s="239"/>
      <c r="AL519" s="239"/>
      <c r="AM519" s="239"/>
      <c r="AN519" s="239"/>
      <c r="AO519" s="239"/>
      <c r="AP519" s="239"/>
      <c r="AQ519" s="239"/>
      <c r="AR519" s="239"/>
      <c r="AS519" s="239"/>
      <c r="AT519" s="239"/>
      <c r="AU519" s="239"/>
      <c r="AV519" s="239"/>
      <c r="AW519" s="239"/>
      <c r="AX519" s="239"/>
      <c r="AY519" s="239"/>
      <c r="AZ519" s="239"/>
      <c r="BA519" s="239"/>
      <c r="BB519" s="239"/>
      <c r="BC519" s="239"/>
      <c r="BD519" s="239"/>
      <c r="BE519" s="239"/>
      <c r="BF519" s="239"/>
      <c r="BG519" s="239"/>
      <c r="BH519" s="239"/>
      <c r="BI519" s="239"/>
      <c r="BJ519" s="239"/>
      <c r="BK519" s="239"/>
      <c r="BL519" s="239"/>
      <c r="BM519" s="239"/>
      <c r="BN519" s="239"/>
      <c r="BO519" s="239"/>
      <c r="BP519" s="239"/>
      <c r="BQ519" s="239"/>
      <c r="BR519" s="239"/>
      <c r="BS519" s="239"/>
      <c r="BT519" s="239"/>
      <c r="BU519" s="239"/>
      <c r="BV519" s="239"/>
      <c r="BW519" s="239"/>
      <c r="BX519" s="239"/>
      <c r="BY519" s="239"/>
      <c r="BZ519" s="239"/>
      <c r="CA519" s="239"/>
      <c r="CB519" s="239"/>
      <c r="CC519" s="239"/>
      <c r="CD519" s="239"/>
      <c r="CE519" s="239"/>
      <c r="CF519" s="239"/>
      <c r="CG519" s="239"/>
    </row>
    <row r="520" spans="1:85" ht="15.75" customHeight="1">
      <c r="A520" s="239"/>
      <c r="B520" s="239"/>
      <c r="C520" s="239"/>
      <c r="D520" s="239"/>
      <c r="E520" s="239"/>
      <c r="F520" s="239"/>
      <c r="G520" s="239"/>
      <c r="H520" s="239"/>
      <c r="I520" s="239"/>
      <c r="J520" s="239"/>
      <c r="K520" s="239"/>
      <c r="L520" s="239"/>
      <c r="M520" s="239"/>
      <c r="N520" s="239"/>
      <c r="O520" s="239"/>
      <c r="P520" s="239"/>
      <c r="Q520" s="239"/>
      <c r="R520" s="239"/>
      <c r="S520" s="239"/>
      <c r="T520" s="239"/>
      <c r="U520" s="239"/>
      <c r="V520" s="239"/>
      <c r="W520" s="239"/>
      <c r="X520" s="239"/>
      <c r="Y520" s="239"/>
      <c r="Z520" s="239"/>
      <c r="AA520" s="239"/>
      <c r="AB520" s="239"/>
      <c r="AC520" s="239"/>
      <c r="AD520" s="239"/>
      <c r="AE520" s="239"/>
      <c r="AF520" s="239"/>
      <c r="AG520" s="239"/>
      <c r="AH520" s="239"/>
      <c r="AI520" s="239"/>
      <c r="AJ520" s="239"/>
      <c r="AK520" s="239"/>
      <c r="AL520" s="239"/>
      <c r="AM520" s="239"/>
      <c r="AN520" s="239"/>
      <c r="AO520" s="239"/>
      <c r="AP520" s="239"/>
      <c r="AQ520" s="239"/>
      <c r="AR520" s="239"/>
      <c r="AS520" s="239"/>
      <c r="AT520" s="239"/>
      <c r="AU520" s="239"/>
      <c r="AV520" s="239"/>
      <c r="AW520" s="239"/>
      <c r="AX520" s="239"/>
      <c r="AY520" s="239"/>
      <c r="AZ520" s="239"/>
      <c r="BA520" s="239"/>
      <c r="BB520" s="239"/>
      <c r="BC520" s="239"/>
      <c r="BD520" s="239"/>
      <c r="BE520" s="239"/>
      <c r="BF520" s="239"/>
      <c r="BG520" s="239"/>
      <c r="BH520" s="239"/>
      <c r="BI520" s="239"/>
      <c r="BJ520" s="239"/>
      <c r="BK520" s="239"/>
      <c r="BL520" s="239"/>
      <c r="BM520" s="239"/>
      <c r="BN520" s="239"/>
      <c r="BO520" s="239"/>
      <c r="BP520" s="239"/>
      <c r="BQ520" s="239"/>
      <c r="BR520" s="239"/>
      <c r="BS520" s="239"/>
      <c r="BT520" s="239"/>
      <c r="BU520" s="239"/>
      <c r="BV520" s="239"/>
      <c r="BW520" s="239"/>
      <c r="BX520" s="239"/>
      <c r="BY520" s="239"/>
      <c r="BZ520" s="239"/>
      <c r="CA520" s="239"/>
      <c r="CB520" s="239"/>
      <c r="CC520" s="239"/>
      <c r="CD520" s="239"/>
      <c r="CE520" s="239"/>
      <c r="CF520" s="239"/>
      <c r="CG520" s="239"/>
    </row>
    <row r="521" spans="1:85" ht="15.75" customHeight="1">
      <c r="A521" s="239"/>
      <c r="B521" s="239"/>
      <c r="C521" s="239"/>
      <c r="D521" s="239"/>
      <c r="E521" s="239"/>
      <c r="F521" s="239"/>
      <c r="G521" s="239"/>
      <c r="H521" s="239"/>
      <c r="I521" s="239"/>
      <c r="J521" s="239"/>
      <c r="K521" s="239"/>
      <c r="L521" s="239"/>
      <c r="M521" s="239"/>
      <c r="N521" s="239"/>
      <c r="O521" s="239"/>
      <c r="P521" s="239"/>
      <c r="Q521" s="239"/>
      <c r="R521" s="239"/>
      <c r="S521" s="239"/>
      <c r="T521" s="239"/>
      <c r="U521" s="239"/>
      <c r="V521" s="239"/>
      <c r="W521" s="239"/>
      <c r="X521" s="239"/>
      <c r="Y521" s="239"/>
      <c r="Z521" s="239"/>
      <c r="AA521" s="239"/>
      <c r="AB521" s="239"/>
      <c r="AC521" s="239"/>
      <c r="AD521" s="239"/>
      <c r="AE521" s="239"/>
      <c r="AF521" s="239"/>
      <c r="AG521" s="239"/>
      <c r="AH521" s="239"/>
      <c r="AI521" s="239"/>
      <c r="AJ521" s="239"/>
      <c r="AK521" s="239"/>
      <c r="AL521" s="239"/>
      <c r="AM521" s="239"/>
      <c r="AN521" s="239"/>
      <c r="AO521" s="239"/>
      <c r="AP521" s="239"/>
      <c r="AQ521" s="239"/>
      <c r="AR521" s="239"/>
      <c r="AS521" s="239"/>
      <c r="AT521" s="239"/>
      <c r="AU521" s="239"/>
      <c r="AV521" s="239"/>
      <c r="AW521" s="239"/>
      <c r="AX521" s="239"/>
      <c r="AY521" s="239"/>
      <c r="AZ521" s="239"/>
      <c r="BA521" s="239"/>
      <c r="BB521" s="239"/>
      <c r="BC521" s="239"/>
      <c r="BD521" s="239"/>
      <c r="BE521" s="239"/>
      <c r="BF521" s="239"/>
      <c r="BG521" s="239"/>
      <c r="BH521" s="239"/>
      <c r="BI521" s="239"/>
      <c r="BJ521" s="239"/>
      <c r="BK521" s="239"/>
      <c r="BL521" s="239"/>
      <c r="BM521" s="239"/>
      <c r="BN521" s="239"/>
      <c r="BO521" s="239"/>
      <c r="BP521" s="239"/>
      <c r="BQ521" s="239"/>
      <c r="BR521" s="239"/>
      <c r="BS521" s="239"/>
      <c r="BT521" s="239"/>
      <c r="BU521" s="239"/>
      <c r="BV521" s="239"/>
      <c r="BW521" s="239"/>
      <c r="BX521" s="239"/>
      <c r="BY521" s="239"/>
      <c r="BZ521" s="239"/>
      <c r="CA521" s="239"/>
      <c r="CB521" s="239"/>
      <c r="CC521" s="239"/>
      <c r="CD521" s="239"/>
      <c r="CE521" s="239"/>
      <c r="CF521" s="239"/>
      <c r="CG521" s="239"/>
    </row>
    <row r="522" spans="1:85" ht="15.75" customHeight="1">
      <c r="A522" s="239"/>
      <c r="B522" s="239"/>
      <c r="C522" s="239"/>
      <c r="D522" s="239"/>
      <c r="E522" s="239"/>
      <c r="F522" s="239"/>
      <c r="G522" s="239"/>
      <c r="H522" s="239"/>
      <c r="I522" s="239"/>
      <c r="J522" s="239"/>
      <c r="K522" s="239"/>
      <c r="L522" s="239"/>
      <c r="M522" s="239"/>
      <c r="N522" s="239"/>
      <c r="O522" s="239"/>
      <c r="P522" s="239"/>
      <c r="Q522" s="239"/>
      <c r="R522" s="239"/>
      <c r="S522" s="239"/>
      <c r="T522" s="239"/>
      <c r="U522" s="239"/>
      <c r="V522" s="239"/>
      <c r="W522" s="239"/>
      <c r="X522" s="239"/>
      <c r="Y522" s="239"/>
      <c r="Z522" s="239"/>
      <c r="AA522" s="239"/>
      <c r="AB522" s="239"/>
      <c r="AC522" s="239"/>
      <c r="AD522" s="239"/>
      <c r="AE522" s="239"/>
      <c r="AF522" s="239"/>
      <c r="AG522" s="239"/>
      <c r="AH522" s="239"/>
      <c r="AI522" s="239"/>
      <c r="AJ522" s="239"/>
      <c r="AK522" s="239"/>
      <c r="AL522" s="239"/>
      <c r="AM522" s="239"/>
      <c r="AN522" s="239"/>
      <c r="AO522" s="239"/>
      <c r="AP522" s="239"/>
      <c r="AQ522" s="239"/>
      <c r="AR522" s="239"/>
      <c r="AS522" s="239"/>
      <c r="AT522" s="239"/>
      <c r="AU522" s="239"/>
      <c r="AV522" s="239"/>
      <c r="AW522" s="239"/>
      <c r="AX522" s="239"/>
      <c r="AY522" s="239"/>
      <c r="AZ522" s="239"/>
      <c r="BA522" s="239"/>
      <c r="BB522" s="239"/>
      <c r="BC522" s="239"/>
      <c r="BD522" s="239"/>
      <c r="BE522" s="239"/>
      <c r="BF522" s="239"/>
      <c r="BG522" s="239"/>
      <c r="BH522" s="239"/>
      <c r="BI522" s="239"/>
      <c r="BJ522" s="239"/>
      <c r="BK522" s="239"/>
      <c r="BL522" s="239"/>
      <c r="BM522" s="239"/>
      <c r="BN522" s="239"/>
      <c r="BO522" s="239"/>
      <c r="BP522" s="239"/>
      <c r="BQ522" s="239"/>
      <c r="BR522" s="239"/>
      <c r="BS522" s="239"/>
      <c r="BT522" s="239"/>
      <c r="BU522" s="239"/>
      <c r="BV522" s="239"/>
      <c r="BW522" s="239"/>
      <c r="BX522" s="239"/>
      <c r="BY522" s="239"/>
      <c r="BZ522" s="239"/>
      <c r="CA522" s="239"/>
      <c r="CB522" s="239"/>
      <c r="CC522" s="239"/>
      <c r="CD522" s="239"/>
      <c r="CE522" s="239"/>
      <c r="CF522" s="239"/>
      <c r="CG522" s="239"/>
    </row>
    <row r="523" spans="1:85" ht="15.75" customHeight="1">
      <c r="A523" s="239"/>
      <c r="B523" s="239"/>
      <c r="C523" s="239"/>
      <c r="D523" s="239"/>
      <c r="E523" s="239"/>
      <c r="F523" s="239"/>
      <c r="G523" s="239"/>
      <c r="H523" s="239"/>
      <c r="I523" s="239"/>
      <c r="J523" s="239"/>
      <c r="K523" s="239"/>
      <c r="L523" s="239"/>
      <c r="M523" s="239"/>
      <c r="N523" s="239"/>
      <c r="O523" s="239"/>
      <c r="P523" s="239"/>
      <c r="Q523" s="239"/>
      <c r="R523" s="239"/>
      <c r="S523" s="239"/>
      <c r="T523" s="239"/>
      <c r="U523" s="239"/>
      <c r="V523" s="239"/>
      <c r="W523" s="239"/>
      <c r="X523" s="239"/>
      <c r="Y523" s="239"/>
      <c r="Z523" s="239"/>
      <c r="AA523" s="239"/>
      <c r="AB523" s="239"/>
      <c r="AC523" s="239"/>
      <c r="AD523" s="239"/>
      <c r="AE523" s="239"/>
      <c r="AF523" s="239"/>
      <c r="AG523" s="239"/>
      <c r="AH523" s="239"/>
      <c r="AI523" s="239"/>
      <c r="AJ523" s="239"/>
      <c r="AK523" s="239"/>
      <c r="AL523" s="239"/>
      <c r="AM523" s="239"/>
      <c r="AN523" s="239"/>
      <c r="AO523" s="239"/>
      <c r="AP523" s="239"/>
      <c r="AQ523" s="239"/>
      <c r="AR523" s="239"/>
      <c r="AS523" s="239"/>
      <c r="AT523" s="239"/>
      <c r="AU523" s="239"/>
      <c r="AV523" s="239"/>
      <c r="AW523" s="239"/>
      <c r="AX523" s="239"/>
      <c r="AY523" s="239"/>
      <c r="AZ523" s="239"/>
      <c r="BA523" s="239"/>
      <c r="BB523" s="239"/>
      <c r="BC523" s="239"/>
      <c r="BD523" s="239"/>
      <c r="BE523" s="239"/>
      <c r="BF523" s="239"/>
      <c r="BG523" s="239"/>
      <c r="BH523" s="239"/>
      <c r="BI523" s="239"/>
      <c r="BJ523" s="239"/>
      <c r="BK523" s="239"/>
      <c r="BL523" s="239"/>
      <c r="BM523" s="239"/>
      <c r="BN523" s="239"/>
      <c r="BO523" s="239"/>
      <c r="BP523" s="239"/>
      <c r="BQ523" s="239"/>
      <c r="BR523" s="239"/>
      <c r="BS523" s="239"/>
      <c r="BT523" s="239"/>
      <c r="BU523" s="239"/>
      <c r="BV523" s="239"/>
      <c r="BW523" s="239"/>
      <c r="BX523" s="239"/>
      <c r="BY523" s="239"/>
      <c r="BZ523" s="239"/>
      <c r="CA523" s="239"/>
      <c r="CB523" s="239"/>
      <c r="CC523" s="239"/>
      <c r="CD523" s="239"/>
      <c r="CE523" s="239"/>
      <c r="CF523" s="239"/>
      <c r="CG523" s="239"/>
    </row>
    <row r="524" spans="1:85" ht="15.75" customHeight="1">
      <c r="A524" s="239"/>
      <c r="B524" s="239"/>
      <c r="C524" s="239"/>
      <c r="D524" s="239"/>
      <c r="E524" s="239"/>
      <c r="F524" s="239"/>
      <c r="G524" s="239"/>
      <c r="H524" s="239"/>
      <c r="I524" s="239"/>
      <c r="J524" s="239"/>
      <c r="K524" s="239"/>
      <c r="L524" s="239"/>
      <c r="M524" s="239"/>
      <c r="N524" s="239"/>
      <c r="O524" s="239"/>
      <c r="P524" s="239"/>
      <c r="Q524" s="239"/>
      <c r="R524" s="239"/>
      <c r="S524" s="239"/>
      <c r="T524" s="239"/>
      <c r="U524" s="239"/>
      <c r="V524" s="239"/>
      <c r="W524" s="239"/>
      <c r="X524" s="239"/>
      <c r="Y524" s="239"/>
      <c r="Z524" s="239"/>
      <c r="AA524" s="239"/>
      <c r="AB524" s="239"/>
      <c r="AC524" s="239"/>
      <c r="AD524" s="239"/>
      <c r="AE524" s="239"/>
      <c r="AF524" s="239"/>
      <c r="AG524" s="239"/>
      <c r="AH524" s="239"/>
      <c r="AI524" s="239"/>
      <c r="AJ524" s="239"/>
      <c r="AK524" s="239"/>
      <c r="AL524" s="239"/>
      <c r="AM524" s="239"/>
      <c r="AN524" s="239"/>
      <c r="AO524" s="239"/>
      <c r="AP524" s="239"/>
      <c r="AQ524" s="239"/>
      <c r="AR524" s="239"/>
      <c r="AS524" s="239"/>
      <c r="AT524" s="239"/>
      <c r="AU524" s="239"/>
      <c r="AV524" s="239"/>
      <c r="AW524" s="239"/>
      <c r="AX524" s="239"/>
      <c r="AY524" s="239"/>
      <c r="AZ524" s="239"/>
      <c r="BA524" s="239"/>
      <c r="BB524" s="239"/>
      <c r="BC524" s="239"/>
      <c r="BD524" s="239"/>
      <c r="BE524" s="239"/>
      <c r="BF524" s="239"/>
      <c r="BG524" s="239"/>
      <c r="BH524" s="239"/>
      <c r="BI524" s="239"/>
      <c r="BJ524" s="239"/>
      <c r="BK524" s="239"/>
      <c r="BL524" s="239"/>
      <c r="BM524" s="239"/>
      <c r="BN524" s="239"/>
      <c r="BO524" s="239"/>
      <c r="BP524" s="239"/>
      <c r="BQ524" s="239"/>
      <c r="BR524" s="239"/>
      <c r="BS524" s="239"/>
      <c r="BT524" s="239"/>
      <c r="BU524" s="239"/>
      <c r="BV524" s="239"/>
      <c r="BW524" s="239"/>
      <c r="BX524" s="239"/>
      <c r="BY524" s="239"/>
      <c r="BZ524" s="239"/>
      <c r="CA524" s="239"/>
      <c r="CB524" s="239"/>
      <c r="CC524" s="239"/>
      <c r="CD524" s="239"/>
      <c r="CE524" s="239"/>
      <c r="CF524" s="239"/>
      <c r="CG524" s="239"/>
    </row>
    <row r="525" spans="1:85" ht="15.75" customHeight="1">
      <c r="A525" s="239"/>
      <c r="B525" s="239"/>
      <c r="C525" s="239"/>
      <c r="D525" s="239"/>
      <c r="E525" s="239"/>
      <c r="F525" s="239"/>
      <c r="G525" s="239"/>
      <c r="H525" s="239"/>
      <c r="I525" s="239"/>
      <c r="J525" s="239"/>
      <c r="K525" s="239"/>
      <c r="L525" s="239"/>
      <c r="M525" s="239"/>
      <c r="N525" s="239"/>
      <c r="O525" s="239"/>
      <c r="P525" s="239"/>
      <c r="Q525" s="239"/>
      <c r="R525" s="239"/>
      <c r="S525" s="239"/>
      <c r="T525" s="239"/>
      <c r="U525" s="239"/>
      <c r="V525" s="239"/>
      <c r="W525" s="239"/>
      <c r="X525" s="239"/>
      <c r="Y525" s="239"/>
      <c r="Z525" s="239"/>
      <c r="AA525" s="239"/>
      <c r="AB525" s="239"/>
      <c r="AC525" s="239"/>
      <c r="AD525" s="239"/>
      <c r="AE525" s="239"/>
      <c r="AF525" s="239"/>
      <c r="AG525" s="239"/>
      <c r="AH525" s="239"/>
      <c r="AI525" s="239"/>
      <c r="AJ525" s="239"/>
      <c r="AK525" s="239"/>
      <c r="AL525" s="239"/>
      <c r="AM525" s="239"/>
      <c r="AN525" s="239"/>
      <c r="AO525" s="239"/>
      <c r="AP525" s="239"/>
      <c r="AQ525" s="239"/>
      <c r="AR525" s="239"/>
      <c r="AS525" s="239"/>
      <c r="AT525" s="239"/>
      <c r="AU525" s="239"/>
      <c r="AV525" s="239"/>
      <c r="AW525" s="239"/>
      <c r="AX525" s="239"/>
      <c r="AY525" s="239"/>
      <c r="AZ525" s="239"/>
      <c r="BA525" s="239"/>
      <c r="BB525" s="239"/>
      <c r="BC525" s="239"/>
      <c r="BD525" s="239"/>
      <c r="BE525" s="239"/>
      <c r="BF525" s="239"/>
      <c r="BG525" s="239"/>
      <c r="BH525" s="239"/>
      <c r="BI525" s="239"/>
      <c r="BJ525" s="239"/>
      <c r="BK525" s="239"/>
      <c r="BL525" s="239"/>
      <c r="BM525" s="239"/>
      <c r="BN525" s="239"/>
      <c r="BO525" s="239"/>
      <c r="BP525" s="239"/>
      <c r="BQ525" s="239"/>
      <c r="BR525" s="239"/>
      <c r="BS525" s="239"/>
      <c r="BT525" s="239"/>
      <c r="BU525" s="239"/>
      <c r="BV525" s="239"/>
      <c r="BW525" s="239"/>
      <c r="BX525" s="239"/>
      <c r="BY525" s="239"/>
      <c r="BZ525" s="239"/>
      <c r="CA525" s="239"/>
      <c r="CB525" s="239"/>
      <c r="CC525" s="239"/>
      <c r="CD525" s="239"/>
      <c r="CE525" s="239"/>
      <c r="CF525" s="239"/>
      <c r="CG525" s="239"/>
    </row>
    <row r="526" spans="1:85" ht="15.75" customHeight="1">
      <c r="A526" s="239"/>
      <c r="B526" s="239"/>
      <c r="C526" s="239"/>
      <c r="D526" s="239"/>
      <c r="E526" s="239"/>
      <c r="F526" s="239"/>
      <c r="G526" s="239"/>
      <c r="H526" s="239"/>
      <c r="I526" s="239"/>
      <c r="J526" s="239"/>
      <c r="K526" s="239"/>
      <c r="L526" s="239"/>
      <c r="M526" s="239"/>
      <c r="N526" s="239"/>
      <c r="O526" s="239"/>
      <c r="P526" s="239"/>
      <c r="Q526" s="239"/>
      <c r="R526" s="239"/>
      <c r="S526" s="239"/>
      <c r="T526" s="239"/>
      <c r="U526" s="239"/>
      <c r="V526" s="239"/>
      <c r="W526" s="239"/>
      <c r="X526" s="239"/>
      <c r="Y526" s="239"/>
      <c r="Z526" s="239"/>
      <c r="AA526" s="239"/>
      <c r="AB526" s="239"/>
      <c r="AC526" s="239"/>
      <c r="AD526" s="239"/>
      <c r="AE526" s="239"/>
      <c r="AF526" s="239"/>
      <c r="AG526" s="239"/>
      <c r="AH526" s="239"/>
      <c r="AI526" s="239"/>
      <c r="AJ526" s="239"/>
      <c r="AK526" s="239"/>
      <c r="AL526" s="239"/>
      <c r="AM526" s="239"/>
      <c r="AN526" s="239"/>
      <c r="AO526" s="239"/>
      <c r="AP526" s="239"/>
      <c r="AQ526" s="239"/>
      <c r="AR526" s="239"/>
      <c r="AS526" s="239"/>
      <c r="AT526" s="239"/>
      <c r="AU526" s="239"/>
      <c r="AV526" s="239"/>
      <c r="AW526" s="239"/>
      <c r="AX526" s="239"/>
      <c r="AY526" s="239"/>
      <c r="AZ526" s="239"/>
      <c r="BA526" s="239"/>
      <c r="BB526" s="239"/>
      <c r="BC526" s="239"/>
      <c r="BD526" s="239"/>
      <c r="BE526" s="239"/>
      <c r="BF526" s="239"/>
      <c r="BG526" s="239"/>
      <c r="BH526" s="239"/>
      <c r="BI526" s="239"/>
      <c r="BJ526" s="239"/>
      <c r="BK526" s="239"/>
      <c r="BL526" s="239"/>
      <c r="BM526" s="239"/>
      <c r="BN526" s="239"/>
      <c r="BO526" s="239"/>
      <c r="BP526" s="239"/>
      <c r="BQ526" s="239"/>
      <c r="BR526" s="239"/>
      <c r="BS526" s="239"/>
      <c r="BT526" s="239"/>
      <c r="BU526" s="239"/>
      <c r="BV526" s="239"/>
      <c r="BW526" s="239"/>
      <c r="BX526" s="239"/>
      <c r="BY526" s="239"/>
      <c r="BZ526" s="239"/>
      <c r="CA526" s="239"/>
      <c r="CB526" s="239"/>
      <c r="CC526" s="239"/>
      <c r="CD526" s="239"/>
      <c r="CE526" s="239"/>
      <c r="CF526" s="239"/>
      <c r="CG526" s="239"/>
    </row>
    <row r="527" spans="1:85" ht="15.75" customHeight="1">
      <c r="A527" s="239"/>
      <c r="B527" s="239"/>
      <c r="C527" s="239"/>
      <c r="D527" s="239"/>
      <c r="E527" s="239"/>
      <c r="F527" s="239"/>
      <c r="G527" s="239"/>
      <c r="H527" s="239"/>
      <c r="I527" s="239"/>
      <c r="J527" s="239"/>
      <c r="K527" s="239"/>
      <c r="L527" s="239"/>
      <c r="M527" s="239"/>
      <c r="N527" s="239"/>
      <c r="O527" s="239"/>
      <c r="P527" s="239"/>
      <c r="Q527" s="239"/>
      <c r="R527" s="239"/>
      <c r="S527" s="239"/>
      <c r="T527" s="239"/>
      <c r="U527" s="239"/>
      <c r="V527" s="239"/>
      <c r="W527" s="239"/>
      <c r="X527" s="239"/>
      <c r="Y527" s="239"/>
      <c r="Z527" s="239"/>
      <c r="AA527" s="239"/>
      <c r="AB527" s="239"/>
      <c r="AC527" s="239"/>
      <c r="AD527" s="239"/>
      <c r="AE527" s="239"/>
      <c r="AF527" s="239"/>
      <c r="AG527" s="239"/>
      <c r="AH527" s="239"/>
      <c r="AI527" s="239"/>
      <c r="AJ527" s="239"/>
      <c r="AK527" s="239"/>
      <c r="AL527" s="239"/>
      <c r="AM527" s="239"/>
      <c r="AN527" s="239"/>
      <c r="AO527" s="239"/>
      <c r="AP527" s="239"/>
      <c r="AQ527" s="239"/>
      <c r="AR527" s="239"/>
      <c r="AS527" s="239"/>
      <c r="AT527" s="239"/>
      <c r="AU527" s="239"/>
      <c r="AV527" s="239"/>
      <c r="AW527" s="239"/>
      <c r="AX527" s="239"/>
      <c r="AY527" s="239"/>
      <c r="AZ527" s="239"/>
      <c r="BA527" s="239"/>
      <c r="BB527" s="239"/>
      <c r="BC527" s="239"/>
      <c r="BD527" s="239"/>
      <c r="BE527" s="239"/>
      <c r="BF527" s="239"/>
      <c r="BG527" s="239"/>
      <c r="BH527" s="239"/>
      <c r="BI527" s="239"/>
      <c r="BJ527" s="239"/>
      <c r="BK527" s="239"/>
      <c r="BL527" s="239"/>
      <c r="BM527" s="239"/>
      <c r="BN527" s="239"/>
      <c r="BO527" s="239"/>
      <c r="BP527" s="239"/>
      <c r="BQ527" s="239"/>
      <c r="BR527" s="239"/>
      <c r="BS527" s="239"/>
      <c r="BT527" s="239"/>
      <c r="BU527" s="239"/>
      <c r="BV527" s="239"/>
      <c r="BW527" s="239"/>
      <c r="BX527" s="239"/>
      <c r="BY527" s="239"/>
      <c r="BZ527" s="239"/>
      <c r="CA527" s="239"/>
      <c r="CB527" s="239"/>
      <c r="CC527" s="239"/>
      <c r="CD527" s="239"/>
      <c r="CE527" s="239"/>
      <c r="CF527" s="239"/>
      <c r="CG527" s="239"/>
    </row>
    <row r="528" spans="1:85" ht="15.75" customHeight="1">
      <c r="A528" s="239"/>
      <c r="B528" s="239"/>
      <c r="C528" s="239"/>
      <c r="D528" s="239"/>
      <c r="E528" s="239"/>
      <c r="F528" s="239"/>
      <c r="G528" s="239"/>
      <c r="H528" s="239"/>
      <c r="I528" s="239"/>
      <c r="J528" s="239"/>
      <c r="K528" s="239"/>
      <c r="L528" s="239"/>
      <c r="M528" s="239"/>
      <c r="N528" s="239"/>
      <c r="O528" s="239"/>
      <c r="P528" s="239"/>
      <c r="Q528" s="239"/>
      <c r="R528" s="239"/>
      <c r="S528" s="239"/>
      <c r="T528" s="239"/>
      <c r="U528" s="239"/>
      <c r="V528" s="239"/>
      <c r="W528" s="239"/>
      <c r="X528" s="239"/>
      <c r="Y528" s="239"/>
      <c r="Z528" s="239"/>
      <c r="AA528" s="239"/>
      <c r="AB528" s="239"/>
      <c r="AC528" s="239"/>
      <c r="AD528" s="239"/>
      <c r="AE528" s="239"/>
      <c r="AF528" s="239"/>
      <c r="AG528" s="239"/>
      <c r="AH528" s="239"/>
      <c r="AI528" s="239"/>
      <c r="AJ528" s="239"/>
      <c r="AK528" s="239"/>
      <c r="AL528" s="239"/>
      <c r="AM528" s="239"/>
      <c r="AN528" s="239"/>
      <c r="AO528" s="239"/>
      <c r="AP528" s="239"/>
      <c r="AQ528" s="239"/>
      <c r="AR528" s="239"/>
      <c r="AS528" s="239"/>
      <c r="AT528" s="239"/>
      <c r="AU528" s="239"/>
      <c r="AV528" s="239"/>
      <c r="AW528" s="239"/>
      <c r="AX528" s="239"/>
      <c r="AY528" s="239"/>
      <c r="AZ528" s="239"/>
      <c r="BA528" s="239"/>
      <c r="BB528" s="239"/>
      <c r="BC528" s="239"/>
      <c r="BD528" s="239"/>
      <c r="BE528" s="239"/>
      <c r="BF528" s="239"/>
      <c r="BG528" s="239"/>
      <c r="BH528" s="239"/>
      <c r="BI528" s="239"/>
      <c r="BJ528" s="239"/>
      <c r="BK528" s="239"/>
      <c r="BL528" s="239"/>
      <c r="BM528" s="239"/>
      <c r="BN528" s="239"/>
      <c r="BO528" s="239"/>
      <c r="BP528" s="239"/>
      <c r="BQ528" s="239"/>
      <c r="BR528" s="239"/>
      <c r="BS528" s="239"/>
      <c r="BT528" s="239"/>
      <c r="BU528" s="239"/>
      <c r="BV528" s="239"/>
      <c r="BW528" s="239"/>
      <c r="BX528" s="239"/>
      <c r="BY528" s="239"/>
      <c r="BZ528" s="239"/>
      <c r="CA528" s="239"/>
      <c r="CB528" s="239"/>
      <c r="CC528" s="239"/>
      <c r="CD528" s="239"/>
      <c r="CE528" s="239"/>
      <c r="CF528" s="239"/>
      <c r="CG528" s="239"/>
    </row>
    <row r="529" spans="1:85" ht="15.75" customHeight="1">
      <c r="A529" s="239"/>
      <c r="B529" s="239"/>
      <c r="C529" s="239"/>
      <c r="D529" s="239"/>
      <c r="E529" s="239"/>
      <c r="F529" s="239"/>
      <c r="G529" s="239"/>
      <c r="H529" s="239"/>
      <c r="I529" s="239"/>
      <c r="J529" s="239"/>
      <c r="K529" s="239"/>
      <c r="L529" s="239"/>
      <c r="M529" s="239"/>
      <c r="N529" s="239"/>
      <c r="O529" s="239"/>
      <c r="P529" s="239"/>
      <c r="Q529" s="239"/>
      <c r="R529" s="239"/>
      <c r="S529" s="239"/>
      <c r="T529" s="239"/>
      <c r="U529" s="239"/>
      <c r="V529" s="239"/>
      <c r="W529" s="239"/>
      <c r="X529" s="239"/>
      <c r="Y529" s="239"/>
      <c r="Z529" s="239"/>
      <c r="AA529" s="239"/>
      <c r="AB529" s="239"/>
      <c r="AC529" s="239"/>
      <c r="AD529" s="239"/>
      <c r="AE529" s="239"/>
      <c r="AF529" s="239"/>
      <c r="AG529" s="239"/>
      <c r="AH529" s="239"/>
      <c r="AI529" s="239"/>
      <c r="AJ529" s="239"/>
      <c r="AK529" s="239"/>
      <c r="AL529" s="239"/>
      <c r="AM529" s="239"/>
      <c r="AN529" s="239"/>
      <c r="AO529" s="239"/>
      <c r="AP529" s="239"/>
      <c r="AQ529" s="239"/>
      <c r="AR529" s="239"/>
      <c r="AS529" s="239"/>
      <c r="AT529" s="239"/>
      <c r="AU529" s="239"/>
      <c r="AV529" s="239"/>
      <c r="AW529" s="239"/>
      <c r="AX529" s="239"/>
      <c r="AY529" s="239"/>
      <c r="AZ529" s="239"/>
      <c r="BA529" s="239"/>
      <c r="BB529" s="239"/>
      <c r="BC529" s="239"/>
      <c r="BD529" s="239"/>
      <c r="BE529" s="239"/>
      <c r="BF529" s="239"/>
      <c r="BG529" s="239"/>
      <c r="BH529" s="239"/>
      <c r="BI529" s="239"/>
      <c r="BJ529" s="239"/>
      <c r="BK529" s="239"/>
      <c r="BL529" s="239"/>
      <c r="BM529" s="239"/>
      <c r="BN529" s="239"/>
      <c r="BO529" s="239"/>
      <c r="BP529" s="239"/>
      <c r="BQ529" s="239"/>
      <c r="BR529" s="239"/>
      <c r="BS529" s="239"/>
      <c r="BT529" s="239"/>
      <c r="BU529" s="239"/>
      <c r="BV529" s="239"/>
      <c r="BW529" s="239"/>
      <c r="BX529" s="239"/>
      <c r="BY529" s="239"/>
      <c r="BZ529" s="239"/>
      <c r="CA529" s="239"/>
      <c r="CB529" s="239"/>
      <c r="CC529" s="239"/>
      <c r="CD529" s="239"/>
      <c r="CE529" s="239"/>
      <c r="CF529" s="239"/>
      <c r="CG529" s="239"/>
    </row>
    <row r="530" spans="1:85" ht="15.75" customHeight="1">
      <c r="A530" s="239"/>
      <c r="B530" s="239"/>
      <c r="C530" s="239"/>
      <c r="D530" s="239"/>
      <c r="E530" s="239"/>
      <c r="F530" s="239"/>
      <c r="G530" s="239"/>
      <c r="H530" s="239"/>
      <c r="I530" s="239"/>
      <c r="J530" s="239"/>
      <c r="K530" s="239"/>
      <c r="L530" s="239"/>
      <c r="M530" s="239"/>
      <c r="N530" s="239"/>
      <c r="O530" s="239"/>
      <c r="P530" s="239"/>
      <c r="Q530" s="239"/>
      <c r="R530" s="239"/>
      <c r="S530" s="239"/>
      <c r="T530" s="239"/>
      <c r="U530" s="239"/>
      <c r="V530" s="239"/>
      <c r="W530" s="239"/>
      <c r="X530" s="239"/>
      <c r="Y530" s="239"/>
      <c r="Z530" s="239"/>
      <c r="AA530" s="239"/>
      <c r="AB530" s="239"/>
      <c r="AC530" s="239"/>
      <c r="AD530" s="239"/>
      <c r="AE530" s="239"/>
      <c r="AF530" s="239"/>
      <c r="AG530" s="239"/>
      <c r="AH530" s="239"/>
      <c r="AI530" s="239"/>
      <c r="AJ530" s="239"/>
      <c r="AK530" s="239"/>
      <c r="AL530" s="239"/>
      <c r="AM530" s="239"/>
      <c r="AN530" s="239"/>
      <c r="AO530" s="239"/>
      <c r="AP530" s="239"/>
      <c r="AQ530" s="239"/>
      <c r="AR530" s="239"/>
      <c r="AS530" s="239"/>
      <c r="AT530" s="239"/>
      <c r="AU530" s="239"/>
      <c r="AV530" s="239"/>
      <c r="AW530" s="239"/>
      <c r="AX530" s="239"/>
      <c r="AY530" s="239"/>
      <c r="AZ530" s="239"/>
      <c r="BA530" s="239"/>
      <c r="BB530" s="239"/>
      <c r="BC530" s="239"/>
      <c r="BD530" s="239"/>
      <c r="BE530" s="239"/>
      <c r="BF530" s="239"/>
      <c r="BG530" s="239"/>
      <c r="BH530" s="239"/>
      <c r="BI530" s="239"/>
      <c r="BJ530" s="239"/>
      <c r="BK530" s="239"/>
      <c r="BL530" s="239"/>
      <c r="BM530" s="239"/>
      <c r="BN530" s="239"/>
      <c r="BO530" s="239"/>
      <c r="BP530" s="239"/>
      <c r="BQ530" s="239"/>
      <c r="BR530" s="239"/>
      <c r="BS530" s="239"/>
      <c r="BT530" s="239"/>
      <c r="BU530" s="239"/>
      <c r="BV530" s="239"/>
      <c r="BW530" s="239"/>
      <c r="BX530" s="239"/>
      <c r="BY530" s="239"/>
      <c r="BZ530" s="239"/>
      <c r="CA530" s="239"/>
      <c r="CB530" s="239"/>
      <c r="CC530" s="239"/>
      <c r="CD530" s="239"/>
      <c r="CE530" s="239"/>
      <c r="CF530" s="239"/>
      <c r="CG530" s="239"/>
    </row>
    <row r="531" spans="1:85" ht="15.75" customHeight="1">
      <c r="A531" s="239"/>
      <c r="B531" s="239"/>
      <c r="C531" s="239"/>
      <c r="D531" s="239"/>
      <c r="E531" s="239"/>
      <c r="F531" s="239"/>
      <c r="G531" s="239"/>
      <c r="H531" s="239"/>
      <c r="I531" s="239"/>
      <c r="J531" s="239"/>
      <c r="K531" s="239"/>
      <c r="L531" s="239"/>
      <c r="M531" s="239"/>
      <c r="N531" s="239"/>
      <c r="O531" s="239"/>
      <c r="P531" s="239"/>
      <c r="Q531" s="239"/>
      <c r="R531" s="239"/>
      <c r="S531" s="239"/>
      <c r="T531" s="239"/>
      <c r="U531" s="239"/>
      <c r="V531" s="239"/>
      <c r="W531" s="239"/>
      <c r="X531" s="239"/>
      <c r="Y531" s="239"/>
      <c r="Z531" s="239"/>
      <c r="AA531" s="239"/>
      <c r="AB531" s="239"/>
      <c r="AC531" s="239"/>
      <c r="AD531" s="239"/>
      <c r="AE531" s="239"/>
      <c r="AF531" s="239"/>
      <c r="AG531" s="239"/>
      <c r="AH531" s="239"/>
      <c r="AI531" s="239"/>
      <c r="AJ531" s="239"/>
      <c r="AK531" s="239"/>
      <c r="AL531" s="239"/>
      <c r="AM531" s="239"/>
      <c r="AN531" s="239"/>
      <c r="AO531" s="239"/>
      <c r="AP531" s="239"/>
      <c r="AQ531" s="239"/>
      <c r="AR531" s="239"/>
      <c r="AS531" s="239"/>
      <c r="AT531" s="239"/>
      <c r="AU531" s="239"/>
      <c r="AV531" s="239"/>
      <c r="AW531" s="239"/>
      <c r="AX531" s="239"/>
      <c r="AY531" s="239"/>
      <c r="AZ531" s="239"/>
      <c r="BA531" s="239"/>
      <c r="BB531" s="239"/>
      <c r="BC531" s="239"/>
      <c r="BD531" s="239"/>
      <c r="BE531" s="239"/>
      <c r="BF531" s="239"/>
      <c r="BG531" s="239"/>
      <c r="BH531" s="239"/>
      <c r="BI531" s="239"/>
      <c r="BJ531" s="239"/>
      <c r="BK531" s="239"/>
      <c r="BL531" s="239"/>
      <c r="BM531" s="239"/>
      <c r="BN531" s="239"/>
      <c r="BO531" s="239"/>
      <c r="BP531" s="239"/>
      <c r="BQ531" s="239"/>
      <c r="BR531" s="239"/>
      <c r="BS531" s="239"/>
      <c r="BT531" s="239"/>
      <c r="BU531" s="239"/>
      <c r="BV531" s="239"/>
      <c r="BW531" s="239"/>
      <c r="BX531" s="239"/>
      <c r="BY531" s="239"/>
      <c r="BZ531" s="239"/>
      <c r="CA531" s="239"/>
      <c r="CB531" s="239"/>
      <c r="CC531" s="239"/>
      <c r="CD531" s="239"/>
      <c r="CE531" s="239"/>
      <c r="CF531" s="239"/>
      <c r="CG531" s="239"/>
    </row>
    <row r="532" spans="1:85" ht="15.75" customHeight="1">
      <c r="A532" s="239"/>
      <c r="B532" s="239"/>
      <c r="C532" s="239"/>
      <c r="D532" s="239"/>
      <c r="E532" s="239"/>
      <c r="F532" s="239"/>
      <c r="G532" s="239"/>
      <c r="H532" s="239"/>
      <c r="I532" s="239"/>
      <c r="J532" s="239"/>
      <c r="K532" s="239"/>
      <c r="L532" s="239"/>
      <c r="M532" s="239"/>
      <c r="N532" s="239"/>
      <c r="O532" s="239"/>
      <c r="P532" s="239"/>
      <c r="Q532" s="239"/>
      <c r="R532" s="239"/>
      <c r="S532" s="239"/>
      <c r="T532" s="239"/>
      <c r="U532" s="239"/>
      <c r="V532" s="239"/>
      <c r="W532" s="239"/>
      <c r="X532" s="239"/>
      <c r="Y532" s="239"/>
      <c r="Z532" s="239"/>
      <c r="AA532" s="239"/>
      <c r="AB532" s="239"/>
      <c r="AC532" s="239"/>
      <c r="AD532" s="239"/>
      <c r="AE532" s="239"/>
      <c r="AF532" s="239"/>
      <c r="AG532" s="239"/>
      <c r="AH532" s="239"/>
      <c r="AI532" s="239"/>
      <c r="AJ532" s="239"/>
      <c r="AK532" s="239"/>
      <c r="AL532" s="239"/>
      <c r="AM532" s="239"/>
      <c r="AN532" s="239"/>
      <c r="AO532" s="239"/>
      <c r="AP532" s="239"/>
      <c r="AQ532" s="239"/>
      <c r="AR532" s="239"/>
      <c r="AS532" s="239"/>
      <c r="AT532" s="239"/>
      <c r="AU532" s="239"/>
      <c r="AV532" s="239"/>
      <c r="AW532" s="239"/>
      <c r="AX532" s="239"/>
      <c r="AY532" s="239"/>
      <c r="AZ532" s="239"/>
      <c r="BA532" s="239"/>
      <c r="BB532" s="239"/>
      <c r="BC532" s="239"/>
      <c r="BD532" s="239"/>
      <c r="BE532" s="239"/>
      <c r="BF532" s="239"/>
      <c r="BG532" s="239"/>
      <c r="BH532" s="239"/>
      <c r="BI532" s="239"/>
      <c r="BJ532" s="239"/>
      <c r="BK532" s="239"/>
      <c r="BL532" s="239"/>
      <c r="BM532" s="239"/>
      <c r="BN532" s="239"/>
      <c r="BO532" s="239"/>
      <c r="BP532" s="239"/>
      <c r="BQ532" s="239"/>
      <c r="BR532" s="239"/>
      <c r="BS532" s="239"/>
      <c r="BT532" s="239"/>
      <c r="BU532" s="239"/>
      <c r="BV532" s="239"/>
      <c r="BW532" s="239"/>
      <c r="BX532" s="239"/>
      <c r="BY532" s="239"/>
      <c r="BZ532" s="239"/>
      <c r="CA532" s="239"/>
      <c r="CB532" s="239"/>
      <c r="CC532" s="239"/>
      <c r="CD532" s="239"/>
      <c r="CE532" s="239"/>
      <c r="CF532" s="239"/>
      <c r="CG532" s="239"/>
    </row>
    <row r="533" spans="1:85" ht="15.75" customHeight="1">
      <c r="A533" s="239"/>
      <c r="B533" s="239"/>
      <c r="C533" s="239"/>
      <c r="D533" s="239"/>
      <c r="E533" s="239"/>
      <c r="F533" s="239"/>
      <c r="G533" s="239"/>
      <c r="H533" s="239"/>
      <c r="I533" s="239"/>
      <c r="J533" s="239"/>
      <c r="K533" s="239"/>
      <c r="L533" s="239"/>
      <c r="M533" s="239"/>
      <c r="N533" s="239"/>
      <c r="O533" s="239"/>
      <c r="P533" s="239"/>
      <c r="Q533" s="239"/>
      <c r="R533" s="239"/>
      <c r="S533" s="239"/>
      <c r="T533" s="239"/>
      <c r="U533" s="239"/>
      <c r="V533" s="239"/>
      <c r="W533" s="239"/>
      <c r="X533" s="239"/>
      <c r="Y533" s="239"/>
      <c r="Z533" s="239"/>
      <c r="AA533" s="239"/>
      <c r="AB533" s="239"/>
      <c r="AC533" s="239"/>
      <c r="AD533" s="239"/>
      <c r="AE533" s="239"/>
      <c r="AF533" s="239"/>
      <c r="AG533" s="239"/>
      <c r="AH533" s="239"/>
      <c r="AI533" s="239"/>
      <c r="AJ533" s="239"/>
      <c r="AK533" s="239"/>
      <c r="AL533" s="239"/>
      <c r="AM533" s="239"/>
      <c r="AN533" s="239"/>
      <c r="AO533" s="239"/>
      <c r="AP533" s="239"/>
      <c r="AQ533" s="239"/>
      <c r="AR533" s="239"/>
      <c r="AS533" s="239"/>
      <c r="AT533" s="239"/>
      <c r="AU533" s="239"/>
      <c r="AV533" s="239"/>
      <c r="AW533" s="239"/>
      <c r="AX533" s="239"/>
      <c r="AY533" s="239"/>
      <c r="AZ533" s="239"/>
      <c r="BA533" s="239"/>
      <c r="BB533" s="239"/>
      <c r="BC533" s="239"/>
      <c r="BD533" s="239"/>
      <c r="BE533" s="239"/>
      <c r="BF533" s="239"/>
      <c r="BG533" s="239"/>
      <c r="BH533" s="239"/>
      <c r="BI533" s="239"/>
      <c r="BJ533" s="239"/>
      <c r="BK533" s="239"/>
      <c r="BL533" s="239"/>
      <c r="BM533" s="239"/>
      <c r="BN533" s="239"/>
      <c r="BO533" s="239"/>
      <c r="BP533" s="239"/>
      <c r="BQ533" s="239"/>
      <c r="BR533" s="239"/>
      <c r="BS533" s="239"/>
      <c r="BT533" s="239"/>
      <c r="BU533" s="239"/>
      <c r="BV533" s="239"/>
      <c r="BW533" s="239"/>
      <c r="BX533" s="239"/>
      <c r="BY533" s="239"/>
      <c r="BZ533" s="239"/>
      <c r="CA533" s="239"/>
      <c r="CB533" s="239"/>
      <c r="CC533" s="239"/>
      <c r="CD533" s="239"/>
      <c r="CE533" s="239"/>
      <c r="CF533" s="239"/>
      <c r="CG533" s="239"/>
    </row>
    <row r="534" spans="1:85" ht="15.75" customHeight="1">
      <c r="A534" s="239"/>
      <c r="B534" s="239"/>
      <c r="C534" s="239"/>
      <c r="D534" s="239"/>
      <c r="E534" s="239"/>
      <c r="F534" s="239"/>
      <c r="G534" s="239"/>
      <c r="H534" s="239"/>
      <c r="I534" s="239"/>
      <c r="J534" s="239"/>
      <c r="K534" s="239"/>
      <c r="L534" s="239"/>
      <c r="M534" s="239"/>
      <c r="N534" s="239"/>
      <c r="O534" s="239"/>
      <c r="P534" s="239"/>
      <c r="Q534" s="239"/>
      <c r="R534" s="239"/>
      <c r="S534" s="239"/>
      <c r="T534" s="239"/>
      <c r="U534" s="239"/>
      <c r="V534" s="239"/>
      <c r="W534" s="239"/>
      <c r="X534" s="239"/>
      <c r="Y534" s="239"/>
      <c r="Z534" s="239"/>
      <c r="AA534" s="239"/>
      <c r="AB534" s="239"/>
      <c r="AC534" s="239"/>
      <c r="AD534" s="239"/>
      <c r="AE534" s="239"/>
      <c r="AF534" s="239"/>
      <c r="AG534" s="239"/>
      <c r="AH534" s="239"/>
      <c r="AI534" s="239"/>
      <c r="AJ534" s="239"/>
      <c r="AK534" s="239"/>
      <c r="AL534" s="239"/>
      <c r="AM534" s="239"/>
      <c r="AN534" s="239"/>
      <c r="AO534" s="239"/>
      <c r="AP534" s="239"/>
      <c r="AQ534" s="239"/>
      <c r="AR534" s="239"/>
      <c r="AS534" s="239"/>
      <c r="AT534" s="239"/>
      <c r="AU534" s="239"/>
      <c r="AV534" s="239"/>
      <c r="AW534" s="239"/>
      <c r="AX534" s="239"/>
      <c r="AY534" s="239"/>
      <c r="AZ534" s="239"/>
      <c r="BA534" s="239"/>
      <c r="BB534" s="239"/>
      <c r="BC534" s="239"/>
      <c r="BD534" s="239"/>
      <c r="BE534" s="239"/>
      <c r="BF534" s="239"/>
      <c r="BG534" s="239"/>
      <c r="BH534" s="239"/>
      <c r="BI534" s="239"/>
      <c r="BJ534" s="239"/>
      <c r="BK534" s="239"/>
      <c r="BL534" s="239"/>
      <c r="BM534" s="239"/>
      <c r="BN534" s="239"/>
      <c r="BO534" s="239"/>
      <c r="BP534" s="239"/>
      <c r="BQ534" s="239"/>
      <c r="BR534" s="239"/>
      <c r="BS534" s="239"/>
      <c r="BT534" s="239"/>
      <c r="BU534" s="239"/>
      <c r="BV534" s="239"/>
      <c r="BW534" s="239"/>
      <c r="BX534" s="239"/>
      <c r="BY534" s="239"/>
      <c r="BZ534" s="239"/>
      <c r="CA534" s="239"/>
      <c r="CB534" s="239"/>
      <c r="CC534" s="239"/>
      <c r="CD534" s="239"/>
      <c r="CE534" s="239"/>
      <c r="CF534" s="239"/>
      <c r="CG534" s="239"/>
    </row>
    <row r="535" spans="1:85" ht="15.75" customHeight="1">
      <c r="A535" s="239"/>
      <c r="B535" s="239"/>
      <c r="C535" s="239"/>
      <c r="D535" s="239"/>
      <c r="E535" s="239"/>
      <c r="F535" s="239"/>
      <c r="G535" s="239"/>
      <c r="H535" s="239"/>
      <c r="I535" s="239"/>
      <c r="J535" s="239"/>
      <c r="K535" s="239"/>
      <c r="L535" s="239"/>
      <c r="M535" s="239"/>
      <c r="N535" s="239"/>
      <c r="O535" s="239"/>
      <c r="P535" s="239"/>
      <c r="Q535" s="239"/>
      <c r="R535" s="239"/>
      <c r="S535" s="239"/>
      <c r="T535" s="239"/>
      <c r="U535" s="239"/>
      <c r="V535" s="239"/>
      <c r="W535" s="239"/>
      <c r="X535" s="239"/>
      <c r="Y535" s="239"/>
      <c r="Z535" s="239"/>
      <c r="AA535" s="239"/>
      <c r="AB535" s="239"/>
      <c r="AC535" s="239"/>
      <c r="AD535" s="239"/>
      <c r="AE535" s="239"/>
      <c r="AF535" s="239"/>
      <c r="AG535" s="239"/>
      <c r="AH535" s="239"/>
      <c r="AI535" s="239"/>
      <c r="AJ535" s="239"/>
      <c r="AK535" s="239"/>
      <c r="AL535" s="239"/>
      <c r="AM535" s="239"/>
      <c r="AN535" s="239"/>
      <c r="AO535" s="239"/>
      <c r="AP535" s="239"/>
      <c r="AQ535" s="239"/>
      <c r="AR535" s="239"/>
      <c r="AS535" s="239"/>
      <c r="AT535" s="239"/>
      <c r="AU535" s="239"/>
      <c r="AV535" s="239"/>
      <c r="AW535" s="239"/>
      <c r="AX535" s="239"/>
      <c r="AY535" s="239"/>
      <c r="AZ535" s="239"/>
      <c r="BA535" s="239"/>
      <c r="BB535" s="239"/>
      <c r="BC535" s="239"/>
      <c r="BD535" s="239"/>
      <c r="BE535" s="239"/>
      <c r="BF535" s="239"/>
      <c r="BG535" s="239"/>
      <c r="BH535" s="239"/>
      <c r="BI535" s="239"/>
      <c r="BJ535" s="239"/>
      <c r="BK535" s="239"/>
      <c r="BL535" s="239"/>
      <c r="BM535" s="239"/>
      <c r="BN535" s="239"/>
      <c r="BO535" s="239"/>
      <c r="BP535" s="239"/>
      <c r="BQ535" s="239"/>
      <c r="BR535" s="239"/>
      <c r="BS535" s="239"/>
      <c r="BT535" s="239"/>
      <c r="BU535" s="239"/>
      <c r="BV535" s="239"/>
      <c r="BW535" s="239"/>
      <c r="BX535" s="239"/>
      <c r="BY535" s="239"/>
      <c r="BZ535" s="239"/>
      <c r="CA535" s="239"/>
      <c r="CB535" s="239"/>
      <c r="CC535" s="239"/>
      <c r="CD535" s="239"/>
      <c r="CE535" s="239"/>
      <c r="CF535" s="239"/>
      <c r="CG535" s="239"/>
    </row>
    <row r="536" spans="1:85" ht="15.75" customHeight="1">
      <c r="A536" s="239"/>
      <c r="B536" s="239"/>
      <c r="C536" s="239"/>
      <c r="D536" s="239"/>
      <c r="E536" s="239"/>
      <c r="F536" s="239"/>
      <c r="G536" s="239"/>
      <c r="H536" s="239"/>
      <c r="I536" s="239"/>
      <c r="J536" s="239"/>
      <c r="K536" s="239"/>
      <c r="L536" s="239"/>
      <c r="M536" s="239"/>
      <c r="N536" s="239"/>
      <c r="O536" s="239"/>
      <c r="P536" s="239"/>
      <c r="Q536" s="239"/>
      <c r="R536" s="239"/>
      <c r="S536" s="239"/>
      <c r="T536" s="239"/>
      <c r="U536" s="239"/>
      <c r="V536" s="239"/>
      <c r="W536" s="239"/>
      <c r="X536" s="239"/>
      <c r="Y536" s="239"/>
      <c r="Z536" s="239"/>
      <c r="AA536" s="239"/>
      <c r="AB536" s="239"/>
      <c r="AC536" s="239"/>
      <c r="AD536" s="239"/>
      <c r="AE536" s="239"/>
      <c r="AF536" s="239"/>
      <c r="AG536" s="239"/>
      <c r="AH536" s="239"/>
      <c r="AI536" s="239"/>
      <c r="AJ536" s="239"/>
      <c r="AK536" s="239"/>
      <c r="AL536" s="239"/>
      <c r="AM536" s="239"/>
      <c r="AN536" s="239"/>
      <c r="AO536" s="239"/>
      <c r="AP536" s="239"/>
      <c r="AQ536" s="239"/>
      <c r="AR536" s="239"/>
      <c r="AS536" s="239"/>
      <c r="AT536" s="239"/>
      <c r="AU536" s="239"/>
      <c r="AV536" s="239"/>
      <c r="AW536" s="239"/>
      <c r="AX536" s="239"/>
      <c r="AY536" s="239"/>
      <c r="AZ536" s="239"/>
      <c r="BA536" s="239"/>
      <c r="BB536" s="239"/>
      <c r="BC536" s="239"/>
      <c r="BD536" s="239"/>
      <c r="BE536" s="239"/>
      <c r="BF536" s="239"/>
      <c r="BG536" s="239"/>
      <c r="BH536" s="239"/>
      <c r="BI536" s="239"/>
      <c r="BJ536" s="239"/>
      <c r="BK536" s="239"/>
      <c r="BL536" s="239"/>
      <c r="BM536" s="239"/>
      <c r="BN536" s="239"/>
      <c r="BO536" s="239"/>
      <c r="BP536" s="239"/>
      <c r="BQ536" s="239"/>
      <c r="BR536" s="239"/>
      <c r="BS536" s="239"/>
      <c r="BT536" s="239"/>
      <c r="BU536" s="239"/>
      <c r="BV536" s="239"/>
      <c r="BW536" s="239"/>
      <c r="BX536" s="239"/>
      <c r="BY536" s="239"/>
      <c r="BZ536" s="239"/>
      <c r="CA536" s="239"/>
      <c r="CB536" s="239"/>
      <c r="CC536" s="239"/>
      <c r="CD536" s="239"/>
      <c r="CE536" s="239"/>
      <c r="CF536" s="239"/>
      <c r="CG536" s="239"/>
    </row>
    <row r="537" spans="1:85" ht="15.75" customHeight="1">
      <c r="A537" s="239"/>
      <c r="B537" s="239"/>
      <c r="C537" s="239"/>
      <c r="D537" s="239"/>
      <c r="E537" s="239"/>
      <c r="F537" s="239"/>
      <c r="G537" s="239"/>
      <c r="H537" s="239"/>
      <c r="I537" s="239"/>
      <c r="J537" s="239"/>
      <c r="K537" s="239"/>
      <c r="L537" s="239"/>
      <c r="M537" s="239"/>
      <c r="N537" s="239"/>
      <c r="O537" s="239"/>
      <c r="P537" s="239"/>
      <c r="Q537" s="239"/>
      <c r="R537" s="239"/>
      <c r="S537" s="239"/>
      <c r="T537" s="239"/>
      <c r="U537" s="239"/>
      <c r="V537" s="239"/>
      <c r="W537" s="239"/>
      <c r="X537" s="239"/>
      <c r="Y537" s="239"/>
      <c r="Z537" s="239"/>
      <c r="AA537" s="239"/>
      <c r="AB537" s="239"/>
      <c r="AC537" s="239"/>
      <c r="AD537" s="239"/>
      <c r="AE537" s="239"/>
      <c r="AF537" s="239"/>
      <c r="AG537" s="239"/>
      <c r="AH537" s="239"/>
      <c r="AI537" s="239"/>
      <c r="AJ537" s="239"/>
      <c r="AK537" s="239"/>
      <c r="AL537" s="239"/>
      <c r="AM537" s="239"/>
      <c r="AN537" s="239"/>
      <c r="AO537" s="239"/>
      <c r="AP537" s="239"/>
      <c r="AQ537" s="239"/>
      <c r="AR537" s="239"/>
      <c r="AS537" s="239"/>
      <c r="AT537" s="239"/>
      <c r="AU537" s="239"/>
      <c r="AV537" s="239"/>
      <c r="AW537" s="239"/>
      <c r="AX537" s="239"/>
      <c r="AY537" s="239"/>
      <c r="AZ537" s="239"/>
      <c r="BA537" s="239"/>
      <c r="BB537" s="239"/>
      <c r="BC537" s="239"/>
      <c r="BD537" s="239"/>
      <c r="BE537" s="239"/>
      <c r="BF537" s="239"/>
      <c r="BG537" s="239"/>
      <c r="BH537" s="239"/>
      <c r="BI537" s="239"/>
      <c r="BJ537" s="239"/>
      <c r="BK537" s="239"/>
      <c r="BL537" s="239"/>
      <c r="BM537" s="239"/>
      <c r="BN537" s="239"/>
      <c r="BO537" s="239"/>
      <c r="BP537" s="239"/>
      <c r="BQ537" s="239"/>
      <c r="BR537" s="239"/>
      <c r="BS537" s="239"/>
      <c r="BT537" s="239"/>
      <c r="BU537" s="239"/>
      <c r="BV537" s="239"/>
      <c r="BW537" s="239"/>
      <c r="BX537" s="239"/>
      <c r="BY537" s="239"/>
      <c r="BZ537" s="239"/>
      <c r="CA537" s="239"/>
      <c r="CB537" s="239"/>
      <c r="CC537" s="239"/>
      <c r="CD537" s="239"/>
      <c r="CE537" s="239"/>
      <c r="CF537" s="239"/>
      <c r="CG537" s="239"/>
    </row>
    <row r="538" spans="1:85" ht="15.75" customHeight="1">
      <c r="A538" s="239"/>
      <c r="B538" s="239"/>
      <c r="C538" s="239"/>
      <c r="D538" s="239"/>
      <c r="E538" s="239"/>
      <c r="F538" s="239"/>
      <c r="G538" s="239"/>
      <c r="H538" s="239"/>
      <c r="I538" s="239"/>
      <c r="J538" s="239"/>
      <c r="K538" s="239"/>
      <c r="L538" s="239"/>
      <c r="M538" s="239"/>
      <c r="N538" s="239"/>
      <c r="O538" s="239"/>
      <c r="P538" s="239"/>
      <c r="Q538" s="239"/>
      <c r="R538" s="239"/>
      <c r="S538" s="239"/>
      <c r="T538" s="239"/>
      <c r="U538" s="239"/>
      <c r="V538" s="239"/>
      <c r="W538" s="239"/>
      <c r="X538" s="239"/>
      <c r="Y538" s="239"/>
      <c r="Z538" s="239"/>
      <c r="AA538" s="239"/>
      <c r="AB538" s="239"/>
      <c r="AC538" s="239"/>
      <c r="AD538" s="239"/>
      <c r="AE538" s="239"/>
      <c r="AF538" s="239"/>
      <c r="AG538" s="239"/>
      <c r="AH538" s="239"/>
      <c r="AI538" s="239"/>
      <c r="AJ538" s="239"/>
      <c r="AK538" s="239"/>
      <c r="AL538" s="239"/>
      <c r="AM538" s="239"/>
      <c r="AN538" s="239"/>
      <c r="AO538" s="239"/>
      <c r="AP538" s="239"/>
      <c r="AQ538" s="239"/>
      <c r="AR538" s="239"/>
      <c r="AS538" s="239"/>
      <c r="AT538" s="239"/>
      <c r="AU538" s="239"/>
      <c r="AV538" s="239"/>
      <c r="AW538" s="239"/>
      <c r="AX538" s="239"/>
      <c r="AY538" s="239"/>
      <c r="AZ538" s="239"/>
      <c r="BA538" s="239"/>
      <c r="BB538" s="239"/>
      <c r="BC538" s="239"/>
      <c r="BD538" s="239"/>
      <c r="BE538" s="239"/>
      <c r="BF538" s="239"/>
      <c r="BG538" s="239"/>
      <c r="BH538" s="239"/>
      <c r="BI538" s="239"/>
      <c r="BJ538" s="239"/>
      <c r="BK538" s="239"/>
      <c r="BL538" s="239"/>
      <c r="BM538" s="239"/>
      <c r="BN538" s="239"/>
      <c r="BO538" s="239"/>
      <c r="BP538" s="239"/>
      <c r="BQ538" s="239"/>
      <c r="BR538" s="239"/>
      <c r="BS538" s="239"/>
      <c r="BT538" s="239"/>
      <c r="BU538" s="239"/>
      <c r="BV538" s="239"/>
      <c r="BW538" s="239"/>
      <c r="BX538" s="239"/>
      <c r="BY538" s="239"/>
      <c r="BZ538" s="239"/>
      <c r="CA538" s="239"/>
      <c r="CB538" s="239"/>
      <c r="CC538" s="239"/>
      <c r="CD538" s="239"/>
      <c r="CE538" s="239"/>
      <c r="CF538" s="239"/>
      <c r="CG538" s="239"/>
    </row>
    <row r="539" spans="1:85" ht="15.75" customHeight="1">
      <c r="A539" s="239"/>
      <c r="B539" s="239"/>
      <c r="C539" s="239"/>
      <c r="D539" s="239"/>
      <c r="E539" s="239"/>
      <c r="F539" s="239"/>
      <c r="G539" s="239"/>
      <c r="H539" s="239"/>
      <c r="I539" s="239"/>
      <c r="J539" s="239"/>
      <c r="K539" s="239"/>
      <c r="L539" s="239"/>
      <c r="M539" s="239"/>
      <c r="N539" s="239"/>
      <c r="O539" s="239"/>
      <c r="P539" s="239"/>
      <c r="Q539" s="239"/>
      <c r="R539" s="239"/>
      <c r="S539" s="239"/>
      <c r="T539" s="239"/>
      <c r="U539" s="239"/>
      <c r="V539" s="239"/>
      <c r="W539" s="239"/>
      <c r="X539" s="239"/>
      <c r="Y539" s="239"/>
      <c r="Z539" s="239"/>
      <c r="AA539" s="239"/>
      <c r="AB539" s="239"/>
      <c r="AC539" s="239"/>
      <c r="AD539" s="239"/>
      <c r="AE539" s="239"/>
      <c r="AF539" s="239"/>
      <c r="AG539" s="239"/>
      <c r="AH539" s="239"/>
      <c r="AI539" s="239"/>
      <c r="AJ539" s="239"/>
      <c r="AK539" s="239"/>
      <c r="AL539" s="239"/>
      <c r="AM539" s="239"/>
      <c r="AN539" s="239"/>
      <c r="AO539" s="239"/>
      <c r="AP539" s="239"/>
      <c r="AQ539" s="239"/>
      <c r="AR539" s="239"/>
      <c r="AS539" s="239"/>
      <c r="AT539" s="239"/>
      <c r="AU539" s="239"/>
      <c r="AV539" s="239"/>
      <c r="AW539" s="239"/>
      <c r="AX539" s="239"/>
      <c r="AY539" s="239"/>
      <c r="AZ539" s="239"/>
      <c r="BA539" s="239"/>
      <c r="BB539" s="239"/>
      <c r="BC539" s="239"/>
      <c r="BD539" s="239"/>
      <c r="BE539" s="239"/>
      <c r="BF539" s="239"/>
      <c r="BG539" s="239"/>
      <c r="BH539" s="239"/>
      <c r="BI539" s="239"/>
      <c r="BJ539" s="239"/>
      <c r="BK539" s="239"/>
      <c r="BL539" s="239"/>
      <c r="BM539" s="239"/>
      <c r="BN539" s="239"/>
      <c r="BO539" s="239"/>
      <c r="BP539" s="239"/>
      <c r="BQ539" s="239"/>
      <c r="BR539" s="239"/>
      <c r="BS539" s="239"/>
      <c r="BT539" s="239"/>
      <c r="BU539" s="239"/>
      <c r="BV539" s="239"/>
      <c r="BW539" s="239"/>
      <c r="BX539" s="239"/>
      <c r="BY539" s="239"/>
      <c r="BZ539" s="239"/>
      <c r="CA539" s="239"/>
      <c r="CB539" s="239"/>
      <c r="CC539" s="239"/>
      <c r="CD539" s="239"/>
      <c r="CE539" s="239"/>
      <c r="CF539" s="239"/>
      <c r="CG539" s="239"/>
    </row>
    <row r="540" spans="1:85" ht="15.75" customHeight="1">
      <c r="A540" s="239"/>
      <c r="B540" s="239"/>
      <c r="C540" s="239"/>
      <c r="D540" s="239"/>
      <c r="E540" s="239"/>
      <c r="F540" s="239"/>
      <c r="G540" s="239"/>
      <c r="H540" s="239"/>
      <c r="I540" s="239"/>
      <c r="J540" s="239"/>
      <c r="K540" s="239"/>
      <c r="L540" s="239"/>
      <c r="M540" s="239"/>
      <c r="N540" s="239"/>
      <c r="O540" s="239"/>
      <c r="P540" s="239"/>
      <c r="Q540" s="239"/>
      <c r="R540" s="239"/>
      <c r="S540" s="239"/>
      <c r="T540" s="239"/>
      <c r="U540" s="239"/>
      <c r="V540" s="239"/>
      <c r="W540" s="239"/>
      <c r="X540" s="239"/>
      <c r="Y540" s="239"/>
      <c r="Z540" s="239"/>
      <c r="AA540" s="239"/>
      <c r="AB540" s="239"/>
      <c r="AC540" s="239"/>
      <c r="AD540" s="239"/>
      <c r="AE540" s="239"/>
      <c r="AF540" s="239"/>
      <c r="AG540" s="239"/>
      <c r="AH540" s="239"/>
      <c r="AI540" s="239"/>
      <c r="AJ540" s="239"/>
      <c r="AK540" s="239"/>
      <c r="AL540" s="239"/>
      <c r="AM540" s="239"/>
      <c r="AN540" s="239"/>
      <c r="AO540" s="239"/>
      <c r="AP540" s="239"/>
      <c r="AQ540" s="239"/>
      <c r="AR540" s="239"/>
      <c r="AS540" s="239"/>
      <c r="AT540" s="239"/>
      <c r="AU540" s="239"/>
      <c r="AV540" s="239"/>
      <c r="AW540" s="239"/>
      <c r="AX540" s="239"/>
      <c r="AY540" s="239"/>
      <c r="AZ540" s="239"/>
      <c r="BA540" s="239"/>
      <c r="BB540" s="239"/>
      <c r="BC540" s="239"/>
      <c r="BD540" s="239"/>
      <c r="BE540" s="239"/>
      <c r="BF540" s="239"/>
      <c r="BG540" s="239"/>
      <c r="BH540" s="239"/>
      <c r="BI540" s="239"/>
      <c r="BJ540" s="239"/>
      <c r="BK540" s="239"/>
      <c r="BL540" s="239"/>
      <c r="BM540" s="239"/>
      <c r="BN540" s="239"/>
      <c r="BO540" s="239"/>
      <c r="BP540" s="239"/>
      <c r="BQ540" s="239"/>
      <c r="BR540" s="239"/>
      <c r="BS540" s="239"/>
      <c r="BT540" s="239"/>
      <c r="BU540" s="239"/>
      <c r="BV540" s="239"/>
      <c r="BW540" s="239"/>
      <c r="BX540" s="239"/>
      <c r="BY540" s="239"/>
      <c r="BZ540" s="239"/>
      <c r="CA540" s="239"/>
      <c r="CB540" s="239"/>
      <c r="CC540" s="239"/>
      <c r="CD540" s="239"/>
      <c r="CE540" s="239"/>
      <c r="CF540" s="239"/>
      <c r="CG540" s="239"/>
    </row>
    <row r="541" spans="1:85" ht="15.75" customHeight="1">
      <c r="A541" s="239"/>
      <c r="B541" s="239"/>
      <c r="C541" s="239"/>
      <c r="D541" s="239"/>
      <c r="E541" s="239"/>
      <c r="F541" s="239"/>
      <c r="G541" s="239"/>
      <c r="H541" s="239"/>
      <c r="I541" s="239"/>
      <c r="J541" s="239"/>
      <c r="K541" s="239"/>
      <c r="L541" s="239"/>
      <c r="M541" s="239"/>
      <c r="N541" s="239"/>
      <c r="O541" s="239"/>
      <c r="P541" s="239"/>
      <c r="Q541" s="239"/>
      <c r="R541" s="239"/>
      <c r="S541" s="239"/>
      <c r="T541" s="239"/>
      <c r="U541" s="239"/>
      <c r="V541" s="239"/>
      <c r="W541" s="239"/>
      <c r="X541" s="239"/>
      <c r="Y541" s="239"/>
      <c r="Z541" s="239"/>
      <c r="AA541" s="239"/>
      <c r="AB541" s="239"/>
      <c r="AC541" s="239"/>
      <c r="AD541" s="239"/>
      <c r="AE541" s="239"/>
      <c r="AF541" s="239"/>
      <c r="AG541" s="239"/>
      <c r="AH541" s="239"/>
      <c r="AI541" s="239"/>
      <c r="AJ541" s="239"/>
      <c r="AK541" s="239"/>
      <c r="AL541" s="239"/>
      <c r="AM541" s="239"/>
      <c r="AN541" s="239"/>
      <c r="AO541" s="239"/>
      <c r="AP541" s="239"/>
      <c r="AQ541" s="239"/>
      <c r="AR541" s="239"/>
      <c r="AS541" s="239"/>
      <c r="AT541" s="239"/>
      <c r="AU541" s="239"/>
      <c r="AV541" s="239"/>
      <c r="AW541" s="239"/>
      <c r="AX541" s="239"/>
      <c r="AY541" s="239"/>
      <c r="AZ541" s="239"/>
      <c r="BA541" s="239"/>
      <c r="BB541" s="239"/>
      <c r="BC541" s="239"/>
      <c r="BD541" s="239"/>
      <c r="BE541" s="239"/>
      <c r="BF541" s="239"/>
      <c r="BG541" s="239"/>
      <c r="BH541" s="239"/>
      <c r="BI541" s="239"/>
      <c r="BJ541" s="239"/>
      <c r="BK541" s="239"/>
      <c r="BL541" s="239"/>
      <c r="BM541" s="239"/>
      <c r="BN541" s="239"/>
      <c r="BO541" s="239"/>
      <c r="BP541" s="239"/>
      <c r="BQ541" s="239"/>
      <c r="BR541" s="239"/>
      <c r="BS541" s="239"/>
      <c r="BT541" s="239"/>
      <c r="BU541" s="239"/>
      <c r="BV541" s="239"/>
      <c r="BW541" s="239"/>
      <c r="BX541" s="239"/>
      <c r="BY541" s="239"/>
      <c r="BZ541" s="239"/>
      <c r="CA541" s="239"/>
      <c r="CB541" s="239"/>
      <c r="CC541" s="239"/>
      <c r="CD541" s="239"/>
      <c r="CE541" s="239"/>
      <c r="CF541" s="239"/>
      <c r="CG541" s="239"/>
    </row>
    <row r="542" spans="1:85" ht="15.75" customHeight="1">
      <c r="A542" s="239"/>
      <c r="B542" s="239"/>
      <c r="C542" s="239"/>
      <c r="D542" s="239"/>
      <c r="E542" s="239"/>
      <c r="F542" s="239"/>
      <c r="G542" s="239"/>
      <c r="H542" s="239"/>
      <c r="I542" s="239"/>
      <c r="J542" s="239"/>
      <c r="K542" s="239"/>
      <c r="L542" s="239"/>
      <c r="M542" s="239"/>
      <c r="N542" s="239"/>
      <c r="O542" s="239"/>
      <c r="P542" s="239"/>
      <c r="Q542" s="239"/>
      <c r="R542" s="239"/>
      <c r="S542" s="239"/>
      <c r="T542" s="239"/>
      <c r="U542" s="239"/>
      <c r="V542" s="239"/>
      <c r="W542" s="239"/>
      <c r="X542" s="239"/>
      <c r="Y542" s="239"/>
      <c r="Z542" s="239"/>
      <c r="AA542" s="239"/>
      <c r="AB542" s="239"/>
      <c r="AC542" s="239"/>
      <c r="AD542" s="239"/>
      <c r="AE542" s="239"/>
      <c r="AF542" s="239"/>
      <c r="AG542" s="239"/>
      <c r="AH542" s="239"/>
      <c r="AI542" s="239"/>
      <c r="AJ542" s="239"/>
      <c r="AK542" s="239"/>
      <c r="AL542" s="239"/>
      <c r="AM542" s="239"/>
      <c r="AN542" s="239"/>
      <c r="AO542" s="239"/>
      <c r="AP542" s="239"/>
      <c r="AQ542" s="239"/>
      <c r="AR542" s="239"/>
      <c r="AS542" s="239"/>
      <c r="AT542" s="239"/>
      <c r="AU542" s="239"/>
      <c r="AV542" s="239"/>
      <c r="AW542" s="239"/>
      <c r="AX542" s="239"/>
      <c r="AY542" s="239"/>
      <c r="AZ542" s="239"/>
      <c r="BA542" s="239"/>
      <c r="BB542" s="239"/>
      <c r="BC542" s="239"/>
      <c r="BD542" s="239"/>
      <c r="BE542" s="239"/>
      <c r="BF542" s="239"/>
      <c r="BG542" s="239"/>
      <c r="BH542" s="239"/>
      <c r="BI542" s="239"/>
      <c r="BJ542" s="239"/>
      <c r="BK542" s="239"/>
      <c r="BL542" s="239"/>
      <c r="BM542" s="239"/>
      <c r="BN542" s="239"/>
      <c r="BO542" s="239"/>
      <c r="BP542" s="239"/>
      <c r="BQ542" s="239"/>
      <c r="BR542" s="239"/>
      <c r="BS542" s="239"/>
      <c r="BT542" s="239"/>
      <c r="BU542" s="239"/>
      <c r="BV542" s="239"/>
      <c r="BW542" s="239"/>
      <c r="BX542" s="239"/>
      <c r="BY542" s="239"/>
      <c r="BZ542" s="239"/>
      <c r="CA542" s="239"/>
      <c r="CB542" s="239"/>
      <c r="CC542" s="239"/>
      <c r="CD542" s="239"/>
      <c r="CE542" s="239"/>
      <c r="CF542" s="239"/>
      <c r="CG542" s="239"/>
    </row>
    <row r="543" spans="1:85" ht="15.75" customHeight="1">
      <c r="A543" s="239"/>
      <c r="B543" s="239"/>
      <c r="C543" s="239"/>
      <c r="D543" s="239"/>
      <c r="E543" s="239"/>
      <c r="F543" s="239"/>
      <c r="G543" s="239"/>
      <c r="H543" s="239"/>
      <c r="I543" s="239"/>
      <c r="J543" s="239"/>
      <c r="K543" s="239"/>
      <c r="L543" s="239"/>
      <c r="M543" s="239"/>
      <c r="N543" s="239"/>
      <c r="O543" s="239"/>
      <c r="P543" s="239"/>
      <c r="Q543" s="239"/>
      <c r="R543" s="239"/>
      <c r="S543" s="239"/>
      <c r="T543" s="239"/>
      <c r="U543" s="239"/>
      <c r="V543" s="239"/>
      <c r="W543" s="239"/>
      <c r="X543" s="239"/>
      <c r="Y543" s="239"/>
      <c r="Z543" s="239"/>
      <c r="AA543" s="239"/>
      <c r="AB543" s="239"/>
      <c r="AC543" s="239"/>
      <c r="AD543" s="239"/>
      <c r="AE543" s="239"/>
      <c r="AF543" s="239"/>
      <c r="AG543" s="239"/>
      <c r="AH543" s="239"/>
      <c r="AI543" s="239"/>
      <c r="AJ543" s="239"/>
      <c r="AK543" s="239"/>
      <c r="AL543" s="239"/>
      <c r="AM543" s="239"/>
      <c r="AN543" s="239"/>
      <c r="AO543" s="239"/>
      <c r="AP543" s="239"/>
      <c r="AQ543" s="239"/>
      <c r="AR543" s="239"/>
      <c r="AS543" s="239"/>
      <c r="AT543" s="239"/>
      <c r="AU543" s="239"/>
      <c r="AV543" s="239"/>
      <c r="AW543" s="239"/>
      <c r="AX543" s="239"/>
      <c r="AY543" s="239"/>
      <c r="AZ543" s="239"/>
      <c r="BA543" s="239"/>
      <c r="BB543" s="239"/>
      <c r="BC543" s="239"/>
      <c r="BD543" s="239"/>
      <c r="BE543" s="239"/>
      <c r="BF543" s="239"/>
      <c r="BG543" s="239"/>
      <c r="BH543" s="239"/>
      <c r="BI543" s="239"/>
      <c r="BJ543" s="239"/>
      <c r="BK543" s="239"/>
      <c r="BL543" s="239"/>
      <c r="BM543" s="239"/>
      <c r="BN543" s="239"/>
      <c r="BO543" s="239"/>
      <c r="BP543" s="239"/>
      <c r="BQ543" s="239"/>
      <c r="BR543" s="239"/>
      <c r="BS543" s="239"/>
      <c r="BT543" s="239"/>
      <c r="BU543" s="239"/>
      <c r="BV543" s="239"/>
      <c r="BW543" s="239"/>
      <c r="BX543" s="239"/>
      <c r="BY543" s="239"/>
      <c r="BZ543" s="239"/>
      <c r="CA543" s="239"/>
      <c r="CB543" s="239"/>
      <c r="CC543" s="239"/>
      <c r="CD543" s="239"/>
      <c r="CE543" s="239"/>
      <c r="CF543" s="239"/>
      <c r="CG543" s="239"/>
    </row>
    <row r="544" spans="1:85" ht="15.75" customHeight="1">
      <c r="A544" s="239"/>
      <c r="B544" s="239"/>
      <c r="C544" s="239"/>
      <c r="D544" s="239"/>
      <c r="E544" s="239"/>
      <c r="F544" s="239"/>
      <c r="G544" s="239"/>
      <c r="H544" s="239"/>
      <c r="I544" s="239"/>
      <c r="J544" s="239"/>
      <c r="K544" s="239"/>
      <c r="L544" s="239"/>
      <c r="M544" s="239"/>
      <c r="N544" s="239"/>
      <c r="O544" s="239"/>
      <c r="P544" s="239"/>
      <c r="Q544" s="239"/>
      <c r="R544" s="239"/>
      <c r="S544" s="239"/>
      <c r="T544" s="239"/>
      <c r="U544" s="239"/>
      <c r="V544" s="239"/>
      <c r="W544" s="239"/>
      <c r="X544" s="239"/>
      <c r="Y544" s="239"/>
      <c r="Z544" s="239"/>
      <c r="AA544" s="239"/>
      <c r="AB544" s="239"/>
      <c r="AC544" s="239"/>
      <c r="AD544" s="239"/>
      <c r="AE544" s="239"/>
      <c r="AF544" s="239"/>
      <c r="AG544" s="239"/>
      <c r="AH544" s="239"/>
      <c r="AI544" s="239"/>
      <c r="AJ544" s="239"/>
      <c r="AK544" s="239"/>
      <c r="AL544" s="239"/>
      <c r="AM544" s="239"/>
      <c r="AN544" s="239"/>
      <c r="AO544" s="239"/>
      <c r="AP544" s="239"/>
      <c r="AQ544" s="239"/>
      <c r="AR544" s="239"/>
      <c r="AS544" s="239"/>
      <c r="AT544" s="239"/>
      <c r="AU544" s="239"/>
      <c r="AV544" s="239"/>
      <c r="AW544" s="239"/>
      <c r="AX544" s="239"/>
      <c r="AY544" s="239"/>
      <c r="AZ544" s="239"/>
      <c r="BA544" s="239"/>
      <c r="BB544" s="239"/>
      <c r="BC544" s="239"/>
      <c r="BD544" s="239"/>
      <c r="BE544" s="239"/>
      <c r="BF544" s="239"/>
      <c r="BG544" s="239"/>
      <c r="BH544" s="239"/>
      <c r="BI544" s="239"/>
      <c r="BJ544" s="239"/>
      <c r="BK544" s="239"/>
      <c r="BL544" s="239"/>
      <c r="BM544" s="239"/>
      <c r="BN544" s="239"/>
      <c r="BO544" s="239"/>
      <c r="BP544" s="239"/>
      <c r="BQ544" s="239"/>
      <c r="BR544" s="239"/>
      <c r="BS544" s="239"/>
      <c r="BT544" s="239"/>
      <c r="BU544" s="239"/>
      <c r="BV544" s="239"/>
      <c r="BW544" s="239"/>
      <c r="BX544" s="239"/>
      <c r="BY544" s="239"/>
      <c r="BZ544" s="239"/>
      <c r="CA544" s="239"/>
      <c r="CB544" s="239"/>
      <c r="CC544" s="239"/>
      <c r="CD544" s="239"/>
      <c r="CE544" s="239"/>
      <c r="CF544" s="239"/>
      <c r="CG544" s="239"/>
    </row>
    <row r="545" spans="1:85" ht="15.75" customHeight="1">
      <c r="A545" s="239"/>
      <c r="B545" s="239"/>
      <c r="C545" s="239"/>
      <c r="D545" s="239"/>
      <c r="E545" s="239"/>
      <c r="F545" s="239"/>
      <c r="G545" s="239"/>
      <c r="H545" s="239"/>
      <c r="I545" s="239"/>
      <c r="J545" s="239"/>
      <c r="K545" s="239"/>
      <c r="L545" s="239"/>
      <c r="M545" s="239"/>
      <c r="N545" s="239"/>
      <c r="O545" s="239"/>
      <c r="P545" s="239"/>
      <c r="Q545" s="239"/>
      <c r="R545" s="239"/>
      <c r="S545" s="239"/>
      <c r="T545" s="239"/>
      <c r="U545" s="239"/>
      <c r="V545" s="239"/>
      <c r="W545" s="239"/>
      <c r="X545" s="239"/>
      <c r="Y545" s="239"/>
      <c r="Z545" s="239"/>
      <c r="AA545" s="239"/>
      <c r="AB545" s="239"/>
      <c r="AC545" s="239"/>
      <c r="AD545" s="239"/>
      <c r="AE545" s="239"/>
      <c r="AF545" s="239"/>
      <c r="AG545" s="239"/>
      <c r="AH545" s="239"/>
      <c r="AI545" s="239"/>
      <c r="AJ545" s="239"/>
      <c r="AK545" s="239"/>
      <c r="AL545" s="239"/>
      <c r="AM545" s="239"/>
      <c r="AN545" s="239"/>
      <c r="AO545" s="239"/>
      <c r="AP545" s="239"/>
      <c r="AQ545" s="239"/>
      <c r="AR545" s="239"/>
      <c r="AS545" s="239"/>
      <c r="AT545" s="239"/>
      <c r="AU545" s="239"/>
      <c r="AV545" s="239"/>
      <c r="AW545" s="239"/>
      <c r="AX545" s="239"/>
      <c r="AY545" s="239"/>
      <c r="AZ545" s="239"/>
      <c r="BA545" s="239"/>
      <c r="BB545" s="239"/>
      <c r="BC545" s="239"/>
      <c r="BD545" s="239"/>
      <c r="BE545" s="239"/>
      <c r="BF545" s="239"/>
      <c r="BG545" s="239"/>
      <c r="BH545" s="239"/>
      <c r="BI545" s="239"/>
      <c r="BJ545" s="239"/>
      <c r="BK545" s="239"/>
      <c r="BL545" s="239"/>
      <c r="BM545" s="239"/>
      <c r="BN545" s="239"/>
      <c r="BO545" s="239"/>
      <c r="BP545" s="239"/>
      <c r="BQ545" s="239"/>
      <c r="BR545" s="239"/>
      <c r="BS545" s="239"/>
      <c r="BT545" s="239"/>
      <c r="BU545" s="239"/>
      <c r="BV545" s="239"/>
      <c r="BW545" s="239"/>
      <c r="BX545" s="239"/>
      <c r="BY545" s="239"/>
      <c r="BZ545" s="239"/>
      <c r="CA545" s="239"/>
      <c r="CB545" s="239"/>
      <c r="CC545" s="239"/>
      <c r="CD545" s="239"/>
      <c r="CE545" s="239"/>
      <c r="CF545" s="239"/>
      <c r="CG545" s="239"/>
    </row>
    <row r="546" spans="1:85" ht="15.75" customHeight="1">
      <c r="A546" s="239"/>
      <c r="B546" s="239"/>
      <c r="C546" s="239"/>
      <c r="D546" s="239"/>
      <c r="E546" s="239"/>
      <c r="F546" s="239"/>
      <c r="G546" s="239"/>
      <c r="H546" s="239"/>
      <c r="I546" s="239"/>
      <c r="J546" s="239"/>
      <c r="K546" s="239"/>
      <c r="L546" s="239"/>
      <c r="M546" s="239"/>
      <c r="N546" s="239"/>
      <c r="O546" s="239"/>
      <c r="P546" s="239"/>
      <c r="Q546" s="239"/>
      <c r="R546" s="239"/>
      <c r="S546" s="239"/>
      <c r="T546" s="239"/>
      <c r="U546" s="239"/>
      <c r="V546" s="239"/>
      <c r="W546" s="239"/>
      <c r="X546" s="239"/>
      <c r="Y546" s="239"/>
      <c r="Z546" s="239"/>
      <c r="AA546" s="239"/>
      <c r="AB546" s="239"/>
      <c r="AC546" s="239"/>
      <c r="AD546" s="239"/>
      <c r="AE546" s="239"/>
      <c r="AF546" s="239"/>
      <c r="AG546" s="239"/>
      <c r="AH546" s="239"/>
      <c r="AI546" s="239"/>
      <c r="AJ546" s="239"/>
      <c r="AK546" s="239"/>
      <c r="AL546" s="239"/>
      <c r="AM546" s="239"/>
      <c r="AN546" s="239"/>
      <c r="AO546" s="239"/>
      <c r="AP546" s="239"/>
      <c r="AQ546" s="239"/>
      <c r="AR546" s="239"/>
      <c r="AS546" s="239"/>
      <c r="AT546" s="239"/>
      <c r="AU546" s="239"/>
      <c r="AV546" s="239"/>
      <c r="AW546" s="239"/>
      <c r="AX546" s="239"/>
      <c r="AY546" s="239"/>
      <c r="AZ546" s="239"/>
      <c r="BA546" s="239"/>
      <c r="BB546" s="239"/>
      <c r="BC546" s="239"/>
      <c r="BD546" s="239"/>
      <c r="BE546" s="239"/>
      <c r="BF546" s="239"/>
      <c r="BG546" s="239"/>
      <c r="BH546" s="239"/>
      <c r="BI546" s="239"/>
      <c r="BJ546" s="239"/>
      <c r="BK546" s="239"/>
      <c r="BL546" s="239"/>
      <c r="BM546" s="239"/>
      <c r="BN546" s="239"/>
      <c r="BO546" s="239"/>
      <c r="BP546" s="239"/>
      <c r="BQ546" s="239"/>
      <c r="BR546" s="239"/>
      <c r="BS546" s="239"/>
      <c r="BT546" s="239"/>
      <c r="BU546" s="239"/>
      <c r="BV546" s="239"/>
      <c r="BW546" s="239"/>
      <c r="BX546" s="239"/>
      <c r="BY546" s="239"/>
      <c r="BZ546" s="239"/>
      <c r="CA546" s="239"/>
      <c r="CB546" s="239"/>
      <c r="CC546" s="239"/>
      <c r="CD546" s="239"/>
      <c r="CE546" s="239"/>
      <c r="CF546" s="239"/>
      <c r="CG546" s="239"/>
    </row>
    <row r="547" spans="1:85" ht="15.75" customHeight="1">
      <c r="A547" s="239"/>
      <c r="B547" s="239"/>
      <c r="C547" s="239"/>
      <c r="D547" s="239"/>
      <c r="E547" s="239"/>
      <c r="F547" s="239"/>
      <c r="G547" s="239"/>
      <c r="H547" s="239"/>
      <c r="I547" s="239"/>
      <c r="J547" s="239"/>
      <c r="K547" s="239"/>
      <c r="L547" s="239"/>
      <c r="M547" s="239"/>
      <c r="N547" s="239"/>
      <c r="O547" s="239"/>
      <c r="P547" s="239"/>
      <c r="Q547" s="239"/>
      <c r="R547" s="239"/>
      <c r="S547" s="239"/>
      <c r="T547" s="239"/>
      <c r="U547" s="239"/>
      <c r="V547" s="239"/>
      <c r="W547" s="239"/>
      <c r="X547" s="239"/>
      <c r="Y547" s="239"/>
      <c r="Z547" s="239"/>
      <c r="AA547" s="239"/>
      <c r="AB547" s="239"/>
      <c r="AC547" s="239"/>
      <c r="AD547" s="239"/>
      <c r="AE547" s="239"/>
      <c r="AF547" s="239"/>
      <c r="AG547" s="239"/>
      <c r="AH547" s="239"/>
      <c r="AI547" s="239"/>
      <c r="AJ547" s="239"/>
      <c r="AK547" s="239"/>
      <c r="AL547" s="239"/>
      <c r="AM547" s="239"/>
      <c r="AN547" s="239"/>
      <c r="AO547" s="239"/>
      <c r="AP547" s="239"/>
      <c r="AQ547" s="239"/>
      <c r="AR547" s="239"/>
      <c r="AS547" s="239"/>
      <c r="AT547" s="239"/>
      <c r="AU547" s="239"/>
      <c r="AV547" s="239"/>
      <c r="AW547" s="239"/>
      <c r="AX547" s="239"/>
      <c r="AY547" s="239"/>
      <c r="AZ547" s="239"/>
      <c r="BA547" s="239"/>
      <c r="BB547" s="239"/>
      <c r="BC547" s="239"/>
      <c r="BD547" s="239"/>
      <c r="BE547" s="239"/>
      <c r="BF547" s="239"/>
      <c r="BG547" s="239"/>
      <c r="BH547" s="239"/>
      <c r="BI547" s="239"/>
      <c r="BJ547" s="239"/>
      <c r="BK547" s="239"/>
      <c r="BL547" s="239"/>
      <c r="BM547" s="239"/>
      <c r="BN547" s="239"/>
      <c r="BO547" s="239"/>
      <c r="BP547" s="239"/>
      <c r="BQ547" s="239"/>
      <c r="BR547" s="239"/>
      <c r="BS547" s="239"/>
      <c r="BT547" s="239"/>
      <c r="BU547" s="239"/>
      <c r="BV547" s="239"/>
      <c r="BW547" s="239"/>
      <c r="BX547" s="239"/>
      <c r="BY547" s="239"/>
      <c r="BZ547" s="239"/>
      <c r="CA547" s="239"/>
      <c r="CB547" s="239"/>
      <c r="CC547" s="239"/>
      <c r="CD547" s="239"/>
      <c r="CE547" s="239"/>
      <c r="CF547" s="239"/>
      <c r="CG547" s="239"/>
    </row>
    <row r="548" spans="1:85" ht="15.75" customHeight="1">
      <c r="A548" s="239"/>
      <c r="B548" s="239"/>
      <c r="C548" s="239"/>
      <c r="D548" s="239"/>
      <c r="E548" s="239"/>
      <c r="F548" s="239"/>
      <c r="G548" s="239"/>
      <c r="H548" s="239"/>
      <c r="I548" s="239"/>
      <c r="J548" s="239"/>
      <c r="K548" s="239"/>
      <c r="L548" s="239"/>
      <c r="M548" s="239"/>
      <c r="N548" s="239"/>
      <c r="O548" s="239"/>
      <c r="P548" s="239"/>
      <c r="Q548" s="239"/>
      <c r="R548" s="239"/>
      <c r="S548" s="239"/>
      <c r="T548" s="239"/>
      <c r="U548" s="239"/>
      <c r="V548" s="239"/>
      <c r="W548" s="239"/>
      <c r="X548" s="239"/>
      <c r="Y548" s="239"/>
      <c r="Z548" s="239"/>
      <c r="AA548" s="239"/>
      <c r="AB548" s="239"/>
      <c r="AC548" s="239"/>
      <c r="AD548" s="239"/>
      <c r="AE548" s="239"/>
      <c r="AF548" s="239"/>
      <c r="AG548" s="239"/>
      <c r="AH548" s="239"/>
      <c r="AI548" s="239"/>
      <c r="AJ548" s="239"/>
      <c r="AK548" s="239"/>
      <c r="AL548" s="239"/>
      <c r="AM548" s="239"/>
      <c r="AN548" s="239"/>
      <c r="AO548" s="239"/>
      <c r="AP548" s="239"/>
      <c r="AQ548" s="239"/>
      <c r="AR548" s="239"/>
      <c r="AS548" s="239"/>
      <c r="AT548" s="239"/>
      <c r="AU548" s="239"/>
      <c r="AV548" s="239"/>
      <c r="AW548" s="239"/>
      <c r="AX548" s="239"/>
      <c r="AY548" s="239"/>
      <c r="AZ548" s="239"/>
      <c r="BA548" s="239"/>
      <c r="BB548" s="239"/>
      <c r="BC548" s="239"/>
      <c r="BD548" s="239"/>
      <c r="BE548" s="239"/>
      <c r="BF548" s="239"/>
      <c r="BG548" s="239"/>
      <c r="BH548" s="239"/>
      <c r="BI548" s="239"/>
      <c r="BJ548" s="239"/>
      <c r="BK548" s="239"/>
      <c r="BL548" s="239"/>
      <c r="BM548" s="239"/>
      <c r="BN548" s="239"/>
      <c r="BO548" s="239"/>
      <c r="BP548" s="239"/>
      <c r="BQ548" s="239"/>
      <c r="BR548" s="239"/>
      <c r="BS548" s="239"/>
      <c r="BT548" s="239"/>
      <c r="BU548" s="239"/>
      <c r="BV548" s="239"/>
      <c r="BW548" s="239"/>
      <c r="BX548" s="239"/>
      <c r="BY548" s="239"/>
      <c r="BZ548" s="239"/>
      <c r="CA548" s="239"/>
      <c r="CB548" s="239"/>
      <c r="CC548" s="239"/>
      <c r="CD548" s="239"/>
      <c r="CE548" s="239"/>
      <c r="CF548" s="239"/>
      <c r="CG548" s="239"/>
    </row>
    <row r="549" spans="1:85" ht="15.75" customHeight="1">
      <c r="A549" s="239"/>
      <c r="B549" s="239"/>
      <c r="C549" s="239"/>
      <c r="D549" s="239"/>
      <c r="E549" s="239"/>
      <c r="F549" s="239"/>
      <c r="G549" s="239"/>
      <c r="H549" s="239"/>
      <c r="I549" s="239"/>
      <c r="J549" s="239"/>
      <c r="K549" s="239"/>
      <c r="L549" s="239"/>
      <c r="M549" s="239"/>
      <c r="N549" s="239"/>
      <c r="O549" s="239"/>
      <c r="P549" s="239"/>
      <c r="Q549" s="239"/>
      <c r="R549" s="239"/>
      <c r="S549" s="239"/>
      <c r="T549" s="239"/>
      <c r="U549" s="239"/>
      <c r="V549" s="239"/>
      <c r="W549" s="239"/>
      <c r="X549" s="239"/>
      <c r="Y549" s="239"/>
      <c r="Z549" s="239"/>
      <c r="AA549" s="239"/>
      <c r="AB549" s="239"/>
      <c r="AC549" s="239"/>
      <c r="AD549" s="239"/>
      <c r="AE549" s="239"/>
      <c r="AF549" s="239"/>
      <c r="AG549" s="239"/>
      <c r="AH549" s="239"/>
      <c r="AI549" s="239"/>
      <c r="AJ549" s="239"/>
      <c r="AK549" s="239"/>
      <c r="AL549" s="239"/>
      <c r="AM549" s="239"/>
      <c r="AN549" s="239"/>
      <c r="AO549" s="239"/>
      <c r="AP549" s="239"/>
      <c r="AQ549" s="239"/>
      <c r="AR549" s="239"/>
      <c r="AS549" s="239"/>
      <c r="AT549" s="239"/>
      <c r="AU549" s="239"/>
      <c r="AV549" s="239"/>
      <c r="AW549" s="239"/>
      <c r="AX549" s="239"/>
      <c r="AY549" s="239"/>
      <c r="AZ549" s="239"/>
      <c r="BA549" s="239"/>
      <c r="BB549" s="239"/>
      <c r="BC549" s="239"/>
      <c r="BD549" s="239"/>
      <c r="BE549" s="239"/>
      <c r="BF549" s="239"/>
      <c r="BG549" s="239"/>
      <c r="BH549" s="239"/>
      <c r="BI549" s="239"/>
      <c r="BJ549" s="239"/>
      <c r="BK549" s="239"/>
      <c r="BL549" s="239"/>
      <c r="BM549" s="239"/>
      <c r="BN549" s="239"/>
      <c r="BO549" s="239"/>
      <c r="BP549" s="239"/>
      <c r="BQ549" s="239"/>
      <c r="BR549" s="239"/>
      <c r="BS549" s="239"/>
      <c r="BT549" s="239"/>
      <c r="BU549" s="239"/>
      <c r="BV549" s="239"/>
      <c r="BW549" s="239"/>
      <c r="BX549" s="239"/>
      <c r="BY549" s="239"/>
      <c r="BZ549" s="239"/>
      <c r="CA549" s="239"/>
      <c r="CB549" s="239"/>
      <c r="CC549" s="239"/>
      <c r="CD549" s="239"/>
      <c r="CE549" s="239"/>
      <c r="CF549" s="239"/>
      <c r="CG549" s="239"/>
    </row>
    <row r="550" spans="1:85" ht="15.75" customHeight="1">
      <c r="A550" s="239"/>
      <c r="B550" s="239"/>
      <c r="C550" s="239"/>
      <c r="D550" s="239"/>
      <c r="E550" s="239"/>
      <c r="F550" s="239"/>
      <c r="G550" s="239"/>
      <c r="H550" s="239"/>
      <c r="I550" s="239"/>
      <c r="J550" s="239"/>
      <c r="K550" s="239"/>
      <c r="L550" s="239"/>
      <c r="M550" s="239"/>
      <c r="N550" s="239"/>
      <c r="O550" s="239"/>
      <c r="P550" s="239"/>
      <c r="Q550" s="239"/>
      <c r="R550" s="239"/>
      <c r="S550" s="239"/>
      <c r="T550" s="239"/>
      <c r="U550" s="239"/>
      <c r="V550" s="239"/>
      <c r="W550" s="239"/>
      <c r="X550" s="239"/>
      <c r="Y550" s="239"/>
      <c r="Z550" s="239"/>
      <c r="AA550" s="239"/>
      <c r="AB550" s="239"/>
      <c r="AC550" s="239"/>
      <c r="AD550" s="239"/>
      <c r="AE550" s="239"/>
      <c r="AF550" s="239"/>
      <c r="AG550" s="239"/>
      <c r="AH550" s="239"/>
      <c r="AI550" s="239"/>
      <c r="AJ550" s="239"/>
      <c r="AK550" s="239"/>
      <c r="AL550" s="239"/>
      <c r="AM550" s="239"/>
      <c r="AN550" s="239"/>
      <c r="AO550" s="239"/>
      <c r="AP550" s="239"/>
      <c r="AQ550" s="239"/>
      <c r="AR550" s="239"/>
      <c r="AS550" s="239"/>
      <c r="AT550" s="239"/>
      <c r="AU550" s="239"/>
      <c r="AV550" s="239"/>
      <c r="AW550" s="239"/>
      <c r="AX550" s="239"/>
      <c r="AY550" s="239"/>
      <c r="AZ550" s="239"/>
      <c r="BA550" s="239"/>
      <c r="BB550" s="239"/>
      <c r="BC550" s="239"/>
      <c r="BD550" s="239"/>
      <c r="BE550" s="239"/>
      <c r="BF550" s="239"/>
      <c r="BG550" s="239"/>
      <c r="BH550" s="239"/>
      <c r="BI550" s="239"/>
      <c r="BJ550" s="239"/>
      <c r="BK550" s="239"/>
      <c r="BL550" s="239"/>
      <c r="BM550" s="239"/>
      <c r="BN550" s="239"/>
      <c r="BO550" s="239"/>
      <c r="BP550" s="239"/>
      <c r="BQ550" s="239"/>
      <c r="BR550" s="239"/>
      <c r="BS550" s="239"/>
      <c r="BT550" s="239"/>
      <c r="BU550" s="239"/>
      <c r="BV550" s="239"/>
      <c r="BW550" s="239"/>
      <c r="BX550" s="239"/>
      <c r="BY550" s="239"/>
      <c r="BZ550" s="239"/>
      <c r="CA550" s="239"/>
      <c r="CB550" s="239"/>
      <c r="CC550" s="239"/>
      <c r="CD550" s="239"/>
      <c r="CE550" s="239"/>
      <c r="CF550" s="239"/>
      <c r="CG550" s="239"/>
    </row>
    <row r="551" spans="1:85" ht="15.75" customHeight="1">
      <c r="A551" s="239"/>
      <c r="B551" s="239"/>
      <c r="C551" s="239"/>
      <c r="D551" s="239"/>
      <c r="E551" s="239"/>
      <c r="F551" s="239"/>
      <c r="G551" s="239"/>
      <c r="H551" s="239"/>
      <c r="I551" s="239"/>
      <c r="J551" s="239"/>
      <c r="K551" s="239"/>
      <c r="L551" s="239"/>
      <c r="M551" s="239"/>
      <c r="N551" s="239"/>
      <c r="O551" s="239"/>
      <c r="P551" s="239"/>
      <c r="Q551" s="239"/>
      <c r="R551" s="239"/>
      <c r="S551" s="239"/>
      <c r="T551" s="239"/>
      <c r="U551" s="239"/>
      <c r="V551" s="239"/>
      <c r="W551" s="239"/>
      <c r="X551" s="239"/>
      <c r="Y551" s="239"/>
      <c r="Z551" s="239"/>
      <c r="AA551" s="239"/>
      <c r="AB551" s="239"/>
      <c r="AC551" s="239"/>
      <c r="AD551" s="239"/>
      <c r="AE551" s="239"/>
      <c r="AF551" s="239"/>
      <c r="AG551" s="239"/>
      <c r="AH551" s="239"/>
      <c r="AI551" s="239"/>
      <c r="AJ551" s="239"/>
      <c r="AK551" s="239"/>
      <c r="AL551" s="239"/>
      <c r="AM551" s="239"/>
      <c r="AN551" s="239"/>
      <c r="AO551" s="239"/>
      <c r="AP551" s="239"/>
      <c r="AQ551" s="239"/>
      <c r="AR551" s="239"/>
      <c r="AS551" s="239"/>
      <c r="AT551" s="239"/>
      <c r="AU551" s="239"/>
      <c r="AV551" s="239"/>
      <c r="AW551" s="239"/>
      <c r="AX551" s="239"/>
      <c r="AY551" s="239"/>
      <c r="AZ551" s="239"/>
      <c r="BA551" s="239"/>
      <c r="BB551" s="239"/>
      <c r="BC551" s="239"/>
      <c r="BD551" s="239"/>
      <c r="BE551" s="239"/>
      <c r="BF551" s="239"/>
      <c r="BG551" s="239"/>
      <c r="BH551" s="239"/>
      <c r="BI551" s="239"/>
      <c r="BJ551" s="239"/>
      <c r="BK551" s="239"/>
      <c r="BL551" s="239"/>
      <c r="BM551" s="239"/>
      <c r="BN551" s="239"/>
      <c r="BO551" s="239"/>
      <c r="BP551" s="239"/>
      <c r="BQ551" s="239"/>
      <c r="BR551" s="239"/>
      <c r="BS551" s="239"/>
      <c r="BT551" s="239"/>
      <c r="BU551" s="239"/>
      <c r="BV551" s="239"/>
      <c r="BW551" s="239"/>
      <c r="BX551" s="239"/>
      <c r="BY551" s="239"/>
      <c r="BZ551" s="239"/>
      <c r="CA551" s="239"/>
      <c r="CB551" s="239"/>
      <c r="CC551" s="239"/>
      <c r="CD551" s="239"/>
      <c r="CE551" s="239"/>
      <c r="CF551" s="239"/>
      <c r="CG551" s="239"/>
    </row>
    <row r="552" spans="1:85" ht="15.75" customHeight="1">
      <c r="A552" s="239"/>
      <c r="B552" s="239"/>
      <c r="C552" s="239"/>
      <c r="D552" s="239"/>
      <c r="E552" s="239"/>
      <c r="F552" s="239"/>
      <c r="G552" s="239"/>
      <c r="H552" s="239"/>
      <c r="I552" s="239"/>
      <c r="J552" s="239"/>
      <c r="K552" s="239"/>
      <c r="L552" s="239"/>
      <c r="M552" s="239"/>
      <c r="N552" s="239"/>
      <c r="O552" s="239"/>
      <c r="P552" s="239"/>
      <c r="Q552" s="239"/>
      <c r="R552" s="239"/>
      <c r="S552" s="239"/>
      <c r="T552" s="239"/>
      <c r="U552" s="239"/>
      <c r="V552" s="239"/>
      <c r="W552" s="239"/>
      <c r="X552" s="239"/>
      <c r="Y552" s="239"/>
      <c r="Z552" s="239"/>
      <c r="AA552" s="239"/>
      <c r="AB552" s="239"/>
      <c r="AC552" s="239"/>
      <c r="AD552" s="239"/>
      <c r="AE552" s="239"/>
      <c r="AF552" s="239"/>
      <c r="AG552" s="239"/>
      <c r="AH552" s="239"/>
      <c r="AI552" s="239"/>
      <c r="AJ552" s="239"/>
      <c r="AK552" s="239"/>
      <c r="AL552" s="239"/>
      <c r="AM552" s="239"/>
      <c r="AN552" s="239"/>
      <c r="AO552" s="239"/>
      <c r="AP552" s="239"/>
      <c r="AQ552" s="239"/>
      <c r="AR552" s="239"/>
      <c r="AS552" s="239"/>
      <c r="AT552" s="239"/>
      <c r="AU552" s="239"/>
      <c r="AV552" s="239"/>
      <c r="AW552" s="239"/>
      <c r="AX552" s="239"/>
      <c r="AY552" s="239"/>
      <c r="AZ552" s="239"/>
      <c r="BA552" s="239"/>
      <c r="BB552" s="239"/>
      <c r="BC552" s="239"/>
      <c r="BD552" s="239"/>
      <c r="BE552" s="239"/>
      <c r="BF552" s="239"/>
      <c r="BG552" s="239"/>
      <c r="BH552" s="239"/>
      <c r="BI552" s="239"/>
      <c r="BJ552" s="239"/>
      <c r="BK552" s="239"/>
      <c r="BL552" s="239"/>
      <c r="BM552" s="239"/>
      <c r="BN552" s="239"/>
      <c r="BO552" s="239"/>
      <c r="BP552" s="239"/>
      <c r="BQ552" s="239"/>
      <c r="BR552" s="239"/>
      <c r="BS552" s="239"/>
      <c r="BT552" s="239"/>
      <c r="BU552" s="239"/>
      <c r="BV552" s="239"/>
      <c r="BW552" s="239"/>
      <c r="BX552" s="239"/>
      <c r="BY552" s="239"/>
      <c r="BZ552" s="239"/>
      <c r="CA552" s="239"/>
      <c r="CB552" s="239"/>
      <c r="CC552" s="239"/>
      <c r="CD552" s="239"/>
      <c r="CE552" s="239"/>
      <c r="CF552" s="239"/>
      <c r="CG552" s="239"/>
    </row>
    <row r="553" spans="1:85" ht="15.75" customHeight="1">
      <c r="A553" s="239"/>
      <c r="B553" s="239"/>
      <c r="C553" s="239"/>
      <c r="D553" s="239"/>
      <c r="E553" s="239"/>
      <c r="F553" s="239"/>
      <c r="G553" s="239"/>
      <c r="H553" s="239"/>
      <c r="I553" s="239"/>
      <c r="J553" s="239"/>
      <c r="K553" s="239"/>
      <c r="L553" s="239"/>
      <c r="M553" s="239"/>
      <c r="N553" s="239"/>
      <c r="O553" s="239"/>
      <c r="P553" s="239"/>
      <c r="Q553" s="239"/>
      <c r="R553" s="239"/>
      <c r="S553" s="239"/>
      <c r="T553" s="239"/>
      <c r="U553" s="239"/>
      <c r="V553" s="239"/>
      <c r="W553" s="239"/>
      <c r="X553" s="239"/>
      <c r="Y553" s="239"/>
      <c r="Z553" s="239"/>
      <c r="AA553" s="239"/>
      <c r="AB553" s="239"/>
      <c r="AC553" s="239"/>
      <c r="AD553" s="239"/>
      <c r="AE553" s="239"/>
      <c r="AF553" s="239"/>
      <c r="AG553" s="239"/>
      <c r="AH553" s="239"/>
      <c r="AI553" s="239"/>
      <c r="AJ553" s="239"/>
      <c r="AK553" s="239"/>
      <c r="AL553" s="239"/>
      <c r="AM553" s="239"/>
      <c r="AN553" s="239"/>
      <c r="AO553" s="239"/>
      <c r="AP553" s="239"/>
      <c r="AQ553" s="239"/>
      <c r="AR553" s="239"/>
      <c r="AS553" s="239"/>
      <c r="AT553" s="239"/>
      <c r="AU553" s="239"/>
      <c r="AV553" s="239"/>
      <c r="AW553" s="239"/>
      <c r="AX553" s="239"/>
      <c r="AY553" s="239"/>
      <c r="AZ553" s="239"/>
      <c r="BA553" s="239"/>
      <c r="BB553" s="239"/>
      <c r="BC553" s="239"/>
      <c r="BD553" s="239"/>
      <c r="BE553" s="239"/>
      <c r="BF553" s="239"/>
      <c r="BG553" s="239"/>
      <c r="BH553" s="239"/>
      <c r="BI553" s="239"/>
      <c r="BJ553" s="239"/>
      <c r="BK553" s="239"/>
      <c r="BL553" s="239"/>
      <c r="BM553" s="239"/>
      <c r="BN553" s="239"/>
      <c r="BO553" s="239"/>
      <c r="BP553" s="239"/>
      <c r="BQ553" s="239"/>
      <c r="BR553" s="239"/>
      <c r="BS553" s="239"/>
      <c r="BT553" s="239"/>
      <c r="BU553" s="239"/>
      <c r="BV553" s="239"/>
      <c r="BW553" s="239"/>
      <c r="BX553" s="239"/>
      <c r="BY553" s="239"/>
      <c r="BZ553" s="239"/>
      <c r="CA553" s="239"/>
      <c r="CB553" s="239"/>
      <c r="CC553" s="239"/>
      <c r="CD553" s="239"/>
      <c r="CE553" s="239"/>
      <c r="CF553" s="239"/>
      <c r="CG553" s="239"/>
    </row>
    <row r="554" spans="1:85" ht="15.75" customHeight="1">
      <c r="A554" s="239"/>
      <c r="B554" s="239"/>
      <c r="C554" s="239"/>
      <c r="D554" s="239"/>
      <c r="E554" s="239"/>
      <c r="F554" s="239"/>
      <c r="G554" s="239"/>
      <c r="H554" s="239"/>
      <c r="I554" s="239"/>
      <c r="J554" s="239"/>
      <c r="K554" s="239"/>
      <c r="L554" s="239"/>
      <c r="M554" s="239"/>
      <c r="N554" s="239"/>
      <c r="O554" s="239"/>
      <c r="P554" s="239"/>
      <c r="Q554" s="239"/>
      <c r="R554" s="239"/>
      <c r="S554" s="239"/>
      <c r="T554" s="239"/>
      <c r="U554" s="239"/>
      <c r="V554" s="239"/>
      <c r="W554" s="239"/>
      <c r="X554" s="239"/>
      <c r="Y554" s="239"/>
      <c r="Z554" s="239"/>
      <c r="AA554" s="239"/>
      <c r="AB554" s="239"/>
      <c r="AC554" s="239"/>
      <c r="AD554" s="239"/>
      <c r="AE554" s="239"/>
      <c r="AF554" s="239"/>
      <c r="AG554" s="239"/>
      <c r="AH554" s="239"/>
      <c r="AI554" s="239"/>
      <c r="AJ554" s="239"/>
      <c r="AK554" s="239"/>
      <c r="AL554" s="239"/>
      <c r="AM554" s="239"/>
      <c r="AN554" s="239"/>
      <c r="AO554" s="239"/>
      <c r="AP554" s="239"/>
      <c r="AQ554" s="239"/>
      <c r="AR554" s="239"/>
      <c r="AS554" s="239"/>
      <c r="AT554" s="239"/>
      <c r="AU554" s="239"/>
      <c r="AV554" s="239"/>
      <c r="AW554" s="239"/>
      <c r="AX554" s="239"/>
      <c r="AY554" s="239"/>
      <c r="AZ554" s="239"/>
      <c r="BA554" s="239"/>
      <c r="BB554" s="239"/>
      <c r="BC554" s="239"/>
      <c r="BD554" s="239"/>
      <c r="BE554" s="239"/>
      <c r="BF554" s="239"/>
      <c r="BG554" s="239"/>
      <c r="BH554" s="239"/>
      <c r="BI554" s="239"/>
      <c r="BJ554" s="239"/>
      <c r="BK554" s="239"/>
      <c r="BL554" s="239"/>
      <c r="BM554" s="239"/>
      <c r="BN554" s="239"/>
      <c r="BO554" s="239"/>
      <c r="BP554" s="239"/>
      <c r="BQ554" s="239"/>
      <c r="BR554" s="239"/>
      <c r="BS554" s="239"/>
      <c r="BT554" s="239"/>
      <c r="BU554" s="239"/>
      <c r="BV554" s="239"/>
      <c r="BW554" s="239"/>
      <c r="BX554" s="239"/>
      <c r="BY554" s="239"/>
      <c r="BZ554" s="239"/>
      <c r="CA554" s="239"/>
      <c r="CB554" s="239"/>
      <c r="CC554" s="239"/>
      <c r="CD554" s="239"/>
      <c r="CE554" s="239"/>
      <c r="CF554" s="239"/>
      <c r="CG554" s="239"/>
    </row>
    <row r="555" spans="1:85" ht="15.75" customHeight="1">
      <c r="A555" s="239"/>
      <c r="B555" s="239"/>
      <c r="C555" s="239"/>
      <c r="D555" s="239"/>
      <c r="E555" s="239"/>
      <c r="F555" s="239"/>
      <c r="G555" s="239"/>
      <c r="H555" s="239"/>
      <c r="I555" s="239"/>
      <c r="J555" s="239"/>
      <c r="K555" s="239"/>
      <c r="L555" s="239"/>
      <c r="M555" s="239"/>
      <c r="N555" s="239"/>
      <c r="O555" s="239"/>
      <c r="P555" s="239"/>
      <c r="Q555" s="239"/>
      <c r="R555" s="239"/>
      <c r="S555" s="239"/>
      <c r="T555" s="239"/>
      <c r="U555" s="239"/>
      <c r="V555" s="239"/>
      <c r="W555" s="239"/>
      <c r="X555" s="239"/>
      <c r="Y555" s="239"/>
      <c r="Z555" s="239"/>
      <c r="AA555" s="239"/>
      <c r="AB555" s="239"/>
      <c r="AC555" s="239"/>
      <c r="AD555" s="239"/>
      <c r="AE555" s="239"/>
      <c r="AF555" s="239"/>
      <c r="AG555" s="239"/>
      <c r="AH555" s="239"/>
      <c r="AI555" s="239"/>
      <c r="AJ555" s="239"/>
      <c r="AK555" s="239"/>
      <c r="AL555" s="239"/>
      <c r="AM555" s="239"/>
      <c r="AN555" s="239"/>
      <c r="AO555" s="239"/>
      <c r="AP555" s="239"/>
      <c r="AQ555" s="239"/>
      <c r="AR555" s="239"/>
      <c r="AS555" s="239"/>
      <c r="AT555" s="239"/>
      <c r="AU555" s="239"/>
      <c r="AV555" s="239"/>
      <c r="AW555" s="239"/>
      <c r="AX555" s="239"/>
      <c r="AY555" s="239"/>
      <c r="AZ555" s="239"/>
      <c r="BA555" s="239"/>
      <c r="BB555" s="239"/>
      <c r="BC555" s="239"/>
      <c r="BD555" s="239"/>
      <c r="BE555" s="239"/>
      <c r="BF555" s="239"/>
      <c r="BG555" s="239"/>
      <c r="BH555" s="239"/>
      <c r="BI555" s="239"/>
      <c r="BJ555" s="239"/>
      <c r="BK555" s="239"/>
      <c r="BL555" s="239"/>
      <c r="BM555" s="239"/>
      <c r="BN555" s="239"/>
      <c r="BO555" s="239"/>
      <c r="BP555" s="239"/>
      <c r="BQ555" s="239"/>
      <c r="BR555" s="239"/>
      <c r="BS555" s="239"/>
      <c r="BT555" s="239"/>
      <c r="BU555" s="239"/>
      <c r="BV555" s="239"/>
      <c r="BW555" s="239"/>
      <c r="BX555" s="239"/>
      <c r="BY555" s="239"/>
      <c r="BZ555" s="239"/>
      <c r="CA555" s="239"/>
      <c r="CB555" s="239"/>
      <c r="CC555" s="239"/>
      <c r="CD555" s="239"/>
      <c r="CE555" s="239"/>
      <c r="CF555" s="239"/>
      <c r="CG555" s="239"/>
    </row>
    <row r="556" spans="1:85" ht="15.75" customHeight="1">
      <c r="A556" s="239"/>
      <c r="B556" s="239"/>
      <c r="C556" s="239"/>
      <c r="D556" s="239"/>
      <c r="E556" s="239"/>
      <c r="F556" s="239"/>
      <c r="G556" s="239"/>
      <c r="H556" s="239"/>
      <c r="I556" s="239"/>
      <c r="J556" s="239"/>
      <c r="K556" s="239"/>
      <c r="L556" s="239"/>
      <c r="M556" s="239"/>
      <c r="N556" s="239"/>
      <c r="O556" s="239"/>
      <c r="P556" s="239"/>
      <c r="Q556" s="239"/>
      <c r="R556" s="239"/>
      <c r="S556" s="239"/>
      <c r="T556" s="239"/>
      <c r="U556" s="239"/>
      <c r="V556" s="239"/>
      <c r="W556" s="239"/>
      <c r="X556" s="239"/>
      <c r="Y556" s="239"/>
      <c r="Z556" s="239"/>
      <c r="AA556" s="239"/>
      <c r="AB556" s="239"/>
      <c r="AC556" s="239"/>
      <c r="AD556" s="239"/>
      <c r="AE556" s="239"/>
      <c r="AF556" s="239"/>
      <c r="AG556" s="239"/>
      <c r="AH556" s="239"/>
      <c r="AI556" s="239"/>
      <c r="AJ556" s="239"/>
      <c r="AK556" s="239"/>
      <c r="AL556" s="239"/>
      <c r="AM556" s="239"/>
      <c r="AN556" s="239"/>
      <c r="AO556" s="239"/>
      <c r="AP556" s="239"/>
      <c r="AQ556" s="239"/>
      <c r="AR556" s="239"/>
      <c r="AS556" s="239"/>
      <c r="AT556" s="239"/>
      <c r="AU556" s="239"/>
      <c r="AV556" s="239"/>
      <c r="AW556" s="239"/>
      <c r="AX556" s="239"/>
      <c r="AY556" s="239"/>
      <c r="AZ556" s="239"/>
      <c r="BA556" s="239"/>
      <c r="BB556" s="239"/>
      <c r="BC556" s="239"/>
      <c r="BD556" s="239"/>
      <c r="BE556" s="239"/>
      <c r="BF556" s="239"/>
      <c r="BG556" s="239"/>
      <c r="BH556" s="239"/>
      <c r="BI556" s="239"/>
      <c r="BJ556" s="239"/>
      <c r="BK556" s="239"/>
      <c r="BL556" s="239"/>
      <c r="BM556" s="239"/>
      <c r="BN556" s="239"/>
      <c r="BO556" s="239"/>
      <c r="BP556" s="239"/>
      <c r="BQ556" s="239"/>
      <c r="BR556" s="239"/>
      <c r="BS556" s="239"/>
      <c r="BT556" s="239"/>
      <c r="BU556" s="239"/>
      <c r="BV556" s="239"/>
      <c r="BW556" s="239"/>
      <c r="BX556" s="239"/>
      <c r="BY556" s="239"/>
      <c r="BZ556" s="239"/>
      <c r="CA556" s="239"/>
      <c r="CB556" s="239"/>
      <c r="CC556" s="239"/>
      <c r="CD556" s="239"/>
      <c r="CE556" s="239"/>
      <c r="CF556" s="239"/>
      <c r="CG556" s="239"/>
    </row>
    <row r="557" spans="1:85" ht="15.75" customHeight="1">
      <c r="A557" s="239"/>
      <c r="B557" s="239"/>
      <c r="C557" s="239"/>
      <c r="D557" s="239"/>
      <c r="E557" s="239"/>
      <c r="F557" s="239"/>
      <c r="G557" s="239"/>
      <c r="H557" s="239"/>
      <c r="I557" s="239"/>
      <c r="J557" s="239"/>
      <c r="K557" s="239"/>
      <c r="L557" s="239"/>
      <c r="M557" s="239"/>
      <c r="N557" s="239"/>
      <c r="O557" s="239"/>
      <c r="P557" s="239"/>
      <c r="Q557" s="239"/>
      <c r="R557" s="239"/>
      <c r="S557" s="239"/>
      <c r="T557" s="239"/>
      <c r="U557" s="239"/>
      <c r="V557" s="239"/>
      <c r="W557" s="239"/>
      <c r="X557" s="239"/>
      <c r="Y557" s="239"/>
      <c r="Z557" s="239"/>
      <c r="AA557" s="239"/>
      <c r="AB557" s="239"/>
      <c r="AC557" s="239"/>
      <c r="AD557" s="239"/>
      <c r="AE557" s="239"/>
      <c r="AF557" s="239"/>
      <c r="AG557" s="239"/>
      <c r="AH557" s="239"/>
      <c r="AI557" s="239"/>
      <c r="AJ557" s="239"/>
      <c r="AK557" s="239"/>
      <c r="AL557" s="239"/>
      <c r="AM557" s="239"/>
      <c r="AN557" s="239"/>
      <c r="AO557" s="239"/>
      <c r="AP557" s="239"/>
      <c r="AQ557" s="239"/>
      <c r="AR557" s="239"/>
      <c r="AS557" s="239"/>
      <c r="AT557" s="239"/>
      <c r="AU557" s="239"/>
      <c r="AV557" s="239"/>
      <c r="AW557" s="239"/>
      <c r="AX557" s="239"/>
      <c r="AY557" s="239"/>
      <c r="AZ557" s="239"/>
      <c r="BA557" s="239"/>
      <c r="BB557" s="239"/>
      <c r="BC557" s="239"/>
      <c r="BD557" s="239"/>
      <c r="BE557" s="239"/>
      <c r="BF557" s="239"/>
      <c r="BG557" s="239"/>
      <c r="BH557" s="239"/>
      <c r="BI557" s="239"/>
      <c r="BJ557" s="239"/>
      <c r="BK557" s="239"/>
      <c r="BL557" s="239"/>
      <c r="BM557" s="239"/>
      <c r="BN557" s="239"/>
      <c r="BO557" s="239"/>
      <c r="BP557" s="239"/>
      <c r="BQ557" s="239"/>
      <c r="BR557" s="239"/>
      <c r="BS557" s="239"/>
      <c r="BT557" s="239"/>
      <c r="BU557" s="239"/>
      <c r="BV557" s="239"/>
      <c r="BW557" s="239"/>
      <c r="BX557" s="239"/>
      <c r="BY557" s="239"/>
      <c r="BZ557" s="239"/>
      <c r="CA557" s="239"/>
      <c r="CB557" s="239"/>
      <c r="CC557" s="239"/>
      <c r="CD557" s="239"/>
      <c r="CE557" s="239"/>
      <c r="CF557" s="239"/>
      <c r="CG557" s="239"/>
    </row>
    <row r="558" spans="1:85" ht="15.75" customHeight="1">
      <c r="A558" s="239"/>
      <c r="B558" s="239"/>
      <c r="C558" s="239"/>
      <c r="D558" s="239"/>
      <c r="E558" s="239"/>
      <c r="F558" s="239"/>
      <c r="G558" s="239"/>
      <c r="H558" s="239"/>
      <c r="I558" s="239"/>
      <c r="J558" s="239"/>
      <c r="K558" s="239"/>
      <c r="L558" s="239"/>
      <c r="M558" s="239"/>
      <c r="N558" s="239"/>
      <c r="O558" s="239"/>
      <c r="P558" s="239"/>
      <c r="Q558" s="239"/>
      <c r="R558" s="239"/>
      <c r="S558" s="239"/>
      <c r="T558" s="239"/>
      <c r="U558" s="239"/>
      <c r="V558" s="239"/>
      <c r="W558" s="239"/>
      <c r="X558" s="239"/>
      <c r="Y558" s="239"/>
      <c r="Z558" s="239"/>
      <c r="AA558" s="239"/>
      <c r="AB558" s="239"/>
      <c r="AC558" s="239"/>
      <c r="AD558" s="239"/>
      <c r="AE558" s="239"/>
      <c r="AF558" s="239"/>
      <c r="AG558" s="239"/>
      <c r="AH558" s="239"/>
      <c r="AI558" s="239"/>
      <c r="AJ558" s="239"/>
      <c r="AK558" s="239"/>
      <c r="AL558" s="239"/>
      <c r="AM558" s="239"/>
      <c r="AN558" s="239"/>
      <c r="AO558" s="239"/>
      <c r="AP558" s="239"/>
      <c r="AQ558" s="239"/>
      <c r="AR558" s="239"/>
      <c r="AS558" s="239"/>
      <c r="AT558" s="239"/>
      <c r="AU558" s="239"/>
      <c r="AV558" s="239"/>
      <c r="AW558" s="239"/>
      <c r="AX558" s="239"/>
      <c r="AY558" s="239"/>
      <c r="AZ558" s="239"/>
      <c r="BA558" s="239"/>
      <c r="BB558" s="239"/>
      <c r="BC558" s="239"/>
      <c r="BD558" s="239"/>
      <c r="BE558" s="239"/>
      <c r="BF558" s="239"/>
      <c r="BG558" s="239"/>
      <c r="BH558" s="239"/>
      <c r="BI558" s="239"/>
      <c r="BJ558" s="239"/>
      <c r="BK558" s="239"/>
      <c r="BL558" s="239"/>
      <c r="BM558" s="239"/>
      <c r="BN558" s="239"/>
      <c r="BO558" s="239"/>
      <c r="BP558" s="239"/>
      <c r="BQ558" s="239"/>
      <c r="BR558" s="239"/>
      <c r="BS558" s="239"/>
      <c r="BT558" s="239"/>
      <c r="BU558" s="239"/>
      <c r="BV558" s="239"/>
      <c r="BW558" s="239"/>
      <c r="BX558" s="239"/>
      <c r="BY558" s="239"/>
      <c r="BZ558" s="239"/>
      <c r="CA558" s="239"/>
      <c r="CB558" s="239"/>
      <c r="CC558" s="239"/>
      <c r="CD558" s="239"/>
      <c r="CE558" s="239"/>
      <c r="CF558" s="239"/>
      <c r="CG558" s="239"/>
    </row>
    <row r="559" spans="1:85" ht="15.75" customHeight="1">
      <c r="A559" s="239"/>
      <c r="B559" s="239"/>
      <c r="C559" s="239"/>
      <c r="D559" s="239"/>
      <c r="E559" s="239"/>
      <c r="F559" s="239"/>
      <c r="G559" s="239"/>
      <c r="H559" s="239"/>
      <c r="I559" s="239"/>
      <c r="J559" s="239"/>
      <c r="K559" s="239"/>
      <c r="L559" s="239"/>
      <c r="M559" s="239"/>
      <c r="N559" s="239"/>
      <c r="O559" s="239"/>
      <c r="P559" s="239"/>
      <c r="Q559" s="239"/>
      <c r="R559" s="239"/>
      <c r="S559" s="239"/>
      <c r="T559" s="239"/>
      <c r="U559" s="239"/>
      <c r="V559" s="239"/>
      <c r="W559" s="239"/>
      <c r="X559" s="239"/>
      <c r="Y559" s="239"/>
      <c r="Z559" s="239"/>
      <c r="AA559" s="239"/>
      <c r="AB559" s="239"/>
      <c r="AC559" s="239"/>
      <c r="AD559" s="239"/>
      <c r="AE559" s="239"/>
      <c r="AF559" s="239"/>
      <c r="AG559" s="239"/>
      <c r="AH559" s="239"/>
      <c r="AI559" s="239"/>
      <c r="AJ559" s="239"/>
      <c r="AK559" s="239"/>
      <c r="AL559" s="239"/>
      <c r="AM559" s="239"/>
      <c r="AN559" s="239"/>
      <c r="AO559" s="239"/>
      <c r="AP559" s="239"/>
      <c r="AQ559" s="239"/>
      <c r="AR559" s="239"/>
      <c r="AS559" s="239"/>
      <c r="AT559" s="239"/>
      <c r="AU559" s="239"/>
      <c r="AV559" s="239"/>
      <c r="AW559" s="239"/>
      <c r="AX559" s="239"/>
      <c r="AY559" s="239"/>
      <c r="AZ559" s="239"/>
      <c r="BA559" s="239"/>
      <c r="BB559" s="239"/>
      <c r="BC559" s="239"/>
      <c r="BD559" s="239"/>
      <c r="BE559" s="239"/>
      <c r="BF559" s="239"/>
      <c r="BG559" s="239"/>
      <c r="BH559" s="239"/>
      <c r="BI559" s="239"/>
      <c r="BJ559" s="239"/>
      <c r="BK559" s="239"/>
      <c r="BL559" s="239"/>
      <c r="BM559" s="239"/>
      <c r="BN559" s="239"/>
      <c r="BO559" s="239"/>
      <c r="BP559" s="239"/>
      <c r="BQ559" s="239"/>
      <c r="BR559" s="239"/>
      <c r="BS559" s="239"/>
      <c r="BT559" s="239"/>
      <c r="BU559" s="239"/>
      <c r="BV559" s="239"/>
      <c r="BW559" s="239"/>
      <c r="BX559" s="239"/>
      <c r="BY559" s="239"/>
      <c r="BZ559" s="239"/>
      <c r="CA559" s="239"/>
      <c r="CB559" s="239"/>
      <c r="CC559" s="239"/>
      <c r="CD559" s="239"/>
      <c r="CE559" s="239"/>
      <c r="CF559" s="239"/>
      <c r="CG559" s="239"/>
    </row>
    <row r="560" spans="1:85" ht="15.75" customHeight="1">
      <c r="A560" s="239"/>
      <c r="B560" s="239"/>
      <c r="C560" s="239"/>
      <c r="D560" s="239"/>
      <c r="E560" s="239"/>
      <c r="F560" s="239"/>
      <c r="G560" s="239"/>
      <c r="H560" s="239"/>
      <c r="I560" s="239"/>
      <c r="J560" s="239"/>
      <c r="K560" s="239"/>
      <c r="L560" s="239"/>
      <c r="M560" s="239"/>
      <c r="N560" s="239"/>
      <c r="O560" s="239"/>
      <c r="P560" s="239"/>
      <c r="Q560" s="239"/>
      <c r="R560" s="239"/>
      <c r="S560" s="239"/>
      <c r="T560" s="239"/>
      <c r="U560" s="239"/>
      <c r="V560" s="239"/>
      <c r="W560" s="239"/>
      <c r="X560" s="239"/>
      <c r="Y560" s="239"/>
      <c r="Z560" s="239"/>
      <c r="AA560" s="239"/>
      <c r="AB560" s="239"/>
      <c r="AC560" s="239"/>
      <c r="AD560" s="239"/>
      <c r="AE560" s="239"/>
      <c r="AF560" s="239"/>
      <c r="AG560" s="239"/>
      <c r="AH560" s="239"/>
      <c r="AI560" s="239"/>
      <c r="AJ560" s="239"/>
      <c r="AK560" s="239"/>
      <c r="AL560" s="239"/>
      <c r="AM560" s="239"/>
      <c r="AN560" s="239"/>
      <c r="AO560" s="239"/>
      <c r="AP560" s="239"/>
      <c r="AQ560" s="239"/>
      <c r="AR560" s="239"/>
      <c r="AS560" s="239"/>
      <c r="AT560" s="239"/>
      <c r="AU560" s="239"/>
      <c r="AV560" s="239"/>
      <c r="AW560" s="239"/>
      <c r="AX560" s="239"/>
      <c r="AY560" s="239"/>
      <c r="AZ560" s="239"/>
      <c r="BA560" s="239"/>
      <c r="BB560" s="239"/>
      <c r="BC560" s="239"/>
      <c r="BD560" s="239"/>
      <c r="BE560" s="239"/>
      <c r="BF560" s="239"/>
      <c r="BG560" s="239"/>
      <c r="BH560" s="239"/>
      <c r="BI560" s="239"/>
      <c r="BJ560" s="239"/>
      <c r="BK560" s="239"/>
      <c r="BL560" s="239"/>
      <c r="BM560" s="239"/>
      <c r="BN560" s="239"/>
      <c r="BO560" s="239"/>
      <c r="BP560" s="239"/>
      <c r="BQ560" s="239"/>
      <c r="BR560" s="239"/>
      <c r="BS560" s="239"/>
      <c r="BT560" s="239"/>
      <c r="BU560" s="239"/>
      <c r="BV560" s="239"/>
      <c r="BW560" s="239"/>
      <c r="BX560" s="239"/>
      <c r="BY560" s="239"/>
      <c r="BZ560" s="239"/>
      <c r="CA560" s="239"/>
      <c r="CB560" s="239"/>
      <c r="CC560" s="239"/>
      <c r="CD560" s="239"/>
      <c r="CE560" s="239"/>
      <c r="CF560" s="239"/>
      <c r="CG560" s="239"/>
    </row>
    <row r="561" spans="1:85" ht="15.75" customHeight="1">
      <c r="A561" s="239"/>
      <c r="B561" s="239"/>
      <c r="C561" s="239"/>
      <c r="D561" s="239"/>
      <c r="E561" s="239"/>
      <c r="F561" s="239"/>
      <c r="G561" s="239"/>
      <c r="H561" s="239"/>
      <c r="I561" s="239"/>
      <c r="J561" s="239"/>
      <c r="K561" s="239"/>
      <c r="L561" s="239"/>
      <c r="M561" s="239"/>
      <c r="N561" s="239"/>
      <c r="O561" s="239"/>
      <c r="P561" s="239"/>
      <c r="Q561" s="239"/>
      <c r="R561" s="239"/>
      <c r="S561" s="239"/>
      <c r="T561" s="239"/>
      <c r="U561" s="239"/>
      <c r="V561" s="239"/>
      <c r="W561" s="239"/>
      <c r="X561" s="239"/>
      <c r="Y561" s="239"/>
      <c r="Z561" s="239"/>
      <c r="AA561" s="239"/>
      <c r="AB561" s="239"/>
      <c r="AC561" s="239"/>
      <c r="AD561" s="239"/>
      <c r="AE561" s="239"/>
      <c r="AF561" s="239"/>
      <c r="AG561" s="239"/>
      <c r="AH561" s="239"/>
      <c r="AI561" s="239"/>
      <c r="AJ561" s="239"/>
      <c r="AK561" s="239"/>
      <c r="AL561" s="239"/>
      <c r="AM561" s="239"/>
      <c r="AN561" s="239"/>
      <c r="AO561" s="239"/>
      <c r="AP561" s="239"/>
      <c r="AQ561" s="239"/>
      <c r="AR561" s="239"/>
      <c r="AS561" s="239"/>
      <c r="AT561" s="239"/>
      <c r="AU561" s="239"/>
      <c r="AV561" s="239"/>
      <c r="AW561" s="239"/>
      <c r="AX561" s="239"/>
      <c r="AY561" s="239"/>
      <c r="AZ561" s="239"/>
      <c r="BA561" s="239"/>
      <c r="BB561" s="239"/>
      <c r="BC561" s="239"/>
      <c r="BD561" s="239"/>
      <c r="BE561" s="239"/>
      <c r="BF561" s="239"/>
      <c r="BG561" s="239"/>
      <c r="BH561" s="239"/>
      <c r="BI561" s="239"/>
      <c r="BJ561" s="239"/>
      <c r="BK561" s="239"/>
      <c r="BL561" s="239"/>
      <c r="BM561" s="239"/>
      <c r="BN561" s="239"/>
      <c r="BO561" s="239"/>
      <c r="BP561" s="239"/>
      <c r="BQ561" s="239"/>
      <c r="BR561" s="239"/>
      <c r="BS561" s="239"/>
      <c r="BT561" s="239"/>
      <c r="BU561" s="239"/>
      <c r="BV561" s="239"/>
      <c r="BW561" s="239"/>
      <c r="BX561" s="239"/>
      <c r="BY561" s="239"/>
      <c r="BZ561" s="239"/>
      <c r="CA561" s="239"/>
      <c r="CB561" s="239"/>
      <c r="CC561" s="239"/>
      <c r="CD561" s="239"/>
      <c r="CE561" s="239"/>
      <c r="CF561" s="239"/>
      <c r="CG561" s="239"/>
    </row>
    <row r="562" spans="1:85" ht="15.75" customHeight="1">
      <c r="A562" s="239"/>
      <c r="B562" s="239"/>
      <c r="C562" s="239"/>
      <c r="D562" s="239"/>
      <c r="E562" s="239"/>
      <c r="F562" s="239"/>
      <c r="G562" s="239"/>
      <c r="H562" s="239"/>
      <c r="I562" s="239"/>
      <c r="J562" s="239"/>
      <c r="K562" s="239"/>
      <c r="L562" s="239"/>
      <c r="M562" s="239"/>
      <c r="N562" s="239"/>
      <c r="O562" s="239"/>
      <c r="P562" s="239"/>
      <c r="Q562" s="239"/>
      <c r="R562" s="239"/>
      <c r="S562" s="239"/>
      <c r="T562" s="239"/>
      <c r="U562" s="239"/>
      <c r="V562" s="239"/>
      <c r="W562" s="239"/>
      <c r="X562" s="239"/>
      <c r="Y562" s="239"/>
      <c r="Z562" s="239"/>
      <c r="AA562" s="239"/>
      <c r="AB562" s="239"/>
      <c r="AC562" s="239"/>
      <c r="AD562" s="239"/>
      <c r="AE562" s="239"/>
      <c r="AF562" s="239"/>
      <c r="AG562" s="239"/>
      <c r="AH562" s="239"/>
      <c r="AI562" s="239"/>
      <c r="AJ562" s="239"/>
      <c r="AK562" s="239"/>
      <c r="AL562" s="239"/>
      <c r="AM562" s="239"/>
      <c r="AN562" s="239"/>
      <c r="AO562" s="239"/>
      <c r="AP562" s="239"/>
      <c r="AQ562" s="239"/>
      <c r="AR562" s="239"/>
      <c r="AS562" s="239"/>
      <c r="AT562" s="239"/>
      <c r="AU562" s="239"/>
      <c r="AV562" s="239"/>
      <c r="AW562" s="239"/>
      <c r="AX562" s="239"/>
      <c r="AY562" s="239"/>
      <c r="AZ562" s="239"/>
      <c r="BA562" s="239"/>
      <c r="BB562" s="239"/>
      <c r="BC562" s="239"/>
      <c r="BD562" s="239"/>
      <c r="BE562" s="239"/>
      <c r="BF562" s="239"/>
      <c r="BG562" s="239"/>
      <c r="BH562" s="239"/>
      <c r="BI562" s="239"/>
      <c r="BJ562" s="239"/>
      <c r="BK562" s="239"/>
      <c r="BL562" s="239"/>
      <c r="BM562" s="239"/>
      <c r="BN562" s="239"/>
      <c r="BO562" s="239"/>
      <c r="BP562" s="239"/>
      <c r="BQ562" s="239"/>
      <c r="BR562" s="239"/>
      <c r="BS562" s="239"/>
      <c r="BT562" s="239"/>
      <c r="BU562" s="239"/>
      <c r="BV562" s="239"/>
      <c r="BW562" s="239"/>
      <c r="BX562" s="239"/>
      <c r="BY562" s="239"/>
      <c r="BZ562" s="239"/>
      <c r="CA562" s="239"/>
      <c r="CB562" s="239"/>
      <c r="CC562" s="239"/>
      <c r="CD562" s="239"/>
      <c r="CE562" s="239"/>
      <c r="CF562" s="239"/>
      <c r="CG562" s="239"/>
    </row>
    <row r="563" spans="1:85" ht="15.75" customHeight="1">
      <c r="A563" s="239"/>
      <c r="B563" s="239"/>
      <c r="C563" s="239"/>
      <c r="D563" s="239"/>
      <c r="E563" s="239"/>
      <c r="F563" s="239"/>
      <c r="G563" s="239"/>
      <c r="H563" s="239"/>
      <c r="I563" s="239"/>
      <c r="J563" s="239"/>
      <c r="K563" s="239"/>
      <c r="L563" s="239"/>
      <c r="M563" s="239"/>
      <c r="N563" s="239"/>
      <c r="O563" s="239"/>
      <c r="P563" s="239"/>
      <c r="Q563" s="239"/>
      <c r="R563" s="239"/>
      <c r="S563" s="239"/>
      <c r="T563" s="239"/>
      <c r="U563" s="239"/>
      <c r="V563" s="239"/>
      <c r="W563" s="239"/>
      <c r="X563" s="239"/>
      <c r="Y563" s="239"/>
      <c r="Z563" s="239"/>
      <c r="AA563" s="239"/>
      <c r="AB563" s="239"/>
      <c r="AC563" s="239"/>
      <c r="AD563" s="239"/>
      <c r="AE563" s="239"/>
      <c r="AF563" s="239"/>
      <c r="AG563" s="239"/>
      <c r="AH563" s="239"/>
      <c r="AI563" s="239"/>
      <c r="AJ563" s="239"/>
      <c r="AK563" s="239"/>
      <c r="AL563" s="239"/>
      <c r="AM563" s="239"/>
      <c r="AN563" s="239"/>
      <c r="AO563" s="239"/>
      <c r="AP563" s="239"/>
      <c r="AQ563" s="239"/>
      <c r="AR563" s="239"/>
      <c r="AS563" s="239"/>
      <c r="AT563" s="239"/>
      <c r="AU563" s="239"/>
      <c r="AV563" s="239"/>
      <c r="AW563" s="239"/>
      <c r="AX563" s="239"/>
      <c r="AY563" s="239"/>
      <c r="AZ563" s="239"/>
      <c r="BA563" s="239"/>
      <c r="BB563" s="239"/>
      <c r="BC563" s="239"/>
      <c r="BD563" s="239"/>
      <c r="BE563" s="239"/>
      <c r="BF563" s="239"/>
      <c r="BG563" s="239"/>
      <c r="BH563" s="239"/>
      <c r="BI563" s="239"/>
      <c r="BJ563" s="239"/>
      <c r="BK563" s="239"/>
      <c r="BL563" s="239"/>
      <c r="BM563" s="239"/>
      <c r="BN563" s="239"/>
      <c r="BO563" s="239"/>
      <c r="BP563" s="239"/>
      <c r="BQ563" s="239"/>
      <c r="BR563" s="239"/>
      <c r="BS563" s="239"/>
      <c r="BT563" s="239"/>
      <c r="BU563" s="239"/>
      <c r="BV563" s="239"/>
      <c r="BW563" s="239"/>
      <c r="BX563" s="239"/>
      <c r="BY563" s="239"/>
      <c r="BZ563" s="239"/>
      <c r="CA563" s="239"/>
      <c r="CB563" s="239"/>
      <c r="CC563" s="239"/>
      <c r="CD563" s="239"/>
      <c r="CE563" s="239"/>
      <c r="CF563" s="239"/>
      <c r="CG563" s="239"/>
    </row>
    <row r="564" spans="1:85" ht="15.75" customHeight="1">
      <c r="A564" s="239"/>
      <c r="B564" s="239"/>
      <c r="C564" s="239"/>
      <c r="D564" s="239"/>
      <c r="E564" s="239"/>
      <c r="F564" s="239"/>
      <c r="G564" s="239"/>
      <c r="H564" s="239"/>
      <c r="I564" s="239"/>
      <c r="J564" s="239"/>
      <c r="K564" s="239"/>
      <c r="L564" s="239"/>
      <c r="M564" s="239"/>
      <c r="N564" s="239"/>
      <c r="O564" s="239"/>
      <c r="P564" s="239"/>
      <c r="Q564" s="239"/>
      <c r="R564" s="239"/>
      <c r="S564" s="239"/>
      <c r="T564" s="239"/>
      <c r="U564" s="239"/>
      <c r="V564" s="239"/>
      <c r="W564" s="239"/>
      <c r="X564" s="239"/>
      <c r="Y564" s="239"/>
      <c r="Z564" s="239"/>
      <c r="AA564" s="239"/>
      <c r="AB564" s="239"/>
      <c r="AC564" s="239"/>
      <c r="AD564" s="239"/>
      <c r="AE564" s="239"/>
      <c r="AF564" s="239"/>
      <c r="AG564" s="239"/>
      <c r="AH564" s="239"/>
      <c r="AI564" s="239"/>
      <c r="AJ564" s="239"/>
      <c r="AK564" s="239"/>
      <c r="AL564" s="239"/>
      <c r="AM564" s="239"/>
      <c r="AN564" s="239"/>
      <c r="AO564" s="239"/>
      <c r="AP564" s="239"/>
      <c r="AQ564" s="239"/>
      <c r="AR564" s="239"/>
      <c r="AS564" s="239"/>
      <c r="AT564" s="239"/>
      <c r="AU564" s="239"/>
      <c r="AV564" s="239"/>
      <c r="AW564" s="239"/>
      <c r="AX564" s="239"/>
      <c r="AY564" s="239"/>
      <c r="AZ564" s="239"/>
      <c r="BA564" s="239"/>
      <c r="BB564" s="239"/>
      <c r="BC564" s="239"/>
      <c r="BD564" s="239"/>
      <c r="BE564" s="239"/>
      <c r="BF564" s="239"/>
      <c r="BG564" s="239"/>
      <c r="BH564" s="239"/>
      <c r="BI564" s="239"/>
      <c r="BJ564" s="239"/>
      <c r="BK564" s="239"/>
      <c r="BL564" s="239"/>
      <c r="BM564" s="239"/>
      <c r="BN564" s="239"/>
      <c r="BO564" s="239"/>
      <c r="BP564" s="239"/>
      <c r="BQ564" s="239"/>
      <c r="BR564" s="239"/>
      <c r="BS564" s="239"/>
      <c r="BT564" s="239"/>
      <c r="BU564" s="239"/>
      <c r="BV564" s="239"/>
      <c r="BW564" s="239"/>
      <c r="BX564" s="239"/>
      <c r="BY564" s="239"/>
      <c r="BZ564" s="239"/>
      <c r="CA564" s="239"/>
      <c r="CB564" s="239"/>
      <c r="CC564" s="239"/>
      <c r="CD564" s="239"/>
      <c r="CE564" s="239"/>
      <c r="CF564" s="239"/>
      <c r="CG564" s="239"/>
    </row>
    <row r="565" spans="1:85" ht="15.75" customHeight="1">
      <c r="A565" s="239"/>
      <c r="B565" s="239"/>
      <c r="C565" s="239"/>
      <c r="D565" s="239"/>
      <c r="E565" s="239"/>
      <c r="F565" s="239"/>
      <c r="G565" s="239"/>
      <c r="H565" s="239"/>
      <c r="I565" s="239"/>
      <c r="J565" s="239"/>
      <c r="K565" s="239"/>
      <c r="L565" s="239"/>
      <c r="M565" s="239"/>
      <c r="N565" s="239"/>
      <c r="O565" s="239"/>
      <c r="P565" s="239"/>
      <c r="Q565" s="239"/>
      <c r="R565" s="239"/>
      <c r="S565" s="239"/>
      <c r="T565" s="239"/>
      <c r="U565" s="239"/>
      <c r="V565" s="239"/>
      <c r="W565" s="239"/>
      <c r="X565" s="239"/>
      <c r="Y565" s="239"/>
      <c r="Z565" s="239"/>
      <c r="AA565" s="239"/>
      <c r="AB565" s="239"/>
      <c r="AC565" s="239"/>
      <c r="AD565" s="239"/>
      <c r="AE565" s="239"/>
      <c r="AF565" s="239"/>
      <c r="AG565" s="239"/>
      <c r="AH565" s="239"/>
      <c r="AI565" s="239"/>
      <c r="AJ565" s="239"/>
      <c r="AK565" s="239"/>
      <c r="AL565" s="239"/>
      <c r="AM565" s="239"/>
      <c r="AN565" s="239"/>
      <c r="AO565" s="239"/>
      <c r="AP565" s="239"/>
      <c r="AQ565" s="239"/>
      <c r="AR565" s="239"/>
      <c r="AS565" s="239"/>
      <c r="AT565" s="239"/>
      <c r="AU565" s="239"/>
      <c r="AV565" s="239"/>
      <c r="AW565" s="239"/>
      <c r="AX565" s="239"/>
      <c r="AY565" s="239"/>
      <c r="AZ565" s="239"/>
      <c r="BA565" s="239"/>
      <c r="BB565" s="239"/>
      <c r="BC565" s="239"/>
      <c r="BD565" s="239"/>
      <c r="BE565" s="239"/>
      <c r="BF565" s="239"/>
      <c r="BG565" s="239"/>
      <c r="BH565" s="239"/>
      <c r="BI565" s="239"/>
      <c r="BJ565" s="239"/>
      <c r="BK565" s="239"/>
      <c r="BL565" s="239"/>
      <c r="BM565" s="239"/>
      <c r="BN565" s="239"/>
      <c r="BO565" s="239"/>
      <c r="BP565" s="239"/>
      <c r="BQ565" s="239"/>
      <c r="BR565" s="239"/>
      <c r="BS565" s="239"/>
      <c r="BT565" s="239"/>
      <c r="BU565" s="239"/>
      <c r="BV565" s="239"/>
      <c r="BW565" s="239"/>
      <c r="BX565" s="239"/>
      <c r="BY565" s="239"/>
      <c r="BZ565" s="239"/>
      <c r="CA565" s="239"/>
      <c r="CB565" s="239"/>
      <c r="CC565" s="239"/>
      <c r="CD565" s="239"/>
      <c r="CE565" s="239"/>
      <c r="CF565" s="239"/>
      <c r="CG565" s="239"/>
    </row>
    <row r="566" spans="1:85" ht="15.75" customHeight="1">
      <c r="A566" s="239"/>
      <c r="B566" s="239"/>
      <c r="C566" s="239"/>
      <c r="D566" s="239"/>
      <c r="E566" s="239"/>
      <c r="F566" s="239"/>
      <c r="G566" s="239"/>
      <c r="H566" s="239"/>
      <c r="I566" s="239"/>
      <c r="J566" s="239"/>
      <c r="K566" s="239"/>
      <c r="L566" s="239"/>
      <c r="M566" s="239"/>
      <c r="N566" s="239"/>
      <c r="O566" s="239"/>
      <c r="P566" s="239"/>
      <c r="Q566" s="239"/>
      <c r="R566" s="239"/>
      <c r="S566" s="239"/>
      <c r="T566" s="239"/>
      <c r="U566" s="239"/>
      <c r="V566" s="239"/>
      <c r="W566" s="239"/>
      <c r="X566" s="239"/>
      <c r="Y566" s="239"/>
      <c r="Z566" s="239"/>
      <c r="AA566" s="239"/>
      <c r="AB566" s="239"/>
      <c r="AC566" s="239"/>
      <c r="AD566" s="239"/>
      <c r="AE566" s="239"/>
      <c r="AF566" s="239"/>
      <c r="AG566" s="239"/>
      <c r="AH566" s="239"/>
      <c r="AI566" s="239"/>
      <c r="AJ566" s="239"/>
      <c r="AK566" s="239"/>
      <c r="AL566" s="239"/>
      <c r="AM566" s="239"/>
      <c r="AN566" s="239"/>
      <c r="AO566" s="239"/>
      <c r="AP566" s="239"/>
      <c r="AQ566" s="239"/>
      <c r="AR566" s="239"/>
      <c r="AS566" s="239"/>
      <c r="AT566" s="239"/>
      <c r="AU566" s="239"/>
      <c r="AV566" s="239"/>
      <c r="AW566" s="239"/>
      <c r="AX566" s="239"/>
      <c r="AY566" s="239"/>
      <c r="AZ566" s="239"/>
      <c r="BA566" s="239"/>
      <c r="BB566" s="239"/>
      <c r="BC566" s="239"/>
      <c r="BD566" s="239"/>
      <c r="BE566" s="239"/>
      <c r="BF566" s="239"/>
      <c r="BG566" s="239"/>
      <c r="BH566" s="239"/>
      <c r="BI566" s="239"/>
      <c r="BJ566" s="239"/>
      <c r="BK566" s="239"/>
      <c r="BL566" s="239"/>
      <c r="BM566" s="239"/>
      <c r="BN566" s="239"/>
      <c r="BO566" s="239"/>
      <c r="BP566" s="239"/>
      <c r="BQ566" s="239"/>
      <c r="BR566" s="239"/>
      <c r="BS566" s="239"/>
      <c r="BT566" s="239"/>
      <c r="BU566" s="239"/>
      <c r="BV566" s="239"/>
      <c r="BW566" s="239"/>
      <c r="BX566" s="239"/>
      <c r="BY566" s="239"/>
      <c r="BZ566" s="239"/>
      <c r="CA566" s="239"/>
      <c r="CB566" s="239"/>
      <c r="CC566" s="239"/>
      <c r="CD566" s="239"/>
      <c r="CE566" s="239"/>
      <c r="CF566" s="239"/>
      <c r="CG566" s="239"/>
    </row>
    <row r="567" spans="1:85" ht="15.75" customHeight="1">
      <c r="A567" s="239"/>
      <c r="B567" s="239"/>
      <c r="C567" s="239"/>
      <c r="D567" s="239"/>
      <c r="E567" s="239"/>
      <c r="F567" s="239"/>
      <c r="G567" s="239"/>
      <c r="H567" s="239"/>
      <c r="I567" s="239"/>
      <c r="J567" s="239"/>
      <c r="K567" s="239"/>
      <c r="L567" s="239"/>
      <c r="M567" s="239"/>
      <c r="N567" s="239"/>
      <c r="O567" s="239"/>
      <c r="P567" s="239"/>
      <c r="Q567" s="239"/>
      <c r="R567" s="239"/>
      <c r="S567" s="239"/>
      <c r="T567" s="239"/>
      <c r="U567" s="239"/>
      <c r="V567" s="239"/>
      <c r="W567" s="239"/>
      <c r="X567" s="239"/>
      <c r="Y567" s="239"/>
      <c r="Z567" s="239"/>
      <c r="AA567" s="239"/>
      <c r="AB567" s="239"/>
      <c r="AC567" s="239"/>
      <c r="AD567" s="239"/>
      <c r="AE567" s="239"/>
      <c r="AF567" s="239"/>
      <c r="AG567" s="239"/>
      <c r="AH567" s="239"/>
      <c r="AI567" s="239"/>
      <c r="AJ567" s="239"/>
      <c r="AK567" s="239"/>
      <c r="AL567" s="239"/>
      <c r="AM567" s="239"/>
      <c r="AN567" s="239"/>
      <c r="AO567" s="239"/>
      <c r="AP567" s="239"/>
      <c r="AQ567" s="239"/>
      <c r="AR567" s="239"/>
      <c r="AS567" s="239"/>
      <c r="AT567" s="239"/>
      <c r="AU567" s="239"/>
      <c r="AV567" s="239"/>
      <c r="AW567" s="239"/>
      <c r="AX567" s="239"/>
      <c r="AY567" s="239"/>
      <c r="AZ567" s="239"/>
      <c r="BA567" s="239"/>
      <c r="BB567" s="239"/>
      <c r="BC567" s="239"/>
      <c r="BD567" s="239"/>
      <c r="BE567" s="239"/>
      <c r="BF567" s="239"/>
      <c r="BG567" s="239"/>
      <c r="BH567" s="239"/>
      <c r="BI567" s="239"/>
      <c r="BJ567" s="239"/>
      <c r="BK567" s="239"/>
      <c r="BL567" s="239"/>
      <c r="BM567" s="239"/>
      <c r="BN567" s="239"/>
      <c r="BO567" s="239"/>
      <c r="BP567" s="239"/>
      <c r="BQ567" s="239"/>
      <c r="BR567" s="239"/>
      <c r="BS567" s="239"/>
      <c r="BT567" s="239"/>
      <c r="BU567" s="239"/>
      <c r="BV567" s="239"/>
      <c r="BW567" s="239"/>
      <c r="BX567" s="239"/>
      <c r="BY567" s="239"/>
      <c r="BZ567" s="239"/>
      <c r="CA567" s="239"/>
      <c r="CB567" s="239"/>
      <c r="CC567" s="239"/>
      <c r="CD567" s="239"/>
      <c r="CE567" s="239"/>
      <c r="CF567" s="239"/>
      <c r="CG567" s="239"/>
    </row>
    <row r="568" spans="1:85" ht="15.75" customHeight="1">
      <c r="A568" s="239"/>
      <c r="B568" s="239"/>
      <c r="C568" s="239"/>
      <c r="D568" s="239"/>
      <c r="E568" s="239"/>
      <c r="F568" s="239"/>
      <c r="G568" s="239"/>
      <c r="H568" s="239"/>
      <c r="I568" s="239"/>
      <c r="J568" s="239"/>
      <c r="K568" s="239"/>
      <c r="L568" s="239"/>
      <c r="M568" s="239"/>
      <c r="N568" s="239"/>
      <c r="O568" s="239"/>
      <c r="P568" s="239"/>
      <c r="Q568" s="239"/>
      <c r="R568" s="239"/>
      <c r="S568" s="239"/>
      <c r="T568" s="239"/>
      <c r="U568" s="239"/>
      <c r="V568" s="239"/>
      <c r="W568" s="239"/>
      <c r="X568" s="239"/>
      <c r="Y568" s="239"/>
      <c r="Z568" s="239"/>
      <c r="AA568" s="239"/>
      <c r="AB568" s="239"/>
      <c r="AC568" s="239"/>
      <c r="AD568" s="239"/>
      <c r="AE568" s="239"/>
      <c r="AF568" s="239"/>
      <c r="AG568" s="239"/>
      <c r="AH568" s="239"/>
      <c r="AI568" s="239"/>
      <c r="AJ568" s="239"/>
      <c r="AK568" s="239"/>
      <c r="AL568" s="239"/>
      <c r="AM568" s="239"/>
      <c r="AN568" s="239"/>
      <c r="AO568" s="239"/>
      <c r="AP568" s="239"/>
      <c r="AQ568" s="239"/>
      <c r="AR568" s="239"/>
      <c r="AS568" s="239"/>
      <c r="AT568" s="239"/>
      <c r="AU568" s="239"/>
      <c r="AV568" s="239"/>
      <c r="AW568" s="239"/>
      <c r="AX568" s="239"/>
      <c r="AY568" s="239"/>
      <c r="AZ568" s="239"/>
      <c r="BA568" s="239"/>
      <c r="BB568" s="239"/>
      <c r="BC568" s="239"/>
      <c r="BD568" s="239"/>
      <c r="BE568" s="239"/>
      <c r="BF568" s="239"/>
      <c r="BG568" s="239"/>
      <c r="BH568" s="239"/>
      <c r="BI568" s="239"/>
      <c r="BJ568" s="239"/>
      <c r="BK568" s="239"/>
      <c r="BL568" s="239"/>
      <c r="BM568" s="239"/>
      <c r="BN568" s="239"/>
      <c r="BO568" s="239"/>
      <c r="BP568" s="239"/>
      <c r="BQ568" s="239"/>
      <c r="BR568" s="239"/>
      <c r="BS568" s="239"/>
      <c r="BT568" s="239"/>
      <c r="BU568" s="239"/>
      <c r="BV568" s="239"/>
      <c r="BW568" s="239"/>
      <c r="BX568" s="239"/>
      <c r="BY568" s="239"/>
      <c r="BZ568" s="239"/>
      <c r="CA568" s="239"/>
      <c r="CB568" s="239"/>
      <c r="CC568" s="239"/>
      <c r="CD568" s="239"/>
      <c r="CE568" s="239"/>
      <c r="CF568" s="239"/>
      <c r="CG568" s="239"/>
    </row>
    <row r="569" spans="1:85" ht="15.75" customHeight="1">
      <c r="A569" s="239"/>
      <c r="B569" s="239"/>
      <c r="C569" s="239"/>
      <c r="D569" s="239"/>
      <c r="E569" s="239"/>
      <c r="F569" s="239"/>
      <c r="G569" s="239"/>
      <c r="H569" s="239"/>
      <c r="I569" s="239"/>
      <c r="J569" s="239"/>
      <c r="K569" s="239"/>
      <c r="L569" s="239"/>
      <c r="M569" s="239"/>
      <c r="N569" s="239"/>
      <c r="O569" s="239"/>
      <c r="P569" s="239"/>
      <c r="Q569" s="239"/>
      <c r="R569" s="239"/>
      <c r="S569" s="239"/>
      <c r="T569" s="239"/>
      <c r="U569" s="239"/>
      <c r="V569" s="239"/>
      <c r="W569" s="239"/>
      <c r="X569" s="239"/>
      <c r="Y569" s="239"/>
      <c r="Z569" s="239"/>
      <c r="AA569" s="239"/>
      <c r="AB569" s="239"/>
      <c r="AC569" s="239"/>
      <c r="AD569" s="239"/>
      <c r="AE569" s="239"/>
      <c r="AF569" s="239"/>
      <c r="AG569" s="239"/>
      <c r="AH569" s="239"/>
      <c r="AI569" s="239"/>
      <c r="AJ569" s="239"/>
      <c r="AK569" s="239"/>
      <c r="AL569" s="239"/>
      <c r="AM569" s="239"/>
      <c r="AN569" s="239"/>
      <c r="AO569" s="239"/>
      <c r="AP569" s="239"/>
      <c r="AQ569" s="239"/>
      <c r="AR569" s="239"/>
      <c r="AS569" s="239"/>
      <c r="AT569" s="239"/>
      <c r="AU569" s="239"/>
      <c r="AV569" s="239"/>
      <c r="AW569" s="239"/>
      <c r="AX569" s="239"/>
      <c r="AY569" s="239"/>
      <c r="AZ569" s="239"/>
      <c r="BA569" s="239"/>
      <c r="BB569" s="239"/>
      <c r="BC569" s="239"/>
      <c r="BD569" s="239"/>
      <c r="BE569" s="239"/>
      <c r="BF569" s="239"/>
      <c r="BG569" s="239"/>
      <c r="BH569" s="239"/>
      <c r="BI569" s="239"/>
      <c r="BJ569" s="239"/>
      <c r="BK569" s="239"/>
      <c r="BL569" s="239"/>
      <c r="BM569" s="239"/>
      <c r="BN569" s="239"/>
      <c r="BO569" s="239"/>
      <c r="BP569" s="239"/>
      <c r="BQ569" s="239"/>
      <c r="BR569" s="239"/>
      <c r="BS569" s="239"/>
      <c r="BT569" s="239"/>
      <c r="BU569" s="239"/>
      <c r="BV569" s="239"/>
      <c r="BW569" s="239"/>
      <c r="BX569" s="239"/>
      <c r="BY569" s="239"/>
      <c r="BZ569" s="239"/>
      <c r="CA569" s="239"/>
      <c r="CB569" s="239"/>
      <c r="CC569" s="239"/>
      <c r="CD569" s="239"/>
      <c r="CE569" s="239"/>
      <c r="CF569" s="239"/>
      <c r="CG569" s="239"/>
    </row>
    <row r="570" spans="1:85" ht="15.75" customHeight="1">
      <c r="A570" s="239"/>
      <c r="B570" s="239"/>
      <c r="C570" s="239"/>
      <c r="D570" s="239"/>
      <c r="E570" s="239"/>
      <c r="F570" s="239"/>
      <c r="G570" s="239"/>
      <c r="H570" s="239"/>
      <c r="I570" s="239"/>
      <c r="J570" s="239"/>
      <c r="K570" s="239"/>
      <c r="L570" s="239"/>
      <c r="M570" s="239"/>
      <c r="N570" s="239"/>
      <c r="O570" s="239"/>
      <c r="P570" s="239"/>
      <c r="Q570" s="239"/>
      <c r="R570" s="239"/>
      <c r="S570" s="239"/>
      <c r="T570" s="239"/>
      <c r="U570" s="239"/>
      <c r="V570" s="239"/>
      <c r="W570" s="239"/>
      <c r="X570" s="239"/>
      <c r="Y570" s="239"/>
      <c r="Z570" s="239"/>
      <c r="AA570" s="239"/>
      <c r="AB570" s="239"/>
      <c r="AC570" s="239"/>
      <c r="AD570" s="239"/>
      <c r="AE570" s="239"/>
      <c r="AF570" s="239"/>
      <c r="AG570" s="239"/>
      <c r="AH570" s="239"/>
      <c r="AI570" s="239"/>
      <c r="AJ570" s="239"/>
      <c r="AK570" s="239"/>
      <c r="AL570" s="239"/>
      <c r="AM570" s="239"/>
      <c r="AN570" s="239"/>
      <c r="AO570" s="239"/>
      <c r="AP570" s="239"/>
      <c r="AQ570" s="239"/>
      <c r="AR570" s="239"/>
      <c r="AS570" s="239"/>
      <c r="AT570" s="239"/>
      <c r="AU570" s="239"/>
      <c r="AV570" s="239"/>
      <c r="AW570" s="239"/>
      <c r="AX570" s="239"/>
      <c r="AY570" s="239"/>
      <c r="AZ570" s="239"/>
      <c r="BA570" s="239"/>
      <c r="BB570" s="239"/>
      <c r="BC570" s="239"/>
      <c r="BD570" s="239"/>
      <c r="BE570" s="239"/>
      <c r="BF570" s="239"/>
      <c r="BG570" s="239"/>
      <c r="BH570" s="239"/>
      <c r="BI570" s="239"/>
      <c r="BJ570" s="239"/>
      <c r="BK570" s="239"/>
      <c r="BL570" s="239"/>
      <c r="BM570" s="239"/>
      <c r="BN570" s="239"/>
      <c r="BO570" s="239"/>
      <c r="BP570" s="239"/>
      <c r="BQ570" s="239"/>
      <c r="BR570" s="239"/>
      <c r="BS570" s="239"/>
      <c r="BT570" s="239"/>
      <c r="BU570" s="239"/>
      <c r="BV570" s="239"/>
      <c r="BW570" s="239"/>
      <c r="BX570" s="239"/>
      <c r="BY570" s="239"/>
      <c r="BZ570" s="239"/>
      <c r="CA570" s="239"/>
      <c r="CB570" s="239"/>
      <c r="CC570" s="239"/>
      <c r="CD570" s="239"/>
      <c r="CE570" s="239"/>
      <c r="CF570" s="239"/>
      <c r="CG570" s="239"/>
    </row>
    <row r="571" spans="1:85" ht="15.75" customHeight="1">
      <c r="A571" s="239"/>
      <c r="B571" s="239"/>
      <c r="C571" s="239"/>
      <c r="D571" s="239"/>
      <c r="E571" s="239"/>
      <c r="F571" s="239"/>
      <c r="G571" s="239"/>
      <c r="H571" s="239"/>
      <c r="I571" s="239"/>
      <c r="J571" s="239"/>
      <c r="K571" s="239"/>
      <c r="L571" s="239"/>
      <c r="M571" s="239"/>
      <c r="N571" s="239"/>
      <c r="O571" s="239"/>
      <c r="P571" s="239"/>
      <c r="Q571" s="239"/>
      <c r="R571" s="239"/>
      <c r="S571" s="239"/>
      <c r="T571" s="239"/>
      <c r="U571" s="239"/>
      <c r="V571" s="239"/>
      <c r="W571" s="239"/>
      <c r="X571" s="239"/>
      <c r="Y571" s="239"/>
      <c r="Z571" s="239"/>
      <c r="AA571" s="239"/>
      <c r="AB571" s="239"/>
      <c r="AC571" s="239"/>
      <c r="AD571" s="239"/>
      <c r="AE571" s="239"/>
      <c r="AF571" s="239"/>
      <c r="AG571" s="239"/>
      <c r="AH571" s="239"/>
      <c r="AI571" s="239"/>
      <c r="AJ571" s="239"/>
      <c r="AK571" s="239"/>
      <c r="AL571" s="239"/>
      <c r="AM571" s="239"/>
      <c r="AN571" s="239"/>
      <c r="AO571" s="239"/>
      <c r="AP571" s="239"/>
      <c r="AQ571" s="239"/>
      <c r="AR571" s="239"/>
      <c r="AS571" s="239"/>
      <c r="AT571" s="239"/>
      <c r="AU571" s="239"/>
      <c r="AV571" s="239"/>
      <c r="AW571" s="239"/>
      <c r="AX571" s="239"/>
      <c r="AY571" s="239"/>
      <c r="AZ571" s="239"/>
      <c r="BA571" s="239"/>
      <c r="BB571" s="239"/>
      <c r="BC571" s="239"/>
      <c r="BD571" s="239"/>
      <c r="BE571" s="239"/>
      <c r="BF571" s="239"/>
      <c r="BG571" s="239"/>
      <c r="BH571" s="239"/>
      <c r="BI571" s="239"/>
      <c r="BJ571" s="239"/>
      <c r="BK571" s="239"/>
      <c r="BL571" s="239"/>
      <c r="BM571" s="239"/>
      <c r="BN571" s="239"/>
      <c r="BO571" s="239"/>
      <c r="BP571" s="239"/>
      <c r="BQ571" s="239"/>
      <c r="BR571" s="239"/>
      <c r="BS571" s="239"/>
      <c r="BT571" s="239"/>
      <c r="BU571" s="239"/>
      <c r="BV571" s="239"/>
      <c r="BW571" s="239"/>
      <c r="BX571" s="239"/>
      <c r="BY571" s="239"/>
      <c r="BZ571" s="239"/>
      <c r="CA571" s="239"/>
      <c r="CB571" s="239"/>
      <c r="CC571" s="239"/>
      <c r="CD571" s="239"/>
      <c r="CE571" s="239"/>
      <c r="CF571" s="239"/>
      <c r="CG571" s="239"/>
    </row>
    <row r="572" spans="1:85" ht="15.75" customHeight="1">
      <c r="A572" s="239"/>
      <c r="B572" s="239"/>
      <c r="C572" s="239"/>
      <c r="D572" s="239"/>
      <c r="E572" s="239"/>
      <c r="F572" s="239"/>
      <c r="G572" s="239"/>
      <c r="H572" s="239"/>
      <c r="I572" s="239"/>
      <c r="J572" s="239"/>
      <c r="K572" s="239"/>
      <c r="L572" s="239"/>
      <c r="M572" s="239"/>
      <c r="N572" s="239"/>
      <c r="O572" s="239"/>
      <c r="P572" s="239"/>
      <c r="Q572" s="239"/>
      <c r="R572" s="239"/>
      <c r="S572" s="239"/>
      <c r="T572" s="239"/>
      <c r="U572" s="239"/>
      <c r="V572" s="239"/>
      <c r="W572" s="239"/>
      <c r="X572" s="239"/>
      <c r="Y572" s="239"/>
      <c r="Z572" s="239"/>
      <c r="AA572" s="239"/>
      <c r="AB572" s="239"/>
      <c r="AC572" s="239"/>
      <c r="AD572" s="239"/>
      <c r="AE572" s="239"/>
      <c r="AF572" s="239"/>
      <c r="AG572" s="239"/>
      <c r="AH572" s="239"/>
      <c r="AI572" s="239"/>
      <c r="AJ572" s="239"/>
      <c r="AK572" s="239"/>
      <c r="AL572" s="239"/>
      <c r="AM572" s="239"/>
      <c r="AN572" s="239"/>
      <c r="AO572" s="239"/>
      <c r="AP572" s="239"/>
      <c r="AQ572" s="239"/>
      <c r="AR572" s="239"/>
      <c r="AS572" s="239"/>
      <c r="AT572" s="239"/>
      <c r="AU572" s="239"/>
      <c r="AV572" s="239"/>
      <c r="AW572" s="239"/>
      <c r="AX572" s="239"/>
      <c r="AY572" s="239"/>
      <c r="AZ572" s="239"/>
      <c r="BA572" s="239"/>
      <c r="BB572" s="239"/>
      <c r="BC572" s="239"/>
      <c r="BD572" s="239"/>
      <c r="BE572" s="239"/>
      <c r="BF572" s="239"/>
      <c r="BG572" s="239"/>
      <c r="BH572" s="239"/>
      <c r="BI572" s="239"/>
      <c r="BJ572" s="239"/>
      <c r="BK572" s="239"/>
      <c r="BL572" s="239"/>
      <c r="BM572" s="239"/>
      <c r="BN572" s="239"/>
      <c r="BO572" s="239"/>
      <c r="BP572" s="239"/>
      <c r="BQ572" s="239"/>
      <c r="BR572" s="239"/>
      <c r="BS572" s="239"/>
      <c r="BT572" s="239"/>
      <c r="BU572" s="239"/>
      <c r="BV572" s="239"/>
      <c r="BW572" s="239"/>
      <c r="BX572" s="239"/>
      <c r="BY572" s="239"/>
      <c r="BZ572" s="239"/>
      <c r="CA572" s="239"/>
      <c r="CB572" s="239"/>
      <c r="CC572" s="239"/>
      <c r="CD572" s="239"/>
      <c r="CE572" s="239"/>
      <c r="CF572" s="239"/>
      <c r="CG572" s="239"/>
    </row>
    <row r="573" spans="1:85" ht="15.75" customHeight="1">
      <c r="A573" s="239"/>
      <c r="B573" s="239"/>
      <c r="C573" s="239"/>
      <c r="D573" s="239"/>
      <c r="E573" s="239"/>
      <c r="F573" s="239"/>
      <c r="G573" s="239"/>
      <c r="H573" s="239"/>
      <c r="I573" s="239"/>
      <c r="J573" s="239"/>
      <c r="K573" s="239"/>
      <c r="L573" s="239"/>
      <c r="M573" s="239"/>
      <c r="N573" s="239"/>
      <c r="O573" s="239"/>
      <c r="P573" s="239"/>
      <c r="Q573" s="239"/>
      <c r="R573" s="239"/>
      <c r="S573" s="239"/>
      <c r="T573" s="239"/>
      <c r="U573" s="239"/>
      <c r="V573" s="239"/>
      <c r="W573" s="239"/>
      <c r="X573" s="239"/>
      <c r="Y573" s="239"/>
      <c r="Z573" s="239"/>
      <c r="AA573" s="239"/>
      <c r="AB573" s="239"/>
      <c r="AC573" s="239"/>
      <c r="AD573" s="239"/>
      <c r="AE573" s="239"/>
      <c r="AF573" s="239"/>
      <c r="AG573" s="239"/>
      <c r="AH573" s="239"/>
      <c r="AI573" s="239"/>
      <c r="AJ573" s="239"/>
      <c r="AK573" s="239"/>
      <c r="AL573" s="239"/>
      <c r="AM573" s="239"/>
      <c r="AN573" s="239"/>
      <c r="AO573" s="239"/>
      <c r="AP573" s="239"/>
      <c r="AQ573" s="239"/>
      <c r="AR573" s="239"/>
      <c r="AS573" s="239"/>
      <c r="AT573" s="239"/>
      <c r="AU573" s="239"/>
      <c r="AV573" s="239"/>
      <c r="AW573" s="239"/>
      <c r="AX573" s="239"/>
      <c r="AY573" s="239"/>
      <c r="AZ573" s="239"/>
      <c r="BA573" s="239"/>
      <c r="BB573" s="239"/>
      <c r="BC573" s="239"/>
      <c r="BD573" s="239"/>
      <c r="BE573" s="239"/>
      <c r="BF573" s="239"/>
      <c r="BG573" s="239"/>
      <c r="BH573" s="239"/>
      <c r="BI573" s="239"/>
      <c r="BJ573" s="239"/>
      <c r="BK573" s="239"/>
      <c r="BL573" s="239"/>
      <c r="BM573" s="239"/>
      <c r="BN573" s="239"/>
      <c r="BO573" s="239"/>
      <c r="BP573" s="239"/>
      <c r="BQ573" s="239"/>
      <c r="BR573" s="239"/>
      <c r="BS573" s="239"/>
      <c r="BT573" s="239"/>
      <c r="BU573" s="239"/>
      <c r="BV573" s="239"/>
      <c r="BW573" s="239"/>
      <c r="BX573" s="239"/>
      <c r="BY573" s="239"/>
      <c r="BZ573" s="239"/>
      <c r="CA573" s="239"/>
      <c r="CB573" s="239"/>
      <c r="CC573" s="239"/>
      <c r="CD573" s="239"/>
      <c r="CE573" s="239"/>
      <c r="CF573" s="239"/>
      <c r="CG573" s="239"/>
    </row>
    <row r="574" spans="1:85" ht="15.75" customHeight="1">
      <c r="A574" s="239"/>
      <c r="B574" s="239"/>
      <c r="C574" s="239"/>
      <c r="D574" s="239"/>
      <c r="E574" s="239"/>
      <c r="F574" s="239"/>
      <c r="G574" s="239"/>
      <c r="H574" s="239"/>
      <c r="I574" s="239"/>
      <c r="J574" s="239"/>
      <c r="K574" s="239"/>
      <c r="L574" s="239"/>
      <c r="M574" s="239"/>
      <c r="N574" s="239"/>
      <c r="O574" s="239"/>
      <c r="P574" s="239"/>
      <c r="Q574" s="239"/>
      <c r="R574" s="239"/>
      <c r="S574" s="239"/>
      <c r="T574" s="239"/>
      <c r="U574" s="239"/>
      <c r="V574" s="239"/>
      <c r="W574" s="239"/>
      <c r="X574" s="239"/>
      <c r="Y574" s="239"/>
      <c r="Z574" s="239"/>
      <c r="AA574" s="239"/>
      <c r="AB574" s="239"/>
      <c r="AC574" s="239"/>
      <c r="AD574" s="239"/>
      <c r="AE574" s="239"/>
      <c r="AF574" s="239"/>
      <c r="AG574" s="239"/>
      <c r="AH574" s="239"/>
      <c r="AI574" s="239"/>
      <c r="AJ574" s="239"/>
      <c r="AK574" s="239"/>
      <c r="AL574" s="239"/>
      <c r="AM574" s="239"/>
      <c r="AN574" s="239"/>
      <c r="AO574" s="239"/>
      <c r="AP574" s="239"/>
      <c r="AQ574" s="239"/>
      <c r="AR574" s="239"/>
      <c r="AS574" s="239"/>
      <c r="AT574" s="239"/>
      <c r="AU574" s="239"/>
      <c r="AV574" s="239"/>
      <c r="AW574" s="239"/>
      <c r="AX574" s="239"/>
      <c r="AY574" s="239"/>
      <c r="AZ574" s="239"/>
      <c r="BA574" s="239"/>
      <c r="BB574" s="239"/>
      <c r="BC574" s="239"/>
      <c r="BD574" s="239"/>
      <c r="BE574" s="239"/>
      <c r="BF574" s="239"/>
      <c r="BG574" s="239"/>
      <c r="BH574" s="239"/>
      <c r="BI574" s="239"/>
      <c r="BJ574" s="239"/>
      <c r="BK574" s="239"/>
      <c r="BL574" s="239"/>
      <c r="BM574" s="239"/>
      <c r="BN574" s="239"/>
      <c r="BO574" s="239"/>
      <c r="BP574" s="239"/>
      <c r="BQ574" s="239"/>
      <c r="BR574" s="239"/>
      <c r="BS574" s="239"/>
      <c r="BT574" s="239"/>
      <c r="BU574" s="239"/>
      <c r="BV574" s="239"/>
      <c r="BW574" s="239"/>
      <c r="BX574" s="239"/>
      <c r="BY574" s="239"/>
      <c r="BZ574" s="239"/>
      <c r="CA574" s="239"/>
      <c r="CB574" s="239"/>
      <c r="CC574" s="239"/>
      <c r="CD574" s="239"/>
      <c r="CE574" s="239"/>
      <c r="CF574" s="239"/>
      <c r="CG574" s="239"/>
    </row>
    <row r="575" spans="1:85" ht="15.75" customHeight="1">
      <c r="A575" s="239"/>
      <c r="B575" s="239"/>
      <c r="C575" s="239"/>
      <c r="D575" s="239"/>
      <c r="E575" s="239"/>
      <c r="F575" s="239"/>
      <c r="G575" s="239"/>
      <c r="H575" s="239"/>
      <c r="I575" s="239"/>
      <c r="J575" s="239"/>
      <c r="K575" s="239"/>
      <c r="L575" s="239"/>
      <c r="M575" s="239"/>
      <c r="N575" s="239"/>
      <c r="O575" s="239"/>
      <c r="P575" s="239"/>
      <c r="Q575" s="239"/>
      <c r="R575" s="239"/>
      <c r="S575" s="239"/>
      <c r="T575" s="239"/>
      <c r="U575" s="239"/>
      <c r="V575" s="239"/>
      <c r="W575" s="239"/>
      <c r="X575" s="239"/>
      <c r="Y575" s="239"/>
      <c r="Z575" s="239"/>
      <c r="AA575" s="239"/>
      <c r="AB575" s="239"/>
      <c r="AC575" s="239"/>
      <c r="AD575" s="239"/>
      <c r="AE575" s="239"/>
      <c r="AF575" s="239"/>
      <c r="AG575" s="239"/>
      <c r="AH575" s="239"/>
      <c r="AI575" s="239"/>
      <c r="AJ575" s="239"/>
      <c r="AK575" s="239"/>
      <c r="AL575" s="239"/>
      <c r="AM575" s="239"/>
      <c r="AN575" s="239"/>
      <c r="AO575" s="239"/>
      <c r="AP575" s="239"/>
      <c r="AQ575" s="239"/>
      <c r="AR575" s="239"/>
      <c r="AS575" s="239"/>
      <c r="AT575" s="239"/>
      <c r="AU575" s="239"/>
      <c r="AV575" s="239"/>
      <c r="AW575" s="239"/>
      <c r="AX575" s="239"/>
      <c r="AY575" s="239"/>
      <c r="AZ575" s="239"/>
      <c r="BA575" s="239"/>
      <c r="BB575" s="239"/>
      <c r="BC575" s="239"/>
      <c r="BD575" s="239"/>
      <c r="BE575" s="239"/>
      <c r="BF575" s="239"/>
      <c r="BG575" s="239"/>
      <c r="BH575" s="239"/>
      <c r="BI575" s="239"/>
      <c r="BJ575" s="239"/>
      <c r="BK575" s="239"/>
      <c r="BL575" s="239"/>
      <c r="BM575" s="239"/>
      <c r="BN575" s="239"/>
      <c r="BO575" s="239"/>
      <c r="BP575" s="239"/>
      <c r="BQ575" s="239"/>
      <c r="BR575" s="239"/>
      <c r="BS575" s="239"/>
      <c r="BT575" s="239"/>
      <c r="BU575" s="239"/>
      <c r="BV575" s="239"/>
      <c r="BW575" s="239"/>
      <c r="BX575" s="239"/>
      <c r="BY575" s="239"/>
      <c r="BZ575" s="239"/>
      <c r="CA575" s="239"/>
      <c r="CB575" s="239"/>
      <c r="CC575" s="239"/>
      <c r="CD575" s="239"/>
      <c r="CE575" s="239"/>
      <c r="CF575" s="239"/>
      <c r="CG575" s="239"/>
    </row>
    <row r="576" spans="1:85" ht="15.75" customHeight="1">
      <c r="A576" s="239"/>
      <c r="B576" s="239"/>
      <c r="C576" s="239"/>
      <c r="D576" s="239"/>
      <c r="E576" s="239"/>
      <c r="F576" s="239"/>
      <c r="G576" s="239"/>
      <c r="H576" s="239"/>
      <c r="I576" s="239"/>
      <c r="J576" s="239"/>
      <c r="K576" s="239"/>
      <c r="L576" s="239"/>
      <c r="M576" s="239"/>
      <c r="N576" s="239"/>
      <c r="O576" s="239"/>
      <c r="P576" s="239"/>
      <c r="Q576" s="239"/>
      <c r="R576" s="239"/>
      <c r="S576" s="239"/>
      <c r="T576" s="239"/>
      <c r="U576" s="239"/>
      <c r="V576" s="239"/>
      <c r="W576" s="239"/>
      <c r="X576" s="239"/>
      <c r="Y576" s="239"/>
      <c r="Z576" s="239"/>
      <c r="AA576" s="239"/>
      <c r="AB576" s="239"/>
      <c r="AC576" s="239"/>
      <c r="AD576" s="239"/>
      <c r="AE576" s="239"/>
      <c r="AF576" s="239"/>
      <c r="AG576" s="239"/>
      <c r="AH576" s="239"/>
      <c r="AI576" s="239"/>
      <c r="AJ576" s="239"/>
      <c r="AK576" s="239"/>
      <c r="AL576" s="239"/>
      <c r="AM576" s="239"/>
      <c r="AN576" s="239"/>
      <c r="AO576" s="239"/>
      <c r="AP576" s="239"/>
      <c r="AQ576" s="239"/>
      <c r="AR576" s="239"/>
      <c r="AS576" s="239"/>
      <c r="AT576" s="239"/>
      <c r="AU576" s="239"/>
      <c r="AV576" s="239"/>
      <c r="AW576" s="239"/>
      <c r="AX576" s="239"/>
      <c r="AY576" s="239"/>
      <c r="AZ576" s="239"/>
      <c r="BA576" s="239"/>
      <c r="BB576" s="239"/>
      <c r="BC576" s="239"/>
      <c r="BD576" s="239"/>
      <c r="BE576" s="239"/>
      <c r="BF576" s="239"/>
      <c r="BG576" s="239"/>
      <c r="BH576" s="239"/>
      <c r="BI576" s="239"/>
      <c r="BJ576" s="239"/>
      <c r="BK576" s="239"/>
      <c r="BL576" s="239"/>
      <c r="BM576" s="239"/>
      <c r="BN576" s="239"/>
      <c r="BO576" s="239"/>
      <c r="BP576" s="239"/>
      <c r="BQ576" s="239"/>
      <c r="BR576" s="239"/>
      <c r="BS576" s="239"/>
      <c r="BT576" s="239"/>
      <c r="BU576" s="239"/>
      <c r="BV576" s="239"/>
      <c r="BW576" s="239"/>
      <c r="BX576" s="239"/>
      <c r="BY576" s="239"/>
      <c r="BZ576" s="239"/>
      <c r="CA576" s="239"/>
      <c r="CB576" s="239"/>
      <c r="CC576" s="239"/>
      <c r="CD576" s="239"/>
      <c r="CE576" s="239"/>
      <c r="CF576" s="239"/>
      <c r="CG576" s="239"/>
    </row>
    <row r="577" spans="1:85" ht="15.75" customHeight="1">
      <c r="A577" s="239"/>
      <c r="B577" s="239"/>
      <c r="C577" s="239"/>
      <c r="D577" s="239"/>
      <c r="E577" s="239"/>
      <c r="F577" s="239"/>
      <c r="G577" s="239"/>
      <c r="H577" s="239"/>
      <c r="I577" s="239"/>
      <c r="J577" s="239"/>
      <c r="K577" s="239"/>
      <c r="L577" s="239"/>
      <c r="M577" s="239"/>
      <c r="N577" s="239"/>
      <c r="O577" s="239"/>
      <c r="P577" s="239"/>
      <c r="Q577" s="239"/>
      <c r="R577" s="239"/>
      <c r="S577" s="239"/>
      <c r="T577" s="239"/>
      <c r="U577" s="239"/>
      <c r="V577" s="239"/>
      <c r="W577" s="239"/>
      <c r="X577" s="239"/>
      <c r="Y577" s="239"/>
      <c r="Z577" s="239"/>
      <c r="AA577" s="239"/>
      <c r="AB577" s="239"/>
      <c r="AC577" s="239"/>
      <c r="AD577" s="239"/>
      <c r="AE577" s="239"/>
      <c r="AF577" s="239"/>
      <c r="AG577" s="239"/>
      <c r="AH577" s="239"/>
      <c r="AI577" s="239"/>
      <c r="AJ577" s="239"/>
      <c r="AK577" s="239"/>
      <c r="AL577" s="239"/>
      <c r="AM577" s="239"/>
      <c r="AN577" s="239"/>
      <c r="AO577" s="239"/>
      <c r="AP577" s="239"/>
      <c r="AQ577" s="239"/>
      <c r="AR577" s="239"/>
      <c r="AS577" s="239"/>
      <c r="AT577" s="239"/>
      <c r="AU577" s="239"/>
      <c r="AV577" s="239"/>
      <c r="AW577" s="239"/>
      <c r="AX577" s="239"/>
      <c r="AY577" s="239"/>
      <c r="AZ577" s="239"/>
      <c r="BA577" s="239"/>
      <c r="BB577" s="239"/>
      <c r="BC577" s="239"/>
      <c r="BD577" s="239"/>
      <c r="BE577" s="239"/>
      <c r="BF577" s="239"/>
      <c r="BG577" s="239"/>
      <c r="BH577" s="239"/>
      <c r="BI577" s="239"/>
      <c r="BJ577" s="239"/>
      <c r="BK577" s="239"/>
      <c r="BL577" s="239"/>
      <c r="BM577" s="239"/>
      <c r="BN577" s="239"/>
      <c r="BO577" s="239"/>
      <c r="BP577" s="239"/>
      <c r="BQ577" s="239"/>
      <c r="BR577" s="239"/>
      <c r="BS577" s="239"/>
      <c r="BT577" s="239"/>
      <c r="BU577" s="239"/>
      <c r="BV577" s="239"/>
      <c r="BW577" s="239"/>
      <c r="BX577" s="239"/>
      <c r="BY577" s="239"/>
      <c r="BZ577" s="239"/>
      <c r="CA577" s="239"/>
      <c r="CB577" s="239"/>
      <c r="CC577" s="239"/>
      <c r="CD577" s="239"/>
      <c r="CE577" s="239"/>
      <c r="CF577" s="239"/>
      <c r="CG577" s="239"/>
    </row>
    <row r="578" spans="1:85" ht="15.75" customHeight="1">
      <c r="A578" s="239"/>
      <c r="B578" s="239"/>
      <c r="C578" s="239"/>
      <c r="D578" s="239"/>
      <c r="E578" s="239"/>
      <c r="F578" s="239"/>
      <c r="G578" s="239"/>
      <c r="H578" s="239"/>
      <c r="I578" s="239"/>
      <c r="J578" s="239"/>
      <c r="K578" s="239"/>
      <c r="L578" s="239"/>
      <c r="M578" s="239"/>
      <c r="N578" s="239"/>
      <c r="O578" s="239"/>
      <c r="P578" s="239"/>
      <c r="Q578" s="239"/>
      <c r="R578" s="239"/>
      <c r="S578" s="239"/>
      <c r="T578" s="239"/>
      <c r="U578" s="239"/>
      <c r="V578" s="239"/>
      <c r="W578" s="239"/>
      <c r="X578" s="239"/>
      <c r="Y578" s="239"/>
      <c r="Z578" s="239"/>
      <c r="AA578" s="239"/>
      <c r="AB578" s="239"/>
      <c r="AC578" s="239"/>
      <c r="AD578" s="239"/>
      <c r="AE578" s="239"/>
      <c r="AF578" s="239"/>
      <c r="AG578" s="239"/>
      <c r="AH578" s="239"/>
      <c r="AI578" s="239"/>
      <c r="AJ578" s="239"/>
      <c r="AK578" s="239"/>
      <c r="AL578" s="239"/>
      <c r="AM578" s="239"/>
      <c r="AN578" s="239"/>
      <c r="AO578" s="239"/>
      <c r="AP578" s="239"/>
      <c r="AQ578" s="239"/>
      <c r="AR578" s="239"/>
      <c r="AS578" s="239"/>
      <c r="AT578" s="239"/>
      <c r="AU578" s="239"/>
      <c r="AV578" s="239"/>
      <c r="AW578" s="239"/>
      <c r="AX578" s="239"/>
      <c r="AY578" s="239"/>
      <c r="AZ578" s="239"/>
      <c r="BA578" s="239"/>
      <c r="BB578" s="239"/>
      <c r="BC578" s="239"/>
      <c r="BD578" s="239"/>
      <c r="BE578" s="239"/>
      <c r="BF578" s="239"/>
      <c r="BG578" s="239"/>
      <c r="BH578" s="239"/>
      <c r="BI578" s="239"/>
      <c r="BJ578" s="239"/>
      <c r="BK578" s="239"/>
      <c r="BL578" s="239"/>
      <c r="BM578" s="239"/>
      <c r="BN578" s="239"/>
      <c r="BO578" s="239"/>
      <c r="BP578" s="239"/>
      <c r="BQ578" s="239"/>
      <c r="BR578" s="239"/>
      <c r="BS578" s="239"/>
      <c r="BT578" s="239"/>
      <c r="BU578" s="239"/>
      <c r="BV578" s="239"/>
      <c r="BW578" s="239"/>
      <c r="BX578" s="239"/>
      <c r="BY578" s="239"/>
      <c r="BZ578" s="239"/>
      <c r="CA578" s="239"/>
      <c r="CB578" s="239"/>
      <c r="CC578" s="239"/>
      <c r="CD578" s="239"/>
      <c r="CE578" s="239"/>
      <c r="CF578" s="239"/>
      <c r="CG578" s="239"/>
    </row>
    <row r="579" spans="1:85" ht="15.75" customHeight="1">
      <c r="A579" s="239"/>
      <c r="B579" s="239"/>
      <c r="C579" s="239"/>
      <c r="D579" s="239"/>
      <c r="E579" s="239"/>
      <c r="F579" s="239"/>
      <c r="G579" s="239"/>
      <c r="H579" s="239"/>
      <c r="I579" s="239"/>
      <c r="J579" s="239"/>
      <c r="K579" s="239"/>
      <c r="L579" s="239"/>
      <c r="M579" s="239"/>
      <c r="N579" s="239"/>
      <c r="O579" s="239"/>
      <c r="P579" s="239"/>
      <c r="Q579" s="239"/>
      <c r="R579" s="239"/>
      <c r="S579" s="239"/>
      <c r="T579" s="239"/>
      <c r="U579" s="239"/>
      <c r="V579" s="239"/>
      <c r="W579" s="239"/>
      <c r="X579" s="239"/>
      <c r="Y579" s="239"/>
      <c r="Z579" s="239"/>
      <c r="AA579" s="239"/>
      <c r="AB579" s="239"/>
      <c r="AC579" s="239"/>
      <c r="AD579" s="239"/>
      <c r="AE579" s="239"/>
      <c r="AF579" s="239"/>
      <c r="AG579" s="239"/>
      <c r="AH579" s="239"/>
      <c r="AI579" s="239"/>
      <c r="AJ579" s="239"/>
      <c r="AK579" s="239"/>
      <c r="AL579" s="239"/>
      <c r="AM579" s="239"/>
      <c r="AN579" s="239"/>
      <c r="AO579" s="239"/>
      <c r="AP579" s="239"/>
      <c r="AQ579" s="239"/>
      <c r="AR579" s="239"/>
      <c r="AS579" s="239"/>
      <c r="AT579" s="239"/>
      <c r="AU579" s="239"/>
      <c r="AV579" s="239"/>
      <c r="AW579" s="239"/>
      <c r="AX579" s="239"/>
      <c r="AY579" s="239"/>
      <c r="AZ579" s="239"/>
      <c r="BA579" s="239"/>
      <c r="BB579" s="239"/>
      <c r="BC579" s="239"/>
      <c r="BD579" s="239"/>
      <c r="BE579" s="239"/>
      <c r="BF579" s="239"/>
      <c r="BG579" s="239"/>
      <c r="BH579" s="239"/>
      <c r="BI579" s="239"/>
      <c r="BJ579" s="239"/>
      <c r="BK579" s="239"/>
      <c r="BL579" s="239"/>
      <c r="BM579" s="239"/>
      <c r="BN579" s="239"/>
      <c r="BO579" s="239"/>
      <c r="BP579" s="239"/>
      <c r="BQ579" s="239"/>
      <c r="BR579" s="239"/>
      <c r="BS579" s="239"/>
      <c r="BT579" s="239"/>
      <c r="BU579" s="239"/>
      <c r="BV579" s="239"/>
      <c r="BW579" s="239"/>
      <c r="BX579" s="239"/>
      <c r="BY579" s="239"/>
      <c r="BZ579" s="239"/>
      <c r="CA579" s="239"/>
      <c r="CB579" s="239"/>
      <c r="CC579" s="239"/>
      <c r="CD579" s="239"/>
      <c r="CE579" s="239"/>
      <c r="CF579" s="239"/>
      <c r="CG579" s="239"/>
    </row>
    <row r="580" spans="1:85" ht="15.75" customHeight="1">
      <c r="A580" s="239"/>
      <c r="B580" s="239"/>
      <c r="C580" s="239"/>
      <c r="D580" s="239"/>
      <c r="E580" s="239"/>
      <c r="F580" s="239"/>
      <c r="G580" s="239"/>
      <c r="H580" s="239"/>
      <c r="I580" s="239"/>
      <c r="J580" s="239"/>
      <c r="K580" s="239"/>
      <c r="L580" s="239"/>
      <c r="M580" s="239"/>
      <c r="N580" s="239"/>
      <c r="O580" s="239"/>
      <c r="P580" s="239"/>
      <c r="Q580" s="239"/>
      <c r="R580" s="239"/>
      <c r="S580" s="239"/>
      <c r="T580" s="239"/>
      <c r="U580" s="239"/>
      <c r="V580" s="239"/>
      <c r="W580" s="239"/>
      <c r="X580" s="239"/>
      <c r="Y580" s="239"/>
      <c r="Z580" s="239"/>
      <c r="AA580" s="239"/>
      <c r="AB580" s="239"/>
      <c r="AC580" s="239"/>
      <c r="AD580" s="239"/>
      <c r="AE580" s="239"/>
      <c r="AF580" s="239"/>
      <c r="AG580" s="239"/>
      <c r="AH580" s="239"/>
      <c r="AI580" s="239"/>
      <c r="AJ580" s="239"/>
      <c r="AK580" s="239"/>
      <c r="AL580" s="239"/>
      <c r="AM580" s="239"/>
      <c r="AN580" s="239"/>
      <c r="AO580" s="239"/>
      <c r="AP580" s="239"/>
      <c r="AQ580" s="239"/>
      <c r="AR580" s="239"/>
      <c r="AS580" s="239"/>
      <c r="AT580" s="239"/>
      <c r="AU580" s="239"/>
      <c r="AV580" s="239"/>
      <c r="AW580" s="239"/>
      <c r="AX580" s="239"/>
      <c r="AY580" s="239"/>
      <c r="AZ580" s="239"/>
      <c r="BA580" s="239"/>
      <c r="BB580" s="239"/>
      <c r="BC580" s="239"/>
      <c r="BD580" s="239"/>
      <c r="BE580" s="239"/>
      <c r="BF580" s="239"/>
      <c r="BG580" s="239"/>
      <c r="BH580" s="239"/>
      <c r="BI580" s="239"/>
      <c r="BJ580" s="239"/>
      <c r="BK580" s="239"/>
      <c r="BL580" s="239"/>
      <c r="BM580" s="239"/>
      <c r="BN580" s="239"/>
      <c r="BO580" s="239"/>
      <c r="BP580" s="239"/>
      <c r="BQ580" s="239"/>
      <c r="BR580" s="239"/>
      <c r="BS580" s="239"/>
      <c r="BT580" s="239"/>
      <c r="BU580" s="239"/>
      <c r="BV580" s="239"/>
      <c r="BW580" s="239"/>
      <c r="BX580" s="239"/>
      <c r="BY580" s="239"/>
      <c r="BZ580" s="239"/>
      <c r="CA580" s="239"/>
      <c r="CB580" s="239"/>
      <c r="CC580" s="239"/>
      <c r="CD580" s="239"/>
      <c r="CE580" s="239"/>
      <c r="CF580" s="239"/>
      <c r="CG580" s="239"/>
    </row>
    <row r="581" spans="1:85" ht="15.75" customHeight="1">
      <c r="A581" s="239"/>
      <c r="B581" s="239"/>
      <c r="C581" s="239"/>
      <c r="D581" s="239"/>
      <c r="E581" s="239"/>
      <c r="F581" s="239"/>
      <c r="G581" s="239"/>
      <c r="H581" s="239"/>
      <c r="I581" s="239"/>
      <c r="J581" s="239"/>
      <c r="K581" s="239"/>
      <c r="L581" s="239"/>
      <c r="M581" s="239"/>
      <c r="N581" s="239"/>
      <c r="O581" s="239"/>
      <c r="P581" s="239"/>
      <c r="Q581" s="239"/>
      <c r="R581" s="239"/>
      <c r="S581" s="239"/>
      <c r="T581" s="239"/>
      <c r="U581" s="239"/>
      <c r="V581" s="239"/>
      <c r="W581" s="239"/>
      <c r="X581" s="239"/>
      <c r="Y581" s="239"/>
      <c r="Z581" s="239"/>
      <c r="AA581" s="239"/>
      <c r="AB581" s="239"/>
      <c r="AC581" s="239"/>
      <c r="AD581" s="239"/>
      <c r="AE581" s="239"/>
      <c r="AF581" s="239"/>
      <c r="AG581" s="239"/>
      <c r="AH581" s="239"/>
      <c r="AI581" s="239"/>
      <c r="AJ581" s="239"/>
      <c r="AK581" s="239"/>
      <c r="AL581" s="239"/>
      <c r="AM581" s="239"/>
      <c r="AN581" s="239"/>
      <c r="AO581" s="239"/>
      <c r="AP581" s="239"/>
      <c r="AQ581" s="239"/>
      <c r="AR581" s="239"/>
      <c r="AS581" s="239"/>
      <c r="AT581" s="239"/>
      <c r="AU581" s="239"/>
      <c r="AV581" s="239"/>
      <c r="AW581" s="239"/>
      <c r="AX581" s="239"/>
      <c r="AY581" s="239"/>
      <c r="AZ581" s="239"/>
      <c r="BA581" s="239"/>
      <c r="BB581" s="239"/>
      <c r="BC581" s="239"/>
      <c r="BD581" s="239"/>
      <c r="BE581" s="239"/>
      <c r="BF581" s="239"/>
      <c r="BG581" s="239"/>
      <c r="BH581" s="239"/>
      <c r="BI581" s="239"/>
      <c r="BJ581" s="239"/>
      <c r="BK581" s="239"/>
      <c r="BL581" s="239"/>
      <c r="BM581" s="239"/>
      <c r="BN581" s="239"/>
      <c r="BO581" s="239"/>
      <c r="BP581" s="239"/>
      <c r="BQ581" s="239"/>
      <c r="BR581" s="239"/>
      <c r="BS581" s="239"/>
      <c r="BT581" s="239"/>
      <c r="BU581" s="239"/>
      <c r="BV581" s="239"/>
      <c r="BW581" s="239"/>
      <c r="BX581" s="239"/>
      <c r="BY581" s="239"/>
      <c r="BZ581" s="239"/>
      <c r="CA581" s="239"/>
      <c r="CB581" s="239"/>
      <c r="CC581" s="239"/>
      <c r="CD581" s="239"/>
      <c r="CE581" s="239"/>
      <c r="CF581" s="239"/>
      <c r="CG581" s="239"/>
    </row>
    <row r="582" spans="1:85" ht="15.75" customHeight="1">
      <c r="A582" s="239"/>
      <c r="B582" s="239"/>
      <c r="C582" s="239"/>
      <c r="D582" s="239"/>
      <c r="E582" s="239"/>
      <c r="F582" s="239"/>
      <c r="G582" s="239"/>
      <c r="H582" s="239"/>
      <c r="I582" s="239"/>
      <c r="J582" s="239"/>
      <c r="K582" s="239"/>
      <c r="L582" s="239"/>
      <c r="M582" s="239"/>
      <c r="N582" s="239"/>
      <c r="O582" s="239"/>
      <c r="P582" s="239"/>
      <c r="Q582" s="239"/>
      <c r="R582" s="239"/>
      <c r="S582" s="239"/>
      <c r="T582" s="239"/>
      <c r="U582" s="239"/>
      <c r="V582" s="239"/>
      <c r="W582" s="239"/>
      <c r="X582" s="239"/>
      <c r="Y582" s="239"/>
      <c r="Z582" s="239"/>
      <c r="AA582" s="239"/>
      <c r="AB582" s="239"/>
      <c r="AC582" s="239"/>
      <c r="AD582" s="239"/>
      <c r="AE582" s="239"/>
      <c r="AF582" s="239"/>
      <c r="AG582" s="239"/>
      <c r="AH582" s="239"/>
      <c r="AI582" s="239"/>
      <c r="AJ582" s="239"/>
      <c r="AK582" s="239"/>
      <c r="AL582" s="239"/>
      <c r="AM582" s="239"/>
      <c r="AN582" s="239"/>
      <c r="AO582" s="239"/>
      <c r="AP582" s="239"/>
      <c r="AQ582" s="239"/>
      <c r="AR582" s="239"/>
      <c r="AS582" s="239"/>
      <c r="AT582" s="239"/>
      <c r="AU582" s="239"/>
      <c r="AV582" s="239"/>
      <c r="AW582" s="239"/>
      <c r="AX582" s="239"/>
      <c r="AY582" s="239"/>
      <c r="AZ582" s="239"/>
      <c r="BA582" s="239"/>
      <c r="BB582" s="239"/>
      <c r="BC582" s="239"/>
      <c r="BD582" s="239"/>
      <c r="BE582" s="239"/>
      <c r="BF582" s="239"/>
      <c r="BG582" s="239"/>
      <c r="BH582" s="239"/>
      <c r="BI582" s="239"/>
      <c r="BJ582" s="239"/>
      <c r="BK582" s="239"/>
      <c r="BL582" s="239"/>
      <c r="BM582" s="239"/>
      <c r="BN582" s="239"/>
      <c r="BO582" s="239"/>
      <c r="BP582" s="239"/>
      <c r="BQ582" s="239"/>
      <c r="BR582" s="239"/>
      <c r="BS582" s="239"/>
      <c r="BT582" s="239"/>
      <c r="BU582" s="239"/>
      <c r="BV582" s="239"/>
      <c r="BW582" s="239"/>
      <c r="BX582" s="239"/>
      <c r="BY582" s="239"/>
      <c r="BZ582" s="239"/>
      <c r="CA582" s="239"/>
      <c r="CB582" s="239"/>
      <c r="CC582" s="239"/>
      <c r="CD582" s="239"/>
      <c r="CE582" s="239"/>
      <c r="CF582" s="239"/>
      <c r="CG582" s="239"/>
    </row>
    <row r="583" spans="1:85" ht="15.75" customHeight="1">
      <c r="A583" s="239"/>
      <c r="B583" s="239"/>
      <c r="C583" s="239"/>
      <c r="D583" s="239"/>
      <c r="E583" s="239"/>
      <c r="F583" s="239"/>
      <c r="G583" s="239"/>
      <c r="H583" s="239"/>
      <c r="I583" s="239"/>
      <c r="J583" s="239"/>
      <c r="K583" s="239"/>
      <c r="L583" s="239"/>
      <c r="M583" s="239"/>
      <c r="N583" s="239"/>
      <c r="O583" s="239"/>
      <c r="P583" s="239"/>
      <c r="Q583" s="239"/>
      <c r="R583" s="239"/>
      <c r="S583" s="239"/>
      <c r="T583" s="239"/>
      <c r="U583" s="239"/>
      <c r="V583" s="239"/>
      <c r="W583" s="239"/>
      <c r="X583" s="239"/>
      <c r="Y583" s="239"/>
      <c r="Z583" s="239"/>
      <c r="AA583" s="239"/>
      <c r="AB583" s="239"/>
      <c r="AC583" s="239"/>
      <c r="AD583" s="239"/>
      <c r="AE583" s="239"/>
      <c r="AF583" s="239"/>
      <c r="AG583" s="239"/>
      <c r="AH583" s="239"/>
      <c r="AI583" s="239"/>
      <c r="AJ583" s="239"/>
      <c r="AK583" s="239"/>
      <c r="AL583" s="239"/>
      <c r="AM583" s="239"/>
      <c r="AN583" s="239"/>
      <c r="AO583" s="239"/>
      <c r="AP583" s="239"/>
      <c r="AQ583" s="239"/>
      <c r="AR583" s="239"/>
      <c r="AS583" s="239"/>
      <c r="AT583" s="239"/>
      <c r="AU583" s="239"/>
      <c r="AV583" s="239"/>
      <c r="AW583" s="239"/>
      <c r="AX583" s="239"/>
      <c r="AY583" s="239"/>
      <c r="AZ583" s="239"/>
      <c r="BA583" s="239"/>
      <c r="BB583" s="239"/>
      <c r="BC583" s="239"/>
      <c r="BD583" s="239"/>
      <c r="BE583" s="239"/>
      <c r="BF583" s="239"/>
      <c r="BG583" s="239"/>
      <c r="BH583" s="239"/>
      <c r="BI583" s="239"/>
      <c r="BJ583" s="239"/>
      <c r="BK583" s="239"/>
      <c r="BL583" s="239"/>
      <c r="BM583" s="239"/>
      <c r="BN583" s="239"/>
      <c r="BO583" s="239"/>
      <c r="BP583" s="239"/>
      <c r="BQ583" s="239"/>
      <c r="BR583" s="239"/>
      <c r="BS583" s="239"/>
      <c r="BT583" s="239"/>
      <c r="BU583" s="239"/>
      <c r="BV583" s="239"/>
      <c r="BW583" s="239"/>
      <c r="BX583" s="239"/>
      <c r="BY583" s="239"/>
      <c r="BZ583" s="239"/>
      <c r="CA583" s="239"/>
      <c r="CB583" s="239"/>
      <c r="CC583" s="239"/>
      <c r="CD583" s="239"/>
      <c r="CE583" s="239"/>
      <c r="CF583" s="239"/>
      <c r="CG583" s="239"/>
    </row>
    <row r="584" spans="1:85" ht="15.75" customHeight="1">
      <c r="A584" s="239"/>
      <c r="B584" s="239"/>
      <c r="C584" s="239"/>
      <c r="D584" s="239"/>
      <c r="E584" s="239"/>
      <c r="F584" s="239"/>
      <c r="G584" s="239"/>
      <c r="H584" s="239"/>
      <c r="I584" s="239"/>
      <c r="J584" s="239"/>
      <c r="K584" s="239"/>
      <c r="L584" s="239"/>
      <c r="M584" s="239"/>
      <c r="N584" s="239"/>
      <c r="O584" s="239"/>
      <c r="P584" s="239"/>
      <c r="Q584" s="239"/>
      <c r="R584" s="239"/>
      <c r="S584" s="239"/>
      <c r="T584" s="239"/>
      <c r="U584" s="239"/>
      <c r="V584" s="239"/>
      <c r="W584" s="239"/>
      <c r="X584" s="239"/>
      <c r="Y584" s="239"/>
      <c r="Z584" s="239"/>
      <c r="AA584" s="239"/>
      <c r="AB584" s="239"/>
      <c r="AC584" s="239"/>
      <c r="AD584" s="239"/>
      <c r="AE584" s="239"/>
      <c r="AF584" s="239"/>
      <c r="AG584" s="239"/>
      <c r="AH584" s="239"/>
      <c r="AI584" s="239"/>
      <c r="AJ584" s="239"/>
      <c r="AK584" s="239"/>
      <c r="AL584" s="239"/>
      <c r="AM584" s="239"/>
      <c r="AN584" s="239"/>
      <c r="AO584" s="239"/>
      <c r="AP584" s="239"/>
      <c r="AQ584" s="239"/>
      <c r="AR584" s="239"/>
      <c r="AS584" s="239"/>
      <c r="AT584" s="239"/>
      <c r="AU584" s="239"/>
      <c r="AV584" s="239"/>
      <c r="AW584" s="239"/>
      <c r="AX584" s="239"/>
      <c r="AY584" s="239"/>
      <c r="AZ584" s="239"/>
      <c r="BA584" s="239"/>
      <c r="BB584" s="239"/>
      <c r="BC584" s="239"/>
      <c r="BD584" s="239"/>
      <c r="BE584" s="239"/>
      <c r="BF584" s="239"/>
      <c r="BG584" s="239"/>
      <c r="BH584" s="239"/>
      <c r="BI584" s="239"/>
      <c r="BJ584" s="239"/>
      <c r="BK584" s="239"/>
      <c r="BL584" s="239"/>
      <c r="BM584" s="239"/>
      <c r="BN584" s="239"/>
      <c r="BO584" s="239"/>
      <c r="BP584" s="239"/>
      <c r="BQ584" s="239"/>
      <c r="BR584" s="239"/>
      <c r="BS584" s="239"/>
      <c r="BT584" s="239"/>
      <c r="BU584" s="239"/>
      <c r="BV584" s="239"/>
      <c r="BW584" s="239"/>
      <c r="BX584" s="239"/>
      <c r="BY584" s="239"/>
      <c r="BZ584" s="239"/>
      <c r="CA584" s="239"/>
      <c r="CB584" s="239"/>
      <c r="CC584" s="239"/>
      <c r="CD584" s="239"/>
      <c r="CE584" s="239"/>
      <c r="CF584" s="239"/>
      <c r="CG584" s="239"/>
    </row>
    <row r="585" spans="1:85" ht="15.75" customHeight="1">
      <c r="A585" s="239"/>
      <c r="B585" s="239"/>
      <c r="C585" s="239"/>
      <c r="D585" s="239"/>
      <c r="E585" s="239"/>
      <c r="F585" s="239"/>
      <c r="G585" s="239"/>
      <c r="H585" s="239"/>
      <c r="I585" s="239"/>
      <c r="J585" s="239"/>
      <c r="K585" s="239"/>
      <c r="L585" s="239"/>
      <c r="M585" s="239"/>
      <c r="N585" s="239"/>
      <c r="O585" s="239"/>
      <c r="P585" s="239"/>
      <c r="Q585" s="239"/>
      <c r="R585" s="239"/>
      <c r="S585" s="239"/>
      <c r="T585" s="239"/>
      <c r="U585" s="239"/>
      <c r="V585" s="239"/>
      <c r="W585" s="239"/>
      <c r="X585" s="239"/>
      <c r="Y585" s="239"/>
      <c r="Z585" s="239"/>
      <c r="AA585" s="239"/>
      <c r="AB585" s="239"/>
      <c r="AC585" s="239"/>
      <c r="AD585" s="239"/>
      <c r="AE585" s="239"/>
      <c r="AF585" s="239"/>
      <c r="AG585" s="239"/>
      <c r="AH585" s="239"/>
      <c r="AI585" s="239"/>
      <c r="AJ585" s="239"/>
      <c r="AK585" s="239"/>
      <c r="AL585" s="239"/>
      <c r="AM585" s="239"/>
      <c r="AN585" s="239"/>
      <c r="AO585" s="239"/>
      <c r="AP585" s="239"/>
      <c r="AQ585" s="239"/>
      <c r="AR585" s="239"/>
      <c r="AS585" s="239"/>
      <c r="AT585" s="239"/>
      <c r="AU585" s="239"/>
      <c r="AV585" s="239"/>
      <c r="AW585" s="239"/>
      <c r="AX585" s="239"/>
      <c r="AY585" s="239"/>
      <c r="AZ585" s="239"/>
      <c r="BA585" s="239"/>
      <c r="BB585" s="239"/>
      <c r="BC585" s="239"/>
      <c r="BD585" s="239"/>
      <c r="BE585" s="239"/>
      <c r="BF585" s="239"/>
      <c r="BG585" s="239"/>
      <c r="BH585" s="239"/>
      <c r="BI585" s="239"/>
      <c r="BJ585" s="239"/>
      <c r="BK585" s="239"/>
      <c r="BL585" s="239"/>
      <c r="BM585" s="239"/>
      <c r="BN585" s="239"/>
      <c r="BO585" s="239"/>
      <c r="BP585" s="239"/>
      <c r="BQ585" s="239"/>
      <c r="BR585" s="239"/>
      <c r="BS585" s="239"/>
      <c r="BT585" s="239"/>
      <c r="BU585" s="239"/>
      <c r="BV585" s="239"/>
      <c r="BW585" s="239"/>
      <c r="BX585" s="239"/>
      <c r="BY585" s="239"/>
      <c r="BZ585" s="239"/>
      <c r="CA585" s="239"/>
      <c r="CB585" s="239"/>
      <c r="CC585" s="239"/>
      <c r="CD585" s="239"/>
      <c r="CE585" s="239"/>
      <c r="CF585" s="239"/>
      <c r="CG585" s="239"/>
    </row>
    <row r="586" spans="1:85" ht="15.75" customHeight="1">
      <c r="A586" s="239"/>
      <c r="B586" s="239"/>
      <c r="C586" s="239"/>
      <c r="D586" s="239"/>
      <c r="E586" s="239"/>
      <c r="F586" s="239"/>
      <c r="G586" s="239"/>
      <c r="H586" s="239"/>
      <c r="I586" s="239"/>
      <c r="J586" s="239"/>
      <c r="K586" s="239"/>
      <c r="L586" s="239"/>
      <c r="M586" s="239"/>
      <c r="N586" s="239"/>
      <c r="O586" s="239"/>
      <c r="P586" s="239"/>
      <c r="Q586" s="239"/>
      <c r="R586" s="239"/>
      <c r="S586" s="239"/>
      <c r="T586" s="239"/>
      <c r="U586" s="239"/>
      <c r="V586" s="239"/>
      <c r="W586" s="239"/>
      <c r="X586" s="239"/>
      <c r="Y586" s="239"/>
      <c r="Z586" s="239"/>
      <c r="AA586" s="239"/>
      <c r="AB586" s="239"/>
      <c r="AC586" s="239"/>
      <c r="AD586" s="239"/>
      <c r="AE586" s="239"/>
      <c r="AF586" s="239"/>
      <c r="AG586" s="239"/>
      <c r="AH586" s="239"/>
      <c r="AI586" s="239"/>
      <c r="AJ586" s="239"/>
      <c r="AK586" s="239"/>
      <c r="AL586" s="239"/>
      <c r="AM586" s="239"/>
      <c r="AN586" s="239"/>
      <c r="AO586" s="239"/>
      <c r="AP586" s="239"/>
      <c r="AQ586" s="239"/>
      <c r="AR586" s="239"/>
      <c r="AS586" s="239"/>
      <c r="AT586" s="239"/>
      <c r="AU586" s="239"/>
      <c r="AV586" s="239"/>
      <c r="AW586" s="239"/>
      <c r="AX586" s="239"/>
      <c r="AY586" s="239"/>
      <c r="AZ586" s="239"/>
      <c r="BA586" s="239"/>
      <c r="BB586" s="239"/>
      <c r="BC586" s="239"/>
      <c r="BD586" s="239"/>
      <c r="BE586" s="239"/>
      <c r="BF586" s="239"/>
      <c r="BG586" s="239"/>
      <c r="BH586" s="239"/>
      <c r="BI586" s="239"/>
      <c r="BJ586" s="239"/>
      <c r="BK586" s="239"/>
      <c r="BL586" s="239"/>
      <c r="BM586" s="239"/>
      <c r="BN586" s="239"/>
      <c r="BO586" s="239"/>
      <c r="BP586" s="239"/>
      <c r="BQ586" s="239"/>
      <c r="BR586" s="239"/>
      <c r="BS586" s="239"/>
      <c r="BT586" s="239"/>
      <c r="BU586" s="239"/>
      <c r="BV586" s="239"/>
      <c r="BW586" s="239"/>
      <c r="BX586" s="239"/>
      <c r="BY586" s="239"/>
      <c r="BZ586" s="239"/>
      <c r="CA586" s="239"/>
      <c r="CB586" s="239"/>
      <c r="CC586" s="239"/>
      <c r="CD586" s="239"/>
      <c r="CE586" s="239"/>
      <c r="CF586" s="239"/>
      <c r="CG586" s="239"/>
    </row>
    <row r="587" spans="1:85" ht="15.75" customHeight="1">
      <c r="A587" s="239"/>
      <c r="B587" s="239"/>
      <c r="C587" s="239"/>
      <c r="D587" s="239"/>
      <c r="E587" s="239"/>
      <c r="F587" s="239"/>
      <c r="G587" s="239"/>
      <c r="H587" s="239"/>
      <c r="I587" s="239"/>
      <c r="J587" s="239"/>
      <c r="K587" s="239"/>
      <c r="L587" s="239"/>
      <c r="M587" s="239"/>
      <c r="N587" s="239"/>
      <c r="O587" s="239"/>
      <c r="P587" s="239"/>
      <c r="Q587" s="239"/>
      <c r="R587" s="239"/>
      <c r="S587" s="239"/>
      <c r="T587" s="239"/>
      <c r="U587" s="239"/>
      <c r="V587" s="239"/>
      <c r="W587" s="239"/>
      <c r="X587" s="239"/>
      <c r="Y587" s="239"/>
      <c r="Z587" s="239"/>
      <c r="AA587" s="239"/>
      <c r="AB587" s="239"/>
      <c r="AC587" s="239"/>
      <c r="AD587" s="239"/>
      <c r="AE587" s="239"/>
      <c r="AF587" s="239"/>
      <c r="AG587" s="239"/>
      <c r="AH587" s="239"/>
      <c r="AI587" s="239"/>
      <c r="AJ587" s="239"/>
      <c r="AK587" s="239"/>
      <c r="AL587" s="239"/>
      <c r="AM587" s="239"/>
      <c r="AN587" s="239"/>
      <c r="AO587" s="239"/>
      <c r="AP587" s="239"/>
      <c r="AQ587" s="239"/>
      <c r="AR587" s="239"/>
      <c r="AS587" s="239"/>
      <c r="AT587" s="239"/>
      <c r="AU587" s="239"/>
      <c r="AV587" s="239"/>
      <c r="AW587" s="239"/>
      <c r="AX587" s="239"/>
      <c r="AY587" s="239"/>
      <c r="AZ587" s="239"/>
      <c r="BA587" s="239"/>
      <c r="BB587" s="239"/>
      <c r="BC587" s="239"/>
      <c r="BD587" s="239"/>
      <c r="BE587" s="239"/>
      <c r="BF587" s="239"/>
      <c r="BG587" s="239"/>
      <c r="BH587" s="239"/>
      <c r="BI587" s="239"/>
      <c r="BJ587" s="239"/>
      <c r="BK587" s="239"/>
      <c r="BL587" s="239"/>
      <c r="BM587" s="239"/>
      <c r="BN587" s="239"/>
      <c r="BO587" s="239"/>
      <c r="BP587" s="239"/>
      <c r="BQ587" s="239"/>
      <c r="BR587" s="239"/>
      <c r="BS587" s="239"/>
      <c r="BT587" s="239"/>
      <c r="BU587" s="239"/>
      <c r="BV587" s="239"/>
      <c r="BW587" s="239"/>
      <c r="BX587" s="239"/>
      <c r="BY587" s="239"/>
      <c r="BZ587" s="239"/>
      <c r="CA587" s="239"/>
      <c r="CB587" s="239"/>
      <c r="CC587" s="239"/>
      <c r="CD587" s="239"/>
      <c r="CE587" s="239"/>
      <c r="CF587" s="239"/>
      <c r="CG587" s="239"/>
    </row>
    <row r="588" spans="1:85" ht="15.75" customHeight="1">
      <c r="A588" s="239"/>
      <c r="B588" s="239"/>
      <c r="C588" s="239"/>
      <c r="D588" s="239"/>
      <c r="E588" s="239"/>
      <c r="F588" s="239"/>
      <c r="G588" s="239"/>
      <c r="H588" s="239"/>
      <c r="I588" s="239"/>
      <c r="J588" s="239"/>
      <c r="K588" s="239"/>
      <c r="L588" s="239"/>
      <c r="M588" s="239"/>
      <c r="N588" s="239"/>
      <c r="O588" s="239"/>
      <c r="P588" s="239"/>
      <c r="Q588" s="239"/>
      <c r="R588" s="239"/>
      <c r="S588" s="239"/>
      <c r="T588" s="239"/>
      <c r="U588" s="239"/>
      <c r="V588" s="239"/>
      <c r="W588" s="239"/>
      <c r="X588" s="239"/>
      <c r="Y588" s="239"/>
      <c r="Z588" s="239"/>
      <c r="AA588" s="239"/>
      <c r="AB588" s="239"/>
      <c r="AC588" s="239"/>
      <c r="AD588" s="239"/>
      <c r="AE588" s="239"/>
      <c r="AF588" s="239"/>
      <c r="AG588" s="239"/>
      <c r="AH588" s="239"/>
      <c r="AI588" s="239"/>
      <c r="AJ588" s="239"/>
      <c r="AK588" s="239"/>
      <c r="AL588" s="239"/>
      <c r="AM588" s="239"/>
      <c r="AN588" s="239"/>
      <c r="AO588" s="239"/>
      <c r="AP588" s="239"/>
      <c r="AQ588" s="239"/>
      <c r="AR588" s="239"/>
      <c r="AS588" s="239"/>
      <c r="AT588" s="239"/>
      <c r="AU588" s="239"/>
      <c r="AV588" s="239"/>
      <c r="AW588" s="239"/>
      <c r="AX588" s="239"/>
      <c r="AY588" s="239"/>
      <c r="AZ588" s="239"/>
      <c r="BA588" s="239"/>
      <c r="BB588" s="239"/>
      <c r="BC588" s="239"/>
      <c r="BD588" s="239"/>
      <c r="BE588" s="239"/>
      <c r="BF588" s="239"/>
      <c r="BG588" s="239"/>
      <c r="BH588" s="239"/>
      <c r="BI588" s="239"/>
      <c r="BJ588" s="239"/>
      <c r="BK588" s="239"/>
      <c r="BL588" s="239"/>
      <c r="BM588" s="239"/>
      <c r="BN588" s="239"/>
      <c r="BO588" s="239"/>
      <c r="BP588" s="239"/>
      <c r="BQ588" s="239"/>
      <c r="BR588" s="239"/>
      <c r="BS588" s="239"/>
      <c r="BT588" s="239"/>
      <c r="BU588" s="239"/>
      <c r="BV588" s="239"/>
      <c r="BW588" s="239"/>
      <c r="BX588" s="239"/>
      <c r="BY588" s="239"/>
      <c r="BZ588" s="239"/>
      <c r="CA588" s="239"/>
      <c r="CB588" s="239"/>
      <c r="CC588" s="239"/>
      <c r="CD588" s="239"/>
      <c r="CE588" s="239"/>
      <c r="CF588" s="239"/>
      <c r="CG588" s="239"/>
    </row>
    <row r="589" spans="1:85" ht="15.75" customHeight="1">
      <c r="A589" s="239"/>
      <c r="B589" s="239"/>
      <c r="C589" s="239"/>
      <c r="D589" s="239"/>
      <c r="E589" s="239"/>
      <c r="F589" s="239"/>
      <c r="G589" s="239"/>
      <c r="H589" s="239"/>
      <c r="I589" s="239"/>
      <c r="J589" s="239"/>
      <c r="K589" s="239"/>
      <c r="L589" s="239"/>
      <c r="M589" s="239"/>
      <c r="N589" s="239"/>
      <c r="O589" s="239"/>
      <c r="P589" s="239"/>
      <c r="Q589" s="239"/>
      <c r="R589" s="239"/>
      <c r="S589" s="239"/>
      <c r="T589" s="239"/>
      <c r="U589" s="239"/>
      <c r="V589" s="239"/>
      <c r="W589" s="239"/>
      <c r="X589" s="239"/>
      <c r="Y589" s="239"/>
      <c r="Z589" s="239"/>
      <c r="AA589" s="239"/>
      <c r="AB589" s="239"/>
      <c r="AC589" s="239"/>
      <c r="AD589" s="239"/>
      <c r="AE589" s="239"/>
      <c r="AF589" s="239"/>
      <c r="AG589" s="239"/>
      <c r="AH589" s="239"/>
      <c r="AI589" s="239"/>
      <c r="AJ589" s="239"/>
      <c r="AK589" s="239"/>
      <c r="AL589" s="239"/>
      <c r="AM589" s="239"/>
      <c r="AN589" s="239"/>
      <c r="AO589" s="239"/>
      <c r="AP589" s="239"/>
      <c r="AQ589" s="239"/>
      <c r="AR589" s="239"/>
      <c r="AS589" s="239"/>
      <c r="AT589" s="239"/>
      <c r="AU589" s="239"/>
      <c r="AV589" s="239"/>
      <c r="AW589" s="239"/>
      <c r="AX589" s="239"/>
      <c r="AY589" s="239"/>
      <c r="AZ589" s="239"/>
      <c r="BA589" s="239"/>
      <c r="BB589" s="239"/>
      <c r="BC589" s="239"/>
      <c r="BD589" s="239"/>
      <c r="BE589" s="239"/>
      <c r="BF589" s="239"/>
      <c r="BG589" s="239"/>
      <c r="BH589" s="239"/>
      <c r="BI589" s="239"/>
      <c r="BJ589" s="239"/>
      <c r="BK589" s="239"/>
      <c r="BL589" s="239"/>
      <c r="BM589" s="239"/>
      <c r="BN589" s="239"/>
      <c r="BO589" s="239"/>
      <c r="BP589" s="239"/>
      <c r="BQ589" s="239"/>
      <c r="BR589" s="239"/>
      <c r="BS589" s="239"/>
      <c r="BT589" s="239"/>
      <c r="BU589" s="239"/>
      <c r="BV589" s="239"/>
      <c r="BW589" s="239"/>
      <c r="BX589" s="239"/>
      <c r="BY589" s="239"/>
      <c r="BZ589" s="239"/>
      <c r="CA589" s="239"/>
      <c r="CB589" s="239"/>
      <c r="CC589" s="239"/>
      <c r="CD589" s="239"/>
      <c r="CE589" s="239"/>
      <c r="CF589" s="239"/>
      <c r="CG589" s="239"/>
    </row>
    <row r="590" spans="1:85" ht="15.75" customHeight="1">
      <c r="A590" s="239"/>
      <c r="B590" s="239"/>
      <c r="C590" s="239"/>
      <c r="D590" s="239"/>
      <c r="E590" s="239"/>
      <c r="F590" s="239"/>
      <c r="G590" s="239"/>
      <c r="H590" s="239"/>
      <c r="I590" s="239"/>
      <c r="J590" s="239"/>
      <c r="K590" s="239"/>
      <c r="L590" s="239"/>
      <c r="M590" s="239"/>
      <c r="N590" s="239"/>
      <c r="O590" s="239"/>
      <c r="P590" s="239"/>
      <c r="Q590" s="239"/>
      <c r="R590" s="239"/>
      <c r="S590" s="239"/>
      <c r="T590" s="239"/>
      <c r="U590" s="239"/>
      <c r="V590" s="239"/>
      <c r="W590" s="239"/>
      <c r="X590" s="239"/>
      <c r="Y590" s="239"/>
      <c r="Z590" s="239"/>
      <c r="AA590" s="239"/>
      <c r="AB590" s="239"/>
      <c r="AC590" s="239"/>
      <c r="AD590" s="239"/>
      <c r="AE590" s="239"/>
      <c r="AF590" s="239"/>
      <c r="AG590" s="239"/>
      <c r="AH590" s="239"/>
      <c r="AI590" s="239"/>
      <c r="AJ590" s="239"/>
      <c r="AK590" s="239"/>
      <c r="AL590" s="239"/>
      <c r="AM590" s="239"/>
      <c r="AN590" s="239"/>
      <c r="AO590" s="239"/>
      <c r="AP590" s="239"/>
      <c r="AQ590" s="239"/>
      <c r="AR590" s="239"/>
      <c r="AS590" s="239"/>
      <c r="AT590" s="239"/>
      <c r="AU590" s="239"/>
      <c r="AV590" s="239"/>
      <c r="AW590" s="239"/>
      <c r="AX590" s="239"/>
      <c r="AY590" s="239"/>
      <c r="AZ590" s="239"/>
      <c r="BA590" s="239"/>
      <c r="BB590" s="239"/>
      <c r="BC590" s="239"/>
      <c r="BD590" s="239"/>
      <c r="BE590" s="239"/>
      <c r="BF590" s="239"/>
      <c r="BG590" s="239"/>
      <c r="BH590" s="239"/>
      <c r="BI590" s="239"/>
      <c r="BJ590" s="239"/>
      <c r="BK590" s="239"/>
      <c r="BL590" s="239"/>
      <c r="BM590" s="239"/>
      <c r="BN590" s="239"/>
      <c r="BO590" s="239"/>
      <c r="BP590" s="239"/>
      <c r="BQ590" s="239"/>
      <c r="BR590" s="239"/>
      <c r="BS590" s="239"/>
      <c r="BT590" s="239"/>
      <c r="BU590" s="239"/>
      <c r="BV590" s="239"/>
      <c r="BW590" s="239"/>
      <c r="BX590" s="239"/>
      <c r="BY590" s="239"/>
      <c r="BZ590" s="239"/>
      <c r="CA590" s="239"/>
      <c r="CB590" s="239"/>
      <c r="CC590" s="239"/>
      <c r="CD590" s="239"/>
      <c r="CE590" s="239"/>
      <c r="CF590" s="239"/>
      <c r="CG590" s="239"/>
    </row>
    <row r="591" spans="1:85" ht="15.75" customHeight="1">
      <c r="A591" s="239"/>
      <c r="B591" s="239"/>
      <c r="C591" s="239"/>
      <c r="D591" s="239"/>
      <c r="E591" s="239"/>
      <c r="F591" s="239"/>
      <c r="G591" s="239"/>
      <c r="H591" s="239"/>
      <c r="I591" s="239"/>
      <c r="J591" s="239"/>
      <c r="K591" s="239"/>
      <c r="L591" s="239"/>
      <c r="M591" s="239"/>
      <c r="N591" s="239"/>
      <c r="O591" s="239"/>
      <c r="P591" s="239"/>
      <c r="Q591" s="239"/>
      <c r="R591" s="239"/>
      <c r="S591" s="239"/>
      <c r="T591" s="239"/>
      <c r="U591" s="239"/>
      <c r="V591" s="239"/>
      <c r="W591" s="239"/>
      <c r="X591" s="239"/>
      <c r="Y591" s="239"/>
      <c r="Z591" s="239"/>
      <c r="AA591" s="239"/>
      <c r="AB591" s="239"/>
      <c r="AC591" s="239"/>
      <c r="AD591" s="239"/>
      <c r="AE591" s="239"/>
      <c r="AF591" s="239"/>
      <c r="AG591" s="239"/>
      <c r="AH591" s="239"/>
      <c r="AI591" s="239"/>
      <c r="AJ591" s="239"/>
      <c r="AK591" s="239"/>
      <c r="AL591" s="239"/>
      <c r="AM591" s="239"/>
      <c r="AN591" s="239"/>
      <c r="AO591" s="239"/>
      <c r="AP591" s="239"/>
      <c r="AQ591" s="239"/>
      <c r="AR591" s="239"/>
      <c r="AS591" s="239"/>
      <c r="AT591" s="239"/>
      <c r="AU591" s="239"/>
      <c r="AV591" s="239"/>
      <c r="AW591" s="239"/>
      <c r="AX591" s="239"/>
      <c r="AY591" s="239"/>
      <c r="AZ591" s="239"/>
      <c r="BA591" s="239"/>
      <c r="BB591" s="239"/>
      <c r="BC591" s="239"/>
      <c r="BD591" s="239"/>
      <c r="BE591" s="239"/>
      <c r="BF591" s="239"/>
      <c r="BG591" s="239"/>
      <c r="BH591" s="239"/>
      <c r="BI591" s="239"/>
      <c r="BJ591" s="239"/>
      <c r="BK591" s="239"/>
      <c r="BL591" s="239"/>
      <c r="BM591" s="239"/>
      <c r="BN591" s="239"/>
      <c r="BO591" s="239"/>
      <c r="BP591" s="239"/>
      <c r="BQ591" s="239"/>
      <c r="BR591" s="239"/>
      <c r="BS591" s="239"/>
      <c r="BT591" s="239"/>
      <c r="BU591" s="239"/>
      <c r="BV591" s="239"/>
      <c r="BW591" s="239"/>
      <c r="BX591" s="239"/>
      <c r="BY591" s="239"/>
      <c r="BZ591" s="239"/>
      <c r="CA591" s="239"/>
      <c r="CB591" s="239"/>
      <c r="CC591" s="239"/>
      <c r="CD591" s="239"/>
      <c r="CE591" s="239"/>
      <c r="CF591" s="239"/>
      <c r="CG591" s="239"/>
    </row>
    <row r="592" spans="1:85" ht="15.75" customHeight="1">
      <c r="A592" s="239"/>
      <c r="B592" s="239"/>
      <c r="C592" s="239"/>
      <c r="D592" s="239"/>
      <c r="E592" s="239"/>
      <c r="F592" s="239"/>
      <c r="G592" s="239"/>
      <c r="H592" s="239"/>
      <c r="I592" s="239"/>
      <c r="J592" s="239"/>
      <c r="K592" s="239"/>
      <c r="L592" s="239"/>
      <c r="M592" s="239"/>
      <c r="N592" s="239"/>
      <c r="O592" s="239"/>
      <c r="P592" s="239"/>
      <c r="Q592" s="239"/>
      <c r="R592" s="239"/>
      <c r="S592" s="239"/>
      <c r="T592" s="239"/>
      <c r="U592" s="239"/>
      <c r="V592" s="239"/>
      <c r="W592" s="239"/>
      <c r="X592" s="239"/>
      <c r="Y592" s="239"/>
      <c r="Z592" s="239"/>
      <c r="AA592" s="239"/>
      <c r="AB592" s="239"/>
      <c r="AC592" s="239"/>
      <c r="AD592" s="239"/>
      <c r="AE592" s="239"/>
      <c r="AF592" s="239"/>
      <c r="AG592" s="239"/>
      <c r="AH592" s="239"/>
      <c r="AI592" s="239"/>
      <c r="AJ592" s="239"/>
      <c r="AK592" s="239"/>
      <c r="AL592" s="239"/>
      <c r="AM592" s="239"/>
      <c r="AN592" s="239"/>
      <c r="AO592" s="239"/>
      <c r="AP592" s="239"/>
      <c r="AQ592" s="239"/>
      <c r="AR592" s="239"/>
      <c r="AS592" s="239"/>
      <c r="AT592" s="239"/>
      <c r="AU592" s="239"/>
      <c r="AV592" s="239"/>
      <c r="AW592" s="239"/>
      <c r="AX592" s="239"/>
      <c r="AY592" s="239"/>
      <c r="AZ592" s="239"/>
      <c r="BA592" s="239"/>
      <c r="BB592" s="239"/>
      <c r="BC592" s="239"/>
      <c r="BD592" s="239"/>
      <c r="BE592" s="239"/>
      <c r="BF592" s="239"/>
      <c r="BG592" s="239"/>
      <c r="BH592" s="239"/>
      <c r="BI592" s="239"/>
      <c r="BJ592" s="239"/>
      <c r="BK592" s="239"/>
      <c r="BL592" s="239"/>
      <c r="BM592" s="239"/>
      <c r="BN592" s="239"/>
      <c r="BO592" s="239"/>
      <c r="BP592" s="239"/>
      <c r="BQ592" s="239"/>
      <c r="BR592" s="239"/>
      <c r="BS592" s="239"/>
      <c r="BT592" s="239"/>
      <c r="BU592" s="239"/>
      <c r="BV592" s="239"/>
      <c r="BW592" s="239"/>
      <c r="BX592" s="239"/>
      <c r="BY592" s="239"/>
      <c r="BZ592" s="239"/>
      <c r="CA592" s="239"/>
      <c r="CB592" s="239"/>
      <c r="CC592" s="239"/>
      <c r="CD592" s="239"/>
      <c r="CE592" s="239"/>
      <c r="CF592" s="239"/>
      <c r="CG592" s="239"/>
    </row>
    <row r="593" spans="1:85" ht="15.75" customHeight="1">
      <c r="A593" s="239"/>
      <c r="B593" s="239"/>
      <c r="C593" s="239"/>
      <c r="D593" s="239"/>
      <c r="E593" s="239"/>
      <c r="F593" s="239"/>
      <c r="G593" s="239"/>
      <c r="H593" s="239"/>
      <c r="I593" s="239"/>
      <c r="J593" s="239"/>
      <c r="K593" s="239"/>
      <c r="L593" s="239"/>
      <c r="M593" s="239"/>
      <c r="N593" s="239"/>
      <c r="O593" s="239"/>
      <c r="P593" s="239"/>
      <c r="Q593" s="239"/>
      <c r="R593" s="239"/>
      <c r="S593" s="239"/>
      <c r="T593" s="239"/>
      <c r="U593" s="239"/>
      <c r="V593" s="239"/>
      <c r="W593" s="239"/>
      <c r="X593" s="239"/>
      <c r="Y593" s="239"/>
      <c r="Z593" s="239"/>
      <c r="AA593" s="239"/>
      <c r="AB593" s="239"/>
      <c r="AC593" s="239"/>
      <c r="AD593" s="239"/>
      <c r="AE593" s="239"/>
      <c r="AF593" s="239"/>
      <c r="AG593" s="239"/>
      <c r="AH593" s="239"/>
      <c r="AI593" s="239"/>
      <c r="AJ593" s="239"/>
      <c r="AK593" s="239"/>
      <c r="AL593" s="239"/>
      <c r="AM593" s="239"/>
      <c r="AN593" s="239"/>
      <c r="AO593" s="239"/>
      <c r="AP593" s="239"/>
      <c r="AQ593" s="239"/>
      <c r="AR593" s="239"/>
      <c r="AS593" s="239"/>
      <c r="AT593" s="239"/>
      <c r="AU593" s="239"/>
      <c r="AV593" s="239"/>
      <c r="AW593" s="239"/>
      <c r="AX593" s="239"/>
      <c r="AY593" s="239"/>
      <c r="AZ593" s="239"/>
      <c r="BA593" s="239"/>
      <c r="BB593" s="239"/>
      <c r="BC593" s="239"/>
      <c r="BD593" s="239"/>
      <c r="BE593" s="239"/>
      <c r="BF593" s="239"/>
      <c r="BG593" s="239"/>
      <c r="BH593" s="239"/>
      <c r="BI593" s="239"/>
      <c r="BJ593" s="239"/>
      <c r="BK593" s="239"/>
      <c r="BL593" s="239"/>
      <c r="BM593" s="239"/>
      <c r="BN593" s="239"/>
      <c r="BO593" s="239"/>
      <c r="BP593" s="239"/>
      <c r="BQ593" s="239"/>
      <c r="BR593" s="239"/>
      <c r="BS593" s="239"/>
      <c r="BT593" s="239"/>
      <c r="BU593" s="239"/>
      <c r="BV593" s="239"/>
      <c r="BW593" s="239"/>
      <c r="BX593" s="239"/>
      <c r="BY593" s="239"/>
      <c r="BZ593" s="239"/>
      <c r="CA593" s="239"/>
      <c r="CB593" s="239"/>
      <c r="CC593" s="239"/>
      <c r="CD593" s="239"/>
      <c r="CE593" s="239"/>
      <c r="CF593" s="239"/>
      <c r="CG593" s="239"/>
    </row>
    <row r="594" spans="1:85" ht="15.75" customHeight="1">
      <c r="A594" s="239"/>
      <c r="B594" s="239"/>
      <c r="C594" s="239"/>
      <c r="D594" s="239"/>
      <c r="E594" s="239"/>
      <c r="F594" s="239"/>
      <c r="G594" s="239"/>
      <c r="H594" s="239"/>
      <c r="I594" s="239"/>
      <c r="J594" s="239"/>
      <c r="K594" s="239"/>
      <c r="L594" s="239"/>
      <c r="M594" s="239"/>
      <c r="N594" s="239"/>
      <c r="O594" s="239"/>
      <c r="P594" s="239"/>
      <c r="Q594" s="239"/>
      <c r="R594" s="239"/>
      <c r="S594" s="239"/>
      <c r="T594" s="239"/>
      <c r="U594" s="239"/>
      <c r="V594" s="239"/>
      <c r="W594" s="239"/>
      <c r="X594" s="239"/>
      <c r="Y594" s="239"/>
      <c r="Z594" s="239"/>
      <c r="AA594" s="239"/>
      <c r="AB594" s="239"/>
      <c r="AC594" s="239"/>
      <c r="AD594" s="239"/>
      <c r="AE594" s="239"/>
      <c r="AF594" s="239"/>
      <c r="AG594" s="239"/>
      <c r="AH594" s="239"/>
      <c r="AI594" s="239"/>
      <c r="AJ594" s="239"/>
      <c r="AK594" s="239"/>
      <c r="AL594" s="239"/>
      <c r="AM594" s="239"/>
      <c r="AN594" s="239"/>
      <c r="AO594" s="239"/>
      <c r="AP594" s="239"/>
      <c r="AQ594" s="239"/>
      <c r="AR594" s="239"/>
      <c r="AS594" s="239"/>
      <c r="AT594" s="239"/>
      <c r="AU594" s="239"/>
      <c r="AV594" s="239"/>
      <c r="AW594" s="239"/>
      <c r="AX594" s="239"/>
      <c r="AY594" s="239"/>
      <c r="AZ594" s="239"/>
      <c r="BA594" s="239"/>
      <c r="BB594" s="239"/>
      <c r="BC594" s="239"/>
      <c r="BD594" s="239"/>
      <c r="BE594" s="239"/>
      <c r="BF594" s="239"/>
      <c r="BG594" s="239"/>
      <c r="BH594" s="239"/>
      <c r="BI594" s="239"/>
      <c r="BJ594" s="239"/>
      <c r="BK594" s="239"/>
      <c r="BL594" s="239"/>
      <c r="BM594" s="239"/>
      <c r="BN594" s="239"/>
      <c r="BO594" s="239"/>
      <c r="BP594" s="239"/>
      <c r="BQ594" s="239"/>
      <c r="BR594" s="239"/>
      <c r="BS594" s="239"/>
      <c r="BT594" s="239"/>
      <c r="BU594" s="239"/>
      <c r="BV594" s="239"/>
      <c r="BW594" s="239"/>
      <c r="BX594" s="239"/>
      <c r="BY594" s="239"/>
      <c r="BZ594" s="239"/>
      <c r="CA594" s="239"/>
      <c r="CB594" s="239"/>
      <c r="CC594" s="239"/>
      <c r="CD594" s="239"/>
      <c r="CE594" s="239"/>
      <c r="CF594" s="239"/>
      <c r="CG594" s="239"/>
    </row>
    <row r="595" spans="1:85" ht="15.75" customHeight="1">
      <c r="A595" s="239"/>
      <c r="B595" s="239"/>
      <c r="C595" s="239"/>
      <c r="D595" s="239"/>
      <c r="E595" s="239"/>
      <c r="F595" s="239"/>
      <c r="G595" s="239"/>
      <c r="H595" s="239"/>
      <c r="I595" s="239"/>
      <c r="J595" s="239"/>
      <c r="K595" s="239"/>
      <c r="L595" s="239"/>
      <c r="M595" s="239"/>
      <c r="N595" s="239"/>
      <c r="O595" s="239"/>
      <c r="P595" s="239"/>
      <c r="Q595" s="239"/>
      <c r="R595" s="239"/>
      <c r="S595" s="239"/>
      <c r="T595" s="239"/>
      <c r="U595" s="239"/>
      <c r="V595" s="239"/>
      <c r="W595" s="239"/>
      <c r="X595" s="239"/>
      <c r="Y595" s="239"/>
      <c r="Z595" s="239"/>
      <c r="AA595" s="239"/>
      <c r="AB595" s="239"/>
      <c r="AC595" s="239"/>
      <c r="AD595" s="239"/>
      <c r="AE595" s="239"/>
      <c r="AF595" s="239"/>
      <c r="AG595" s="239"/>
      <c r="AH595" s="239"/>
      <c r="AI595" s="239"/>
      <c r="AJ595" s="239"/>
      <c r="AK595" s="239"/>
      <c r="AL595" s="239"/>
      <c r="AM595" s="239"/>
      <c r="AN595" s="239"/>
      <c r="AO595" s="239"/>
      <c r="AP595" s="239"/>
      <c r="AQ595" s="239"/>
      <c r="AR595" s="239"/>
      <c r="AS595" s="239"/>
      <c r="AT595" s="239"/>
      <c r="AU595" s="239"/>
      <c r="AV595" s="239"/>
      <c r="AW595" s="239"/>
      <c r="AX595" s="239"/>
      <c r="AY595" s="239"/>
      <c r="AZ595" s="239"/>
      <c r="BA595" s="239"/>
      <c r="BB595" s="239"/>
      <c r="BC595" s="239"/>
      <c r="BD595" s="239"/>
      <c r="BE595" s="239"/>
      <c r="BF595" s="239"/>
      <c r="BG595" s="239"/>
      <c r="BH595" s="239"/>
      <c r="BI595" s="239"/>
      <c r="BJ595" s="239"/>
      <c r="BK595" s="239"/>
      <c r="BL595" s="239"/>
      <c r="BM595" s="239"/>
      <c r="BN595" s="239"/>
      <c r="BO595" s="239"/>
      <c r="BP595" s="239"/>
      <c r="BQ595" s="239"/>
      <c r="BR595" s="239"/>
      <c r="BS595" s="239"/>
      <c r="BT595" s="239"/>
      <c r="BU595" s="239"/>
      <c r="BV595" s="239"/>
      <c r="BW595" s="239"/>
      <c r="BX595" s="239"/>
      <c r="BY595" s="239"/>
      <c r="BZ595" s="239"/>
      <c r="CA595" s="239"/>
      <c r="CB595" s="239"/>
      <c r="CC595" s="239"/>
      <c r="CD595" s="239"/>
      <c r="CE595" s="239"/>
      <c r="CF595" s="239"/>
      <c r="CG595" s="239"/>
    </row>
    <row r="596" spans="1:85" ht="15.75" customHeight="1">
      <c r="A596" s="239"/>
      <c r="B596" s="239"/>
      <c r="C596" s="239"/>
      <c r="D596" s="239"/>
      <c r="E596" s="239"/>
      <c r="F596" s="239"/>
      <c r="G596" s="239"/>
      <c r="H596" s="239"/>
      <c r="I596" s="239"/>
      <c r="J596" s="239"/>
      <c r="K596" s="239"/>
      <c r="L596" s="239"/>
      <c r="M596" s="239"/>
      <c r="N596" s="239"/>
      <c r="O596" s="239"/>
      <c r="P596" s="239"/>
      <c r="Q596" s="239"/>
      <c r="R596" s="239"/>
      <c r="S596" s="239"/>
      <c r="T596" s="239"/>
      <c r="U596" s="239"/>
      <c r="V596" s="239"/>
      <c r="W596" s="239"/>
      <c r="X596" s="239"/>
      <c r="Y596" s="239"/>
      <c r="Z596" s="239"/>
      <c r="AA596" s="239"/>
      <c r="AB596" s="239"/>
      <c r="AC596" s="239"/>
      <c r="AD596" s="239"/>
      <c r="AE596" s="239"/>
      <c r="AF596" s="239"/>
      <c r="AG596" s="239"/>
      <c r="AH596" s="239"/>
      <c r="AI596" s="239"/>
      <c r="AJ596" s="239"/>
      <c r="AK596" s="239"/>
      <c r="AL596" s="239"/>
      <c r="AM596" s="239"/>
      <c r="AN596" s="239"/>
      <c r="AO596" s="239"/>
      <c r="AP596" s="239"/>
      <c r="AQ596" s="239"/>
      <c r="AR596" s="239"/>
      <c r="AS596" s="239"/>
      <c r="AT596" s="239"/>
      <c r="AU596" s="239"/>
      <c r="AV596" s="239"/>
      <c r="AW596" s="239"/>
      <c r="AX596" s="239"/>
      <c r="AY596" s="239"/>
      <c r="AZ596" s="239"/>
      <c r="BA596" s="239"/>
      <c r="BB596" s="239"/>
      <c r="BC596" s="239"/>
      <c r="BD596" s="239"/>
      <c r="BE596" s="239"/>
      <c r="BF596" s="239"/>
      <c r="BG596" s="239"/>
      <c r="BH596" s="239"/>
      <c r="BI596" s="239"/>
      <c r="BJ596" s="239"/>
      <c r="BK596" s="239"/>
      <c r="BL596" s="239"/>
      <c r="BM596" s="239"/>
      <c r="BN596" s="239"/>
      <c r="BO596" s="239"/>
      <c r="BP596" s="239"/>
      <c r="BQ596" s="239"/>
      <c r="BR596" s="239"/>
      <c r="BS596" s="239"/>
      <c r="BT596" s="239"/>
      <c r="BU596" s="239"/>
      <c r="BV596" s="239"/>
      <c r="BW596" s="239"/>
      <c r="BX596" s="239"/>
      <c r="BY596" s="239"/>
      <c r="BZ596" s="239"/>
      <c r="CA596" s="239"/>
      <c r="CB596" s="239"/>
      <c r="CC596" s="239"/>
      <c r="CD596" s="239"/>
      <c r="CE596" s="239"/>
      <c r="CF596" s="239"/>
      <c r="CG596" s="239"/>
    </row>
    <row r="597" spans="1:85" ht="15.75" customHeight="1">
      <c r="A597" s="239"/>
      <c r="B597" s="239"/>
      <c r="C597" s="239"/>
      <c r="D597" s="239"/>
      <c r="E597" s="239"/>
      <c r="F597" s="239"/>
      <c r="G597" s="239"/>
      <c r="H597" s="239"/>
      <c r="I597" s="239"/>
      <c r="J597" s="239"/>
      <c r="K597" s="239"/>
      <c r="L597" s="239"/>
      <c r="M597" s="239"/>
      <c r="N597" s="239"/>
      <c r="O597" s="239"/>
      <c r="P597" s="239"/>
      <c r="Q597" s="239"/>
      <c r="R597" s="239"/>
      <c r="S597" s="239"/>
      <c r="T597" s="239"/>
      <c r="U597" s="239"/>
      <c r="V597" s="239"/>
      <c r="W597" s="239"/>
      <c r="X597" s="239"/>
      <c r="Y597" s="239"/>
      <c r="Z597" s="239"/>
      <c r="AA597" s="239"/>
      <c r="AB597" s="239"/>
      <c r="AC597" s="239"/>
      <c r="AD597" s="239"/>
      <c r="AE597" s="239"/>
      <c r="AF597" s="239"/>
      <c r="AG597" s="239"/>
      <c r="AH597" s="239"/>
      <c r="AI597" s="239"/>
      <c r="AJ597" s="239"/>
      <c r="AK597" s="239"/>
      <c r="AL597" s="239"/>
      <c r="AM597" s="239"/>
      <c r="AN597" s="239"/>
      <c r="AO597" s="239"/>
      <c r="AP597" s="239"/>
      <c r="AQ597" s="239"/>
      <c r="AR597" s="239"/>
      <c r="AS597" s="239"/>
      <c r="AT597" s="239"/>
      <c r="AU597" s="239"/>
      <c r="AV597" s="239"/>
      <c r="AW597" s="239"/>
      <c r="AX597" s="239"/>
      <c r="AY597" s="239"/>
      <c r="AZ597" s="239"/>
      <c r="BA597" s="239"/>
      <c r="BB597" s="239"/>
      <c r="BC597" s="239"/>
      <c r="BD597" s="239"/>
      <c r="BE597" s="239"/>
      <c r="BF597" s="239"/>
      <c r="BG597" s="239"/>
      <c r="BH597" s="239"/>
      <c r="BI597" s="239"/>
      <c r="BJ597" s="239"/>
      <c r="BK597" s="239"/>
      <c r="BL597" s="239"/>
      <c r="BM597" s="239"/>
      <c r="BN597" s="239"/>
      <c r="BO597" s="239"/>
      <c r="BP597" s="239"/>
      <c r="BQ597" s="239"/>
      <c r="BR597" s="239"/>
      <c r="BS597" s="239"/>
      <c r="BT597" s="239"/>
      <c r="BU597" s="239"/>
      <c r="BV597" s="239"/>
      <c r="BW597" s="239"/>
      <c r="BX597" s="239"/>
      <c r="BY597" s="239"/>
      <c r="BZ597" s="239"/>
      <c r="CA597" s="239"/>
      <c r="CB597" s="239"/>
      <c r="CC597" s="239"/>
      <c r="CD597" s="239"/>
      <c r="CE597" s="239"/>
      <c r="CF597" s="239"/>
      <c r="CG597" s="239"/>
    </row>
    <row r="598" spans="1:85" ht="15.75" customHeight="1">
      <c r="A598" s="239"/>
      <c r="B598" s="239"/>
      <c r="C598" s="239"/>
      <c r="D598" s="239"/>
      <c r="E598" s="239"/>
      <c r="F598" s="239"/>
      <c r="G598" s="239"/>
      <c r="H598" s="239"/>
      <c r="I598" s="239"/>
      <c r="J598" s="239"/>
      <c r="K598" s="239"/>
      <c r="L598" s="239"/>
      <c r="M598" s="239"/>
      <c r="N598" s="239"/>
      <c r="O598" s="239"/>
      <c r="P598" s="239"/>
      <c r="Q598" s="239"/>
      <c r="R598" s="239"/>
      <c r="S598" s="239"/>
      <c r="T598" s="239"/>
      <c r="U598" s="239"/>
      <c r="V598" s="239"/>
      <c r="W598" s="239"/>
      <c r="X598" s="239"/>
      <c r="Y598" s="239"/>
      <c r="Z598" s="239"/>
      <c r="AA598" s="239"/>
      <c r="AB598" s="239"/>
      <c r="AC598" s="239"/>
      <c r="AD598" s="239"/>
      <c r="AE598" s="239"/>
      <c r="AF598" s="239"/>
      <c r="AG598" s="239"/>
      <c r="AH598" s="239"/>
      <c r="AI598" s="239"/>
      <c r="AJ598" s="239"/>
      <c r="AK598" s="239"/>
      <c r="AL598" s="239"/>
      <c r="AM598" s="239"/>
      <c r="AN598" s="239"/>
      <c r="AO598" s="239"/>
      <c r="AP598" s="239"/>
      <c r="AQ598" s="239"/>
      <c r="AR598" s="239"/>
      <c r="AS598" s="239"/>
      <c r="AT598" s="239"/>
      <c r="AU598" s="239"/>
      <c r="AV598" s="239"/>
      <c r="AW598" s="239"/>
      <c r="AX598" s="239"/>
      <c r="AY598" s="239"/>
      <c r="AZ598" s="239"/>
      <c r="BA598" s="239"/>
      <c r="BB598" s="239"/>
      <c r="BC598" s="239"/>
      <c r="BD598" s="239"/>
      <c r="BE598" s="239"/>
      <c r="BF598" s="239"/>
      <c r="BG598" s="239"/>
      <c r="BH598" s="239"/>
      <c r="BI598" s="239"/>
      <c r="BJ598" s="239"/>
      <c r="BK598" s="239"/>
      <c r="BL598" s="239"/>
      <c r="BM598" s="239"/>
      <c r="BN598" s="239"/>
      <c r="BO598" s="239"/>
      <c r="BP598" s="239"/>
      <c r="BQ598" s="239"/>
      <c r="BR598" s="239"/>
      <c r="BS598" s="239"/>
      <c r="BT598" s="239"/>
      <c r="BU598" s="239"/>
      <c r="BV598" s="239"/>
      <c r="BW598" s="239"/>
      <c r="BX598" s="239"/>
      <c r="BY598" s="239"/>
      <c r="BZ598" s="239"/>
      <c r="CA598" s="239"/>
      <c r="CB598" s="239"/>
      <c r="CC598" s="239"/>
      <c r="CD598" s="239"/>
      <c r="CE598" s="239"/>
      <c r="CF598" s="239"/>
      <c r="CG598" s="239"/>
    </row>
    <row r="599" spans="1:85" ht="15.75" customHeight="1">
      <c r="A599" s="239"/>
      <c r="B599" s="239"/>
      <c r="C599" s="239"/>
      <c r="D599" s="239"/>
      <c r="E599" s="239"/>
      <c r="F599" s="239"/>
      <c r="G599" s="239"/>
      <c r="H599" s="239"/>
      <c r="I599" s="239"/>
      <c r="J599" s="239"/>
      <c r="K599" s="239"/>
      <c r="L599" s="239"/>
      <c r="M599" s="239"/>
      <c r="N599" s="239"/>
      <c r="O599" s="239"/>
      <c r="P599" s="239"/>
      <c r="Q599" s="239"/>
      <c r="R599" s="239"/>
      <c r="S599" s="239"/>
      <c r="T599" s="239"/>
      <c r="U599" s="239"/>
      <c r="V599" s="239"/>
      <c r="W599" s="239"/>
      <c r="X599" s="239"/>
      <c r="Y599" s="239"/>
      <c r="Z599" s="239"/>
      <c r="AA599" s="239"/>
      <c r="AB599" s="239"/>
      <c r="AC599" s="239"/>
      <c r="AD599" s="239"/>
      <c r="AE599" s="239"/>
      <c r="AF599" s="239"/>
      <c r="AG599" s="239"/>
      <c r="AH599" s="239"/>
      <c r="AI599" s="239"/>
      <c r="AJ599" s="239"/>
      <c r="AK599" s="239"/>
      <c r="AL599" s="239"/>
      <c r="AM599" s="239"/>
      <c r="AN599" s="239"/>
      <c r="AO599" s="239"/>
      <c r="AP599" s="239"/>
      <c r="AQ599" s="239"/>
      <c r="AR599" s="239"/>
      <c r="AS599" s="239"/>
      <c r="AT599" s="239"/>
      <c r="AU599" s="239"/>
      <c r="AV599" s="239"/>
      <c r="AW599" s="239"/>
      <c r="AX599" s="239"/>
      <c r="AY599" s="239"/>
      <c r="AZ599" s="239"/>
      <c r="BA599" s="239"/>
      <c r="BB599" s="239"/>
      <c r="BC599" s="239"/>
      <c r="BD599" s="239"/>
      <c r="BE599" s="239"/>
      <c r="BF599" s="239"/>
      <c r="BG599" s="239"/>
      <c r="BH599" s="239"/>
      <c r="BI599" s="239"/>
      <c r="BJ599" s="239"/>
      <c r="BK599" s="239"/>
      <c r="BL599" s="239"/>
      <c r="BM599" s="239"/>
      <c r="BN599" s="239"/>
      <c r="BO599" s="239"/>
      <c r="BP599" s="239"/>
      <c r="BQ599" s="239"/>
      <c r="BR599" s="239"/>
      <c r="BS599" s="239"/>
      <c r="BT599" s="239"/>
      <c r="BU599" s="239"/>
      <c r="BV599" s="239"/>
      <c r="BW599" s="239"/>
      <c r="BX599" s="239"/>
      <c r="BY599" s="239"/>
      <c r="BZ599" s="239"/>
      <c r="CA599" s="239"/>
      <c r="CB599" s="239"/>
      <c r="CC599" s="239"/>
      <c r="CD599" s="239"/>
      <c r="CE599" s="239"/>
      <c r="CF599" s="239"/>
      <c r="CG599" s="239"/>
    </row>
    <row r="600" spans="1:85" ht="15.75" customHeight="1">
      <c r="A600" s="239"/>
      <c r="B600" s="239"/>
      <c r="C600" s="239"/>
      <c r="D600" s="239"/>
      <c r="E600" s="239"/>
      <c r="F600" s="239"/>
      <c r="G600" s="239"/>
      <c r="H600" s="239"/>
      <c r="I600" s="239"/>
      <c r="J600" s="239"/>
      <c r="K600" s="239"/>
      <c r="L600" s="239"/>
      <c r="M600" s="239"/>
      <c r="N600" s="239"/>
      <c r="O600" s="239"/>
      <c r="P600" s="239"/>
      <c r="Q600" s="239"/>
      <c r="R600" s="239"/>
      <c r="S600" s="239"/>
      <c r="T600" s="239"/>
      <c r="U600" s="239"/>
      <c r="V600" s="239"/>
      <c r="W600" s="239"/>
      <c r="X600" s="239"/>
      <c r="Y600" s="239"/>
      <c r="Z600" s="239"/>
      <c r="AA600" s="239"/>
      <c r="AB600" s="239"/>
      <c r="AC600" s="239"/>
      <c r="AD600" s="239"/>
      <c r="AE600" s="239"/>
      <c r="AF600" s="239"/>
      <c r="AG600" s="239"/>
      <c r="AH600" s="239"/>
      <c r="AI600" s="239"/>
      <c r="AJ600" s="239"/>
      <c r="AK600" s="239"/>
      <c r="AL600" s="239"/>
      <c r="AM600" s="239"/>
      <c r="AN600" s="239"/>
      <c r="AO600" s="239"/>
      <c r="AP600" s="239"/>
      <c r="AQ600" s="239"/>
      <c r="AR600" s="239"/>
      <c r="AS600" s="239"/>
      <c r="AT600" s="239"/>
      <c r="AU600" s="239"/>
      <c r="AV600" s="239"/>
      <c r="AW600" s="239"/>
      <c r="AX600" s="239"/>
      <c r="AY600" s="239"/>
      <c r="AZ600" s="239"/>
      <c r="BA600" s="239"/>
      <c r="BB600" s="239"/>
      <c r="BC600" s="239"/>
      <c r="BD600" s="239"/>
      <c r="BE600" s="239"/>
      <c r="BF600" s="239"/>
      <c r="BG600" s="239"/>
      <c r="BH600" s="239"/>
      <c r="BI600" s="239"/>
      <c r="BJ600" s="239"/>
      <c r="BK600" s="239"/>
      <c r="BL600" s="239"/>
      <c r="BM600" s="239"/>
      <c r="BN600" s="239"/>
      <c r="BO600" s="239"/>
      <c r="BP600" s="239"/>
      <c r="BQ600" s="239"/>
      <c r="BR600" s="239"/>
      <c r="BS600" s="239"/>
      <c r="BT600" s="239"/>
      <c r="BU600" s="239"/>
      <c r="BV600" s="239"/>
      <c r="BW600" s="239"/>
      <c r="BX600" s="239"/>
      <c r="BY600" s="239"/>
      <c r="BZ600" s="239"/>
      <c r="CA600" s="239"/>
      <c r="CB600" s="239"/>
      <c r="CC600" s="239"/>
      <c r="CD600" s="239"/>
      <c r="CE600" s="239"/>
      <c r="CF600" s="239"/>
      <c r="CG600" s="239"/>
    </row>
    <row r="601" spans="1:85" ht="15.75" customHeight="1">
      <c r="A601" s="239"/>
      <c r="B601" s="239"/>
      <c r="C601" s="239"/>
      <c r="D601" s="239"/>
      <c r="E601" s="239"/>
      <c r="F601" s="239"/>
      <c r="G601" s="239"/>
      <c r="H601" s="239"/>
      <c r="I601" s="239"/>
      <c r="J601" s="239"/>
      <c r="K601" s="239"/>
      <c r="L601" s="239"/>
      <c r="M601" s="239"/>
      <c r="N601" s="239"/>
      <c r="O601" s="239"/>
      <c r="P601" s="239"/>
      <c r="Q601" s="239"/>
      <c r="R601" s="239"/>
      <c r="S601" s="239"/>
      <c r="T601" s="239"/>
      <c r="U601" s="239"/>
      <c r="V601" s="239"/>
      <c r="W601" s="239"/>
      <c r="X601" s="239"/>
      <c r="Y601" s="239"/>
      <c r="Z601" s="239"/>
      <c r="AA601" s="239"/>
      <c r="AB601" s="239"/>
      <c r="AC601" s="239"/>
      <c r="AD601" s="239"/>
      <c r="AE601" s="239"/>
      <c r="AF601" s="239"/>
      <c r="AG601" s="239"/>
      <c r="AH601" s="239"/>
      <c r="AI601" s="239"/>
      <c r="AJ601" s="239"/>
      <c r="AK601" s="239"/>
      <c r="AL601" s="239"/>
      <c r="AM601" s="239"/>
      <c r="AN601" s="239"/>
      <c r="AO601" s="239"/>
      <c r="AP601" s="239"/>
      <c r="AQ601" s="239"/>
      <c r="AR601" s="239"/>
      <c r="AS601" s="239"/>
      <c r="AT601" s="239"/>
      <c r="AU601" s="239"/>
      <c r="AV601" s="239"/>
      <c r="AW601" s="239"/>
      <c r="AX601" s="239"/>
      <c r="AY601" s="239"/>
      <c r="AZ601" s="239"/>
      <c r="BA601" s="239"/>
      <c r="BB601" s="239"/>
      <c r="BC601" s="239"/>
      <c r="BD601" s="239"/>
      <c r="BE601" s="239"/>
      <c r="BF601" s="239"/>
      <c r="BG601" s="239"/>
      <c r="BH601" s="239"/>
      <c r="BI601" s="239"/>
      <c r="BJ601" s="239"/>
      <c r="BK601" s="239"/>
      <c r="BL601" s="239"/>
      <c r="BM601" s="239"/>
      <c r="BN601" s="239"/>
      <c r="BO601" s="239"/>
      <c r="BP601" s="239"/>
      <c r="BQ601" s="239"/>
      <c r="BR601" s="239"/>
      <c r="BS601" s="239"/>
      <c r="BT601" s="239"/>
      <c r="BU601" s="239"/>
      <c r="BV601" s="239"/>
      <c r="BW601" s="239"/>
      <c r="BX601" s="239"/>
      <c r="BY601" s="239"/>
      <c r="BZ601" s="239"/>
      <c r="CA601" s="239"/>
      <c r="CB601" s="239"/>
      <c r="CC601" s="239"/>
      <c r="CD601" s="239"/>
      <c r="CE601" s="239"/>
      <c r="CF601" s="239"/>
      <c r="CG601" s="239"/>
    </row>
    <row r="602" spans="1:85" ht="15.75" customHeight="1">
      <c r="A602" s="239"/>
      <c r="B602" s="239"/>
      <c r="C602" s="239"/>
      <c r="D602" s="239"/>
      <c r="E602" s="239"/>
      <c r="F602" s="239"/>
      <c r="G602" s="239"/>
      <c r="H602" s="239"/>
      <c r="I602" s="239"/>
      <c r="J602" s="239"/>
      <c r="K602" s="239"/>
      <c r="L602" s="239"/>
      <c r="M602" s="239"/>
      <c r="N602" s="239"/>
      <c r="O602" s="239"/>
      <c r="P602" s="239"/>
      <c r="Q602" s="239"/>
      <c r="R602" s="239"/>
      <c r="S602" s="239"/>
      <c r="T602" s="239"/>
      <c r="U602" s="239"/>
      <c r="V602" s="239"/>
      <c r="W602" s="239"/>
      <c r="X602" s="239"/>
      <c r="Y602" s="239"/>
      <c r="Z602" s="239"/>
      <c r="AA602" s="239"/>
      <c r="AB602" s="239"/>
      <c r="AC602" s="239"/>
      <c r="AD602" s="239"/>
      <c r="AE602" s="239"/>
      <c r="AF602" s="239"/>
      <c r="AG602" s="239"/>
      <c r="AH602" s="239"/>
      <c r="AI602" s="239"/>
      <c r="AJ602" s="239"/>
      <c r="AK602" s="239"/>
      <c r="AL602" s="239"/>
      <c r="AM602" s="239"/>
      <c r="AN602" s="239"/>
      <c r="AO602" s="239"/>
      <c r="AP602" s="239"/>
      <c r="AQ602" s="239"/>
      <c r="AR602" s="239"/>
      <c r="AS602" s="239"/>
      <c r="AT602" s="239"/>
      <c r="AU602" s="239"/>
      <c r="AV602" s="239"/>
      <c r="AW602" s="239"/>
      <c r="AX602" s="239"/>
      <c r="AY602" s="239"/>
      <c r="AZ602" s="239"/>
      <c r="BA602" s="239"/>
      <c r="BB602" s="239"/>
      <c r="BC602" s="239"/>
      <c r="BD602" s="239"/>
      <c r="BE602" s="239"/>
      <c r="BF602" s="239"/>
      <c r="BG602" s="239"/>
      <c r="BH602" s="239"/>
      <c r="BI602" s="239"/>
      <c r="BJ602" s="239"/>
      <c r="BK602" s="239"/>
      <c r="BL602" s="239"/>
      <c r="BM602" s="239"/>
      <c r="BN602" s="239"/>
      <c r="BO602" s="239"/>
      <c r="BP602" s="239"/>
      <c r="BQ602" s="239"/>
      <c r="BR602" s="239"/>
      <c r="BS602" s="239"/>
      <c r="BT602" s="239"/>
      <c r="BU602" s="239"/>
      <c r="BV602" s="239"/>
      <c r="BW602" s="239"/>
      <c r="BX602" s="239"/>
      <c r="BY602" s="239"/>
      <c r="BZ602" s="239"/>
      <c r="CA602" s="239"/>
      <c r="CB602" s="239"/>
      <c r="CC602" s="239"/>
      <c r="CD602" s="239"/>
      <c r="CE602" s="239"/>
      <c r="CF602" s="239"/>
      <c r="CG602" s="239"/>
    </row>
    <row r="603" spans="1:85" ht="15.75" customHeight="1">
      <c r="A603" s="239"/>
      <c r="B603" s="239"/>
      <c r="C603" s="239"/>
      <c r="D603" s="239"/>
      <c r="E603" s="239"/>
      <c r="F603" s="239"/>
      <c r="G603" s="239"/>
      <c r="H603" s="239"/>
      <c r="I603" s="239"/>
      <c r="J603" s="239"/>
      <c r="K603" s="239"/>
      <c r="L603" s="239"/>
      <c r="M603" s="239"/>
      <c r="N603" s="239"/>
      <c r="O603" s="239"/>
      <c r="P603" s="239"/>
      <c r="Q603" s="239"/>
      <c r="R603" s="239"/>
      <c r="S603" s="239"/>
      <c r="T603" s="239"/>
      <c r="U603" s="239"/>
      <c r="V603" s="239"/>
      <c r="W603" s="239"/>
      <c r="X603" s="239"/>
      <c r="Y603" s="239"/>
      <c r="Z603" s="239"/>
      <c r="AA603" s="239"/>
      <c r="AB603" s="239"/>
      <c r="AC603" s="239"/>
      <c r="AD603" s="239"/>
      <c r="AE603" s="239"/>
      <c r="AF603" s="239"/>
      <c r="AG603" s="239"/>
      <c r="AH603" s="239"/>
      <c r="AI603" s="239"/>
      <c r="AJ603" s="239"/>
      <c r="AK603" s="239"/>
      <c r="AL603" s="239"/>
      <c r="AM603" s="239"/>
      <c r="AN603" s="239"/>
      <c r="AO603" s="239"/>
      <c r="AP603" s="239"/>
      <c r="AQ603" s="239"/>
      <c r="AR603" s="239"/>
      <c r="AS603" s="239"/>
      <c r="AT603" s="239"/>
      <c r="AU603" s="239"/>
      <c r="AV603" s="239"/>
      <c r="AW603" s="239"/>
      <c r="AX603" s="239"/>
      <c r="AY603" s="239"/>
      <c r="AZ603" s="239"/>
      <c r="BA603" s="239"/>
      <c r="BB603" s="239"/>
      <c r="BC603" s="239"/>
      <c r="BD603" s="239"/>
      <c r="BE603" s="239"/>
      <c r="BF603" s="239"/>
      <c r="BG603" s="239"/>
      <c r="BH603" s="239"/>
      <c r="BI603" s="239"/>
      <c r="BJ603" s="239"/>
      <c r="BK603" s="239"/>
      <c r="BL603" s="239"/>
      <c r="BM603" s="239"/>
      <c r="BN603" s="239"/>
      <c r="BO603" s="239"/>
      <c r="BP603" s="239"/>
      <c r="BQ603" s="239"/>
      <c r="BR603" s="239"/>
      <c r="BS603" s="239"/>
      <c r="BT603" s="239"/>
      <c r="BU603" s="239"/>
      <c r="BV603" s="239"/>
      <c r="BW603" s="239"/>
      <c r="BX603" s="239"/>
      <c r="BY603" s="239"/>
      <c r="BZ603" s="239"/>
      <c r="CA603" s="239"/>
      <c r="CB603" s="239"/>
      <c r="CC603" s="239"/>
      <c r="CD603" s="239"/>
      <c r="CE603" s="239"/>
      <c r="CF603" s="239"/>
      <c r="CG603" s="239"/>
    </row>
    <row r="604" spans="1:85" ht="15.75" customHeight="1">
      <c r="A604" s="239"/>
      <c r="B604" s="239"/>
      <c r="C604" s="239"/>
      <c r="D604" s="239"/>
      <c r="E604" s="239"/>
      <c r="F604" s="239"/>
      <c r="G604" s="239"/>
      <c r="H604" s="239"/>
      <c r="I604" s="239"/>
      <c r="J604" s="239"/>
      <c r="K604" s="239"/>
      <c r="L604" s="239"/>
      <c r="M604" s="239"/>
      <c r="N604" s="239"/>
      <c r="O604" s="239"/>
      <c r="P604" s="239"/>
      <c r="Q604" s="239"/>
      <c r="R604" s="239"/>
      <c r="S604" s="239"/>
      <c r="T604" s="239"/>
      <c r="U604" s="239"/>
      <c r="V604" s="239"/>
      <c r="W604" s="239"/>
      <c r="X604" s="239"/>
      <c r="Y604" s="239"/>
      <c r="Z604" s="239"/>
      <c r="AA604" s="239"/>
      <c r="AB604" s="239"/>
      <c r="AC604" s="239"/>
      <c r="AD604" s="239"/>
      <c r="AE604" s="239"/>
      <c r="AF604" s="239"/>
      <c r="AG604" s="239"/>
      <c r="AH604" s="239"/>
      <c r="AI604" s="239"/>
      <c r="AJ604" s="239"/>
      <c r="AK604" s="239"/>
      <c r="AL604" s="239"/>
      <c r="AM604" s="239"/>
      <c r="AN604" s="239"/>
      <c r="AO604" s="239"/>
      <c r="AP604" s="239"/>
      <c r="AQ604" s="239"/>
      <c r="AR604" s="239"/>
      <c r="AS604" s="239"/>
      <c r="AT604" s="239"/>
      <c r="AU604" s="239"/>
      <c r="AV604" s="239"/>
      <c r="AW604" s="239"/>
      <c r="AX604" s="239"/>
      <c r="AY604" s="239"/>
      <c r="AZ604" s="239"/>
      <c r="BA604" s="239"/>
      <c r="BB604" s="239"/>
      <c r="BC604" s="239"/>
      <c r="BD604" s="239"/>
      <c r="BE604" s="239"/>
      <c r="BF604" s="239"/>
      <c r="BG604" s="239"/>
      <c r="BH604" s="239"/>
      <c r="BI604" s="239"/>
      <c r="BJ604" s="239"/>
      <c r="BK604" s="239"/>
      <c r="BL604" s="239"/>
      <c r="BM604" s="239"/>
      <c r="BN604" s="239"/>
      <c r="BO604" s="239"/>
      <c r="BP604" s="239"/>
      <c r="BQ604" s="239"/>
      <c r="BR604" s="239"/>
      <c r="BS604" s="239"/>
      <c r="BT604" s="239"/>
      <c r="BU604" s="239"/>
      <c r="BV604" s="239"/>
      <c r="BW604" s="239"/>
      <c r="BX604" s="239"/>
      <c r="BY604" s="239"/>
      <c r="BZ604" s="239"/>
      <c r="CA604" s="239"/>
      <c r="CB604" s="239"/>
      <c r="CC604" s="239"/>
      <c r="CD604" s="239"/>
      <c r="CE604" s="239"/>
      <c r="CF604" s="239"/>
      <c r="CG604" s="239"/>
    </row>
    <row r="605" spans="1:85" ht="15.75" customHeight="1">
      <c r="A605" s="239"/>
      <c r="B605" s="239"/>
      <c r="C605" s="239"/>
      <c r="D605" s="239"/>
      <c r="E605" s="239"/>
      <c r="F605" s="239"/>
      <c r="G605" s="239"/>
      <c r="H605" s="239"/>
      <c r="I605" s="239"/>
      <c r="J605" s="239"/>
      <c r="K605" s="239"/>
      <c r="L605" s="239"/>
      <c r="M605" s="239"/>
      <c r="N605" s="239"/>
      <c r="O605" s="239"/>
      <c r="P605" s="239"/>
      <c r="Q605" s="239"/>
      <c r="R605" s="239"/>
      <c r="S605" s="239"/>
      <c r="T605" s="239"/>
      <c r="U605" s="239"/>
      <c r="V605" s="239"/>
      <c r="W605" s="239"/>
      <c r="X605" s="239"/>
      <c r="Y605" s="239"/>
      <c r="Z605" s="239"/>
      <c r="AA605" s="239"/>
      <c r="AB605" s="239"/>
      <c r="AC605" s="239"/>
      <c r="AD605" s="239"/>
      <c r="AE605" s="239"/>
      <c r="AF605" s="239"/>
      <c r="AG605" s="239"/>
      <c r="AH605" s="239"/>
      <c r="AI605" s="239"/>
      <c r="AJ605" s="239"/>
      <c r="AK605" s="239"/>
      <c r="AL605" s="239"/>
      <c r="AM605" s="239"/>
      <c r="AN605" s="239"/>
      <c r="AO605" s="239"/>
      <c r="AP605" s="239"/>
      <c r="AQ605" s="239"/>
      <c r="AR605" s="239"/>
      <c r="AS605" s="239"/>
      <c r="AT605" s="239"/>
      <c r="AU605" s="239"/>
      <c r="AV605" s="239"/>
      <c r="AW605" s="239"/>
      <c r="AX605" s="239"/>
      <c r="AY605" s="239"/>
      <c r="AZ605" s="239"/>
      <c r="BA605" s="239"/>
      <c r="BB605" s="239"/>
      <c r="BC605" s="239"/>
      <c r="BD605" s="239"/>
      <c r="BE605" s="239"/>
      <c r="BF605" s="239"/>
      <c r="BG605" s="239"/>
      <c r="BH605" s="239"/>
      <c r="BI605" s="239"/>
      <c r="BJ605" s="239"/>
      <c r="BK605" s="239"/>
      <c r="BL605" s="239"/>
      <c r="BM605" s="239"/>
      <c r="BN605" s="239"/>
      <c r="BO605" s="239"/>
      <c r="BP605" s="239"/>
      <c r="BQ605" s="239"/>
      <c r="BR605" s="239"/>
      <c r="BS605" s="239"/>
      <c r="BT605" s="239"/>
      <c r="BU605" s="239"/>
      <c r="BV605" s="239"/>
      <c r="BW605" s="239"/>
      <c r="BX605" s="239"/>
      <c r="BY605" s="239"/>
      <c r="BZ605" s="239"/>
      <c r="CA605" s="239"/>
      <c r="CB605" s="239"/>
      <c r="CC605" s="239"/>
      <c r="CD605" s="239"/>
      <c r="CE605" s="239"/>
      <c r="CF605" s="239"/>
      <c r="CG605" s="239"/>
    </row>
    <row r="606" spans="1:85" ht="15.75" customHeight="1">
      <c r="A606" s="239"/>
      <c r="B606" s="239"/>
      <c r="C606" s="239"/>
      <c r="D606" s="239"/>
      <c r="E606" s="239"/>
      <c r="F606" s="239"/>
      <c r="G606" s="239"/>
      <c r="H606" s="239"/>
      <c r="I606" s="239"/>
      <c r="J606" s="239"/>
      <c r="K606" s="239"/>
      <c r="L606" s="239"/>
      <c r="M606" s="239"/>
      <c r="N606" s="239"/>
      <c r="O606" s="239"/>
      <c r="P606" s="239"/>
      <c r="Q606" s="239"/>
      <c r="R606" s="239"/>
      <c r="S606" s="239"/>
      <c r="T606" s="239"/>
      <c r="U606" s="239"/>
      <c r="V606" s="239"/>
      <c r="W606" s="239"/>
      <c r="X606" s="239"/>
      <c r="Y606" s="239"/>
      <c r="Z606" s="239"/>
      <c r="AA606" s="239"/>
      <c r="AB606" s="239"/>
      <c r="AC606" s="239"/>
      <c r="AD606" s="239"/>
      <c r="AE606" s="239"/>
      <c r="AF606" s="239"/>
      <c r="AG606" s="239"/>
      <c r="AH606" s="239"/>
      <c r="AI606" s="239"/>
      <c r="AJ606" s="239"/>
      <c r="AK606" s="239"/>
      <c r="AL606" s="239"/>
      <c r="AM606" s="239"/>
      <c r="AN606" s="239"/>
      <c r="AO606" s="239"/>
      <c r="AP606" s="239"/>
      <c r="AQ606" s="239"/>
      <c r="AR606" s="239"/>
      <c r="AS606" s="239"/>
      <c r="AT606" s="239"/>
      <c r="AU606" s="239"/>
      <c r="AV606" s="239"/>
      <c r="AW606" s="239"/>
      <c r="AX606" s="239"/>
      <c r="AY606" s="239"/>
      <c r="AZ606" s="239"/>
      <c r="BA606" s="239"/>
      <c r="BB606" s="239"/>
      <c r="BC606" s="239"/>
      <c r="BD606" s="239"/>
      <c r="BE606" s="239"/>
      <c r="BF606" s="239"/>
      <c r="BG606" s="239"/>
      <c r="BH606" s="239"/>
      <c r="BI606" s="239"/>
      <c r="BJ606" s="239"/>
      <c r="BK606" s="239"/>
      <c r="BL606" s="239"/>
      <c r="BM606" s="239"/>
      <c r="BN606" s="239"/>
      <c r="BO606" s="239"/>
      <c r="BP606" s="239"/>
      <c r="BQ606" s="239"/>
      <c r="BR606" s="239"/>
      <c r="BS606" s="239"/>
      <c r="BT606" s="239"/>
      <c r="BU606" s="239"/>
      <c r="BV606" s="239"/>
      <c r="BW606" s="239"/>
      <c r="BX606" s="239"/>
      <c r="BY606" s="239"/>
      <c r="BZ606" s="239"/>
      <c r="CA606" s="239"/>
      <c r="CB606" s="239"/>
      <c r="CC606" s="239"/>
      <c r="CD606" s="239"/>
      <c r="CE606" s="239"/>
      <c r="CF606" s="239"/>
      <c r="CG606" s="239"/>
    </row>
    <row r="607" spans="1:85" ht="15.75" customHeight="1">
      <c r="A607" s="239"/>
      <c r="B607" s="239"/>
      <c r="C607" s="239"/>
      <c r="D607" s="239"/>
      <c r="E607" s="239"/>
      <c r="F607" s="239"/>
      <c r="G607" s="239"/>
      <c r="H607" s="239"/>
      <c r="I607" s="239"/>
      <c r="J607" s="239"/>
      <c r="K607" s="239"/>
      <c r="L607" s="239"/>
      <c r="M607" s="239"/>
      <c r="N607" s="239"/>
      <c r="O607" s="239"/>
      <c r="P607" s="239"/>
      <c r="Q607" s="239"/>
      <c r="R607" s="239"/>
      <c r="S607" s="239"/>
      <c r="T607" s="239"/>
      <c r="U607" s="239"/>
      <c r="V607" s="239"/>
      <c r="W607" s="239"/>
      <c r="X607" s="239"/>
      <c r="Y607" s="239"/>
      <c r="Z607" s="239"/>
      <c r="AA607" s="239"/>
      <c r="AB607" s="239"/>
      <c r="AC607" s="239"/>
      <c r="AD607" s="239"/>
      <c r="AE607" s="239"/>
      <c r="AF607" s="239"/>
      <c r="AG607" s="239"/>
      <c r="AH607" s="239"/>
      <c r="AI607" s="239"/>
      <c r="AJ607" s="239"/>
      <c r="AK607" s="239"/>
      <c r="AL607" s="239"/>
      <c r="AM607" s="239"/>
      <c r="AN607" s="239"/>
      <c r="AO607" s="239"/>
      <c r="AP607" s="239"/>
      <c r="AQ607" s="239"/>
      <c r="AR607" s="239"/>
      <c r="AS607" s="239"/>
      <c r="AT607" s="239"/>
      <c r="AU607" s="239"/>
      <c r="AV607" s="239"/>
      <c r="AW607" s="239"/>
      <c r="AX607" s="239"/>
      <c r="AY607" s="239"/>
      <c r="AZ607" s="239"/>
      <c r="BA607" s="239"/>
      <c r="BB607" s="239"/>
      <c r="BC607" s="239"/>
      <c r="BD607" s="239"/>
      <c r="BE607" s="239"/>
      <c r="BF607" s="239"/>
      <c r="BG607" s="239"/>
      <c r="BH607" s="239"/>
      <c r="BI607" s="239"/>
      <c r="BJ607" s="239"/>
      <c r="BK607" s="239"/>
      <c r="BL607" s="239"/>
      <c r="BM607" s="239"/>
      <c r="BN607" s="239"/>
      <c r="BO607" s="239"/>
      <c r="BP607" s="239"/>
      <c r="BQ607" s="239"/>
      <c r="BR607" s="239"/>
      <c r="BS607" s="239"/>
      <c r="BT607" s="239"/>
      <c r="BU607" s="239"/>
      <c r="BV607" s="239"/>
      <c r="BW607" s="239"/>
      <c r="BX607" s="239"/>
      <c r="BY607" s="239"/>
      <c r="BZ607" s="239"/>
      <c r="CA607" s="239"/>
      <c r="CB607" s="239"/>
      <c r="CC607" s="239"/>
      <c r="CD607" s="239"/>
      <c r="CE607" s="239"/>
      <c r="CF607" s="239"/>
      <c r="CG607" s="239"/>
    </row>
    <row r="608" spans="1:85" ht="15.75" customHeight="1">
      <c r="A608" s="239"/>
      <c r="B608" s="239"/>
      <c r="C608" s="239"/>
      <c r="D608" s="239"/>
      <c r="E608" s="239"/>
      <c r="F608" s="239"/>
      <c r="G608" s="239"/>
      <c r="H608" s="239"/>
      <c r="I608" s="239"/>
      <c r="J608" s="239"/>
      <c r="K608" s="239"/>
      <c r="L608" s="239"/>
      <c r="M608" s="239"/>
      <c r="N608" s="239"/>
      <c r="O608" s="239"/>
      <c r="P608" s="239"/>
      <c r="Q608" s="239"/>
      <c r="R608" s="239"/>
      <c r="S608" s="239"/>
      <c r="T608" s="239"/>
      <c r="U608" s="239"/>
      <c r="V608" s="239"/>
      <c r="W608" s="239"/>
      <c r="X608" s="239"/>
      <c r="Y608" s="239"/>
      <c r="Z608" s="239"/>
      <c r="AA608" s="239"/>
      <c r="AB608" s="239"/>
      <c r="AC608" s="239"/>
      <c r="AD608" s="239"/>
      <c r="AE608" s="239"/>
      <c r="AF608" s="239"/>
      <c r="AG608" s="239"/>
      <c r="AH608" s="239"/>
      <c r="AI608" s="239"/>
      <c r="AJ608" s="239"/>
      <c r="AK608" s="239"/>
      <c r="AL608" s="239"/>
      <c r="AM608" s="239"/>
      <c r="AN608" s="239"/>
      <c r="AO608" s="239"/>
      <c r="AP608" s="239"/>
      <c r="AQ608" s="239"/>
      <c r="AR608" s="239"/>
      <c r="AS608" s="239"/>
      <c r="AT608" s="239"/>
      <c r="AU608" s="239"/>
      <c r="AV608" s="239"/>
      <c r="AW608" s="239"/>
      <c r="AX608" s="239"/>
      <c r="AY608" s="239"/>
      <c r="AZ608" s="239"/>
      <c r="BA608" s="239"/>
      <c r="BB608" s="239"/>
      <c r="BC608" s="239"/>
      <c r="BD608" s="239"/>
      <c r="BE608" s="239"/>
      <c r="BF608" s="239"/>
      <c r="BG608" s="239"/>
      <c r="BH608" s="239"/>
      <c r="BI608" s="239"/>
      <c r="BJ608" s="239"/>
      <c r="BK608" s="239"/>
      <c r="BL608" s="239"/>
      <c r="BM608" s="239"/>
      <c r="BN608" s="239"/>
      <c r="BO608" s="239"/>
      <c r="BP608" s="239"/>
      <c r="BQ608" s="239"/>
      <c r="BR608" s="239"/>
      <c r="BS608" s="239"/>
      <c r="BT608" s="239"/>
      <c r="BU608" s="239"/>
      <c r="BV608" s="239"/>
      <c r="BW608" s="239"/>
      <c r="BX608" s="239"/>
      <c r="BY608" s="239"/>
      <c r="BZ608" s="239"/>
      <c r="CA608" s="239"/>
      <c r="CB608" s="239"/>
      <c r="CC608" s="239"/>
      <c r="CD608" s="239"/>
      <c r="CE608" s="239"/>
      <c r="CF608" s="239"/>
      <c r="CG608" s="239"/>
    </row>
    <row r="609" spans="1:85" ht="15.75" customHeight="1">
      <c r="A609" s="239"/>
      <c r="B609" s="239"/>
      <c r="C609" s="239"/>
      <c r="D609" s="239"/>
      <c r="E609" s="239"/>
      <c r="F609" s="239"/>
      <c r="G609" s="239"/>
      <c r="H609" s="239"/>
      <c r="I609" s="239"/>
      <c r="J609" s="239"/>
      <c r="K609" s="239"/>
      <c r="L609" s="239"/>
      <c r="M609" s="239"/>
      <c r="N609" s="239"/>
      <c r="O609" s="239"/>
      <c r="P609" s="239"/>
      <c r="Q609" s="239"/>
      <c r="R609" s="239"/>
      <c r="S609" s="239"/>
      <c r="T609" s="239"/>
      <c r="U609" s="239"/>
      <c r="V609" s="239"/>
      <c r="W609" s="239"/>
      <c r="X609" s="239"/>
      <c r="Y609" s="239"/>
      <c r="Z609" s="239"/>
      <c r="AA609" s="239"/>
      <c r="AB609" s="239"/>
      <c r="AC609" s="239"/>
      <c r="AD609" s="239"/>
      <c r="AE609" s="239"/>
      <c r="AF609" s="239"/>
      <c r="AG609" s="239"/>
      <c r="AH609" s="239"/>
      <c r="AI609" s="239"/>
      <c r="AJ609" s="239"/>
      <c r="AK609" s="239"/>
      <c r="AL609" s="239"/>
      <c r="AM609" s="239"/>
      <c r="AN609" s="239"/>
      <c r="AO609" s="239"/>
      <c r="AP609" s="239"/>
      <c r="AQ609" s="239"/>
      <c r="AR609" s="239"/>
      <c r="AS609" s="239"/>
      <c r="AT609" s="239"/>
      <c r="AU609" s="239"/>
      <c r="AV609" s="239"/>
      <c r="AW609" s="239"/>
      <c r="AX609" s="239"/>
      <c r="AY609" s="239"/>
      <c r="AZ609" s="239"/>
      <c r="BA609" s="239"/>
      <c r="BB609" s="239"/>
      <c r="BC609" s="239"/>
      <c r="BD609" s="239"/>
      <c r="BE609" s="239"/>
      <c r="BF609" s="239"/>
      <c r="BG609" s="239"/>
      <c r="BH609" s="239"/>
      <c r="BI609" s="239"/>
      <c r="BJ609" s="239"/>
      <c r="BK609" s="239"/>
      <c r="BL609" s="239"/>
      <c r="BM609" s="239"/>
      <c r="BN609" s="239"/>
      <c r="BO609" s="239"/>
      <c r="BP609" s="239"/>
      <c r="BQ609" s="239"/>
      <c r="BR609" s="239"/>
      <c r="BS609" s="239"/>
      <c r="BT609" s="239"/>
      <c r="BU609" s="239"/>
      <c r="BV609" s="239"/>
      <c r="BW609" s="239"/>
      <c r="BX609" s="239"/>
      <c r="BY609" s="239"/>
      <c r="BZ609" s="239"/>
      <c r="CA609" s="239"/>
      <c r="CB609" s="239"/>
      <c r="CC609" s="239"/>
      <c r="CD609" s="239"/>
      <c r="CE609" s="239"/>
      <c r="CF609" s="239"/>
      <c r="CG609" s="239"/>
    </row>
    <row r="610" spans="1:85" ht="15.75" customHeight="1">
      <c r="A610" s="239"/>
      <c r="B610" s="239"/>
      <c r="C610" s="239"/>
      <c r="D610" s="239"/>
      <c r="E610" s="239"/>
      <c r="F610" s="239"/>
      <c r="G610" s="239"/>
      <c r="H610" s="239"/>
      <c r="I610" s="239"/>
      <c r="J610" s="239"/>
      <c r="K610" s="239"/>
      <c r="L610" s="239"/>
      <c r="M610" s="239"/>
      <c r="N610" s="239"/>
      <c r="O610" s="239"/>
      <c r="P610" s="239"/>
      <c r="Q610" s="239"/>
      <c r="R610" s="239"/>
      <c r="S610" s="239"/>
      <c r="T610" s="239"/>
      <c r="U610" s="239"/>
      <c r="V610" s="239"/>
      <c r="W610" s="239"/>
      <c r="X610" s="239"/>
      <c r="Y610" s="239"/>
      <c r="Z610" s="239"/>
      <c r="AA610" s="239"/>
      <c r="AB610" s="239"/>
      <c r="AC610" s="239"/>
      <c r="AD610" s="239"/>
      <c r="AE610" s="239"/>
      <c r="AF610" s="239"/>
      <c r="AG610" s="239"/>
      <c r="AH610" s="239"/>
      <c r="AI610" s="239"/>
      <c r="AJ610" s="239"/>
      <c r="AK610" s="239"/>
      <c r="AL610" s="239"/>
      <c r="AM610" s="239"/>
      <c r="AN610" s="239"/>
      <c r="AO610" s="239"/>
      <c r="AP610" s="239"/>
      <c r="AQ610" s="239"/>
      <c r="AR610" s="239"/>
      <c r="AS610" s="239"/>
      <c r="AT610" s="239"/>
      <c r="AU610" s="239"/>
      <c r="AV610" s="239"/>
      <c r="AW610" s="239"/>
      <c r="AX610" s="239"/>
      <c r="AY610" s="239"/>
      <c r="AZ610" s="239"/>
      <c r="BA610" s="239"/>
      <c r="BB610" s="239"/>
      <c r="BC610" s="239"/>
      <c r="BD610" s="239"/>
      <c r="BE610" s="239"/>
      <c r="BF610" s="239"/>
      <c r="BG610" s="239"/>
      <c r="BH610" s="239"/>
      <c r="BI610" s="239"/>
      <c r="BJ610" s="239"/>
      <c r="BK610" s="239"/>
      <c r="BL610" s="239"/>
      <c r="BM610" s="239"/>
      <c r="BN610" s="239"/>
      <c r="BO610" s="239"/>
      <c r="BP610" s="239"/>
      <c r="BQ610" s="239"/>
      <c r="BR610" s="239"/>
      <c r="BS610" s="239"/>
      <c r="BT610" s="239"/>
      <c r="BU610" s="239"/>
      <c r="BV610" s="239"/>
      <c r="BW610" s="239"/>
      <c r="BX610" s="239"/>
      <c r="BY610" s="239"/>
      <c r="BZ610" s="239"/>
      <c r="CA610" s="239"/>
      <c r="CB610" s="239"/>
      <c r="CC610" s="239"/>
      <c r="CD610" s="239"/>
      <c r="CE610" s="239"/>
      <c r="CF610" s="239"/>
      <c r="CG610" s="239"/>
    </row>
    <row r="611" spans="1:85" ht="15.75" customHeight="1">
      <c r="A611" s="239"/>
      <c r="B611" s="239"/>
      <c r="C611" s="239"/>
      <c r="D611" s="239"/>
      <c r="E611" s="239"/>
      <c r="F611" s="239"/>
      <c r="G611" s="239"/>
      <c r="H611" s="239"/>
      <c r="I611" s="239"/>
      <c r="J611" s="239"/>
      <c r="K611" s="239"/>
      <c r="L611" s="239"/>
      <c r="M611" s="239"/>
      <c r="N611" s="239"/>
      <c r="O611" s="239"/>
      <c r="P611" s="239"/>
      <c r="Q611" s="239"/>
      <c r="R611" s="239"/>
      <c r="S611" s="239"/>
      <c r="T611" s="239"/>
      <c r="U611" s="239"/>
      <c r="V611" s="239"/>
      <c r="W611" s="239"/>
      <c r="X611" s="239"/>
      <c r="Y611" s="239"/>
      <c r="Z611" s="239"/>
      <c r="AA611" s="239"/>
      <c r="AB611" s="239"/>
      <c r="AC611" s="239"/>
      <c r="AD611" s="239"/>
      <c r="AE611" s="239"/>
      <c r="AF611" s="239"/>
      <c r="AG611" s="239"/>
      <c r="AH611" s="239"/>
      <c r="AI611" s="239"/>
      <c r="AJ611" s="239"/>
      <c r="AK611" s="239"/>
      <c r="AL611" s="239"/>
      <c r="AM611" s="239"/>
      <c r="AN611" s="239"/>
      <c r="AO611" s="239"/>
      <c r="AP611" s="239"/>
      <c r="AQ611" s="239"/>
      <c r="AR611" s="239"/>
      <c r="AS611" s="239"/>
      <c r="AT611" s="239"/>
      <c r="AU611" s="239"/>
      <c r="AV611" s="239"/>
      <c r="AW611" s="239"/>
      <c r="AX611" s="239"/>
      <c r="AY611" s="239"/>
      <c r="AZ611" s="239"/>
      <c r="BA611" s="239"/>
      <c r="BB611" s="239"/>
      <c r="BC611" s="239"/>
      <c r="BD611" s="239"/>
      <c r="BE611" s="239"/>
      <c r="BF611" s="239"/>
      <c r="BG611" s="239"/>
      <c r="BH611" s="239"/>
      <c r="BI611" s="239"/>
      <c r="BJ611" s="239"/>
      <c r="BK611" s="239"/>
      <c r="BL611" s="239"/>
      <c r="BM611" s="239"/>
      <c r="BN611" s="239"/>
      <c r="BO611" s="239"/>
      <c r="BP611" s="239"/>
      <c r="BQ611" s="239"/>
      <c r="BR611" s="239"/>
      <c r="BS611" s="239"/>
      <c r="BT611" s="239"/>
      <c r="BU611" s="239"/>
      <c r="BV611" s="239"/>
      <c r="BW611" s="239"/>
      <c r="BX611" s="239"/>
      <c r="BY611" s="239"/>
      <c r="BZ611" s="239"/>
      <c r="CA611" s="239"/>
      <c r="CB611" s="239"/>
      <c r="CC611" s="239"/>
      <c r="CD611" s="239"/>
      <c r="CE611" s="239"/>
      <c r="CF611" s="239"/>
      <c r="CG611" s="239"/>
    </row>
    <row r="612" spans="1:85" ht="15.75" customHeight="1">
      <c r="A612" s="239"/>
      <c r="B612" s="239"/>
      <c r="C612" s="239"/>
      <c r="D612" s="239"/>
      <c r="E612" s="239"/>
      <c r="F612" s="239"/>
      <c r="G612" s="239"/>
      <c r="H612" s="239"/>
      <c r="I612" s="239"/>
      <c r="J612" s="239"/>
      <c r="K612" s="239"/>
      <c r="L612" s="239"/>
      <c r="M612" s="239"/>
      <c r="N612" s="239"/>
      <c r="O612" s="239"/>
      <c r="P612" s="239"/>
      <c r="Q612" s="239"/>
      <c r="R612" s="239"/>
      <c r="S612" s="239"/>
      <c r="T612" s="239"/>
      <c r="U612" s="239"/>
      <c r="V612" s="239"/>
      <c r="W612" s="239"/>
      <c r="X612" s="239"/>
      <c r="Y612" s="239"/>
      <c r="Z612" s="239"/>
      <c r="AA612" s="239"/>
      <c r="AB612" s="239"/>
      <c r="AC612" s="239"/>
      <c r="AD612" s="239"/>
      <c r="AE612" s="239"/>
      <c r="AF612" s="239"/>
      <c r="AG612" s="239"/>
      <c r="AH612" s="239"/>
      <c r="AI612" s="239"/>
      <c r="AJ612" s="239"/>
      <c r="AK612" s="239"/>
      <c r="AL612" s="239"/>
      <c r="AM612" s="239"/>
      <c r="AN612" s="239"/>
      <c r="AO612" s="239"/>
      <c r="AP612" s="239"/>
      <c r="AQ612" s="239"/>
      <c r="AR612" s="239"/>
      <c r="AS612" s="239"/>
      <c r="AT612" s="239"/>
      <c r="AU612" s="239"/>
      <c r="AV612" s="239"/>
      <c r="AW612" s="239"/>
      <c r="AX612" s="239"/>
      <c r="AY612" s="239"/>
      <c r="AZ612" s="239"/>
      <c r="BA612" s="239"/>
      <c r="BB612" s="239"/>
      <c r="BC612" s="239"/>
      <c r="BD612" s="239"/>
      <c r="BE612" s="239"/>
      <c r="BF612" s="239"/>
      <c r="BG612" s="239"/>
      <c r="BH612" s="239"/>
      <c r="BI612" s="239"/>
      <c r="BJ612" s="239"/>
      <c r="BK612" s="239"/>
      <c r="BL612" s="239"/>
      <c r="BM612" s="239"/>
      <c r="BN612" s="239"/>
      <c r="BO612" s="239"/>
      <c r="BP612" s="239"/>
      <c r="BQ612" s="239"/>
      <c r="BR612" s="239"/>
      <c r="BS612" s="239"/>
      <c r="BT612" s="239"/>
      <c r="BU612" s="239"/>
      <c r="BV612" s="239"/>
      <c r="BW612" s="239"/>
      <c r="BX612" s="239"/>
      <c r="BY612" s="239"/>
      <c r="BZ612" s="239"/>
      <c r="CA612" s="239"/>
      <c r="CB612" s="239"/>
      <c r="CC612" s="239"/>
      <c r="CD612" s="239"/>
      <c r="CE612" s="239"/>
      <c r="CF612" s="239"/>
      <c r="CG612" s="239"/>
    </row>
    <row r="613" spans="1:85" ht="15.75" customHeight="1">
      <c r="A613" s="239"/>
      <c r="B613" s="239"/>
      <c r="C613" s="239"/>
      <c r="D613" s="239"/>
      <c r="E613" s="239"/>
      <c r="F613" s="239"/>
      <c r="G613" s="239"/>
      <c r="H613" s="239"/>
      <c r="I613" s="239"/>
      <c r="J613" s="239"/>
      <c r="K613" s="239"/>
      <c r="L613" s="239"/>
      <c r="M613" s="239"/>
      <c r="N613" s="239"/>
      <c r="O613" s="239"/>
      <c r="P613" s="239"/>
      <c r="Q613" s="239"/>
      <c r="R613" s="239"/>
      <c r="S613" s="239"/>
      <c r="T613" s="239"/>
      <c r="U613" s="239"/>
      <c r="V613" s="239"/>
      <c r="W613" s="239"/>
      <c r="X613" s="239"/>
      <c r="Y613" s="239"/>
      <c r="Z613" s="239"/>
      <c r="AA613" s="239"/>
      <c r="AB613" s="239"/>
      <c r="AC613" s="239"/>
      <c r="AD613" s="239"/>
      <c r="AE613" s="239"/>
      <c r="AF613" s="239"/>
      <c r="AG613" s="239"/>
      <c r="AH613" s="239"/>
      <c r="AI613" s="239"/>
      <c r="AJ613" s="239"/>
      <c r="AK613" s="239"/>
      <c r="AL613" s="239"/>
      <c r="AM613" s="239"/>
      <c r="AN613" s="239"/>
      <c r="AO613" s="239"/>
      <c r="AP613" s="239"/>
      <c r="AQ613" s="239"/>
      <c r="AR613" s="239"/>
      <c r="AS613" s="239"/>
      <c r="AT613" s="239"/>
      <c r="AU613" s="239"/>
      <c r="AV613" s="239"/>
      <c r="AW613" s="239"/>
      <c r="AX613" s="239"/>
      <c r="AY613" s="239"/>
      <c r="AZ613" s="239"/>
      <c r="BA613" s="239"/>
      <c r="BB613" s="239"/>
      <c r="BC613" s="239"/>
      <c r="BD613" s="239"/>
      <c r="BE613" s="239"/>
      <c r="BF613" s="239"/>
      <c r="BG613" s="239"/>
      <c r="BH613" s="239"/>
      <c r="BI613" s="239"/>
      <c r="BJ613" s="239"/>
      <c r="BK613" s="239"/>
      <c r="BL613" s="239"/>
      <c r="BM613" s="239"/>
      <c r="BN613" s="239"/>
      <c r="BO613" s="239"/>
      <c r="BP613" s="239"/>
      <c r="BQ613" s="239"/>
      <c r="BR613" s="239"/>
      <c r="BS613" s="239"/>
      <c r="BT613" s="239"/>
      <c r="BU613" s="239"/>
      <c r="BV613" s="239"/>
      <c r="BW613" s="239"/>
      <c r="BX613" s="239"/>
      <c r="BY613" s="239"/>
      <c r="BZ613" s="239"/>
      <c r="CA613" s="239"/>
      <c r="CB613" s="239"/>
      <c r="CC613" s="239"/>
      <c r="CD613" s="239"/>
      <c r="CE613" s="239"/>
      <c r="CF613" s="239"/>
      <c r="CG613" s="239"/>
    </row>
    <row r="614" spans="1:85" ht="15.75" customHeight="1">
      <c r="A614" s="239"/>
      <c r="B614" s="239"/>
      <c r="C614" s="239"/>
      <c r="D614" s="239"/>
      <c r="E614" s="239"/>
      <c r="F614" s="239"/>
      <c r="G614" s="239"/>
      <c r="H614" s="239"/>
      <c r="I614" s="239"/>
      <c r="J614" s="239"/>
      <c r="K614" s="239"/>
      <c r="L614" s="239"/>
      <c r="M614" s="239"/>
      <c r="N614" s="239"/>
      <c r="O614" s="239"/>
      <c r="P614" s="239"/>
      <c r="Q614" s="239"/>
      <c r="R614" s="239"/>
      <c r="S614" s="239"/>
      <c r="T614" s="239"/>
      <c r="U614" s="239"/>
      <c r="V614" s="239"/>
      <c r="W614" s="239"/>
      <c r="X614" s="239"/>
      <c r="Y614" s="239"/>
      <c r="Z614" s="239"/>
      <c r="AA614" s="239"/>
      <c r="AB614" s="239"/>
      <c r="AC614" s="239"/>
      <c r="AD614" s="239"/>
      <c r="AE614" s="239"/>
      <c r="AF614" s="239"/>
      <c r="AG614" s="239"/>
      <c r="AH614" s="239"/>
      <c r="AI614" s="239"/>
      <c r="AJ614" s="239"/>
      <c r="AK614" s="239"/>
      <c r="AL614" s="239"/>
      <c r="AM614" s="239"/>
      <c r="AN614" s="239"/>
      <c r="AO614" s="239"/>
      <c r="AP614" s="239"/>
      <c r="AQ614" s="239"/>
      <c r="AR614" s="239"/>
      <c r="AS614" s="239"/>
      <c r="AT614" s="239"/>
      <c r="AU614" s="239"/>
      <c r="AV614" s="239"/>
      <c r="AW614" s="239"/>
      <c r="AX614" s="239"/>
      <c r="AY614" s="239"/>
      <c r="AZ614" s="239"/>
      <c r="BA614" s="239"/>
      <c r="BB614" s="239"/>
      <c r="BC614" s="239"/>
      <c r="BD614" s="239"/>
      <c r="BE614" s="239"/>
      <c r="BF614" s="239"/>
      <c r="BG614" s="239"/>
      <c r="BH614" s="239"/>
      <c r="BI614" s="239"/>
      <c r="BJ614" s="239"/>
      <c r="BK614" s="239"/>
      <c r="BL614" s="239"/>
      <c r="BM614" s="239"/>
      <c r="BN614" s="239"/>
      <c r="BO614" s="239"/>
      <c r="BP614" s="239"/>
      <c r="BQ614" s="239"/>
      <c r="BR614" s="239"/>
      <c r="BS614" s="239"/>
      <c r="BT614" s="239"/>
      <c r="BU614" s="239"/>
      <c r="BV614" s="239"/>
      <c r="BW614" s="239"/>
      <c r="BX614" s="239"/>
      <c r="BY614" s="239"/>
      <c r="BZ614" s="239"/>
      <c r="CA614" s="239"/>
      <c r="CB614" s="239"/>
      <c r="CC614" s="239"/>
      <c r="CD614" s="239"/>
      <c r="CE614" s="239"/>
      <c r="CF614" s="239"/>
      <c r="CG614" s="239"/>
    </row>
    <row r="615" spans="1:85" ht="15.75" customHeight="1">
      <c r="A615" s="239"/>
      <c r="B615" s="239"/>
      <c r="C615" s="239"/>
      <c r="D615" s="239"/>
      <c r="E615" s="239"/>
      <c r="F615" s="239"/>
      <c r="G615" s="239"/>
      <c r="H615" s="239"/>
      <c r="I615" s="239"/>
      <c r="J615" s="239"/>
      <c r="K615" s="239"/>
      <c r="L615" s="239"/>
      <c r="M615" s="239"/>
      <c r="N615" s="239"/>
      <c r="O615" s="239"/>
      <c r="P615" s="239"/>
      <c r="Q615" s="239"/>
      <c r="R615" s="239"/>
      <c r="S615" s="239"/>
      <c r="T615" s="239"/>
      <c r="U615" s="239"/>
      <c r="V615" s="239"/>
      <c r="W615" s="239"/>
      <c r="X615" s="239"/>
      <c r="Y615" s="239"/>
      <c r="Z615" s="239"/>
      <c r="AA615" s="239"/>
      <c r="AB615" s="239"/>
      <c r="AC615" s="239"/>
      <c r="AD615" s="239"/>
      <c r="AE615" s="239"/>
      <c r="AF615" s="239"/>
      <c r="AG615" s="239"/>
      <c r="AH615" s="239"/>
      <c r="AI615" s="239"/>
      <c r="AJ615" s="239"/>
      <c r="AK615" s="239"/>
      <c r="AL615" s="239"/>
      <c r="AM615" s="239"/>
      <c r="AN615" s="239"/>
      <c r="AO615" s="239"/>
      <c r="AP615" s="239"/>
      <c r="AQ615" s="239"/>
      <c r="AR615" s="239"/>
      <c r="AS615" s="239"/>
      <c r="AT615" s="239"/>
      <c r="AU615" s="239"/>
      <c r="AV615" s="239"/>
      <c r="AW615" s="239"/>
      <c r="AX615" s="239"/>
      <c r="AY615" s="239"/>
      <c r="AZ615" s="239"/>
      <c r="BA615" s="239"/>
      <c r="BB615" s="239"/>
      <c r="BC615" s="239"/>
      <c r="BD615" s="239"/>
      <c r="BE615" s="239"/>
      <c r="BF615" s="239"/>
      <c r="BG615" s="239"/>
      <c r="BH615" s="239"/>
      <c r="BI615" s="239"/>
      <c r="BJ615" s="239"/>
      <c r="BK615" s="239"/>
      <c r="BL615" s="239"/>
      <c r="BM615" s="239"/>
      <c r="BN615" s="239"/>
      <c r="BO615" s="239"/>
      <c r="BP615" s="239"/>
      <c r="BQ615" s="239"/>
      <c r="BR615" s="239"/>
      <c r="BS615" s="239"/>
      <c r="BT615" s="239"/>
      <c r="BU615" s="239"/>
      <c r="BV615" s="239"/>
      <c r="BW615" s="239"/>
      <c r="BX615" s="239"/>
      <c r="BY615" s="239"/>
      <c r="BZ615" s="239"/>
      <c r="CA615" s="239"/>
      <c r="CB615" s="239"/>
      <c r="CC615" s="239"/>
      <c r="CD615" s="239"/>
      <c r="CE615" s="239"/>
      <c r="CF615" s="239"/>
      <c r="CG615" s="239"/>
    </row>
    <row r="616" spans="1:85" ht="15.75" customHeight="1">
      <c r="A616" s="239"/>
      <c r="B616" s="239"/>
      <c r="C616" s="239"/>
      <c r="D616" s="239"/>
      <c r="E616" s="239"/>
      <c r="F616" s="239"/>
      <c r="G616" s="239"/>
      <c r="H616" s="239"/>
      <c r="I616" s="239"/>
      <c r="J616" s="239"/>
      <c r="K616" s="239"/>
      <c r="L616" s="239"/>
      <c r="M616" s="239"/>
      <c r="N616" s="239"/>
      <c r="O616" s="239"/>
      <c r="P616" s="239"/>
      <c r="Q616" s="239"/>
      <c r="R616" s="239"/>
      <c r="S616" s="239"/>
      <c r="T616" s="239"/>
      <c r="U616" s="239"/>
      <c r="V616" s="239"/>
      <c r="W616" s="239"/>
      <c r="X616" s="239"/>
      <c r="Y616" s="239"/>
      <c r="Z616" s="239"/>
      <c r="AA616" s="239"/>
      <c r="AB616" s="239"/>
      <c r="AC616" s="239"/>
      <c r="AD616" s="239"/>
      <c r="AE616" s="239"/>
      <c r="AF616" s="239"/>
      <c r="AG616" s="239"/>
      <c r="AH616" s="239"/>
      <c r="AI616" s="239"/>
      <c r="AJ616" s="239"/>
      <c r="AK616" s="239"/>
      <c r="AL616" s="239"/>
      <c r="AM616" s="239"/>
      <c r="AN616" s="239"/>
      <c r="AO616" s="239"/>
      <c r="AP616" s="239"/>
      <c r="AQ616" s="239"/>
      <c r="AR616" s="239"/>
      <c r="AS616" s="239"/>
      <c r="AT616" s="239"/>
      <c r="AU616" s="239"/>
      <c r="AV616" s="239"/>
      <c r="AW616" s="239"/>
      <c r="AX616" s="239"/>
      <c r="AY616" s="239"/>
      <c r="AZ616" s="239"/>
      <c r="BA616" s="239"/>
      <c r="BB616" s="239"/>
      <c r="BC616" s="239"/>
      <c r="BD616" s="239"/>
      <c r="BE616" s="239"/>
      <c r="BF616" s="239"/>
      <c r="BG616" s="239"/>
      <c r="BH616" s="239"/>
      <c r="BI616" s="239"/>
      <c r="BJ616" s="239"/>
      <c r="BK616" s="239"/>
      <c r="BL616" s="239"/>
      <c r="BM616" s="239"/>
      <c r="BN616" s="239"/>
      <c r="BO616" s="239"/>
      <c r="BP616" s="239"/>
      <c r="BQ616" s="239"/>
      <c r="BR616" s="239"/>
      <c r="BS616" s="239"/>
      <c r="BT616" s="239"/>
      <c r="BU616" s="239"/>
      <c r="BV616" s="239"/>
      <c r="BW616" s="239"/>
      <c r="BX616" s="239"/>
      <c r="BY616" s="239"/>
      <c r="BZ616" s="239"/>
      <c r="CA616" s="239"/>
      <c r="CB616" s="239"/>
      <c r="CC616" s="239"/>
      <c r="CD616" s="239"/>
      <c r="CE616" s="239"/>
      <c r="CF616" s="239"/>
      <c r="CG616" s="239"/>
    </row>
    <row r="617" spans="1:85" ht="15.75" customHeight="1">
      <c r="A617" s="239"/>
      <c r="B617" s="239"/>
      <c r="C617" s="239"/>
      <c r="D617" s="239"/>
      <c r="E617" s="239"/>
      <c r="F617" s="239"/>
      <c r="G617" s="239"/>
      <c r="H617" s="239"/>
      <c r="I617" s="239"/>
      <c r="J617" s="239"/>
      <c r="K617" s="239"/>
      <c r="L617" s="239"/>
      <c r="M617" s="239"/>
      <c r="N617" s="239"/>
      <c r="O617" s="239"/>
      <c r="P617" s="239"/>
      <c r="Q617" s="239"/>
      <c r="R617" s="239"/>
      <c r="S617" s="239"/>
      <c r="T617" s="239"/>
      <c r="U617" s="239"/>
      <c r="V617" s="239"/>
      <c r="W617" s="239"/>
      <c r="X617" s="239"/>
      <c r="Y617" s="239"/>
      <c r="Z617" s="239"/>
      <c r="AA617" s="239"/>
      <c r="AB617" s="239"/>
      <c r="AC617" s="239"/>
      <c r="AD617" s="239"/>
      <c r="AE617" s="239"/>
      <c r="AF617" s="239"/>
      <c r="AG617" s="239"/>
      <c r="AH617" s="239"/>
      <c r="AI617" s="239"/>
      <c r="AJ617" s="239"/>
      <c r="AK617" s="239"/>
      <c r="AL617" s="239"/>
      <c r="AM617" s="239"/>
      <c r="AN617" s="239"/>
      <c r="AO617" s="239"/>
      <c r="AP617" s="239"/>
      <c r="AQ617" s="239"/>
      <c r="AR617" s="239"/>
      <c r="AS617" s="239"/>
      <c r="AT617" s="239"/>
      <c r="AU617" s="239"/>
      <c r="AV617" s="239"/>
      <c r="AW617" s="239"/>
      <c r="AX617" s="239"/>
      <c r="AY617" s="239"/>
      <c r="AZ617" s="239"/>
      <c r="BA617" s="239"/>
      <c r="BB617" s="239"/>
      <c r="BC617" s="239"/>
      <c r="BD617" s="239"/>
      <c r="BE617" s="239"/>
      <c r="BF617" s="239"/>
      <c r="BG617" s="239"/>
      <c r="BH617" s="239"/>
      <c r="BI617" s="239"/>
      <c r="BJ617" s="239"/>
      <c r="BK617" s="239"/>
      <c r="BL617" s="239"/>
      <c r="BM617" s="239"/>
      <c r="BN617" s="239"/>
      <c r="BO617" s="239"/>
      <c r="BP617" s="239"/>
      <c r="BQ617" s="239"/>
      <c r="BR617" s="239"/>
      <c r="BS617" s="239"/>
      <c r="BT617" s="239"/>
      <c r="BU617" s="239"/>
      <c r="BV617" s="239"/>
      <c r="BW617" s="239"/>
      <c r="BX617" s="239"/>
      <c r="BY617" s="239"/>
      <c r="BZ617" s="239"/>
      <c r="CA617" s="239"/>
      <c r="CB617" s="239"/>
      <c r="CC617" s="239"/>
      <c r="CD617" s="239"/>
      <c r="CE617" s="239"/>
      <c r="CF617" s="239"/>
      <c r="CG617" s="239"/>
    </row>
    <row r="618" spans="1:85" ht="15.75" customHeight="1">
      <c r="A618" s="239"/>
      <c r="B618" s="239"/>
      <c r="C618" s="239"/>
      <c r="D618" s="239"/>
      <c r="E618" s="239"/>
      <c r="F618" s="239"/>
      <c r="G618" s="239"/>
      <c r="H618" s="239"/>
      <c r="I618" s="239"/>
      <c r="J618" s="239"/>
      <c r="K618" s="239"/>
      <c r="L618" s="239"/>
      <c r="M618" s="239"/>
      <c r="N618" s="239"/>
      <c r="O618" s="239"/>
      <c r="P618" s="239"/>
      <c r="Q618" s="239"/>
      <c r="R618" s="239"/>
      <c r="S618" s="239"/>
      <c r="T618" s="239"/>
      <c r="U618" s="239"/>
      <c r="V618" s="239"/>
      <c r="W618" s="239"/>
      <c r="X618" s="239"/>
      <c r="Y618" s="239"/>
      <c r="Z618" s="239"/>
      <c r="AA618" s="239"/>
      <c r="AB618" s="239"/>
      <c r="AC618" s="239"/>
      <c r="AD618" s="239"/>
      <c r="AE618" s="239"/>
      <c r="AF618" s="239"/>
      <c r="AG618" s="239"/>
      <c r="AH618" s="239"/>
      <c r="AI618" s="239"/>
      <c r="AJ618" s="239"/>
      <c r="AK618" s="239"/>
      <c r="AL618" s="239"/>
      <c r="AM618" s="239"/>
      <c r="AN618" s="239"/>
      <c r="AO618" s="239"/>
      <c r="AP618" s="239"/>
      <c r="AQ618" s="239"/>
      <c r="AR618" s="239"/>
      <c r="AS618" s="239"/>
      <c r="AT618" s="239"/>
      <c r="AU618" s="239"/>
      <c r="AV618" s="239"/>
      <c r="AW618" s="239"/>
      <c r="AX618" s="239"/>
      <c r="AY618" s="239"/>
      <c r="AZ618" s="239"/>
      <c r="BA618" s="239"/>
      <c r="BB618" s="239"/>
      <c r="BC618" s="239"/>
      <c r="BD618" s="239"/>
      <c r="BE618" s="239"/>
      <c r="BF618" s="239"/>
      <c r="BG618" s="239"/>
      <c r="BH618" s="239"/>
      <c r="BI618" s="239"/>
      <c r="BJ618" s="239"/>
      <c r="BK618" s="239"/>
      <c r="BL618" s="239"/>
      <c r="BM618" s="239"/>
      <c r="BN618" s="239"/>
      <c r="BO618" s="239"/>
      <c r="BP618" s="239"/>
      <c r="BQ618" s="239"/>
      <c r="BR618" s="239"/>
      <c r="BS618" s="239"/>
      <c r="BT618" s="239"/>
      <c r="BU618" s="239"/>
      <c r="BV618" s="239"/>
      <c r="BW618" s="239"/>
      <c r="BX618" s="239"/>
      <c r="BY618" s="239"/>
      <c r="BZ618" s="239"/>
      <c r="CA618" s="239"/>
      <c r="CB618" s="239"/>
      <c r="CC618" s="239"/>
      <c r="CD618" s="239"/>
      <c r="CE618" s="239"/>
      <c r="CF618" s="239"/>
      <c r="CG618" s="239"/>
    </row>
    <row r="619" spans="1:85" ht="15.75" customHeight="1">
      <c r="A619" s="239"/>
      <c r="B619" s="239"/>
      <c r="C619" s="239"/>
      <c r="D619" s="239"/>
      <c r="E619" s="239"/>
      <c r="F619" s="239"/>
      <c r="G619" s="239"/>
      <c r="H619" s="239"/>
      <c r="I619" s="239"/>
      <c r="J619" s="239"/>
      <c r="K619" s="239"/>
      <c r="L619" s="239"/>
      <c r="M619" s="239"/>
      <c r="N619" s="239"/>
      <c r="O619" s="239"/>
      <c r="P619" s="239"/>
      <c r="Q619" s="239"/>
      <c r="R619" s="239"/>
      <c r="S619" s="239"/>
      <c r="T619" s="239"/>
      <c r="U619" s="239"/>
      <c r="V619" s="239"/>
      <c r="W619" s="239"/>
      <c r="X619" s="239"/>
      <c r="Y619" s="239"/>
      <c r="Z619" s="239"/>
      <c r="AA619" s="239"/>
      <c r="AB619" s="239"/>
      <c r="AC619" s="239"/>
      <c r="AD619" s="239"/>
      <c r="AE619" s="239"/>
      <c r="AF619" s="239"/>
      <c r="AG619" s="239"/>
      <c r="AH619" s="239"/>
      <c r="AI619" s="239"/>
      <c r="AJ619" s="239"/>
      <c r="AK619" s="239"/>
      <c r="AL619" s="239"/>
      <c r="AM619" s="239"/>
      <c r="AN619" s="239"/>
      <c r="AO619" s="239"/>
      <c r="AP619" s="239"/>
      <c r="AQ619" s="239"/>
      <c r="AR619" s="239"/>
      <c r="AS619" s="239"/>
      <c r="AT619" s="239"/>
      <c r="AU619" s="239"/>
      <c r="AV619" s="239"/>
      <c r="AW619" s="239"/>
      <c r="AX619" s="239"/>
      <c r="AY619" s="239"/>
      <c r="AZ619" s="239"/>
      <c r="BA619" s="239"/>
      <c r="BB619" s="239"/>
      <c r="BC619" s="239"/>
      <c r="BD619" s="239"/>
      <c r="BE619" s="239"/>
      <c r="BF619" s="239"/>
      <c r="BG619" s="239"/>
      <c r="BH619" s="239"/>
      <c r="BI619" s="239"/>
      <c r="BJ619" s="239"/>
      <c r="BK619" s="239"/>
      <c r="BL619" s="239"/>
      <c r="BM619" s="239"/>
      <c r="BN619" s="239"/>
      <c r="BO619" s="239"/>
      <c r="BP619" s="239"/>
      <c r="BQ619" s="239"/>
      <c r="BR619" s="239"/>
      <c r="BS619" s="239"/>
      <c r="BT619" s="239"/>
      <c r="BU619" s="239"/>
      <c r="BV619" s="239"/>
      <c r="BW619" s="239"/>
      <c r="BX619" s="239"/>
      <c r="BY619" s="239"/>
      <c r="BZ619" s="239"/>
      <c r="CA619" s="239"/>
      <c r="CB619" s="239"/>
      <c r="CC619" s="239"/>
      <c r="CD619" s="239"/>
      <c r="CE619" s="239"/>
      <c r="CF619" s="239"/>
      <c r="CG619" s="239"/>
    </row>
    <row r="620" spans="1:85" ht="15.75" customHeight="1">
      <c r="A620" s="239"/>
      <c r="B620" s="239"/>
      <c r="C620" s="239"/>
      <c r="D620" s="239"/>
      <c r="E620" s="239"/>
      <c r="F620" s="239"/>
      <c r="G620" s="239"/>
      <c r="H620" s="239"/>
      <c r="I620" s="239"/>
      <c r="J620" s="239"/>
      <c r="K620" s="239"/>
      <c r="L620" s="239"/>
      <c r="M620" s="239"/>
      <c r="N620" s="239"/>
      <c r="O620" s="239"/>
      <c r="P620" s="239"/>
      <c r="Q620" s="239"/>
      <c r="R620" s="239"/>
      <c r="S620" s="239"/>
      <c r="T620" s="239"/>
      <c r="U620" s="239"/>
      <c r="V620" s="239"/>
      <c r="W620" s="239"/>
      <c r="X620" s="239"/>
      <c r="Y620" s="239"/>
      <c r="Z620" s="239"/>
      <c r="AA620" s="239"/>
      <c r="AB620" s="239"/>
      <c r="AC620" s="239"/>
      <c r="AD620" s="239"/>
      <c r="AE620" s="239"/>
      <c r="AF620" s="239"/>
      <c r="AG620" s="239"/>
      <c r="AH620" s="239"/>
      <c r="AI620" s="239"/>
      <c r="AJ620" s="239"/>
      <c r="AK620" s="239"/>
      <c r="AL620" s="239"/>
      <c r="AM620" s="239"/>
      <c r="AN620" s="239"/>
      <c r="AO620" s="239"/>
      <c r="AP620" s="239"/>
      <c r="AQ620" s="239"/>
      <c r="AR620" s="239"/>
      <c r="AS620" s="239"/>
      <c r="AT620" s="239"/>
      <c r="AU620" s="239"/>
      <c r="AV620" s="239"/>
      <c r="AW620" s="239"/>
      <c r="AX620" s="239"/>
      <c r="AY620" s="239"/>
      <c r="AZ620" s="239"/>
      <c r="BA620" s="239"/>
      <c r="BB620" s="239"/>
      <c r="BC620" s="239"/>
      <c r="BD620" s="239"/>
      <c r="BE620" s="239"/>
      <c r="BF620" s="239"/>
      <c r="BG620" s="239"/>
      <c r="BH620" s="239"/>
      <c r="BI620" s="239"/>
      <c r="BJ620" s="239"/>
      <c r="BK620" s="239"/>
      <c r="BL620" s="239"/>
      <c r="BM620" s="239"/>
      <c r="BN620" s="239"/>
      <c r="BO620" s="239"/>
      <c r="BP620" s="239"/>
      <c r="BQ620" s="239"/>
      <c r="BR620" s="239"/>
      <c r="BS620" s="239"/>
      <c r="BT620" s="239"/>
      <c r="BU620" s="239"/>
      <c r="BV620" s="239"/>
      <c r="BW620" s="239"/>
      <c r="BX620" s="239"/>
      <c r="BY620" s="239"/>
      <c r="BZ620" s="239"/>
      <c r="CA620" s="239"/>
      <c r="CB620" s="239"/>
      <c r="CC620" s="239"/>
      <c r="CD620" s="239"/>
      <c r="CE620" s="239"/>
      <c r="CF620" s="239"/>
      <c r="CG620" s="239"/>
    </row>
    <row r="621" spans="1:85" ht="15.75" customHeight="1">
      <c r="A621" s="239"/>
      <c r="B621" s="239"/>
      <c r="C621" s="239"/>
      <c r="D621" s="239"/>
      <c r="E621" s="239"/>
      <c r="F621" s="239"/>
      <c r="G621" s="239"/>
      <c r="H621" s="239"/>
      <c r="I621" s="239"/>
      <c r="J621" s="239"/>
      <c r="K621" s="239"/>
      <c r="L621" s="239"/>
      <c r="M621" s="239"/>
      <c r="N621" s="239"/>
      <c r="O621" s="239"/>
      <c r="P621" s="239"/>
      <c r="Q621" s="239"/>
      <c r="R621" s="239"/>
      <c r="S621" s="239"/>
      <c r="T621" s="239"/>
      <c r="U621" s="239"/>
      <c r="V621" s="239"/>
      <c r="W621" s="239"/>
      <c r="X621" s="239"/>
      <c r="Y621" s="239"/>
      <c r="Z621" s="239"/>
      <c r="AA621" s="239"/>
      <c r="AB621" s="239"/>
      <c r="AC621" s="239"/>
      <c r="AD621" s="239"/>
      <c r="AE621" s="239"/>
      <c r="AF621" s="239"/>
      <c r="AG621" s="239"/>
      <c r="AH621" s="239"/>
      <c r="AI621" s="239"/>
      <c r="AJ621" s="239"/>
      <c r="AK621" s="239"/>
      <c r="AL621" s="239"/>
      <c r="AM621" s="239"/>
      <c r="AN621" s="239"/>
      <c r="AO621" s="239"/>
      <c r="AP621" s="239"/>
      <c r="AQ621" s="239"/>
      <c r="AR621" s="239"/>
      <c r="AS621" s="239"/>
      <c r="AT621" s="239"/>
      <c r="AU621" s="239"/>
      <c r="AV621" s="239"/>
      <c r="AW621" s="239"/>
      <c r="AX621" s="239"/>
      <c r="AY621" s="239"/>
      <c r="AZ621" s="239"/>
      <c r="BA621" s="239"/>
      <c r="BB621" s="239"/>
      <c r="BC621" s="239"/>
      <c r="BD621" s="239"/>
      <c r="BE621" s="239"/>
      <c r="BF621" s="239"/>
      <c r="BG621" s="239"/>
      <c r="BH621" s="239"/>
      <c r="BI621" s="239"/>
      <c r="BJ621" s="239"/>
      <c r="BK621" s="239"/>
      <c r="BL621" s="239"/>
      <c r="BM621" s="239"/>
      <c r="BN621" s="239"/>
      <c r="BO621" s="239"/>
      <c r="BP621" s="239"/>
      <c r="BQ621" s="239"/>
      <c r="BR621" s="239"/>
      <c r="BS621" s="239"/>
      <c r="BT621" s="239"/>
      <c r="BU621" s="239"/>
      <c r="BV621" s="239"/>
      <c r="BW621" s="239"/>
      <c r="BX621" s="239"/>
      <c r="BY621" s="239"/>
      <c r="BZ621" s="239"/>
      <c r="CA621" s="239"/>
      <c r="CB621" s="239"/>
      <c r="CC621" s="239"/>
      <c r="CD621" s="239"/>
      <c r="CE621" s="239"/>
      <c r="CF621" s="239"/>
      <c r="CG621" s="239"/>
    </row>
    <row r="622" spans="1:85" ht="15.75" customHeight="1">
      <c r="A622" s="239"/>
      <c r="B622" s="239"/>
      <c r="C622" s="239"/>
      <c r="D622" s="239"/>
      <c r="E622" s="239"/>
      <c r="F622" s="239"/>
      <c r="G622" s="239"/>
      <c r="H622" s="239"/>
      <c r="I622" s="239"/>
      <c r="J622" s="239"/>
      <c r="K622" s="239"/>
      <c r="L622" s="239"/>
      <c r="M622" s="239"/>
      <c r="N622" s="239"/>
      <c r="O622" s="239"/>
      <c r="P622" s="239"/>
      <c r="Q622" s="239"/>
      <c r="R622" s="239"/>
      <c r="S622" s="239"/>
      <c r="T622" s="239"/>
      <c r="U622" s="239"/>
      <c r="V622" s="239"/>
      <c r="W622" s="239"/>
      <c r="X622" s="239"/>
      <c r="Y622" s="239"/>
      <c r="Z622" s="239"/>
      <c r="AA622" s="239"/>
      <c r="AB622" s="239"/>
      <c r="AC622" s="239"/>
      <c r="AD622" s="239"/>
      <c r="AE622" s="239"/>
      <c r="AF622" s="239"/>
      <c r="AG622" s="239"/>
      <c r="AH622" s="239"/>
      <c r="AI622" s="239"/>
      <c r="AJ622" s="239"/>
      <c r="AK622" s="239"/>
      <c r="AL622" s="239"/>
      <c r="AM622" s="239"/>
      <c r="AN622" s="239"/>
      <c r="AO622" s="239"/>
      <c r="AP622" s="239"/>
      <c r="AQ622" s="239"/>
      <c r="AR622" s="239"/>
      <c r="AS622" s="239"/>
      <c r="AT622" s="239"/>
      <c r="AU622" s="239"/>
      <c r="AV622" s="239"/>
      <c r="AW622" s="239"/>
      <c r="AX622" s="239"/>
      <c r="AY622" s="239"/>
      <c r="AZ622" s="239"/>
      <c r="BA622" s="239"/>
      <c r="BB622" s="239"/>
      <c r="BC622" s="239"/>
      <c r="BD622" s="239"/>
      <c r="BE622" s="239"/>
      <c r="BF622" s="239"/>
      <c r="BG622" s="239"/>
      <c r="BH622" s="239"/>
      <c r="BI622" s="239"/>
      <c r="BJ622" s="239"/>
      <c r="BK622" s="239"/>
      <c r="BL622" s="239"/>
      <c r="BM622" s="239"/>
      <c r="BN622" s="239"/>
      <c r="BO622" s="239"/>
      <c r="BP622" s="239"/>
      <c r="BQ622" s="239"/>
      <c r="BR622" s="239"/>
      <c r="BS622" s="239"/>
      <c r="BT622" s="239"/>
      <c r="BU622" s="239"/>
      <c r="BV622" s="239"/>
      <c r="BW622" s="239"/>
      <c r="BX622" s="239"/>
      <c r="BY622" s="239"/>
      <c r="BZ622" s="239"/>
      <c r="CA622" s="239"/>
      <c r="CB622" s="239"/>
      <c r="CC622" s="239"/>
      <c r="CD622" s="239"/>
      <c r="CE622" s="239"/>
      <c r="CF622" s="239"/>
      <c r="CG622" s="239"/>
    </row>
    <row r="623" spans="1:85" ht="15.75" customHeight="1">
      <c r="A623" s="239"/>
      <c r="B623" s="239"/>
      <c r="C623" s="239"/>
      <c r="D623" s="239"/>
      <c r="E623" s="239"/>
      <c r="F623" s="239"/>
      <c r="G623" s="239"/>
      <c r="H623" s="239"/>
      <c r="I623" s="239"/>
      <c r="J623" s="239"/>
      <c r="K623" s="239"/>
      <c r="L623" s="239"/>
      <c r="M623" s="239"/>
      <c r="N623" s="239"/>
      <c r="O623" s="239"/>
      <c r="P623" s="239"/>
      <c r="Q623" s="239"/>
      <c r="R623" s="239"/>
      <c r="S623" s="239"/>
      <c r="T623" s="239"/>
      <c r="U623" s="239"/>
      <c r="V623" s="239"/>
      <c r="W623" s="239"/>
      <c r="X623" s="239"/>
      <c r="Y623" s="239"/>
      <c r="Z623" s="239"/>
      <c r="AA623" s="239"/>
      <c r="AB623" s="239"/>
      <c r="AC623" s="239"/>
      <c r="AD623" s="239"/>
      <c r="AE623" s="239"/>
      <c r="AF623" s="239"/>
      <c r="AG623" s="239"/>
      <c r="AH623" s="239"/>
      <c r="AI623" s="239"/>
      <c r="AJ623" s="239"/>
      <c r="AK623" s="239"/>
      <c r="AL623" s="239"/>
      <c r="AM623" s="239"/>
      <c r="AN623" s="239"/>
      <c r="AO623" s="239"/>
      <c r="AP623" s="239"/>
      <c r="AQ623" s="239"/>
      <c r="AR623" s="239"/>
      <c r="AS623" s="239"/>
      <c r="AT623" s="239"/>
      <c r="AU623" s="239"/>
      <c r="AV623" s="239"/>
      <c r="AW623" s="239"/>
      <c r="AX623" s="239"/>
      <c r="AY623" s="239"/>
      <c r="AZ623" s="239"/>
      <c r="BA623" s="239"/>
      <c r="BB623" s="239"/>
      <c r="BC623" s="239"/>
      <c r="BD623" s="239"/>
      <c r="BE623" s="239"/>
      <c r="BF623" s="239"/>
      <c r="BG623" s="239"/>
      <c r="BH623" s="239"/>
      <c r="BI623" s="239"/>
      <c r="BJ623" s="239"/>
      <c r="BK623" s="239"/>
      <c r="BL623" s="239"/>
      <c r="BM623" s="239"/>
      <c r="BN623" s="239"/>
      <c r="BO623" s="239"/>
      <c r="BP623" s="239"/>
      <c r="BQ623" s="239"/>
      <c r="BR623" s="239"/>
      <c r="BS623" s="239"/>
      <c r="BT623" s="239"/>
      <c r="BU623" s="239"/>
      <c r="BV623" s="239"/>
      <c r="BW623" s="239"/>
      <c r="BX623" s="239"/>
      <c r="BY623" s="239"/>
      <c r="BZ623" s="239"/>
      <c r="CA623" s="239"/>
      <c r="CB623" s="239"/>
      <c r="CC623" s="239"/>
      <c r="CD623" s="239"/>
      <c r="CE623" s="239"/>
      <c r="CF623" s="239"/>
      <c r="CG623" s="239"/>
    </row>
    <row r="624" spans="1:85" ht="15.75" customHeight="1">
      <c r="A624" s="239"/>
      <c r="B624" s="239"/>
      <c r="C624" s="239"/>
      <c r="D624" s="239"/>
      <c r="E624" s="239"/>
      <c r="F624" s="239"/>
      <c r="G624" s="239"/>
      <c r="H624" s="239"/>
      <c r="I624" s="239"/>
      <c r="J624" s="239"/>
      <c r="K624" s="239"/>
      <c r="L624" s="239"/>
      <c r="M624" s="239"/>
      <c r="N624" s="239"/>
      <c r="O624" s="239"/>
      <c r="P624" s="239"/>
      <c r="Q624" s="239"/>
      <c r="R624" s="239"/>
      <c r="S624" s="239"/>
      <c r="T624" s="239"/>
      <c r="U624" s="239"/>
      <c r="V624" s="239"/>
      <c r="W624" s="239"/>
      <c r="X624" s="239"/>
      <c r="Y624" s="239"/>
      <c r="Z624" s="239"/>
      <c r="AA624" s="239"/>
      <c r="AB624" s="239"/>
      <c r="AC624" s="239"/>
      <c r="AD624" s="239"/>
      <c r="AE624" s="239"/>
      <c r="AF624" s="239"/>
      <c r="AG624" s="239"/>
      <c r="AH624" s="239"/>
      <c r="AI624" s="239"/>
      <c r="AJ624" s="239"/>
      <c r="AK624" s="239"/>
      <c r="AL624" s="239"/>
      <c r="AM624" s="239"/>
      <c r="AN624" s="239"/>
      <c r="AO624" s="239"/>
      <c r="AP624" s="239"/>
      <c r="AQ624" s="239"/>
      <c r="AR624" s="239"/>
      <c r="AS624" s="239"/>
      <c r="AT624" s="239"/>
      <c r="AU624" s="239"/>
      <c r="AV624" s="239"/>
      <c r="AW624" s="239"/>
      <c r="AX624" s="239"/>
      <c r="AY624" s="239"/>
      <c r="AZ624" s="239"/>
      <c r="BA624" s="239"/>
      <c r="BB624" s="239"/>
      <c r="BC624" s="239"/>
      <c r="BD624" s="239"/>
      <c r="BE624" s="239"/>
      <c r="BF624" s="239"/>
      <c r="BG624" s="239"/>
      <c r="BH624" s="239"/>
      <c r="BI624" s="239"/>
      <c r="BJ624" s="239"/>
      <c r="BK624" s="239"/>
      <c r="BL624" s="239"/>
      <c r="BM624" s="239"/>
      <c r="BN624" s="239"/>
      <c r="BO624" s="239"/>
      <c r="BP624" s="239"/>
      <c r="BQ624" s="239"/>
      <c r="BR624" s="239"/>
      <c r="BS624" s="239"/>
      <c r="BT624" s="239"/>
      <c r="BU624" s="239"/>
      <c r="BV624" s="239"/>
      <c r="BW624" s="239"/>
      <c r="BX624" s="239"/>
      <c r="BY624" s="239"/>
      <c r="BZ624" s="239"/>
      <c r="CA624" s="239"/>
      <c r="CB624" s="239"/>
      <c r="CC624" s="239"/>
      <c r="CD624" s="239"/>
      <c r="CE624" s="239"/>
      <c r="CF624" s="239"/>
      <c r="CG624" s="239"/>
    </row>
    <row r="625" spans="1:85" ht="15.75" customHeight="1">
      <c r="A625" s="239"/>
      <c r="B625" s="239"/>
      <c r="C625" s="239"/>
      <c r="D625" s="239"/>
      <c r="E625" s="239"/>
      <c r="F625" s="239"/>
      <c r="G625" s="239"/>
      <c r="H625" s="239"/>
      <c r="I625" s="239"/>
      <c r="J625" s="239"/>
      <c r="K625" s="239"/>
      <c r="L625" s="239"/>
      <c r="M625" s="239"/>
      <c r="N625" s="239"/>
      <c r="O625" s="239"/>
      <c r="P625" s="239"/>
      <c r="Q625" s="239"/>
      <c r="R625" s="239"/>
      <c r="S625" s="239"/>
      <c r="T625" s="239"/>
      <c r="U625" s="239"/>
      <c r="V625" s="239"/>
      <c r="W625" s="239"/>
      <c r="X625" s="239"/>
      <c r="Y625" s="239"/>
      <c r="Z625" s="239"/>
      <c r="AA625" s="239"/>
      <c r="AB625" s="239"/>
      <c r="AC625" s="239"/>
      <c r="AD625" s="239"/>
      <c r="AE625" s="239"/>
      <c r="AF625" s="239"/>
      <c r="AG625" s="239"/>
      <c r="AH625" s="239"/>
      <c r="AI625" s="239"/>
      <c r="AJ625" s="239"/>
      <c r="AK625" s="239"/>
      <c r="AL625" s="239"/>
      <c r="AM625" s="239"/>
      <c r="AN625" s="239"/>
      <c r="AO625" s="239"/>
      <c r="AP625" s="239"/>
      <c r="AQ625" s="239"/>
      <c r="AR625" s="239"/>
      <c r="AS625" s="239"/>
      <c r="AT625" s="239"/>
      <c r="AU625" s="239"/>
      <c r="AV625" s="239"/>
      <c r="AW625" s="239"/>
      <c r="AX625" s="239"/>
      <c r="AY625" s="239"/>
      <c r="AZ625" s="239"/>
      <c r="BA625" s="239"/>
      <c r="BB625" s="239"/>
      <c r="BC625" s="239"/>
      <c r="BD625" s="239"/>
      <c r="BE625" s="239"/>
      <c r="BF625" s="239"/>
      <c r="BG625" s="239"/>
      <c r="BH625" s="239"/>
      <c r="BI625" s="239"/>
      <c r="BJ625" s="239"/>
      <c r="BK625" s="239"/>
      <c r="BL625" s="239"/>
      <c r="BM625" s="239"/>
      <c r="BN625" s="239"/>
      <c r="BO625" s="239"/>
      <c r="BP625" s="239"/>
      <c r="BQ625" s="239"/>
      <c r="BR625" s="239"/>
      <c r="BS625" s="239"/>
      <c r="BT625" s="239"/>
      <c r="BU625" s="239"/>
      <c r="BV625" s="239"/>
      <c r="BW625" s="239"/>
      <c r="BX625" s="239"/>
      <c r="BY625" s="239"/>
      <c r="BZ625" s="239"/>
      <c r="CA625" s="239"/>
      <c r="CB625" s="239"/>
      <c r="CC625" s="239"/>
      <c r="CD625" s="239"/>
      <c r="CE625" s="239"/>
      <c r="CF625" s="239"/>
      <c r="CG625" s="239"/>
    </row>
    <row r="626" spans="1:85" ht="15.75" customHeight="1">
      <c r="A626" s="239"/>
      <c r="B626" s="239"/>
      <c r="C626" s="239"/>
      <c r="D626" s="239"/>
      <c r="E626" s="239"/>
      <c r="F626" s="239"/>
      <c r="G626" s="239"/>
      <c r="H626" s="239"/>
      <c r="I626" s="239"/>
      <c r="J626" s="239"/>
      <c r="K626" s="239"/>
      <c r="L626" s="239"/>
      <c r="M626" s="239"/>
      <c r="N626" s="239"/>
      <c r="O626" s="239"/>
      <c r="P626" s="239"/>
      <c r="Q626" s="239"/>
      <c r="R626" s="239"/>
      <c r="S626" s="239"/>
      <c r="T626" s="239"/>
      <c r="U626" s="239"/>
      <c r="V626" s="239"/>
      <c r="W626" s="239"/>
      <c r="X626" s="239"/>
      <c r="Y626" s="239"/>
      <c r="Z626" s="239"/>
      <c r="AA626" s="239"/>
      <c r="AB626" s="239"/>
      <c r="AC626" s="239"/>
      <c r="AD626" s="239"/>
      <c r="AE626" s="239"/>
      <c r="AF626" s="239"/>
      <c r="AG626" s="239"/>
      <c r="AH626" s="239"/>
      <c r="AI626" s="239"/>
      <c r="AJ626" s="239"/>
      <c r="AK626" s="239"/>
      <c r="AL626" s="239"/>
      <c r="AM626" s="239"/>
      <c r="AN626" s="239"/>
      <c r="AO626" s="239"/>
      <c r="AP626" s="239"/>
      <c r="AQ626" s="239"/>
      <c r="AR626" s="239"/>
      <c r="AS626" s="239"/>
      <c r="AT626" s="239"/>
      <c r="AU626" s="239"/>
      <c r="AV626" s="239"/>
      <c r="AW626" s="239"/>
      <c r="AX626" s="239"/>
      <c r="AY626" s="239"/>
      <c r="AZ626" s="239"/>
      <c r="BA626" s="239"/>
      <c r="BB626" s="239"/>
      <c r="BC626" s="239"/>
      <c r="BD626" s="239"/>
      <c r="BE626" s="239"/>
      <c r="BF626" s="239"/>
      <c r="BG626" s="239"/>
      <c r="BH626" s="239"/>
      <c r="BI626" s="239"/>
      <c r="BJ626" s="239"/>
      <c r="BK626" s="239"/>
      <c r="BL626" s="239"/>
      <c r="BM626" s="239"/>
      <c r="BN626" s="239"/>
      <c r="BO626" s="239"/>
      <c r="BP626" s="239"/>
      <c r="BQ626" s="239"/>
      <c r="BR626" s="239"/>
      <c r="BS626" s="239"/>
      <c r="BT626" s="239"/>
      <c r="BU626" s="239"/>
      <c r="BV626" s="239"/>
      <c r="BW626" s="239"/>
      <c r="BX626" s="239"/>
      <c r="BY626" s="239"/>
      <c r="BZ626" s="239"/>
      <c r="CA626" s="239"/>
      <c r="CB626" s="239"/>
      <c r="CC626" s="239"/>
      <c r="CD626" s="239"/>
      <c r="CE626" s="239"/>
      <c r="CF626" s="239"/>
      <c r="CG626" s="239"/>
    </row>
    <row r="627" spans="1:85" ht="15.75" customHeight="1">
      <c r="A627" s="239"/>
      <c r="B627" s="239"/>
      <c r="C627" s="239"/>
      <c r="D627" s="239"/>
      <c r="E627" s="239"/>
      <c r="F627" s="239"/>
      <c r="G627" s="239"/>
      <c r="H627" s="239"/>
      <c r="I627" s="239"/>
      <c r="J627" s="239"/>
      <c r="K627" s="239"/>
      <c r="L627" s="239"/>
      <c r="M627" s="239"/>
      <c r="N627" s="239"/>
      <c r="O627" s="239"/>
      <c r="P627" s="239"/>
      <c r="Q627" s="239"/>
      <c r="R627" s="239"/>
      <c r="S627" s="239"/>
      <c r="T627" s="239"/>
      <c r="U627" s="239"/>
      <c r="V627" s="239"/>
      <c r="W627" s="239"/>
      <c r="X627" s="239"/>
      <c r="Y627" s="239"/>
      <c r="Z627" s="239"/>
      <c r="AA627" s="239"/>
      <c r="AB627" s="239"/>
      <c r="AC627" s="239"/>
      <c r="AD627" s="239"/>
      <c r="AE627" s="239"/>
      <c r="AF627" s="239"/>
      <c r="AG627" s="239"/>
      <c r="AH627" s="239"/>
      <c r="AI627" s="239"/>
      <c r="AJ627" s="239"/>
      <c r="AK627" s="239"/>
      <c r="AL627" s="239"/>
      <c r="AM627" s="239"/>
      <c r="AN627" s="239"/>
      <c r="AO627" s="239"/>
      <c r="AP627" s="239"/>
      <c r="AQ627" s="239"/>
      <c r="AR627" s="239"/>
      <c r="AS627" s="239"/>
      <c r="AT627" s="239"/>
      <c r="AU627" s="239"/>
      <c r="AV627" s="239"/>
      <c r="AW627" s="239"/>
      <c r="AX627" s="239"/>
      <c r="AY627" s="239"/>
      <c r="AZ627" s="239"/>
      <c r="BA627" s="239"/>
      <c r="BB627" s="239"/>
      <c r="BC627" s="239"/>
      <c r="BD627" s="239"/>
      <c r="BE627" s="239"/>
      <c r="BF627" s="239"/>
      <c r="BG627" s="239"/>
      <c r="BH627" s="239"/>
      <c r="BI627" s="239"/>
      <c r="BJ627" s="239"/>
      <c r="BK627" s="239"/>
      <c r="BL627" s="239"/>
      <c r="BM627" s="239"/>
      <c r="BN627" s="239"/>
      <c r="BO627" s="239"/>
      <c r="BP627" s="239"/>
      <c r="BQ627" s="239"/>
      <c r="BR627" s="239"/>
      <c r="BS627" s="239"/>
      <c r="BT627" s="239"/>
      <c r="BU627" s="239"/>
      <c r="BV627" s="239"/>
      <c r="BW627" s="239"/>
      <c r="BX627" s="239"/>
      <c r="BY627" s="239"/>
      <c r="BZ627" s="239"/>
      <c r="CA627" s="239"/>
      <c r="CB627" s="239"/>
      <c r="CC627" s="239"/>
      <c r="CD627" s="239"/>
      <c r="CE627" s="239"/>
      <c r="CF627" s="239"/>
      <c r="CG627" s="239"/>
    </row>
    <row r="628" spans="1:85" ht="15.75" customHeight="1">
      <c r="A628" s="239"/>
      <c r="B628" s="239"/>
      <c r="C628" s="239"/>
      <c r="D628" s="239"/>
      <c r="E628" s="239"/>
      <c r="F628" s="239"/>
      <c r="G628" s="239"/>
      <c r="H628" s="239"/>
      <c r="I628" s="239"/>
      <c r="J628" s="239"/>
      <c r="K628" s="239"/>
      <c r="L628" s="239"/>
      <c r="M628" s="239"/>
      <c r="N628" s="239"/>
      <c r="O628" s="239"/>
      <c r="P628" s="239"/>
      <c r="Q628" s="239"/>
      <c r="R628" s="239"/>
      <c r="S628" s="239"/>
      <c r="T628" s="239"/>
      <c r="U628" s="239"/>
      <c r="V628" s="239"/>
      <c r="W628" s="239"/>
      <c r="X628" s="239"/>
      <c r="Y628" s="239"/>
      <c r="Z628" s="239"/>
      <c r="AA628" s="239"/>
      <c r="AB628" s="239"/>
      <c r="AC628" s="239"/>
      <c r="AD628" s="239"/>
      <c r="AE628" s="239"/>
      <c r="AF628" s="239"/>
      <c r="AG628" s="239"/>
      <c r="AH628" s="239"/>
      <c r="AI628" s="239"/>
      <c r="AJ628" s="239"/>
      <c r="AK628" s="239"/>
      <c r="AL628" s="239"/>
      <c r="AM628" s="239"/>
      <c r="AN628" s="239"/>
      <c r="AO628" s="239"/>
      <c r="AP628" s="239"/>
      <c r="AQ628" s="239"/>
      <c r="AR628" s="239"/>
      <c r="AS628" s="239"/>
      <c r="AT628" s="239"/>
      <c r="AU628" s="239"/>
      <c r="AV628" s="239"/>
      <c r="AW628" s="239"/>
      <c r="AX628" s="239"/>
      <c r="AY628" s="239"/>
      <c r="AZ628" s="239"/>
      <c r="BA628" s="239"/>
      <c r="BB628" s="239"/>
      <c r="BC628" s="239"/>
      <c r="BD628" s="239"/>
      <c r="BE628" s="239"/>
      <c r="BF628" s="239"/>
      <c r="BG628" s="239"/>
      <c r="BH628" s="239"/>
      <c r="BI628" s="239"/>
      <c r="BJ628" s="239"/>
      <c r="BK628" s="239"/>
      <c r="BL628" s="239"/>
      <c r="BM628" s="239"/>
      <c r="BN628" s="239"/>
      <c r="BO628" s="239"/>
      <c r="BP628" s="239"/>
      <c r="BQ628" s="239"/>
      <c r="BR628" s="239"/>
      <c r="BS628" s="239"/>
      <c r="BT628" s="239"/>
      <c r="BU628" s="239"/>
      <c r="BV628" s="239"/>
      <c r="BW628" s="239"/>
      <c r="BX628" s="239"/>
      <c r="BY628" s="239"/>
      <c r="BZ628" s="239"/>
      <c r="CA628" s="239"/>
      <c r="CB628" s="239"/>
      <c r="CC628" s="239"/>
      <c r="CD628" s="239"/>
      <c r="CE628" s="239"/>
      <c r="CF628" s="239"/>
      <c r="CG628" s="239"/>
    </row>
    <row r="629" spans="1:85" ht="15.75" customHeight="1">
      <c r="A629" s="239"/>
      <c r="B629" s="239"/>
      <c r="C629" s="239"/>
      <c r="D629" s="239"/>
      <c r="E629" s="239"/>
      <c r="F629" s="239"/>
      <c r="G629" s="239"/>
      <c r="H629" s="239"/>
      <c r="I629" s="239"/>
      <c r="J629" s="239"/>
      <c r="K629" s="239"/>
      <c r="L629" s="239"/>
      <c r="M629" s="239"/>
      <c r="N629" s="239"/>
      <c r="O629" s="239"/>
      <c r="P629" s="239"/>
      <c r="Q629" s="239"/>
      <c r="R629" s="239"/>
      <c r="S629" s="239"/>
      <c r="T629" s="239"/>
      <c r="U629" s="239"/>
      <c r="V629" s="239"/>
      <c r="W629" s="239"/>
      <c r="X629" s="239"/>
      <c r="Y629" s="239"/>
      <c r="Z629" s="239"/>
      <c r="AA629" s="239"/>
      <c r="AB629" s="239"/>
      <c r="AC629" s="239"/>
      <c r="AD629" s="239"/>
      <c r="AE629" s="239"/>
      <c r="AF629" s="239"/>
      <c r="AG629" s="239"/>
      <c r="AH629" s="239"/>
      <c r="AI629" s="239"/>
      <c r="AJ629" s="239"/>
      <c r="AK629" s="239"/>
      <c r="AL629" s="239"/>
      <c r="AM629" s="239"/>
      <c r="AN629" s="239"/>
      <c r="AO629" s="239"/>
      <c r="AP629" s="239"/>
      <c r="AQ629" s="239"/>
      <c r="AR629" s="239"/>
      <c r="AS629" s="239"/>
      <c r="AT629" s="239"/>
      <c r="AU629" s="239"/>
      <c r="AV629" s="239"/>
      <c r="AW629" s="239"/>
      <c r="AX629" s="239"/>
      <c r="AY629" s="239"/>
      <c r="AZ629" s="239"/>
      <c r="BA629" s="239"/>
      <c r="BB629" s="239"/>
      <c r="BC629" s="239"/>
      <c r="BD629" s="239"/>
      <c r="BE629" s="239"/>
      <c r="BF629" s="239"/>
      <c r="BG629" s="239"/>
      <c r="BH629" s="239"/>
      <c r="BI629" s="239"/>
      <c r="BJ629" s="239"/>
      <c r="BK629" s="239"/>
      <c r="BL629" s="239"/>
      <c r="BM629" s="239"/>
      <c r="BN629" s="239"/>
      <c r="BO629" s="239"/>
      <c r="BP629" s="239"/>
      <c r="BQ629" s="239"/>
      <c r="BR629" s="239"/>
      <c r="BS629" s="239"/>
      <c r="BT629" s="239"/>
      <c r="BU629" s="239"/>
      <c r="BV629" s="239"/>
      <c r="BW629" s="239"/>
      <c r="BX629" s="239"/>
      <c r="BY629" s="239"/>
      <c r="BZ629" s="239"/>
      <c r="CA629" s="239"/>
      <c r="CB629" s="239"/>
      <c r="CC629" s="239"/>
      <c r="CD629" s="239"/>
      <c r="CE629" s="239"/>
      <c r="CF629" s="239"/>
      <c r="CG629" s="239"/>
    </row>
    <row r="630" spans="1:85" ht="15.75" customHeight="1">
      <c r="A630" s="239"/>
      <c r="B630" s="239"/>
      <c r="C630" s="239"/>
      <c r="D630" s="239"/>
      <c r="E630" s="239"/>
      <c r="F630" s="239"/>
      <c r="G630" s="239"/>
      <c r="H630" s="239"/>
      <c r="I630" s="239"/>
      <c r="J630" s="239"/>
      <c r="K630" s="239"/>
      <c r="L630" s="239"/>
      <c r="M630" s="239"/>
      <c r="N630" s="239"/>
      <c r="O630" s="239"/>
      <c r="P630" s="239"/>
      <c r="Q630" s="239"/>
      <c r="R630" s="239"/>
      <c r="S630" s="239"/>
      <c r="T630" s="239"/>
      <c r="U630" s="239"/>
      <c r="V630" s="239"/>
      <c r="W630" s="239"/>
      <c r="X630" s="239"/>
      <c r="Y630" s="239"/>
      <c r="Z630" s="239"/>
      <c r="AA630" s="239"/>
      <c r="AB630" s="239"/>
      <c r="AC630" s="239"/>
      <c r="AD630" s="239"/>
      <c r="AE630" s="239"/>
      <c r="AF630" s="239"/>
      <c r="AG630" s="239"/>
      <c r="AH630" s="239"/>
      <c r="AI630" s="239"/>
      <c r="AJ630" s="239"/>
      <c r="AK630" s="239"/>
      <c r="AL630" s="239"/>
      <c r="AM630" s="239"/>
      <c r="AN630" s="239"/>
      <c r="AO630" s="239"/>
      <c r="AP630" s="239"/>
      <c r="AQ630" s="239"/>
      <c r="AR630" s="239"/>
      <c r="AS630" s="239"/>
      <c r="AT630" s="239"/>
      <c r="AU630" s="239"/>
      <c r="AV630" s="239"/>
      <c r="AW630" s="239"/>
      <c r="AX630" s="239"/>
      <c r="AY630" s="239"/>
      <c r="AZ630" s="239"/>
      <c r="BA630" s="239"/>
      <c r="BB630" s="239"/>
      <c r="BC630" s="239"/>
      <c r="BD630" s="239"/>
      <c r="BE630" s="239"/>
      <c r="BF630" s="239"/>
      <c r="BG630" s="239"/>
      <c r="BH630" s="239"/>
      <c r="BI630" s="239"/>
      <c r="BJ630" s="239"/>
      <c r="BK630" s="239"/>
      <c r="BL630" s="239"/>
      <c r="BM630" s="239"/>
      <c r="BN630" s="239"/>
      <c r="BO630" s="239"/>
      <c r="BP630" s="239"/>
      <c r="BQ630" s="239"/>
      <c r="BR630" s="239"/>
      <c r="BS630" s="239"/>
      <c r="BT630" s="239"/>
      <c r="BU630" s="239"/>
      <c r="BV630" s="239"/>
      <c r="BW630" s="239"/>
      <c r="BX630" s="239"/>
      <c r="BY630" s="239"/>
      <c r="BZ630" s="239"/>
      <c r="CA630" s="239"/>
      <c r="CB630" s="239"/>
      <c r="CC630" s="239"/>
      <c r="CD630" s="239"/>
      <c r="CE630" s="239"/>
      <c r="CF630" s="239"/>
      <c r="CG630" s="239"/>
    </row>
    <row r="631" spans="1:85" ht="15.75" customHeight="1">
      <c r="A631" s="239"/>
      <c r="B631" s="239"/>
      <c r="C631" s="239"/>
      <c r="D631" s="239"/>
      <c r="E631" s="239"/>
      <c r="F631" s="239"/>
      <c r="G631" s="239"/>
      <c r="H631" s="239"/>
      <c r="I631" s="239"/>
      <c r="J631" s="239"/>
      <c r="K631" s="239"/>
      <c r="L631" s="239"/>
      <c r="M631" s="239"/>
      <c r="N631" s="239"/>
      <c r="O631" s="239"/>
      <c r="P631" s="239"/>
      <c r="Q631" s="239"/>
      <c r="R631" s="239"/>
      <c r="S631" s="239"/>
      <c r="T631" s="239"/>
      <c r="U631" s="239"/>
      <c r="V631" s="239"/>
      <c r="W631" s="239"/>
      <c r="X631" s="239"/>
      <c r="Y631" s="239"/>
      <c r="Z631" s="239"/>
      <c r="AA631" s="239"/>
      <c r="AB631" s="239"/>
      <c r="AC631" s="239"/>
      <c r="AD631" s="239"/>
      <c r="AE631" s="239"/>
      <c r="AF631" s="239"/>
      <c r="AG631" s="239"/>
      <c r="AH631" s="239"/>
      <c r="AI631" s="239"/>
      <c r="AJ631" s="239"/>
      <c r="AK631" s="239"/>
      <c r="AL631" s="239"/>
      <c r="AM631" s="239"/>
      <c r="AN631" s="239"/>
      <c r="AO631" s="239"/>
      <c r="AP631" s="239"/>
      <c r="AQ631" s="239"/>
      <c r="AR631" s="239"/>
      <c r="AS631" s="239"/>
      <c r="AT631" s="239"/>
      <c r="AU631" s="239"/>
      <c r="AV631" s="239"/>
      <c r="AW631" s="239"/>
      <c r="AX631" s="239"/>
      <c r="AY631" s="239"/>
      <c r="AZ631" s="239"/>
      <c r="BA631" s="239"/>
      <c r="BB631" s="239"/>
      <c r="BC631" s="239"/>
      <c r="BD631" s="239"/>
      <c r="BE631" s="239"/>
      <c r="BF631" s="239"/>
      <c r="BG631" s="239"/>
      <c r="BH631" s="239"/>
      <c r="BI631" s="239"/>
      <c r="BJ631" s="239"/>
      <c r="BK631" s="239"/>
      <c r="BL631" s="239"/>
      <c r="BM631" s="239"/>
      <c r="BN631" s="239"/>
      <c r="BO631" s="239"/>
      <c r="BP631" s="239"/>
      <c r="BQ631" s="239"/>
      <c r="BR631" s="239"/>
      <c r="BS631" s="239"/>
      <c r="BT631" s="239"/>
      <c r="BU631" s="239"/>
      <c r="BV631" s="239"/>
      <c r="BW631" s="239"/>
      <c r="BX631" s="239"/>
      <c r="BY631" s="239"/>
      <c r="BZ631" s="239"/>
      <c r="CA631" s="239"/>
      <c r="CB631" s="239"/>
      <c r="CC631" s="239"/>
      <c r="CD631" s="239"/>
      <c r="CE631" s="239"/>
      <c r="CF631" s="239"/>
      <c r="CG631" s="239"/>
    </row>
    <row r="632" spans="1:85" ht="15.75" customHeight="1">
      <c r="A632" s="239"/>
      <c r="B632" s="239"/>
      <c r="C632" s="239"/>
      <c r="D632" s="239"/>
      <c r="E632" s="239"/>
      <c r="F632" s="239"/>
      <c r="G632" s="239"/>
      <c r="H632" s="239"/>
      <c r="I632" s="239"/>
      <c r="J632" s="239"/>
      <c r="K632" s="239"/>
      <c r="L632" s="239"/>
      <c r="M632" s="239"/>
      <c r="N632" s="239"/>
      <c r="O632" s="239"/>
      <c r="P632" s="239"/>
      <c r="Q632" s="239"/>
      <c r="R632" s="239"/>
      <c r="S632" s="239"/>
      <c r="T632" s="239"/>
      <c r="U632" s="239"/>
      <c r="V632" s="239"/>
      <c r="W632" s="239"/>
      <c r="X632" s="239"/>
      <c r="Y632" s="239"/>
      <c r="Z632" s="239"/>
      <c r="AA632" s="239"/>
      <c r="AB632" s="239"/>
      <c r="AC632" s="239"/>
      <c r="AD632" s="239"/>
      <c r="AE632" s="239"/>
      <c r="AF632" s="239"/>
      <c r="AG632" s="239"/>
      <c r="AH632" s="239"/>
      <c r="AI632" s="239"/>
      <c r="AJ632" s="239"/>
      <c r="AK632" s="239"/>
      <c r="AL632" s="239"/>
      <c r="AM632" s="239"/>
      <c r="AN632" s="239"/>
      <c r="AO632" s="239"/>
      <c r="AP632" s="239"/>
      <c r="AQ632" s="239"/>
      <c r="AR632" s="239"/>
      <c r="AS632" s="239"/>
      <c r="AT632" s="239"/>
      <c r="AU632" s="239"/>
      <c r="AV632" s="239"/>
      <c r="AW632" s="239"/>
      <c r="AX632" s="239"/>
      <c r="AY632" s="239"/>
      <c r="AZ632" s="239"/>
      <c r="BA632" s="239"/>
      <c r="BB632" s="239"/>
      <c r="BC632" s="239"/>
      <c r="BD632" s="239"/>
      <c r="BE632" s="239"/>
      <c r="BF632" s="239"/>
      <c r="BG632" s="239"/>
      <c r="BH632" s="239"/>
      <c r="BI632" s="239"/>
      <c r="BJ632" s="239"/>
      <c r="BK632" s="239"/>
      <c r="BL632" s="239"/>
      <c r="BM632" s="239"/>
      <c r="BN632" s="239"/>
      <c r="BO632" s="239"/>
      <c r="BP632" s="239"/>
      <c r="BQ632" s="239"/>
      <c r="BR632" s="239"/>
      <c r="BS632" s="239"/>
      <c r="BT632" s="239"/>
      <c r="BU632" s="239"/>
      <c r="BV632" s="239"/>
      <c r="BW632" s="239"/>
      <c r="BX632" s="239"/>
      <c r="BY632" s="239"/>
      <c r="BZ632" s="239"/>
      <c r="CA632" s="239"/>
      <c r="CB632" s="239"/>
      <c r="CC632" s="239"/>
      <c r="CD632" s="239"/>
      <c r="CE632" s="239"/>
      <c r="CF632" s="239"/>
      <c r="CG632" s="239"/>
    </row>
    <row r="633" spans="1:85" ht="15.75" customHeight="1">
      <c r="A633" s="239"/>
      <c r="B633" s="239"/>
      <c r="C633" s="239"/>
      <c r="D633" s="239"/>
      <c r="E633" s="239"/>
      <c r="F633" s="239"/>
      <c r="G633" s="239"/>
      <c r="H633" s="239"/>
      <c r="I633" s="239"/>
      <c r="J633" s="239"/>
      <c r="K633" s="239"/>
      <c r="L633" s="239"/>
      <c r="M633" s="239"/>
      <c r="N633" s="239"/>
      <c r="O633" s="239"/>
      <c r="P633" s="239"/>
      <c r="Q633" s="239"/>
      <c r="R633" s="239"/>
      <c r="S633" s="239"/>
      <c r="T633" s="239"/>
      <c r="U633" s="239"/>
      <c r="V633" s="239"/>
      <c r="W633" s="239"/>
      <c r="X633" s="239"/>
      <c r="Y633" s="239"/>
      <c r="Z633" s="239"/>
      <c r="AA633" s="239"/>
      <c r="AB633" s="239"/>
      <c r="AC633" s="239"/>
      <c r="AD633" s="239"/>
      <c r="AE633" s="239"/>
      <c r="AF633" s="239"/>
      <c r="AG633" s="239"/>
      <c r="AH633" s="239"/>
      <c r="AI633" s="239"/>
      <c r="AJ633" s="239"/>
      <c r="AK633" s="239"/>
      <c r="AL633" s="239"/>
      <c r="AM633" s="239"/>
      <c r="AN633" s="239"/>
      <c r="AO633" s="239"/>
      <c r="AP633" s="239"/>
      <c r="AQ633" s="239"/>
      <c r="AR633" s="239"/>
      <c r="AS633" s="239"/>
      <c r="AT633" s="239"/>
      <c r="AU633" s="239"/>
      <c r="AV633" s="239"/>
      <c r="AW633" s="239"/>
      <c r="AX633" s="239"/>
      <c r="AY633" s="239"/>
      <c r="AZ633" s="239"/>
      <c r="BA633" s="239"/>
      <c r="BB633" s="239"/>
      <c r="BC633" s="239"/>
      <c r="BD633" s="239"/>
      <c r="BE633" s="239"/>
      <c r="BF633" s="239"/>
      <c r="BG633" s="239"/>
      <c r="BH633" s="239"/>
      <c r="BI633" s="239"/>
      <c r="BJ633" s="239"/>
      <c r="BK633" s="239"/>
      <c r="BL633" s="239"/>
      <c r="BM633" s="239"/>
      <c r="BN633" s="239"/>
      <c r="BO633" s="239"/>
      <c r="BP633" s="239"/>
      <c r="BQ633" s="239"/>
      <c r="BR633" s="239"/>
      <c r="BS633" s="239"/>
      <c r="BT633" s="239"/>
      <c r="BU633" s="239"/>
      <c r="BV633" s="239"/>
      <c r="BW633" s="239"/>
      <c r="BX633" s="239"/>
      <c r="BY633" s="239"/>
      <c r="BZ633" s="239"/>
      <c r="CA633" s="239"/>
      <c r="CB633" s="239"/>
      <c r="CC633" s="239"/>
      <c r="CD633" s="239"/>
      <c r="CE633" s="239"/>
      <c r="CF633" s="239"/>
      <c r="CG633" s="239"/>
    </row>
    <row r="634" spans="1:85" ht="15.75" customHeight="1">
      <c r="A634" s="239"/>
      <c r="B634" s="239"/>
      <c r="C634" s="239"/>
      <c r="D634" s="239"/>
      <c r="E634" s="239"/>
      <c r="F634" s="239"/>
      <c r="G634" s="239"/>
      <c r="H634" s="239"/>
      <c r="I634" s="239"/>
      <c r="J634" s="239"/>
      <c r="K634" s="239"/>
      <c r="L634" s="239"/>
      <c r="M634" s="239"/>
      <c r="N634" s="239"/>
      <c r="O634" s="239"/>
      <c r="P634" s="239"/>
      <c r="Q634" s="239"/>
      <c r="R634" s="239"/>
      <c r="S634" s="239"/>
      <c r="T634" s="239"/>
      <c r="U634" s="239"/>
      <c r="V634" s="239"/>
      <c r="W634" s="239"/>
      <c r="X634" s="239"/>
      <c r="Y634" s="239"/>
      <c r="Z634" s="239"/>
      <c r="AA634" s="239"/>
      <c r="AB634" s="239"/>
      <c r="AC634" s="239"/>
      <c r="AD634" s="239"/>
      <c r="AE634" s="239"/>
      <c r="AF634" s="239"/>
      <c r="AG634" s="239"/>
      <c r="AH634" s="239"/>
      <c r="AI634" s="239"/>
      <c r="AJ634" s="239"/>
      <c r="AK634" s="239"/>
      <c r="AL634" s="239"/>
      <c r="AM634" s="239"/>
      <c r="AN634" s="239"/>
      <c r="AO634" s="239"/>
      <c r="AP634" s="239"/>
      <c r="AQ634" s="239"/>
      <c r="AR634" s="239"/>
      <c r="AS634" s="239"/>
      <c r="AT634" s="239"/>
      <c r="AU634" s="239"/>
      <c r="AV634" s="239"/>
      <c r="AW634" s="239"/>
      <c r="AX634" s="239"/>
      <c r="AY634" s="239"/>
      <c r="AZ634" s="239"/>
      <c r="BA634" s="239"/>
      <c r="BB634" s="239"/>
      <c r="BC634" s="239"/>
      <c r="BD634" s="239"/>
      <c r="BE634" s="239"/>
      <c r="BF634" s="239"/>
      <c r="BG634" s="239"/>
      <c r="BH634" s="239"/>
      <c r="BI634" s="239"/>
      <c r="BJ634" s="239"/>
      <c r="BK634" s="239"/>
      <c r="BL634" s="239"/>
      <c r="BM634" s="239"/>
      <c r="BN634" s="239"/>
      <c r="BO634" s="239"/>
      <c r="BP634" s="239"/>
      <c r="BQ634" s="239"/>
      <c r="BR634" s="239"/>
      <c r="BS634" s="239"/>
      <c r="BT634" s="239"/>
      <c r="BU634" s="239"/>
      <c r="BV634" s="239"/>
      <c r="BW634" s="239"/>
      <c r="BX634" s="239"/>
      <c r="BY634" s="239"/>
      <c r="BZ634" s="239"/>
      <c r="CA634" s="239"/>
      <c r="CB634" s="239"/>
      <c r="CC634" s="239"/>
      <c r="CD634" s="239"/>
      <c r="CE634" s="239"/>
      <c r="CF634" s="239"/>
      <c r="CG634" s="239"/>
    </row>
    <row r="635" spans="1:85" ht="15.75" customHeight="1">
      <c r="A635" s="239"/>
      <c r="B635" s="239"/>
      <c r="C635" s="239"/>
      <c r="D635" s="239"/>
      <c r="E635" s="239"/>
      <c r="F635" s="239"/>
      <c r="G635" s="239"/>
      <c r="H635" s="239"/>
      <c r="I635" s="239"/>
      <c r="J635" s="239"/>
      <c r="K635" s="239"/>
      <c r="L635" s="239"/>
      <c r="M635" s="239"/>
      <c r="N635" s="239"/>
      <c r="O635" s="239"/>
      <c r="P635" s="239"/>
      <c r="Q635" s="239"/>
      <c r="R635" s="239"/>
      <c r="S635" s="239"/>
      <c r="T635" s="239"/>
      <c r="U635" s="239"/>
      <c r="V635" s="239"/>
      <c r="W635" s="239"/>
      <c r="X635" s="239"/>
      <c r="Y635" s="239"/>
      <c r="Z635" s="239"/>
      <c r="AA635" s="239"/>
      <c r="AB635" s="239"/>
      <c r="AC635" s="239"/>
      <c r="AD635" s="239"/>
      <c r="AE635" s="239"/>
      <c r="AF635" s="239"/>
      <c r="AG635" s="239"/>
      <c r="AH635" s="239"/>
      <c r="AI635" s="239"/>
      <c r="AJ635" s="239"/>
      <c r="AK635" s="239"/>
      <c r="AL635" s="239"/>
      <c r="AM635" s="239"/>
      <c r="AN635" s="239"/>
      <c r="AO635" s="239"/>
      <c r="AP635" s="239"/>
      <c r="AQ635" s="239"/>
      <c r="AR635" s="239"/>
      <c r="AS635" s="239"/>
      <c r="AT635" s="239"/>
      <c r="AU635" s="239"/>
      <c r="AV635" s="239"/>
      <c r="AW635" s="239"/>
      <c r="AX635" s="239"/>
      <c r="AY635" s="239"/>
      <c r="AZ635" s="239"/>
      <c r="BA635" s="239"/>
      <c r="BB635" s="239"/>
      <c r="BC635" s="239"/>
      <c r="BD635" s="239"/>
      <c r="BE635" s="239"/>
      <c r="BF635" s="239"/>
      <c r="BG635" s="239"/>
      <c r="BH635" s="239"/>
      <c r="BI635" s="239"/>
      <c r="BJ635" s="239"/>
      <c r="BK635" s="239"/>
      <c r="BL635" s="239"/>
      <c r="BM635" s="239"/>
      <c r="BN635" s="239"/>
      <c r="BO635" s="239"/>
      <c r="BP635" s="239"/>
      <c r="BQ635" s="239"/>
      <c r="BR635" s="239"/>
      <c r="BS635" s="239"/>
      <c r="BT635" s="239"/>
      <c r="BU635" s="239"/>
      <c r="BV635" s="239"/>
      <c r="BW635" s="239"/>
      <c r="BX635" s="239"/>
      <c r="BY635" s="239"/>
      <c r="BZ635" s="239"/>
      <c r="CA635" s="239"/>
      <c r="CB635" s="239"/>
      <c r="CC635" s="239"/>
      <c r="CD635" s="239"/>
      <c r="CE635" s="239"/>
      <c r="CF635" s="239"/>
      <c r="CG635" s="239"/>
    </row>
    <row r="636" spans="1:85" ht="15.75" customHeight="1">
      <c r="A636" s="239"/>
      <c r="B636" s="239"/>
      <c r="C636" s="239"/>
      <c r="D636" s="239"/>
      <c r="E636" s="239"/>
      <c r="F636" s="239"/>
      <c r="G636" s="239"/>
      <c r="H636" s="239"/>
      <c r="I636" s="239"/>
      <c r="J636" s="239"/>
      <c r="K636" s="239"/>
      <c r="L636" s="239"/>
      <c r="M636" s="239"/>
      <c r="N636" s="239"/>
      <c r="O636" s="239"/>
      <c r="P636" s="239"/>
      <c r="Q636" s="239"/>
      <c r="R636" s="239"/>
      <c r="S636" s="239"/>
      <c r="T636" s="239"/>
      <c r="U636" s="239"/>
      <c r="V636" s="239"/>
      <c r="W636" s="239"/>
      <c r="X636" s="239"/>
      <c r="Y636" s="239"/>
      <c r="Z636" s="239"/>
      <c r="AA636" s="239"/>
      <c r="AB636" s="239"/>
      <c r="AC636" s="239"/>
      <c r="AD636" s="239"/>
      <c r="AE636" s="239"/>
      <c r="AF636" s="239"/>
      <c r="AG636" s="239"/>
      <c r="AH636" s="239"/>
      <c r="AI636" s="239"/>
      <c r="AJ636" s="239"/>
      <c r="AK636" s="239"/>
      <c r="AL636" s="239"/>
      <c r="AM636" s="239"/>
      <c r="AN636" s="239"/>
      <c r="AO636" s="239"/>
      <c r="AP636" s="239"/>
      <c r="AQ636" s="239"/>
      <c r="AR636" s="239"/>
      <c r="AS636" s="239"/>
      <c r="AT636" s="239"/>
      <c r="AU636" s="239"/>
      <c r="AV636" s="239"/>
      <c r="AW636" s="239"/>
      <c r="AX636" s="239"/>
      <c r="AY636" s="239"/>
      <c r="AZ636" s="239"/>
      <c r="BA636" s="239"/>
      <c r="BB636" s="239"/>
      <c r="BC636" s="239"/>
      <c r="BD636" s="239"/>
      <c r="BE636" s="239"/>
      <c r="BF636" s="239"/>
      <c r="BG636" s="239"/>
      <c r="BH636" s="239"/>
      <c r="BI636" s="239"/>
      <c r="BJ636" s="239"/>
      <c r="BK636" s="239"/>
      <c r="BL636" s="239"/>
      <c r="BM636" s="239"/>
      <c r="BN636" s="239"/>
      <c r="BO636" s="239"/>
      <c r="BP636" s="239"/>
      <c r="BQ636" s="239"/>
      <c r="BR636" s="239"/>
      <c r="BS636" s="239"/>
      <c r="BT636" s="239"/>
      <c r="BU636" s="239"/>
      <c r="BV636" s="239"/>
      <c r="BW636" s="239"/>
      <c r="BX636" s="239"/>
      <c r="BY636" s="239"/>
      <c r="BZ636" s="239"/>
      <c r="CA636" s="239"/>
      <c r="CB636" s="239"/>
      <c r="CC636" s="239"/>
      <c r="CD636" s="239"/>
      <c r="CE636" s="239"/>
      <c r="CF636" s="239"/>
      <c r="CG636" s="239"/>
    </row>
    <row r="637" spans="1:85" ht="15.75" customHeight="1">
      <c r="A637" s="239"/>
      <c r="B637" s="239"/>
      <c r="C637" s="239"/>
      <c r="D637" s="239"/>
      <c r="E637" s="239"/>
      <c r="F637" s="239"/>
      <c r="G637" s="239"/>
      <c r="H637" s="239"/>
      <c r="I637" s="239"/>
      <c r="J637" s="239"/>
      <c r="K637" s="239"/>
      <c r="L637" s="239"/>
      <c r="M637" s="239"/>
      <c r="N637" s="239"/>
      <c r="O637" s="239"/>
      <c r="P637" s="239"/>
      <c r="Q637" s="239"/>
      <c r="R637" s="239"/>
      <c r="S637" s="239"/>
      <c r="T637" s="239"/>
      <c r="U637" s="239"/>
      <c r="V637" s="239"/>
      <c r="W637" s="239"/>
      <c r="X637" s="239"/>
      <c r="Y637" s="239"/>
      <c r="Z637" s="239"/>
      <c r="AA637" s="239"/>
      <c r="AB637" s="239"/>
      <c r="AC637" s="239"/>
      <c r="AD637" s="239"/>
      <c r="AE637" s="239"/>
      <c r="AF637" s="239"/>
      <c r="AG637" s="239"/>
      <c r="AH637" s="239"/>
      <c r="AI637" s="239"/>
      <c r="AJ637" s="239"/>
      <c r="AK637" s="239"/>
      <c r="AL637" s="239"/>
      <c r="AM637" s="239"/>
      <c r="AN637" s="239"/>
      <c r="AO637" s="239"/>
      <c r="AP637" s="239"/>
      <c r="AQ637" s="239"/>
      <c r="AR637" s="239"/>
      <c r="AS637" s="239"/>
      <c r="AT637" s="239"/>
      <c r="AU637" s="239"/>
      <c r="AV637" s="239"/>
      <c r="AW637" s="239"/>
      <c r="AX637" s="239"/>
      <c r="AY637" s="239"/>
      <c r="AZ637" s="239"/>
      <c r="BA637" s="239"/>
      <c r="BB637" s="239"/>
      <c r="BC637" s="239"/>
      <c r="BD637" s="239"/>
      <c r="BE637" s="239"/>
      <c r="BF637" s="239"/>
      <c r="BG637" s="239"/>
      <c r="BH637" s="239"/>
      <c r="BI637" s="239"/>
      <c r="BJ637" s="239"/>
      <c r="BK637" s="239"/>
      <c r="BL637" s="239"/>
      <c r="BM637" s="239"/>
      <c r="BN637" s="239"/>
      <c r="BO637" s="239"/>
      <c r="BP637" s="239"/>
      <c r="BQ637" s="239"/>
      <c r="BR637" s="239"/>
      <c r="BS637" s="239"/>
      <c r="BT637" s="239"/>
      <c r="BU637" s="239"/>
      <c r="BV637" s="239"/>
      <c r="BW637" s="239"/>
      <c r="BX637" s="239"/>
      <c r="BY637" s="239"/>
      <c r="BZ637" s="239"/>
      <c r="CA637" s="239"/>
      <c r="CB637" s="239"/>
      <c r="CC637" s="239"/>
      <c r="CD637" s="239"/>
      <c r="CE637" s="239"/>
      <c r="CF637" s="239"/>
      <c r="CG637" s="239"/>
    </row>
    <row r="638" spans="1:85" ht="15.75" customHeight="1">
      <c r="A638" s="239"/>
      <c r="B638" s="239"/>
      <c r="C638" s="239"/>
      <c r="D638" s="239"/>
      <c r="E638" s="239"/>
      <c r="F638" s="239"/>
      <c r="G638" s="239"/>
      <c r="H638" s="239"/>
      <c r="I638" s="239"/>
      <c r="J638" s="239"/>
      <c r="K638" s="239"/>
      <c r="L638" s="239"/>
      <c r="M638" s="239"/>
      <c r="N638" s="239"/>
      <c r="O638" s="239"/>
      <c r="P638" s="239"/>
      <c r="Q638" s="239"/>
      <c r="R638" s="239"/>
      <c r="S638" s="239"/>
      <c r="T638" s="239"/>
      <c r="U638" s="239"/>
      <c r="V638" s="239"/>
      <c r="W638" s="239"/>
      <c r="X638" s="239"/>
      <c r="Y638" s="239"/>
      <c r="Z638" s="239"/>
      <c r="AA638" s="239"/>
      <c r="AB638" s="239"/>
      <c r="AC638" s="239"/>
      <c r="AD638" s="239"/>
      <c r="AE638" s="239"/>
      <c r="AF638" s="239"/>
      <c r="AG638" s="239"/>
      <c r="AH638" s="239"/>
      <c r="AI638" s="239"/>
      <c r="AJ638" s="239"/>
      <c r="AK638" s="239"/>
      <c r="AL638" s="239"/>
      <c r="AM638" s="239"/>
      <c r="AN638" s="239"/>
      <c r="AO638" s="239"/>
      <c r="AP638" s="239"/>
      <c r="AQ638" s="239"/>
      <c r="AR638" s="239"/>
      <c r="AS638" s="239"/>
      <c r="AT638" s="239"/>
      <c r="AU638" s="239"/>
      <c r="AV638" s="239"/>
      <c r="AW638" s="239"/>
      <c r="AX638" s="239"/>
      <c r="AY638" s="239"/>
      <c r="AZ638" s="239"/>
      <c r="BA638" s="239"/>
      <c r="BB638" s="239"/>
      <c r="BC638" s="239"/>
      <c r="BD638" s="239"/>
      <c r="BE638" s="239"/>
      <c r="BF638" s="239"/>
      <c r="BG638" s="239"/>
      <c r="BH638" s="239"/>
      <c r="BI638" s="239"/>
      <c r="BJ638" s="239"/>
      <c r="BK638" s="239"/>
      <c r="BL638" s="239"/>
      <c r="BM638" s="239"/>
      <c r="BN638" s="239"/>
      <c r="BO638" s="239"/>
      <c r="BP638" s="239"/>
      <c r="BQ638" s="239"/>
      <c r="BR638" s="239"/>
      <c r="BS638" s="239"/>
      <c r="BT638" s="239"/>
      <c r="BU638" s="239"/>
      <c r="BV638" s="239"/>
      <c r="BW638" s="239"/>
      <c r="BX638" s="239"/>
      <c r="BY638" s="239"/>
      <c r="BZ638" s="239"/>
      <c r="CA638" s="239"/>
      <c r="CB638" s="239"/>
      <c r="CC638" s="239"/>
      <c r="CD638" s="239"/>
      <c r="CE638" s="239"/>
      <c r="CF638" s="239"/>
      <c r="CG638" s="239"/>
    </row>
    <row r="639" spans="1:85" ht="15.75" customHeight="1">
      <c r="A639" s="239"/>
      <c r="B639" s="239"/>
      <c r="C639" s="239"/>
      <c r="D639" s="239"/>
      <c r="E639" s="239"/>
      <c r="F639" s="239"/>
      <c r="G639" s="239"/>
      <c r="H639" s="239"/>
      <c r="I639" s="239"/>
      <c r="J639" s="239"/>
      <c r="K639" s="239"/>
      <c r="L639" s="239"/>
      <c r="M639" s="239"/>
      <c r="N639" s="239"/>
      <c r="O639" s="239"/>
      <c r="P639" s="239"/>
      <c r="Q639" s="239"/>
      <c r="R639" s="239"/>
      <c r="S639" s="239"/>
      <c r="T639" s="239"/>
      <c r="U639" s="239"/>
      <c r="V639" s="239"/>
      <c r="W639" s="239"/>
      <c r="X639" s="239"/>
      <c r="Y639" s="239"/>
      <c r="Z639" s="239"/>
      <c r="AA639" s="239"/>
      <c r="AB639" s="239"/>
      <c r="AC639" s="239"/>
      <c r="AD639" s="239"/>
      <c r="AE639" s="239"/>
      <c r="AF639" s="239"/>
      <c r="AG639" s="239"/>
      <c r="AH639" s="239"/>
      <c r="AI639" s="239"/>
      <c r="AJ639" s="239"/>
      <c r="AK639" s="239"/>
      <c r="AL639" s="239"/>
      <c r="AM639" s="239"/>
      <c r="AN639" s="239"/>
      <c r="AO639" s="239"/>
      <c r="AP639" s="239"/>
      <c r="AQ639" s="239"/>
      <c r="AR639" s="239"/>
      <c r="AS639" s="239"/>
      <c r="AT639" s="239"/>
      <c r="AU639" s="239"/>
      <c r="AV639" s="239"/>
      <c r="AW639" s="239"/>
      <c r="AX639" s="239"/>
      <c r="AY639" s="239"/>
      <c r="AZ639" s="239"/>
      <c r="BA639" s="239"/>
      <c r="BB639" s="239"/>
      <c r="BC639" s="239"/>
      <c r="BD639" s="239"/>
      <c r="BE639" s="239"/>
      <c r="BF639" s="239"/>
      <c r="BG639" s="239"/>
      <c r="BH639" s="239"/>
      <c r="BI639" s="239"/>
      <c r="BJ639" s="239"/>
      <c r="BK639" s="239"/>
      <c r="BL639" s="239"/>
      <c r="BM639" s="239"/>
      <c r="BN639" s="239"/>
      <c r="BO639" s="239"/>
      <c r="BP639" s="239"/>
      <c r="BQ639" s="239"/>
      <c r="BR639" s="239"/>
      <c r="BS639" s="239"/>
      <c r="BT639" s="239"/>
      <c r="BU639" s="239"/>
      <c r="BV639" s="239"/>
      <c r="BW639" s="239"/>
      <c r="BX639" s="239"/>
      <c r="BY639" s="239"/>
      <c r="BZ639" s="239"/>
      <c r="CA639" s="239"/>
      <c r="CB639" s="239"/>
      <c r="CC639" s="239"/>
      <c r="CD639" s="239"/>
      <c r="CE639" s="239"/>
      <c r="CF639" s="239"/>
      <c r="CG639" s="239"/>
    </row>
    <row r="640" spans="1:85" ht="15.75" customHeight="1">
      <c r="A640" s="239"/>
      <c r="B640" s="239"/>
      <c r="C640" s="239"/>
      <c r="D640" s="239"/>
      <c r="E640" s="239"/>
      <c r="F640" s="239"/>
      <c r="G640" s="239"/>
      <c r="H640" s="239"/>
      <c r="I640" s="239"/>
      <c r="J640" s="239"/>
      <c r="K640" s="239"/>
      <c r="L640" s="239"/>
      <c r="M640" s="239"/>
      <c r="N640" s="239"/>
      <c r="O640" s="239"/>
      <c r="P640" s="239"/>
      <c r="Q640" s="239"/>
      <c r="R640" s="239"/>
      <c r="S640" s="239"/>
      <c r="T640" s="239"/>
      <c r="U640" s="239"/>
      <c r="V640" s="239"/>
      <c r="W640" s="239"/>
      <c r="X640" s="239"/>
      <c r="Y640" s="239"/>
      <c r="Z640" s="239"/>
      <c r="AA640" s="239"/>
      <c r="AB640" s="239"/>
      <c r="AC640" s="239"/>
      <c r="AD640" s="239"/>
      <c r="AE640" s="239"/>
      <c r="AF640" s="239"/>
      <c r="AG640" s="239"/>
      <c r="AH640" s="239"/>
      <c r="AI640" s="239"/>
      <c r="AJ640" s="239"/>
      <c r="AK640" s="239"/>
      <c r="AL640" s="239"/>
      <c r="AM640" s="239"/>
      <c r="AN640" s="239"/>
      <c r="AO640" s="239"/>
      <c r="AP640" s="239"/>
      <c r="AQ640" s="239"/>
      <c r="AR640" s="239"/>
      <c r="AS640" s="239"/>
      <c r="AT640" s="239"/>
      <c r="AU640" s="239"/>
      <c r="AV640" s="239"/>
      <c r="AW640" s="239"/>
      <c r="AX640" s="239"/>
      <c r="AY640" s="239"/>
      <c r="AZ640" s="239"/>
      <c r="BA640" s="239"/>
      <c r="BB640" s="239"/>
      <c r="BC640" s="239"/>
      <c r="BD640" s="239"/>
      <c r="BE640" s="239"/>
      <c r="BF640" s="239"/>
      <c r="BG640" s="239"/>
      <c r="BH640" s="239"/>
      <c r="BI640" s="239"/>
      <c r="BJ640" s="239"/>
      <c r="BK640" s="239"/>
      <c r="BL640" s="239"/>
      <c r="BM640" s="239"/>
      <c r="BN640" s="239"/>
      <c r="BO640" s="239"/>
      <c r="BP640" s="239"/>
      <c r="BQ640" s="239"/>
      <c r="BR640" s="239"/>
      <c r="BS640" s="239"/>
      <c r="BT640" s="239"/>
      <c r="BU640" s="239"/>
      <c r="BV640" s="239"/>
      <c r="BW640" s="239"/>
      <c r="BX640" s="239"/>
      <c r="BY640" s="239"/>
      <c r="BZ640" s="239"/>
      <c r="CA640" s="239"/>
      <c r="CB640" s="239"/>
      <c r="CC640" s="239"/>
      <c r="CD640" s="239"/>
      <c r="CE640" s="239"/>
      <c r="CF640" s="239"/>
      <c r="CG640" s="239"/>
    </row>
    <row r="641" spans="1:85" ht="15.75" customHeight="1">
      <c r="A641" s="239"/>
      <c r="B641" s="239"/>
      <c r="C641" s="239"/>
      <c r="D641" s="239"/>
      <c r="E641" s="239"/>
      <c r="F641" s="239"/>
      <c r="G641" s="239"/>
      <c r="H641" s="239"/>
      <c r="I641" s="239"/>
      <c r="J641" s="239"/>
      <c r="K641" s="239"/>
      <c r="L641" s="239"/>
      <c r="M641" s="239"/>
      <c r="N641" s="239"/>
      <c r="O641" s="239"/>
      <c r="P641" s="239"/>
      <c r="Q641" s="239"/>
      <c r="R641" s="239"/>
      <c r="S641" s="239"/>
      <c r="T641" s="239"/>
      <c r="U641" s="239"/>
      <c r="V641" s="239"/>
      <c r="W641" s="239"/>
      <c r="X641" s="239"/>
      <c r="Y641" s="239"/>
      <c r="Z641" s="239"/>
      <c r="AA641" s="239"/>
      <c r="AB641" s="239"/>
      <c r="AC641" s="239"/>
      <c r="AD641" s="239"/>
      <c r="AE641" s="239"/>
      <c r="AF641" s="239"/>
      <c r="AG641" s="239"/>
      <c r="AH641" s="239"/>
      <c r="AI641" s="239"/>
      <c r="AJ641" s="239"/>
      <c r="AK641" s="239"/>
      <c r="AL641" s="239"/>
      <c r="AM641" s="239"/>
      <c r="AN641" s="239"/>
      <c r="AO641" s="239"/>
      <c r="AP641" s="239"/>
      <c r="AQ641" s="239"/>
      <c r="AR641" s="239"/>
      <c r="AS641" s="239"/>
      <c r="AT641" s="239"/>
      <c r="AU641" s="239"/>
      <c r="AV641" s="239"/>
      <c r="AW641" s="239"/>
      <c r="AX641" s="239"/>
      <c r="AY641" s="239"/>
      <c r="AZ641" s="239"/>
      <c r="BA641" s="239"/>
      <c r="BB641" s="239"/>
      <c r="BC641" s="239"/>
      <c r="BD641" s="239"/>
      <c r="BE641" s="239"/>
      <c r="BF641" s="239"/>
      <c r="BG641" s="239"/>
      <c r="BH641" s="239"/>
      <c r="BI641" s="239"/>
      <c r="BJ641" s="239"/>
      <c r="BK641" s="239"/>
      <c r="BL641" s="239"/>
      <c r="BM641" s="239"/>
      <c r="BN641" s="239"/>
      <c r="BO641" s="239"/>
      <c r="BP641" s="239"/>
      <c r="BQ641" s="239"/>
      <c r="BR641" s="239"/>
      <c r="BS641" s="239"/>
      <c r="BT641" s="239"/>
      <c r="BU641" s="239"/>
      <c r="BV641" s="239"/>
      <c r="BW641" s="239"/>
      <c r="BX641" s="239"/>
      <c r="BY641" s="239"/>
      <c r="BZ641" s="239"/>
      <c r="CA641" s="239"/>
      <c r="CB641" s="239"/>
      <c r="CC641" s="239"/>
      <c r="CD641" s="239"/>
      <c r="CE641" s="239"/>
      <c r="CF641" s="239"/>
      <c r="CG641" s="239"/>
    </row>
    <row r="642" spans="1:85" ht="15.75" customHeight="1">
      <c r="A642" s="239"/>
      <c r="B642" s="239"/>
      <c r="C642" s="239"/>
      <c r="D642" s="239"/>
      <c r="E642" s="239"/>
      <c r="F642" s="239"/>
      <c r="G642" s="239"/>
      <c r="H642" s="239"/>
      <c r="I642" s="239"/>
      <c r="J642" s="239"/>
      <c r="K642" s="239"/>
      <c r="L642" s="239"/>
      <c r="M642" s="239"/>
      <c r="N642" s="239"/>
      <c r="O642" s="239"/>
      <c r="P642" s="239"/>
      <c r="Q642" s="239"/>
      <c r="R642" s="239"/>
      <c r="S642" s="239"/>
      <c r="T642" s="239"/>
      <c r="U642" s="239"/>
      <c r="V642" s="239"/>
      <c r="W642" s="239"/>
      <c r="X642" s="239"/>
      <c r="Y642" s="239"/>
      <c r="Z642" s="239"/>
      <c r="AA642" s="239"/>
      <c r="AB642" s="239"/>
      <c r="AC642" s="239"/>
      <c r="AD642" s="239"/>
      <c r="AE642" s="239"/>
      <c r="AF642" s="239"/>
      <c r="AG642" s="239"/>
      <c r="AH642" s="239"/>
      <c r="AI642" s="239"/>
      <c r="AJ642" s="239"/>
      <c r="AK642" s="239"/>
      <c r="AL642" s="239"/>
      <c r="AM642" s="239"/>
      <c r="AN642" s="239"/>
      <c r="AO642" s="239"/>
      <c r="AP642" s="239"/>
      <c r="AQ642" s="239"/>
      <c r="AR642" s="239"/>
      <c r="AS642" s="239"/>
      <c r="AT642" s="239"/>
      <c r="AU642" s="239"/>
      <c r="AV642" s="239"/>
      <c r="AW642" s="239"/>
      <c r="AX642" s="239"/>
      <c r="AY642" s="239"/>
      <c r="AZ642" s="239"/>
      <c r="BA642" s="239"/>
      <c r="BB642" s="239"/>
      <c r="BC642" s="239"/>
      <c r="BD642" s="239"/>
      <c r="BE642" s="239"/>
      <c r="BF642" s="239"/>
      <c r="BG642" s="239"/>
      <c r="BH642" s="239"/>
      <c r="BI642" s="239"/>
      <c r="BJ642" s="239"/>
      <c r="BK642" s="239"/>
      <c r="BL642" s="239"/>
      <c r="BM642" s="239"/>
      <c r="BN642" s="239"/>
      <c r="BO642" s="239"/>
      <c r="BP642" s="239"/>
      <c r="BQ642" s="239"/>
      <c r="BR642" s="239"/>
      <c r="BS642" s="239"/>
      <c r="BT642" s="239"/>
      <c r="BU642" s="239"/>
      <c r="BV642" s="239"/>
      <c r="BW642" s="239"/>
      <c r="BX642" s="239"/>
      <c r="BY642" s="239"/>
      <c r="BZ642" s="239"/>
      <c r="CA642" s="239"/>
      <c r="CB642" s="239"/>
      <c r="CC642" s="239"/>
      <c r="CD642" s="239"/>
      <c r="CE642" s="239"/>
      <c r="CF642" s="239"/>
      <c r="CG642" s="239"/>
    </row>
    <row r="643" spans="1:85" ht="15.75" customHeight="1">
      <c r="A643" s="239"/>
      <c r="B643" s="239"/>
      <c r="C643" s="239"/>
      <c r="D643" s="239"/>
      <c r="E643" s="239"/>
      <c r="F643" s="239"/>
      <c r="G643" s="239"/>
      <c r="H643" s="239"/>
      <c r="I643" s="239"/>
      <c r="J643" s="239"/>
      <c r="K643" s="239"/>
      <c r="L643" s="239"/>
      <c r="M643" s="239"/>
      <c r="N643" s="239"/>
      <c r="O643" s="239"/>
      <c r="P643" s="239"/>
      <c r="Q643" s="239"/>
      <c r="R643" s="239"/>
      <c r="S643" s="239"/>
      <c r="T643" s="239"/>
      <c r="U643" s="239"/>
      <c r="V643" s="239"/>
      <c r="W643" s="239"/>
      <c r="X643" s="239"/>
      <c r="Y643" s="239"/>
      <c r="Z643" s="239"/>
      <c r="AA643" s="239"/>
      <c r="AB643" s="239"/>
      <c r="AC643" s="239"/>
      <c r="AD643" s="239"/>
      <c r="AE643" s="239"/>
      <c r="AF643" s="239"/>
      <c r="AG643" s="239"/>
      <c r="AH643" s="239"/>
      <c r="AI643" s="239"/>
      <c r="AJ643" s="239"/>
      <c r="AK643" s="239"/>
      <c r="AL643" s="239"/>
      <c r="AM643" s="239"/>
      <c r="AN643" s="239"/>
      <c r="AO643" s="239"/>
      <c r="AP643" s="239"/>
      <c r="AQ643" s="239"/>
      <c r="AR643" s="239"/>
      <c r="AS643" s="239"/>
      <c r="AT643" s="239"/>
      <c r="AU643" s="239"/>
      <c r="AV643" s="239"/>
      <c r="AW643" s="239"/>
      <c r="AX643" s="239"/>
      <c r="AY643" s="239"/>
      <c r="AZ643" s="239"/>
      <c r="BA643" s="239"/>
      <c r="BB643" s="239"/>
      <c r="BC643" s="239"/>
      <c r="BD643" s="239"/>
      <c r="BE643" s="239"/>
      <c r="BF643" s="239"/>
      <c r="BG643" s="239"/>
      <c r="BH643" s="239"/>
      <c r="BI643" s="239"/>
      <c r="BJ643" s="239"/>
      <c r="BK643" s="239"/>
      <c r="BL643" s="239"/>
      <c r="BM643" s="239"/>
      <c r="BN643" s="239"/>
      <c r="BO643" s="239"/>
      <c r="BP643" s="239"/>
      <c r="BQ643" s="239"/>
      <c r="BR643" s="239"/>
      <c r="BS643" s="239"/>
      <c r="BT643" s="239"/>
      <c r="BU643" s="239"/>
      <c r="BV643" s="239"/>
      <c r="BW643" s="239"/>
      <c r="BX643" s="239"/>
      <c r="BY643" s="239"/>
      <c r="BZ643" s="239"/>
      <c r="CA643" s="239"/>
      <c r="CB643" s="239"/>
      <c r="CC643" s="239"/>
      <c r="CD643" s="239"/>
      <c r="CE643" s="239"/>
      <c r="CF643" s="239"/>
      <c r="CG643" s="239"/>
    </row>
    <row r="644" spans="1:85" ht="15.75" customHeight="1">
      <c r="A644" s="239"/>
      <c r="B644" s="239"/>
      <c r="C644" s="239"/>
      <c r="D644" s="239"/>
      <c r="E644" s="239"/>
      <c r="F644" s="239"/>
      <c r="G644" s="239"/>
      <c r="H644" s="239"/>
      <c r="I644" s="239"/>
      <c r="J644" s="239"/>
      <c r="K644" s="239"/>
      <c r="L644" s="239"/>
      <c r="M644" s="239"/>
      <c r="N644" s="239"/>
      <c r="O644" s="239"/>
      <c r="P644" s="239"/>
      <c r="Q644" s="239"/>
      <c r="R644" s="239"/>
      <c r="S644" s="239"/>
      <c r="T644" s="239"/>
      <c r="U644" s="239"/>
      <c r="V644" s="239"/>
      <c r="W644" s="239"/>
      <c r="X644" s="239"/>
      <c r="Y644" s="239"/>
      <c r="Z644" s="239"/>
      <c r="AA644" s="239"/>
      <c r="AB644" s="239"/>
      <c r="AC644" s="239"/>
      <c r="AD644" s="239"/>
      <c r="AE644" s="239"/>
      <c r="AF644" s="239"/>
      <c r="AG644" s="239"/>
      <c r="AH644" s="239"/>
      <c r="AI644" s="239"/>
      <c r="AJ644" s="239"/>
      <c r="AK644" s="239"/>
      <c r="AL644" s="239"/>
      <c r="AM644" s="239"/>
      <c r="AN644" s="239"/>
      <c r="AO644" s="239"/>
      <c r="AP644" s="239"/>
      <c r="AQ644" s="239"/>
      <c r="AR644" s="239"/>
      <c r="AS644" s="239"/>
      <c r="AT644" s="239"/>
      <c r="AU644" s="239"/>
      <c r="AV644" s="239"/>
      <c r="AW644" s="239"/>
      <c r="AX644" s="239"/>
      <c r="AY644" s="239"/>
      <c r="AZ644" s="239"/>
      <c r="BA644" s="239"/>
      <c r="BB644" s="239"/>
      <c r="BC644" s="239"/>
      <c r="BD644" s="239"/>
      <c r="BE644" s="239"/>
      <c r="BF644" s="239"/>
      <c r="BG644" s="239"/>
      <c r="BH644" s="239"/>
      <c r="BI644" s="239"/>
      <c r="BJ644" s="239"/>
      <c r="BK644" s="239"/>
      <c r="BL644" s="239"/>
      <c r="BM644" s="239"/>
      <c r="BN644" s="239"/>
      <c r="BO644" s="239"/>
      <c r="BP644" s="239"/>
      <c r="BQ644" s="239"/>
      <c r="BR644" s="239"/>
      <c r="BS644" s="239"/>
      <c r="BT644" s="239"/>
      <c r="BU644" s="239"/>
      <c r="BV644" s="239"/>
      <c r="BW644" s="239"/>
      <c r="BX644" s="239"/>
      <c r="BY644" s="239"/>
      <c r="BZ644" s="239"/>
      <c r="CA644" s="239"/>
      <c r="CB644" s="239"/>
      <c r="CC644" s="239"/>
      <c r="CD644" s="239"/>
      <c r="CE644" s="239"/>
      <c r="CF644" s="239"/>
      <c r="CG644" s="239"/>
    </row>
    <row r="645" spans="1:85" ht="15.75" customHeight="1">
      <c r="A645" s="239"/>
      <c r="B645" s="239"/>
      <c r="C645" s="239"/>
      <c r="D645" s="239"/>
      <c r="E645" s="239"/>
      <c r="F645" s="239"/>
      <c r="G645" s="239"/>
      <c r="H645" s="239"/>
      <c r="I645" s="239"/>
      <c r="J645" s="239"/>
      <c r="K645" s="239"/>
      <c r="L645" s="239"/>
      <c r="M645" s="239"/>
      <c r="N645" s="239"/>
      <c r="O645" s="239"/>
      <c r="P645" s="239"/>
      <c r="Q645" s="239"/>
      <c r="R645" s="239"/>
      <c r="S645" s="239"/>
      <c r="T645" s="239"/>
      <c r="U645" s="239"/>
      <c r="V645" s="239"/>
      <c r="W645" s="239"/>
      <c r="X645" s="239"/>
      <c r="Y645" s="239"/>
      <c r="Z645" s="239"/>
      <c r="AA645" s="239"/>
      <c r="AB645" s="239"/>
      <c r="AC645" s="239"/>
      <c r="AD645" s="239"/>
      <c r="AE645" s="239"/>
      <c r="AF645" s="239"/>
      <c r="AG645" s="239"/>
      <c r="AH645" s="239"/>
      <c r="AI645" s="239"/>
      <c r="AJ645" s="239"/>
      <c r="AK645" s="239"/>
      <c r="AL645" s="239"/>
      <c r="AM645" s="239"/>
      <c r="AN645" s="239"/>
      <c r="AO645" s="239"/>
      <c r="AP645" s="239"/>
      <c r="AQ645" s="239"/>
      <c r="AR645" s="239"/>
      <c r="AS645" s="239"/>
      <c r="AT645" s="239"/>
      <c r="AU645" s="239"/>
      <c r="AV645" s="239"/>
      <c r="AW645" s="239"/>
      <c r="AX645" s="239"/>
      <c r="AY645" s="239"/>
      <c r="AZ645" s="239"/>
      <c r="BA645" s="239"/>
      <c r="BB645" s="239"/>
      <c r="BC645" s="239"/>
      <c r="BD645" s="239"/>
      <c r="BE645" s="239"/>
      <c r="BF645" s="239"/>
      <c r="BG645" s="239"/>
      <c r="BH645" s="239"/>
      <c r="BI645" s="239"/>
      <c r="BJ645" s="239"/>
      <c r="BK645" s="239"/>
      <c r="BL645" s="239"/>
      <c r="BM645" s="239"/>
      <c r="BN645" s="239"/>
      <c r="BO645" s="239"/>
      <c r="BP645" s="239"/>
      <c r="BQ645" s="239"/>
      <c r="BR645" s="239"/>
      <c r="BS645" s="239"/>
      <c r="BT645" s="239"/>
      <c r="BU645" s="239"/>
      <c r="BV645" s="239"/>
      <c r="BW645" s="239"/>
      <c r="BX645" s="239"/>
      <c r="BY645" s="239"/>
      <c r="BZ645" s="239"/>
      <c r="CA645" s="239"/>
      <c r="CB645" s="239"/>
      <c r="CC645" s="239"/>
      <c r="CD645" s="239"/>
      <c r="CE645" s="239"/>
      <c r="CF645" s="239"/>
      <c r="CG645" s="239"/>
    </row>
    <row r="646" spans="1:85" ht="15.75" customHeight="1">
      <c r="A646" s="239"/>
      <c r="B646" s="239"/>
      <c r="C646" s="239"/>
      <c r="D646" s="239"/>
      <c r="E646" s="239"/>
      <c r="F646" s="239"/>
      <c r="G646" s="239"/>
      <c r="H646" s="239"/>
      <c r="I646" s="239"/>
      <c r="J646" s="239"/>
      <c r="K646" s="239"/>
      <c r="L646" s="239"/>
      <c r="M646" s="239"/>
      <c r="N646" s="239"/>
      <c r="O646" s="239"/>
      <c r="P646" s="239"/>
      <c r="Q646" s="239"/>
      <c r="R646" s="239"/>
      <c r="S646" s="239"/>
      <c r="T646" s="239"/>
      <c r="U646" s="239"/>
      <c r="V646" s="239"/>
      <c r="W646" s="239"/>
      <c r="X646" s="239"/>
      <c r="Y646" s="239"/>
      <c r="Z646" s="239"/>
      <c r="AA646" s="239"/>
      <c r="AB646" s="239"/>
      <c r="AC646" s="239"/>
      <c r="AD646" s="239"/>
      <c r="AE646" s="239"/>
      <c r="AF646" s="239"/>
      <c r="AG646" s="239"/>
      <c r="AH646" s="239"/>
      <c r="AI646" s="239"/>
      <c r="AJ646" s="239"/>
      <c r="AK646" s="239"/>
      <c r="AL646" s="239"/>
      <c r="AM646" s="239"/>
      <c r="AN646" s="239"/>
      <c r="AO646" s="239"/>
      <c r="AP646" s="239"/>
      <c r="AQ646" s="239"/>
      <c r="AR646" s="239"/>
      <c r="AS646" s="239"/>
      <c r="AT646" s="239"/>
      <c r="AU646" s="239"/>
      <c r="AV646" s="239"/>
      <c r="AW646" s="239"/>
      <c r="AX646" s="239"/>
      <c r="AY646" s="239"/>
      <c r="AZ646" s="239"/>
      <c r="BA646" s="239"/>
      <c r="BB646" s="239"/>
      <c r="BC646" s="239"/>
      <c r="BD646" s="239"/>
      <c r="BE646" s="239"/>
      <c r="BF646" s="239"/>
      <c r="BG646" s="239"/>
      <c r="BH646" s="239"/>
      <c r="BI646" s="239"/>
      <c r="BJ646" s="239"/>
      <c r="BK646" s="239"/>
      <c r="BL646" s="239"/>
      <c r="BM646" s="239"/>
      <c r="BN646" s="239"/>
      <c r="BO646" s="239"/>
      <c r="BP646" s="239"/>
      <c r="BQ646" s="239"/>
      <c r="BR646" s="239"/>
      <c r="BS646" s="239"/>
      <c r="BT646" s="239"/>
      <c r="BU646" s="239"/>
      <c r="BV646" s="239"/>
      <c r="BW646" s="239"/>
      <c r="BX646" s="239"/>
      <c r="BY646" s="239"/>
      <c r="BZ646" s="239"/>
      <c r="CA646" s="239"/>
      <c r="CB646" s="239"/>
      <c r="CC646" s="239"/>
      <c r="CD646" s="239"/>
      <c r="CE646" s="239"/>
      <c r="CF646" s="239"/>
      <c r="CG646" s="239"/>
    </row>
    <row r="647" spans="1:85" ht="15.75" customHeight="1">
      <c r="A647" s="239"/>
      <c r="B647" s="239"/>
      <c r="C647" s="239"/>
      <c r="D647" s="239"/>
      <c r="E647" s="239"/>
      <c r="F647" s="239"/>
      <c r="G647" s="239"/>
      <c r="H647" s="239"/>
      <c r="I647" s="239"/>
      <c r="J647" s="239"/>
      <c r="K647" s="239"/>
      <c r="L647" s="239"/>
      <c r="M647" s="239"/>
      <c r="N647" s="239"/>
      <c r="O647" s="239"/>
      <c r="P647" s="239"/>
      <c r="Q647" s="239"/>
      <c r="R647" s="239"/>
      <c r="S647" s="239"/>
      <c r="T647" s="239"/>
      <c r="U647" s="239"/>
      <c r="V647" s="239"/>
      <c r="W647" s="239"/>
      <c r="X647" s="239"/>
      <c r="Y647" s="239"/>
      <c r="Z647" s="239"/>
      <c r="AA647" s="239"/>
      <c r="AB647" s="239"/>
      <c r="AC647" s="239"/>
      <c r="AD647" s="239"/>
      <c r="AE647" s="239"/>
      <c r="AF647" s="239"/>
      <c r="AG647" s="239"/>
      <c r="AH647" s="239"/>
      <c r="AI647" s="239"/>
      <c r="AJ647" s="239"/>
      <c r="AK647" s="239"/>
      <c r="AL647" s="239"/>
      <c r="AM647" s="239"/>
      <c r="AN647" s="239"/>
      <c r="AO647" s="239"/>
      <c r="AP647" s="239"/>
      <c r="AQ647" s="239"/>
      <c r="AR647" s="239"/>
      <c r="AS647" s="239"/>
      <c r="AT647" s="239"/>
      <c r="AU647" s="239"/>
      <c r="AV647" s="239"/>
      <c r="AW647" s="239"/>
      <c r="AX647" s="239"/>
      <c r="AY647" s="239"/>
      <c r="AZ647" s="239"/>
      <c r="BA647" s="239"/>
      <c r="BB647" s="239"/>
      <c r="BC647" s="239"/>
      <c r="BD647" s="239"/>
      <c r="BE647" s="239"/>
      <c r="BF647" s="239"/>
      <c r="BG647" s="239"/>
      <c r="BH647" s="239"/>
      <c r="BI647" s="239"/>
      <c r="BJ647" s="239"/>
      <c r="BK647" s="239"/>
      <c r="BL647" s="239"/>
      <c r="BM647" s="239"/>
      <c r="BN647" s="239"/>
      <c r="BO647" s="239"/>
      <c r="BP647" s="239"/>
      <c r="BQ647" s="239"/>
      <c r="BR647" s="239"/>
      <c r="BS647" s="239"/>
      <c r="BT647" s="239"/>
      <c r="BU647" s="239"/>
      <c r="BV647" s="239"/>
      <c r="BW647" s="239"/>
      <c r="BX647" s="239"/>
      <c r="BY647" s="239"/>
      <c r="BZ647" s="239"/>
      <c r="CA647" s="239"/>
      <c r="CB647" s="239"/>
      <c r="CC647" s="239"/>
      <c r="CD647" s="239"/>
      <c r="CE647" s="239"/>
      <c r="CF647" s="239"/>
      <c r="CG647" s="239"/>
    </row>
    <row r="648" spans="1:85" ht="15.75" customHeight="1">
      <c r="A648" s="239"/>
      <c r="B648" s="239"/>
      <c r="C648" s="239"/>
      <c r="D648" s="239"/>
      <c r="E648" s="239"/>
      <c r="F648" s="239"/>
      <c r="G648" s="239"/>
      <c r="H648" s="239"/>
      <c r="I648" s="239"/>
      <c r="J648" s="239"/>
      <c r="K648" s="239"/>
      <c r="L648" s="239"/>
      <c r="M648" s="239"/>
      <c r="N648" s="239"/>
      <c r="O648" s="239"/>
      <c r="P648" s="239"/>
      <c r="Q648" s="239"/>
      <c r="R648" s="239"/>
      <c r="S648" s="239"/>
      <c r="T648" s="239"/>
      <c r="U648" s="239"/>
      <c r="V648" s="239"/>
      <c r="W648" s="239"/>
      <c r="X648" s="239"/>
      <c r="Y648" s="239"/>
      <c r="Z648" s="239"/>
      <c r="AA648" s="239"/>
      <c r="AB648" s="239"/>
      <c r="AC648" s="239"/>
      <c r="AD648" s="239"/>
      <c r="AE648" s="239"/>
      <c r="AF648" s="239"/>
      <c r="AG648" s="239"/>
      <c r="AH648" s="239"/>
      <c r="AI648" s="239"/>
      <c r="AJ648" s="239"/>
      <c r="AK648" s="239"/>
      <c r="AL648" s="239"/>
      <c r="AM648" s="239"/>
      <c r="AN648" s="239"/>
      <c r="AO648" s="239"/>
      <c r="AP648" s="239"/>
      <c r="AQ648" s="239"/>
      <c r="AR648" s="239"/>
      <c r="AS648" s="239"/>
      <c r="AT648" s="239"/>
      <c r="AU648" s="239"/>
      <c r="AV648" s="239"/>
      <c r="AW648" s="239"/>
      <c r="AX648" s="239"/>
      <c r="AY648" s="239"/>
      <c r="AZ648" s="239"/>
      <c r="BA648" s="239"/>
      <c r="BB648" s="239"/>
      <c r="BC648" s="239"/>
      <c r="BD648" s="239"/>
      <c r="BE648" s="239"/>
      <c r="BF648" s="239"/>
      <c r="BG648" s="239"/>
      <c r="BH648" s="239"/>
      <c r="BI648" s="239"/>
      <c r="BJ648" s="239"/>
      <c r="BK648" s="239"/>
      <c r="BL648" s="239"/>
      <c r="BM648" s="239"/>
      <c r="BN648" s="239"/>
      <c r="BO648" s="239"/>
      <c r="BP648" s="239"/>
      <c r="BQ648" s="239"/>
      <c r="BR648" s="239"/>
      <c r="BS648" s="239"/>
      <c r="BT648" s="239"/>
      <c r="BU648" s="239"/>
      <c r="BV648" s="239"/>
      <c r="BW648" s="239"/>
      <c r="BX648" s="239"/>
      <c r="BY648" s="239"/>
      <c r="BZ648" s="239"/>
      <c r="CA648" s="239"/>
      <c r="CB648" s="239"/>
      <c r="CC648" s="239"/>
      <c r="CD648" s="239"/>
      <c r="CE648" s="239"/>
      <c r="CF648" s="239"/>
      <c r="CG648" s="239"/>
    </row>
    <row r="649" spans="1:85" ht="15.75" customHeight="1">
      <c r="A649" s="239"/>
      <c r="B649" s="239"/>
      <c r="C649" s="239"/>
      <c r="D649" s="239"/>
      <c r="E649" s="239"/>
      <c r="F649" s="239"/>
      <c r="G649" s="239"/>
      <c r="H649" s="239"/>
      <c r="I649" s="239"/>
      <c r="J649" s="239"/>
      <c r="K649" s="239"/>
      <c r="L649" s="239"/>
      <c r="M649" s="239"/>
      <c r="N649" s="239"/>
      <c r="O649" s="239"/>
      <c r="P649" s="239"/>
      <c r="Q649" s="239"/>
      <c r="R649" s="239"/>
      <c r="S649" s="239"/>
      <c r="T649" s="239"/>
      <c r="U649" s="239"/>
      <c r="V649" s="239"/>
      <c r="W649" s="239"/>
      <c r="X649" s="239"/>
      <c r="Y649" s="239"/>
      <c r="Z649" s="239"/>
      <c r="AA649" s="239"/>
      <c r="AB649" s="239"/>
      <c r="AC649" s="239"/>
      <c r="AD649" s="239"/>
      <c r="AE649" s="239"/>
      <c r="AF649" s="239"/>
      <c r="AG649" s="239"/>
      <c r="AH649" s="239"/>
      <c r="AI649" s="239"/>
      <c r="AJ649" s="239"/>
      <c r="AK649" s="239"/>
      <c r="AL649" s="239"/>
      <c r="AM649" s="239"/>
      <c r="AN649" s="239"/>
      <c r="AO649" s="239"/>
      <c r="AP649" s="239"/>
      <c r="AQ649" s="239"/>
      <c r="AR649" s="239"/>
      <c r="AS649" s="239"/>
      <c r="AT649" s="239"/>
      <c r="AU649" s="239"/>
      <c r="AV649" s="239"/>
      <c r="AW649" s="239"/>
      <c r="AX649" s="239"/>
      <c r="AY649" s="239"/>
      <c r="AZ649" s="239"/>
      <c r="BA649" s="239"/>
      <c r="BB649" s="239"/>
      <c r="BC649" s="239"/>
      <c r="BD649" s="239"/>
      <c r="BE649" s="239"/>
      <c r="BF649" s="239"/>
      <c r="BG649" s="239"/>
      <c r="BH649" s="239"/>
      <c r="BI649" s="239"/>
      <c r="BJ649" s="239"/>
      <c r="BK649" s="239"/>
      <c r="BL649" s="239"/>
      <c r="BM649" s="239"/>
      <c r="BN649" s="239"/>
      <c r="BO649" s="239"/>
      <c r="BP649" s="239"/>
      <c r="BQ649" s="239"/>
      <c r="BR649" s="239"/>
      <c r="BS649" s="239"/>
      <c r="BT649" s="239"/>
      <c r="BU649" s="239"/>
      <c r="BV649" s="239"/>
      <c r="BW649" s="239"/>
      <c r="BX649" s="239"/>
      <c r="BY649" s="239"/>
      <c r="BZ649" s="239"/>
      <c r="CA649" s="239"/>
      <c r="CB649" s="239"/>
      <c r="CC649" s="239"/>
      <c r="CD649" s="239"/>
      <c r="CE649" s="239"/>
      <c r="CF649" s="239"/>
      <c r="CG649" s="239"/>
    </row>
    <row r="650" spans="1:85" ht="15.75" customHeight="1">
      <c r="A650" s="239"/>
      <c r="B650" s="239"/>
      <c r="C650" s="239"/>
      <c r="D650" s="239"/>
      <c r="E650" s="239"/>
      <c r="F650" s="239"/>
      <c r="G650" s="239"/>
      <c r="H650" s="239"/>
      <c r="I650" s="239"/>
      <c r="J650" s="239"/>
      <c r="K650" s="239"/>
      <c r="L650" s="239"/>
      <c r="M650" s="239"/>
      <c r="N650" s="239"/>
      <c r="O650" s="239"/>
      <c r="P650" s="239"/>
      <c r="Q650" s="239"/>
      <c r="R650" s="239"/>
      <c r="S650" s="239"/>
      <c r="T650" s="239"/>
      <c r="U650" s="239"/>
      <c r="V650" s="239"/>
      <c r="W650" s="239"/>
      <c r="X650" s="239"/>
      <c r="Y650" s="239"/>
      <c r="Z650" s="239"/>
      <c r="AA650" s="239"/>
      <c r="AB650" s="239"/>
      <c r="AC650" s="239"/>
      <c r="AD650" s="239"/>
      <c r="AE650" s="239"/>
      <c r="AF650" s="239"/>
      <c r="AG650" s="239"/>
      <c r="AH650" s="239"/>
      <c r="AI650" s="239"/>
      <c r="AJ650" s="239"/>
      <c r="AK650" s="239"/>
      <c r="AL650" s="239"/>
      <c r="AM650" s="239"/>
      <c r="AN650" s="239"/>
      <c r="AO650" s="239"/>
      <c r="AP650" s="239"/>
      <c r="AQ650" s="239"/>
      <c r="AR650" s="239"/>
      <c r="AS650" s="239"/>
      <c r="AT650" s="239"/>
      <c r="AU650" s="239"/>
      <c r="AV650" s="239"/>
      <c r="AW650" s="239"/>
      <c r="AX650" s="239"/>
      <c r="AY650" s="239"/>
      <c r="AZ650" s="239"/>
      <c r="BA650" s="239"/>
      <c r="BB650" s="239"/>
      <c r="BC650" s="239"/>
      <c r="BD650" s="239"/>
      <c r="BE650" s="239"/>
      <c r="BF650" s="239"/>
      <c r="BG650" s="239"/>
      <c r="BH650" s="239"/>
      <c r="BI650" s="239"/>
      <c r="BJ650" s="239"/>
      <c r="BK650" s="239"/>
      <c r="BL650" s="239"/>
      <c r="BM650" s="239"/>
      <c r="BN650" s="239"/>
      <c r="BO650" s="239"/>
      <c r="BP650" s="239"/>
      <c r="BQ650" s="239"/>
      <c r="BR650" s="239"/>
      <c r="BS650" s="239"/>
      <c r="BT650" s="239"/>
      <c r="BU650" s="239"/>
      <c r="BV650" s="239"/>
      <c r="BW650" s="239"/>
      <c r="BX650" s="239"/>
      <c r="BY650" s="239"/>
      <c r="BZ650" s="239"/>
      <c r="CA650" s="239"/>
      <c r="CB650" s="239"/>
      <c r="CC650" s="239"/>
      <c r="CD650" s="239"/>
      <c r="CE650" s="239"/>
      <c r="CF650" s="239"/>
      <c r="CG650" s="239"/>
    </row>
    <row r="651" spans="1:85" ht="15.75" customHeight="1">
      <c r="A651" s="239"/>
      <c r="B651" s="239"/>
      <c r="C651" s="239"/>
      <c r="D651" s="239"/>
      <c r="E651" s="239"/>
      <c r="F651" s="239"/>
      <c r="G651" s="239"/>
      <c r="H651" s="239"/>
      <c r="I651" s="239"/>
      <c r="J651" s="239"/>
      <c r="K651" s="239"/>
      <c r="L651" s="239"/>
      <c r="M651" s="239"/>
      <c r="N651" s="239"/>
      <c r="O651" s="239"/>
      <c r="P651" s="239"/>
      <c r="Q651" s="239"/>
      <c r="R651" s="239"/>
      <c r="S651" s="239"/>
      <c r="T651" s="239"/>
      <c r="U651" s="239"/>
      <c r="V651" s="239"/>
      <c r="W651" s="239"/>
      <c r="X651" s="239"/>
      <c r="Y651" s="239"/>
      <c r="Z651" s="239"/>
      <c r="AA651" s="239"/>
      <c r="AB651" s="239"/>
      <c r="AC651" s="239"/>
      <c r="AD651" s="239"/>
      <c r="AE651" s="239"/>
      <c r="AF651" s="239"/>
      <c r="AG651" s="239"/>
      <c r="AH651" s="239"/>
      <c r="AI651" s="239"/>
      <c r="AJ651" s="239"/>
      <c r="AK651" s="239"/>
      <c r="AL651" s="239"/>
      <c r="AM651" s="239"/>
      <c r="AN651" s="239"/>
      <c r="AO651" s="239"/>
      <c r="AP651" s="239"/>
      <c r="AQ651" s="239"/>
      <c r="AR651" s="239"/>
      <c r="AS651" s="239"/>
      <c r="AT651" s="239"/>
      <c r="AU651" s="239"/>
      <c r="AV651" s="239"/>
      <c r="AW651" s="239"/>
      <c r="AX651" s="239"/>
      <c r="AY651" s="239"/>
      <c r="AZ651" s="239"/>
      <c r="BA651" s="239"/>
      <c r="BB651" s="239"/>
      <c r="BC651" s="239"/>
      <c r="BD651" s="239"/>
      <c r="BE651" s="239"/>
      <c r="BF651" s="239"/>
      <c r="BG651" s="239"/>
      <c r="BH651" s="239"/>
      <c r="BI651" s="239"/>
      <c r="BJ651" s="239"/>
      <c r="BK651" s="239"/>
      <c r="BL651" s="239"/>
      <c r="BM651" s="239"/>
      <c r="BN651" s="239"/>
      <c r="BO651" s="239"/>
      <c r="BP651" s="239"/>
      <c r="BQ651" s="239"/>
      <c r="BR651" s="239"/>
      <c r="BS651" s="239"/>
      <c r="BT651" s="239"/>
      <c r="BU651" s="239"/>
      <c r="BV651" s="239"/>
      <c r="BW651" s="239"/>
      <c r="BX651" s="239"/>
      <c r="BY651" s="239"/>
      <c r="BZ651" s="239"/>
      <c r="CA651" s="239"/>
      <c r="CB651" s="239"/>
      <c r="CC651" s="239"/>
      <c r="CD651" s="239"/>
      <c r="CE651" s="239"/>
      <c r="CF651" s="239"/>
      <c r="CG651" s="239"/>
    </row>
    <row r="652" spans="1:85" ht="15.75" customHeight="1">
      <c r="A652" s="239"/>
      <c r="B652" s="239"/>
      <c r="C652" s="239"/>
      <c r="D652" s="239"/>
      <c r="E652" s="239"/>
      <c r="F652" s="239"/>
      <c r="G652" s="239"/>
      <c r="H652" s="239"/>
      <c r="I652" s="239"/>
      <c r="J652" s="239"/>
      <c r="K652" s="239"/>
      <c r="L652" s="239"/>
      <c r="M652" s="239"/>
      <c r="N652" s="239"/>
      <c r="O652" s="239"/>
      <c r="P652" s="239"/>
      <c r="Q652" s="239"/>
      <c r="R652" s="239"/>
      <c r="S652" s="239"/>
      <c r="T652" s="239"/>
      <c r="U652" s="239"/>
      <c r="V652" s="239"/>
      <c r="W652" s="239"/>
      <c r="X652" s="239"/>
      <c r="Y652" s="239"/>
      <c r="Z652" s="239"/>
      <c r="AA652" s="239"/>
      <c r="AB652" s="239"/>
      <c r="AC652" s="239"/>
      <c r="AD652" s="239"/>
      <c r="AE652" s="239"/>
      <c r="AF652" s="239"/>
      <c r="AG652" s="239"/>
      <c r="AH652" s="239"/>
      <c r="AI652" s="239"/>
      <c r="AJ652" s="239"/>
      <c r="AK652" s="239"/>
      <c r="AL652" s="239"/>
      <c r="AM652" s="239"/>
      <c r="AN652" s="239"/>
      <c r="AO652" s="239"/>
      <c r="AP652" s="239"/>
      <c r="AQ652" s="239"/>
      <c r="AR652" s="239"/>
      <c r="AS652" s="239"/>
      <c r="AT652" s="239"/>
      <c r="AU652" s="239"/>
      <c r="AV652" s="239"/>
      <c r="AW652" s="239"/>
      <c r="AX652" s="239"/>
      <c r="AY652" s="239"/>
      <c r="AZ652" s="239"/>
      <c r="BA652" s="239"/>
      <c r="BB652" s="239"/>
      <c r="BC652" s="239"/>
      <c r="BD652" s="239"/>
      <c r="BE652" s="239"/>
      <c r="BF652" s="239"/>
      <c r="BG652" s="239"/>
      <c r="BH652" s="239"/>
      <c r="BI652" s="239"/>
      <c r="BJ652" s="239"/>
      <c r="BK652" s="239"/>
      <c r="BL652" s="239"/>
      <c r="BM652" s="239"/>
      <c r="BN652" s="239"/>
      <c r="BO652" s="239"/>
      <c r="BP652" s="239"/>
      <c r="BQ652" s="239"/>
      <c r="BR652" s="239"/>
      <c r="BS652" s="239"/>
      <c r="BT652" s="239"/>
      <c r="BU652" s="239"/>
      <c r="BV652" s="239"/>
      <c r="BW652" s="239"/>
      <c r="BX652" s="239"/>
      <c r="BY652" s="239"/>
      <c r="BZ652" s="239"/>
      <c r="CA652" s="239"/>
      <c r="CB652" s="239"/>
      <c r="CC652" s="239"/>
      <c r="CD652" s="239"/>
      <c r="CE652" s="239"/>
      <c r="CF652" s="239"/>
      <c r="CG652" s="239"/>
    </row>
    <row r="653" spans="1:85" ht="15.75" customHeight="1">
      <c r="A653" s="239"/>
      <c r="B653" s="239"/>
      <c r="C653" s="239"/>
      <c r="D653" s="239"/>
      <c r="E653" s="239"/>
      <c r="F653" s="239"/>
      <c r="G653" s="239"/>
      <c r="H653" s="239"/>
      <c r="I653" s="239"/>
      <c r="J653" s="239"/>
      <c r="K653" s="239"/>
      <c r="L653" s="239"/>
      <c r="M653" s="239"/>
      <c r="N653" s="239"/>
      <c r="O653" s="239"/>
      <c r="P653" s="239"/>
      <c r="Q653" s="239"/>
      <c r="R653" s="239"/>
      <c r="S653" s="239"/>
      <c r="T653" s="239"/>
      <c r="U653" s="239"/>
      <c r="V653" s="239"/>
      <c r="W653" s="239"/>
      <c r="X653" s="239"/>
      <c r="Y653" s="239"/>
      <c r="Z653" s="239"/>
      <c r="AA653" s="239"/>
      <c r="AB653" s="239"/>
      <c r="AC653" s="239"/>
      <c r="AD653" s="239"/>
      <c r="AE653" s="239"/>
      <c r="AF653" s="239"/>
      <c r="AG653" s="239"/>
      <c r="AH653" s="239"/>
      <c r="AI653" s="239"/>
      <c r="AJ653" s="239"/>
      <c r="AK653" s="239"/>
      <c r="AL653" s="239"/>
      <c r="AM653" s="239"/>
      <c r="AN653" s="239"/>
      <c r="AO653" s="239"/>
      <c r="AP653" s="239"/>
      <c r="AQ653" s="239"/>
      <c r="AR653" s="239"/>
      <c r="AS653" s="239"/>
      <c r="AT653" s="239"/>
      <c r="AU653" s="239"/>
      <c r="AV653" s="239"/>
      <c r="AW653" s="239"/>
      <c r="AX653" s="239"/>
      <c r="AY653" s="239"/>
      <c r="AZ653" s="239"/>
      <c r="BA653" s="239"/>
      <c r="BB653" s="239"/>
      <c r="BC653" s="239"/>
      <c r="BD653" s="239"/>
      <c r="BE653" s="239"/>
      <c r="BF653" s="239"/>
      <c r="BG653" s="239"/>
      <c r="BH653" s="239"/>
      <c r="BI653" s="239"/>
      <c r="BJ653" s="239"/>
      <c r="BK653" s="239"/>
      <c r="BL653" s="239"/>
      <c r="BM653" s="239"/>
      <c r="BN653" s="239"/>
      <c r="BO653" s="239"/>
      <c r="BP653" s="239"/>
      <c r="BQ653" s="239"/>
      <c r="BR653" s="239"/>
      <c r="BS653" s="239"/>
      <c r="BT653" s="239"/>
      <c r="BU653" s="239"/>
      <c r="BV653" s="239"/>
      <c r="BW653" s="239"/>
      <c r="BX653" s="239"/>
      <c r="BY653" s="239"/>
      <c r="BZ653" s="239"/>
      <c r="CA653" s="239"/>
      <c r="CB653" s="239"/>
      <c r="CC653" s="239"/>
      <c r="CD653" s="239"/>
      <c r="CE653" s="239"/>
      <c r="CF653" s="239"/>
      <c r="CG653" s="239"/>
    </row>
    <row r="654" spans="1:85" ht="15.75" customHeight="1">
      <c r="A654" s="239"/>
      <c r="B654" s="239"/>
      <c r="C654" s="239"/>
      <c r="D654" s="239"/>
      <c r="E654" s="239"/>
      <c r="F654" s="239"/>
      <c r="G654" s="239"/>
      <c r="H654" s="239"/>
      <c r="I654" s="239"/>
      <c r="J654" s="239"/>
      <c r="K654" s="239"/>
      <c r="L654" s="239"/>
      <c r="M654" s="239"/>
      <c r="N654" s="239"/>
      <c r="O654" s="239"/>
      <c r="P654" s="239"/>
      <c r="Q654" s="239"/>
      <c r="R654" s="239"/>
      <c r="S654" s="239"/>
      <c r="T654" s="239"/>
      <c r="U654" s="239"/>
      <c r="V654" s="239"/>
      <c r="W654" s="239"/>
      <c r="X654" s="239"/>
      <c r="Y654" s="239"/>
      <c r="Z654" s="239"/>
      <c r="AA654" s="239"/>
      <c r="AB654" s="239"/>
      <c r="AC654" s="239"/>
      <c r="AD654" s="239"/>
      <c r="AE654" s="239"/>
      <c r="AF654" s="239"/>
      <c r="AG654" s="239"/>
      <c r="AH654" s="239"/>
      <c r="AI654" s="239"/>
      <c r="AJ654" s="239"/>
      <c r="AK654" s="239"/>
      <c r="AL654" s="239"/>
      <c r="AM654" s="239"/>
      <c r="AN654" s="239"/>
      <c r="AO654" s="239"/>
      <c r="AP654" s="239"/>
      <c r="AQ654" s="239"/>
      <c r="AR654" s="239"/>
      <c r="AS654" s="239"/>
      <c r="AT654" s="239"/>
      <c r="AU654" s="239"/>
      <c r="AV654" s="239"/>
      <c r="AW654" s="239"/>
      <c r="AX654" s="239"/>
      <c r="AY654" s="239"/>
      <c r="AZ654" s="239"/>
      <c r="BA654" s="239"/>
      <c r="BB654" s="239"/>
      <c r="BC654" s="239"/>
      <c r="BD654" s="239"/>
      <c r="BE654" s="239"/>
      <c r="BF654" s="239"/>
      <c r="BG654" s="239"/>
      <c r="BH654" s="239"/>
      <c r="BI654" s="239"/>
      <c r="BJ654" s="239"/>
      <c r="BK654" s="239"/>
      <c r="BL654" s="239"/>
      <c r="BM654" s="239"/>
      <c r="BN654" s="239"/>
      <c r="BO654" s="239"/>
      <c r="BP654" s="239"/>
      <c r="BQ654" s="239"/>
      <c r="BR654" s="239"/>
      <c r="BS654" s="239"/>
      <c r="BT654" s="239"/>
      <c r="BU654" s="239"/>
      <c r="BV654" s="239"/>
      <c r="BW654" s="239"/>
      <c r="BX654" s="239"/>
      <c r="BY654" s="239"/>
      <c r="BZ654" s="239"/>
      <c r="CA654" s="239"/>
      <c r="CB654" s="239"/>
      <c r="CC654" s="239"/>
      <c r="CD654" s="239"/>
      <c r="CE654" s="239"/>
      <c r="CF654" s="239"/>
      <c r="CG654" s="239"/>
    </row>
    <row r="655" spans="1:85" ht="15.75" customHeight="1">
      <c r="A655" s="239"/>
      <c r="B655" s="239"/>
      <c r="C655" s="239"/>
      <c r="D655" s="239"/>
      <c r="E655" s="239"/>
      <c r="F655" s="239"/>
      <c r="G655" s="239"/>
      <c r="H655" s="239"/>
      <c r="I655" s="239"/>
      <c r="J655" s="239"/>
      <c r="K655" s="239"/>
      <c r="L655" s="239"/>
      <c r="M655" s="239"/>
      <c r="N655" s="239"/>
      <c r="O655" s="239"/>
      <c r="P655" s="239"/>
      <c r="Q655" s="239"/>
      <c r="R655" s="239"/>
      <c r="S655" s="239"/>
      <c r="T655" s="239"/>
      <c r="U655" s="239"/>
      <c r="V655" s="239"/>
      <c r="W655" s="239"/>
      <c r="X655" s="239"/>
      <c r="Y655" s="239"/>
      <c r="Z655" s="239"/>
      <c r="AA655" s="239"/>
      <c r="AB655" s="239"/>
      <c r="AC655" s="239"/>
      <c r="AD655" s="239"/>
      <c r="AE655" s="239"/>
      <c r="AF655" s="239"/>
      <c r="AG655" s="239"/>
      <c r="AH655" s="239"/>
      <c r="AI655" s="239"/>
      <c r="AJ655" s="239"/>
      <c r="AK655" s="239"/>
      <c r="AL655" s="239"/>
      <c r="AM655" s="239"/>
      <c r="AN655" s="239"/>
      <c r="AO655" s="239"/>
      <c r="AP655" s="239"/>
      <c r="AQ655" s="239"/>
      <c r="AR655" s="239"/>
      <c r="AS655" s="239"/>
      <c r="AT655" s="239"/>
      <c r="AU655" s="239"/>
      <c r="AV655" s="239"/>
      <c r="AW655" s="239"/>
      <c r="AX655" s="239"/>
      <c r="AY655" s="239"/>
      <c r="AZ655" s="239"/>
      <c r="BA655" s="239"/>
      <c r="BB655" s="239"/>
      <c r="BC655" s="239"/>
      <c r="BD655" s="239"/>
      <c r="BE655" s="239"/>
      <c r="BF655" s="239"/>
      <c r="BG655" s="239"/>
      <c r="BH655" s="239"/>
      <c r="BI655" s="239"/>
      <c r="BJ655" s="239"/>
      <c r="BK655" s="239"/>
      <c r="BL655" s="239"/>
      <c r="BM655" s="239"/>
      <c r="BN655" s="239"/>
      <c r="BO655" s="239"/>
      <c r="BP655" s="239"/>
      <c r="BQ655" s="239"/>
      <c r="BR655" s="239"/>
      <c r="BS655" s="239"/>
      <c r="BT655" s="239"/>
      <c r="BU655" s="239"/>
      <c r="BV655" s="239"/>
      <c r="BW655" s="239"/>
      <c r="BX655" s="239"/>
      <c r="BY655" s="239"/>
      <c r="BZ655" s="239"/>
      <c r="CA655" s="239"/>
      <c r="CB655" s="239"/>
      <c r="CC655" s="239"/>
      <c r="CD655" s="239"/>
      <c r="CE655" s="239"/>
      <c r="CF655" s="239"/>
      <c r="CG655" s="239"/>
    </row>
    <row r="656" spans="1:85" ht="15.75" customHeight="1">
      <c r="A656" s="239"/>
      <c r="B656" s="239"/>
      <c r="C656" s="239"/>
      <c r="D656" s="239"/>
      <c r="E656" s="239"/>
      <c r="F656" s="239"/>
      <c r="G656" s="239"/>
      <c r="H656" s="239"/>
      <c r="I656" s="239"/>
      <c r="J656" s="239"/>
      <c r="K656" s="239"/>
      <c r="L656" s="239"/>
      <c r="M656" s="239"/>
      <c r="N656" s="239"/>
      <c r="O656" s="239"/>
      <c r="P656" s="239"/>
      <c r="Q656" s="239"/>
      <c r="R656" s="239"/>
      <c r="S656" s="239"/>
      <c r="T656" s="239"/>
      <c r="U656" s="239"/>
      <c r="V656" s="239"/>
      <c r="W656" s="239"/>
      <c r="X656" s="239"/>
      <c r="Y656" s="239"/>
      <c r="Z656" s="239"/>
      <c r="AA656" s="239"/>
      <c r="AB656" s="239"/>
      <c r="AC656" s="239"/>
      <c r="AD656" s="239"/>
      <c r="AE656" s="239"/>
      <c r="AF656" s="239"/>
      <c r="AG656" s="239"/>
      <c r="AH656" s="239"/>
      <c r="AI656" s="239"/>
      <c r="AJ656" s="239"/>
      <c r="AK656" s="239"/>
      <c r="AL656" s="239"/>
      <c r="AM656" s="239"/>
      <c r="AN656" s="239"/>
      <c r="AO656" s="239"/>
      <c r="AP656" s="239"/>
      <c r="AQ656" s="239"/>
      <c r="AR656" s="239"/>
      <c r="AS656" s="239"/>
      <c r="AT656" s="239"/>
      <c r="AU656" s="239"/>
      <c r="AV656" s="239"/>
      <c r="AW656" s="239"/>
      <c r="AX656" s="239"/>
      <c r="AY656" s="239"/>
      <c r="AZ656" s="239"/>
      <c r="BA656" s="239"/>
      <c r="BB656" s="239"/>
      <c r="BC656" s="239"/>
      <c r="BD656" s="239"/>
      <c r="BE656" s="239"/>
      <c r="BF656" s="239"/>
      <c r="BG656" s="239"/>
      <c r="BH656" s="239"/>
      <c r="BI656" s="239"/>
      <c r="BJ656" s="239"/>
      <c r="BK656" s="239"/>
      <c r="BL656" s="239"/>
      <c r="BM656" s="239"/>
      <c r="BN656" s="239"/>
      <c r="BO656" s="239"/>
      <c r="BP656" s="239"/>
      <c r="BQ656" s="239"/>
      <c r="BR656" s="239"/>
      <c r="BS656" s="239"/>
      <c r="BT656" s="239"/>
      <c r="BU656" s="239"/>
      <c r="BV656" s="239"/>
      <c r="BW656" s="239"/>
      <c r="BX656" s="239"/>
      <c r="BY656" s="239"/>
      <c r="BZ656" s="239"/>
      <c r="CA656" s="239"/>
      <c r="CB656" s="239"/>
      <c r="CC656" s="239"/>
      <c r="CD656" s="239"/>
      <c r="CE656" s="239"/>
      <c r="CF656" s="239"/>
      <c r="CG656" s="239"/>
    </row>
    <row r="657" spans="1:85" ht="15.75" customHeight="1">
      <c r="A657" s="239"/>
      <c r="B657" s="239"/>
      <c r="C657" s="239"/>
      <c r="D657" s="239"/>
      <c r="E657" s="239"/>
      <c r="F657" s="239"/>
      <c r="G657" s="239"/>
      <c r="H657" s="239"/>
      <c r="I657" s="239"/>
      <c r="J657" s="239"/>
      <c r="K657" s="239"/>
      <c r="L657" s="239"/>
      <c r="M657" s="239"/>
      <c r="N657" s="239"/>
      <c r="O657" s="239"/>
      <c r="P657" s="239"/>
      <c r="Q657" s="239"/>
      <c r="R657" s="239"/>
      <c r="S657" s="239"/>
      <c r="T657" s="239"/>
      <c r="U657" s="239"/>
      <c r="V657" s="239"/>
      <c r="W657" s="239"/>
      <c r="X657" s="239"/>
      <c r="Y657" s="239"/>
      <c r="Z657" s="239"/>
      <c r="AA657" s="239"/>
      <c r="AB657" s="239"/>
      <c r="AC657" s="239"/>
      <c r="AD657" s="239"/>
      <c r="AE657" s="239"/>
      <c r="AF657" s="239"/>
      <c r="AG657" s="239"/>
      <c r="AH657" s="239"/>
      <c r="AI657" s="239"/>
      <c r="AJ657" s="239"/>
      <c r="AK657" s="239"/>
      <c r="AL657" s="239"/>
      <c r="AM657" s="239"/>
      <c r="AN657" s="239"/>
      <c r="AO657" s="239"/>
      <c r="AP657" s="239"/>
      <c r="AQ657" s="239"/>
      <c r="AR657" s="239"/>
      <c r="AS657" s="239"/>
      <c r="AT657" s="239"/>
      <c r="AU657" s="239"/>
      <c r="AV657" s="239"/>
      <c r="AW657" s="239"/>
      <c r="AX657" s="239"/>
      <c r="AY657" s="239"/>
      <c r="AZ657" s="239"/>
      <c r="BA657" s="239"/>
      <c r="BB657" s="239"/>
      <c r="BC657" s="239"/>
      <c r="BD657" s="239"/>
      <c r="BE657" s="239"/>
      <c r="BF657" s="239"/>
      <c r="BG657" s="239"/>
      <c r="BH657" s="239"/>
      <c r="BI657" s="239"/>
      <c r="BJ657" s="239"/>
      <c r="BK657" s="239"/>
      <c r="BL657" s="239"/>
      <c r="BM657" s="239"/>
      <c r="BN657" s="239"/>
      <c r="BO657" s="239"/>
      <c r="BP657" s="239"/>
      <c r="BQ657" s="239"/>
      <c r="BR657" s="239"/>
      <c r="BS657" s="239"/>
      <c r="BT657" s="239"/>
      <c r="BU657" s="239"/>
      <c r="BV657" s="239"/>
      <c r="BW657" s="239"/>
      <c r="BX657" s="239"/>
      <c r="BY657" s="239"/>
      <c r="BZ657" s="239"/>
      <c r="CA657" s="239"/>
      <c r="CB657" s="239"/>
      <c r="CC657" s="239"/>
      <c r="CD657" s="239"/>
      <c r="CE657" s="239"/>
      <c r="CF657" s="239"/>
      <c r="CG657" s="239"/>
    </row>
    <row r="658" spans="1:85" ht="15.75" customHeight="1">
      <c r="A658" s="239"/>
      <c r="B658" s="239"/>
      <c r="C658" s="239"/>
      <c r="D658" s="239"/>
      <c r="E658" s="239"/>
      <c r="F658" s="239"/>
      <c r="G658" s="239"/>
      <c r="H658" s="239"/>
      <c r="I658" s="239"/>
      <c r="J658" s="239"/>
      <c r="K658" s="239"/>
      <c r="L658" s="239"/>
      <c r="M658" s="239"/>
      <c r="N658" s="239"/>
      <c r="O658" s="239"/>
      <c r="P658" s="239"/>
      <c r="Q658" s="239"/>
      <c r="R658" s="239"/>
      <c r="S658" s="239"/>
      <c r="T658" s="239"/>
      <c r="U658" s="239"/>
      <c r="V658" s="239"/>
      <c r="W658" s="239"/>
      <c r="X658" s="239"/>
      <c r="Y658" s="239"/>
      <c r="Z658" s="239"/>
      <c r="AA658" s="239"/>
      <c r="AB658" s="239"/>
      <c r="AC658" s="239"/>
      <c r="AD658" s="239"/>
      <c r="AE658" s="239"/>
      <c r="AF658" s="239"/>
      <c r="AG658" s="239"/>
      <c r="AH658" s="239"/>
      <c r="AI658" s="239"/>
      <c r="AJ658" s="239"/>
      <c r="AK658" s="239"/>
      <c r="AL658" s="239"/>
      <c r="AM658" s="239"/>
      <c r="AN658" s="239"/>
      <c r="AO658" s="239"/>
      <c r="AP658" s="239"/>
      <c r="AQ658" s="239"/>
      <c r="AR658" s="239"/>
      <c r="AS658" s="239"/>
      <c r="AT658" s="239"/>
      <c r="AU658" s="239"/>
      <c r="AV658" s="239"/>
      <c r="AW658" s="239"/>
      <c r="AX658" s="239"/>
      <c r="AY658" s="239"/>
      <c r="AZ658" s="239"/>
      <c r="BA658" s="239"/>
      <c r="BB658" s="239"/>
      <c r="BC658" s="239"/>
      <c r="BD658" s="239"/>
      <c r="BE658" s="239"/>
      <c r="BF658" s="239"/>
      <c r="BG658" s="239"/>
      <c r="BH658" s="239"/>
      <c r="BI658" s="239"/>
      <c r="BJ658" s="239"/>
      <c r="BK658" s="239"/>
      <c r="BL658" s="239"/>
      <c r="BM658" s="239"/>
      <c r="BN658" s="239"/>
      <c r="BO658" s="239"/>
      <c r="BP658" s="239"/>
      <c r="BQ658" s="239"/>
      <c r="BR658" s="239"/>
      <c r="BS658" s="239"/>
      <c r="BT658" s="239"/>
      <c r="BU658" s="239"/>
      <c r="BV658" s="239"/>
      <c r="BW658" s="239"/>
      <c r="BX658" s="239"/>
      <c r="BY658" s="239"/>
      <c r="BZ658" s="239"/>
      <c r="CA658" s="239"/>
      <c r="CB658" s="239"/>
      <c r="CC658" s="239"/>
      <c r="CD658" s="239"/>
      <c r="CE658" s="239"/>
      <c r="CF658" s="239"/>
      <c r="CG658" s="239"/>
    </row>
    <row r="659" spans="1:85" ht="15.75" customHeight="1">
      <c r="A659" s="239"/>
      <c r="B659" s="239"/>
      <c r="C659" s="239"/>
      <c r="D659" s="239"/>
      <c r="E659" s="239"/>
      <c r="F659" s="239"/>
      <c r="G659" s="239"/>
      <c r="H659" s="239"/>
      <c r="I659" s="239"/>
      <c r="J659" s="239"/>
      <c r="K659" s="239"/>
      <c r="L659" s="239"/>
      <c r="M659" s="239"/>
      <c r="N659" s="239"/>
      <c r="O659" s="239"/>
      <c r="P659" s="239"/>
      <c r="Q659" s="239"/>
      <c r="R659" s="239"/>
      <c r="S659" s="239"/>
      <c r="T659" s="239"/>
      <c r="U659" s="239"/>
      <c r="V659" s="239"/>
      <c r="W659" s="239"/>
      <c r="X659" s="239"/>
      <c r="Y659" s="239"/>
      <c r="Z659" s="239"/>
      <c r="AA659" s="239"/>
      <c r="AB659" s="239"/>
      <c r="AC659" s="239"/>
      <c r="AD659" s="239"/>
      <c r="AE659" s="239"/>
      <c r="AF659" s="239"/>
      <c r="AG659" s="239"/>
      <c r="AH659" s="239"/>
      <c r="AI659" s="239"/>
      <c r="AJ659" s="239"/>
      <c r="AK659" s="239"/>
      <c r="AL659" s="239"/>
      <c r="AM659" s="239"/>
      <c r="AN659" s="239"/>
      <c r="AO659" s="239"/>
      <c r="AP659" s="239"/>
      <c r="AQ659" s="239"/>
      <c r="AR659" s="239"/>
      <c r="AS659" s="239"/>
      <c r="AT659" s="239"/>
      <c r="AU659" s="239"/>
      <c r="AV659" s="239"/>
      <c r="AW659" s="239"/>
      <c r="AX659" s="239"/>
      <c r="AY659" s="239"/>
      <c r="AZ659" s="239"/>
      <c r="BA659" s="239"/>
      <c r="BB659" s="239"/>
      <c r="BC659" s="239"/>
      <c r="BD659" s="239"/>
      <c r="BE659" s="239"/>
      <c r="BF659" s="239"/>
      <c r="BG659" s="239"/>
      <c r="BH659" s="239"/>
      <c r="BI659" s="239"/>
      <c r="BJ659" s="239"/>
      <c r="BK659" s="239"/>
      <c r="BL659" s="239"/>
      <c r="BM659" s="239"/>
      <c r="BN659" s="239"/>
      <c r="BO659" s="239"/>
      <c r="BP659" s="239"/>
      <c r="BQ659" s="239"/>
      <c r="BR659" s="239"/>
      <c r="BS659" s="239"/>
      <c r="BT659" s="239"/>
      <c r="BU659" s="239"/>
      <c r="BV659" s="239"/>
      <c r="BW659" s="239"/>
      <c r="BX659" s="239"/>
      <c r="BY659" s="239"/>
      <c r="BZ659" s="239"/>
      <c r="CA659" s="239"/>
      <c r="CB659" s="239"/>
      <c r="CC659" s="239"/>
      <c r="CD659" s="239"/>
      <c r="CE659" s="239"/>
      <c r="CF659" s="239"/>
      <c r="CG659" s="239"/>
    </row>
    <row r="660" spans="1:85" ht="15.75" customHeight="1">
      <c r="A660" s="239"/>
      <c r="B660" s="239"/>
      <c r="C660" s="239"/>
      <c r="D660" s="239"/>
      <c r="E660" s="239"/>
      <c r="F660" s="239"/>
      <c r="G660" s="239"/>
      <c r="H660" s="239"/>
      <c r="I660" s="239"/>
      <c r="J660" s="239"/>
      <c r="K660" s="239"/>
      <c r="L660" s="239"/>
      <c r="M660" s="239"/>
      <c r="N660" s="239"/>
      <c r="O660" s="239"/>
      <c r="P660" s="239"/>
      <c r="Q660" s="239"/>
      <c r="R660" s="239"/>
      <c r="S660" s="239"/>
      <c r="T660" s="239"/>
      <c r="U660" s="239"/>
      <c r="V660" s="239"/>
      <c r="W660" s="239"/>
      <c r="X660" s="239"/>
      <c r="Y660" s="239"/>
      <c r="Z660" s="239"/>
      <c r="AA660" s="239"/>
      <c r="AB660" s="239"/>
      <c r="AC660" s="239"/>
      <c r="AD660" s="239"/>
      <c r="AE660" s="239"/>
      <c r="AF660" s="239"/>
      <c r="AG660" s="239"/>
      <c r="AH660" s="239"/>
      <c r="AI660" s="239"/>
      <c r="AJ660" s="239"/>
      <c r="AK660" s="239"/>
      <c r="AL660" s="239"/>
      <c r="AM660" s="239"/>
      <c r="AN660" s="239"/>
      <c r="AO660" s="239"/>
      <c r="AP660" s="239"/>
      <c r="AQ660" s="239"/>
      <c r="AR660" s="239"/>
      <c r="AS660" s="239"/>
      <c r="AT660" s="239"/>
      <c r="AU660" s="239"/>
      <c r="AV660" s="239"/>
      <c r="AW660" s="239"/>
      <c r="AX660" s="239"/>
      <c r="AY660" s="239"/>
      <c r="AZ660" s="239"/>
      <c r="BA660" s="239"/>
      <c r="BB660" s="239"/>
      <c r="BC660" s="239"/>
      <c r="BD660" s="239"/>
      <c r="BE660" s="239"/>
      <c r="BF660" s="239"/>
      <c r="BG660" s="239"/>
      <c r="BH660" s="239"/>
      <c r="BI660" s="239"/>
      <c r="BJ660" s="239"/>
      <c r="BK660" s="239"/>
      <c r="BL660" s="239"/>
      <c r="BM660" s="239"/>
      <c r="BN660" s="239"/>
      <c r="BO660" s="239"/>
      <c r="BP660" s="239"/>
      <c r="BQ660" s="239"/>
      <c r="BR660" s="239"/>
      <c r="BS660" s="239"/>
      <c r="BT660" s="239"/>
      <c r="BU660" s="239"/>
      <c r="BV660" s="239"/>
      <c r="BW660" s="239"/>
      <c r="BX660" s="239"/>
      <c r="BY660" s="239"/>
      <c r="BZ660" s="239"/>
      <c r="CA660" s="239"/>
      <c r="CB660" s="239"/>
      <c r="CC660" s="239"/>
      <c r="CD660" s="239"/>
      <c r="CE660" s="239"/>
      <c r="CF660" s="239"/>
      <c r="CG660" s="239"/>
    </row>
    <row r="661" spans="1:85" ht="15.75" customHeight="1">
      <c r="A661" s="239"/>
      <c r="B661" s="239"/>
      <c r="C661" s="239"/>
      <c r="D661" s="239"/>
      <c r="E661" s="239"/>
      <c r="F661" s="239"/>
      <c r="G661" s="239"/>
      <c r="H661" s="239"/>
      <c r="I661" s="239"/>
      <c r="J661" s="239"/>
      <c r="K661" s="239"/>
      <c r="L661" s="239"/>
      <c r="M661" s="239"/>
      <c r="N661" s="239"/>
      <c r="O661" s="239"/>
      <c r="P661" s="239"/>
      <c r="Q661" s="239"/>
      <c r="R661" s="239"/>
      <c r="S661" s="239"/>
      <c r="T661" s="239"/>
      <c r="U661" s="239"/>
      <c r="V661" s="239"/>
      <c r="W661" s="239"/>
      <c r="X661" s="239"/>
      <c r="Y661" s="239"/>
      <c r="Z661" s="239"/>
      <c r="AA661" s="239"/>
      <c r="AB661" s="239"/>
      <c r="AC661" s="239"/>
      <c r="AD661" s="239"/>
      <c r="AE661" s="239"/>
      <c r="AF661" s="239"/>
      <c r="AG661" s="239"/>
      <c r="AH661" s="239"/>
      <c r="AI661" s="239"/>
      <c r="AJ661" s="239"/>
      <c r="AK661" s="239"/>
      <c r="AL661" s="239"/>
      <c r="AM661" s="239"/>
      <c r="AN661" s="239"/>
      <c r="AO661" s="239"/>
      <c r="AP661" s="239"/>
      <c r="AQ661" s="239"/>
      <c r="AR661" s="239"/>
      <c r="AS661" s="239"/>
      <c r="AT661" s="239"/>
      <c r="AU661" s="239"/>
      <c r="AV661" s="239"/>
      <c r="AW661" s="239"/>
      <c r="AX661" s="239"/>
      <c r="AY661" s="239"/>
      <c r="AZ661" s="239"/>
      <c r="BA661" s="239"/>
      <c r="BB661" s="239"/>
      <c r="BC661" s="239"/>
      <c r="BD661" s="239"/>
      <c r="BE661" s="239"/>
      <c r="BF661" s="239"/>
      <c r="BG661" s="239"/>
      <c r="BH661" s="239"/>
      <c r="BI661" s="239"/>
      <c r="BJ661" s="239"/>
      <c r="BK661" s="239"/>
      <c r="BL661" s="239"/>
      <c r="BM661" s="239"/>
      <c r="BN661" s="239"/>
      <c r="BO661" s="239"/>
      <c r="BP661" s="239"/>
      <c r="BQ661" s="239"/>
      <c r="BR661" s="239"/>
      <c r="BS661" s="239"/>
      <c r="BT661" s="239"/>
      <c r="BU661" s="239"/>
      <c r="BV661" s="239"/>
      <c r="BW661" s="239"/>
      <c r="BX661" s="239"/>
      <c r="BY661" s="239"/>
      <c r="BZ661" s="239"/>
      <c r="CA661" s="239"/>
      <c r="CB661" s="239"/>
      <c r="CC661" s="239"/>
      <c r="CD661" s="239"/>
      <c r="CE661" s="239"/>
      <c r="CF661" s="239"/>
      <c r="CG661" s="239"/>
    </row>
    <row r="662" spans="1:85" ht="15.75" customHeight="1">
      <c r="A662" s="239"/>
      <c r="B662" s="239"/>
      <c r="C662" s="239"/>
      <c r="D662" s="239"/>
      <c r="E662" s="239"/>
      <c r="F662" s="239"/>
      <c r="G662" s="239"/>
      <c r="H662" s="239"/>
      <c r="I662" s="239"/>
      <c r="J662" s="239"/>
      <c r="K662" s="239"/>
      <c r="L662" s="239"/>
      <c r="M662" s="239"/>
      <c r="N662" s="239"/>
      <c r="O662" s="239"/>
      <c r="P662" s="239"/>
      <c r="Q662" s="239"/>
      <c r="R662" s="239"/>
      <c r="S662" s="239"/>
      <c r="T662" s="239"/>
      <c r="U662" s="239"/>
      <c r="V662" s="239"/>
      <c r="W662" s="239"/>
      <c r="X662" s="239"/>
      <c r="Y662" s="239"/>
      <c r="Z662" s="239"/>
      <c r="AA662" s="239"/>
      <c r="AB662" s="239"/>
      <c r="AC662" s="239"/>
      <c r="AD662" s="239"/>
      <c r="AE662" s="239"/>
      <c r="AF662" s="239"/>
      <c r="AG662" s="239"/>
      <c r="AH662" s="239"/>
      <c r="AI662" s="239"/>
      <c r="AJ662" s="239"/>
      <c r="AK662" s="239"/>
      <c r="AL662" s="239"/>
      <c r="AM662" s="239"/>
      <c r="AN662" s="239"/>
      <c r="AO662" s="239"/>
      <c r="AP662" s="239"/>
      <c r="AQ662" s="239"/>
      <c r="AR662" s="239"/>
      <c r="AS662" s="239"/>
      <c r="AT662" s="239"/>
      <c r="AU662" s="239"/>
      <c r="AV662" s="239"/>
      <c r="AW662" s="239"/>
      <c r="AX662" s="239"/>
      <c r="AY662" s="239"/>
      <c r="AZ662" s="239"/>
      <c r="BA662" s="239"/>
      <c r="BB662" s="239"/>
      <c r="BC662" s="239"/>
      <c r="BD662" s="239"/>
      <c r="BE662" s="239"/>
      <c r="BF662" s="239"/>
      <c r="BG662" s="239"/>
      <c r="BH662" s="239"/>
      <c r="BI662" s="239"/>
      <c r="BJ662" s="239"/>
      <c r="BK662" s="239"/>
      <c r="BL662" s="239"/>
      <c r="BM662" s="239"/>
      <c r="BN662" s="239"/>
      <c r="BO662" s="239"/>
      <c r="BP662" s="239"/>
      <c r="BQ662" s="239"/>
      <c r="BR662" s="239"/>
      <c r="BS662" s="239"/>
      <c r="BT662" s="239"/>
      <c r="BU662" s="239"/>
      <c r="BV662" s="239"/>
      <c r="BW662" s="239"/>
      <c r="BX662" s="239"/>
      <c r="BY662" s="239"/>
      <c r="BZ662" s="239"/>
      <c r="CA662" s="239"/>
      <c r="CB662" s="239"/>
      <c r="CC662" s="239"/>
      <c r="CD662" s="239"/>
      <c r="CE662" s="239"/>
      <c r="CF662" s="239"/>
      <c r="CG662" s="239"/>
    </row>
    <row r="663" spans="1:85" ht="15.75" customHeight="1">
      <c r="A663" s="239"/>
      <c r="B663" s="239"/>
      <c r="C663" s="239"/>
      <c r="D663" s="239"/>
      <c r="E663" s="239"/>
      <c r="F663" s="239"/>
      <c r="G663" s="239"/>
      <c r="H663" s="239"/>
      <c r="I663" s="239"/>
      <c r="J663" s="239"/>
      <c r="K663" s="239"/>
      <c r="L663" s="239"/>
      <c r="M663" s="239"/>
      <c r="N663" s="239"/>
      <c r="O663" s="239"/>
      <c r="P663" s="239"/>
      <c r="Q663" s="239"/>
      <c r="R663" s="239"/>
      <c r="S663" s="239"/>
      <c r="T663" s="239"/>
      <c r="U663" s="239"/>
      <c r="V663" s="239"/>
      <c r="W663" s="239"/>
      <c r="X663" s="239"/>
      <c r="Y663" s="239"/>
      <c r="Z663" s="239"/>
      <c r="AA663" s="239"/>
      <c r="AB663" s="239"/>
      <c r="AC663" s="239"/>
      <c r="AD663" s="239"/>
      <c r="AE663" s="239"/>
      <c r="AF663" s="239"/>
      <c r="AG663" s="239"/>
      <c r="AH663" s="239"/>
      <c r="AI663" s="239"/>
      <c r="AJ663" s="239"/>
      <c r="AK663" s="239"/>
      <c r="AL663" s="239"/>
      <c r="AM663" s="239"/>
      <c r="AN663" s="239"/>
      <c r="AO663" s="239"/>
      <c r="AP663" s="239"/>
      <c r="AQ663" s="239"/>
      <c r="AR663" s="239"/>
      <c r="AS663" s="239"/>
      <c r="AT663" s="239"/>
      <c r="AU663" s="239"/>
      <c r="AV663" s="239"/>
      <c r="AW663" s="239"/>
      <c r="AX663" s="239"/>
      <c r="AY663" s="239"/>
      <c r="AZ663" s="239"/>
      <c r="BA663" s="239"/>
      <c r="BB663" s="239"/>
      <c r="BC663" s="239"/>
      <c r="BD663" s="239"/>
      <c r="BE663" s="239"/>
      <c r="BF663" s="239"/>
      <c r="BG663" s="239"/>
      <c r="BH663" s="239"/>
      <c r="BI663" s="239"/>
      <c r="BJ663" s="239"/>
      <c r="BK663" s="239"/>
      <c r="BL663" s="239"/>
      <c r="BM663" s="239"/>
      <c r="BN663" s="239"/>
      <c r="BO663" s="239"/>
      <c r="BP663" s="239"/>
      <c r="BQ663" s="239"/>
      <c r="BR663" s="239"/>
      <c r="BS663" s="239"/>
      <c r="BT663" s="239"/>
      <c r="BU663" s="239"/>
      <c r="BV663" s="239"/>
      <c r="BW663" s="239"/>
      <c r="BX663" s="239"/>
      <c r="BY663" s="239"/>
      <c r="BZ663" s="239"/>
      <c r="CA663" s="239"/>
      <c r="CB663" s="239"/>
      <c r="CC663" s="239"/>
      <c r="CD663" s="239"/>
      <c r="CE663" s="239"/>
      <c r="CF663" s="239"/>
      <c r="CG663" s="239"/>
    </row>
    <row r="664" spans="1:85" ht="15.75" customHeight="1">
      <c r="A664" s="239"/>
      <c r="B664" s="239"/>
      <c r="C664" s="239"/>
      <c r="D664" s="239"/>
      <c r="E664" s="239"/>
      <c r="F664" s="239"/>
      <c r="G664" s="239"/>
      <c r="H664" s="239"/>
      <c r="I664" s="239"/>
      <c r="J664" s="239"/>
      <c r="K664" s="239"/>
      <c r="L664" s="239"/>
      <c r="M664" s="239"/>
      <c r="N664" s="239"/>
      <c r="O664" s="239"/>
      <c r="P664" s="239"/>
      <c r="Q664" s="239"/>
      <c r="R664" s="239"/>
      <c r="S664" s="239"/>
      <c r="T664" s="239"/>
      <c r="U664" s="239"/>
      <c r="V664" s="239"/>
      <c r="W664" s="239"/>
      <c r="X664" s="239"/>
      <c r="Y664" s="239"/>
      <c r="Z664" s="239"/>
      <c r="AA664" s="239"/>
      <c r="AB664" s="239"/>
      <c r="AC664" s="239"/>
      <c r="AD664" s="239"/>
      <c r="AE664" s="239"/>
      <c r="AF664" s="239"/>
      <c r="AG664" s="239"/>
      <c r="AH664" s="239"/>
      <c r="AI664" s="239"/>
      <c r="AJ664" s="239"/>
      <c r="AK664" s="239"/>
      <c r="AL664" s="239"/>
      <c r="AM664" s="239"/>
      <c r="AN664" s="239"/>
      <c r="AO664" s="239"/>
      <c r="AP664" s="239"/>
      <c r="AQ664" s="239"/>
      <c r="AR664" s="239"/>
      <c r="AS664" s="239"/>
      <c r="AT664" s="239"/>
      <c r="AU664" s="239"/>
      <c r="AV664" s="239"/>
      <c r="AW664" s="239"/>
      <c r="AX664" s="239"/>
      <c r="AY664" s="239"/>
      <c r="AZ664" s="239"/>
      <c r="BA664" s="239"/>
      <c r="BB664" s="239"/>
      <c r="BC664" s="239"/>
      <c r="BD664" s="239"/>
      <c r="BE664" s="239"/>
      <c r="BF664" s="239"/>
      <c r="BG664" s="239"/>
      <c r="BH664" s="239"/>
      <c r="BI664" s="239"/>
      <c r="BJ664" s="239"/>
      <c r="BK664" s="239"/>
      <c r="BL664" s="239"/>
      <c r="BM664" s="239"/>
      <c r="BN664" s="239"/>
      <c r="BO664" s="239"/>
      <c r="BP664" s="239"/>
      <c r="BQ664" s="239"/>
      <c r="BR664" s="239"/>
      <c r="BS664" s="239"/>
      <c r="BT664" s="239"/>
      <c r="BU664" s="239"/>
      <c r="BV664" s="239"/>
      <c r="BW664" s="239"/>
      <c r="BX664" s="239"/>
      <c r="BY664" s="239"/>
      <c r="BZ664" s="239"/>
      <c r="CA664" s="239"/>
      <c r="CB664" s="239"/>
      <c r="CC664" s="239"/>
      <c r="CD664" s="239"/>
      <c r="CE664" s="239"/>
      <c r="CF664" s="239"/>
      <c r="CG664" s="239"/>
    </row>
    <row r="665" spans="1:85" ht="15.75" customHeight="1">
      <c r="A665" s="239"/>
      <c r="B665" s="239"/>
      <c r="C665" s="239"/>
      <c r="D665" s="239"/>
      <c r="E665" s="239"/>
      <c r="F665" s="239"/>
      <c r="G665" s="239"/>
      <c r="H665" s="239"/>
      <c r="I665" s="239"/>
      <c r="J665" s="239"/>
      <c r="K665" s="239"/>
      <c r="L665" s="239"/>
      <c r="M665" s="239"/>
      <c r="N665" s="239"/>
      <c r="O665" s="239"/>
      <c r="P665" s="239"/>
      <c r="Q665" s="239"/>
      <c r="R665" s="239"/>
      <c r="S665" s="239"/>
      <c r="T665" s="239"/>
      <c r="U665" s="239"/>
      <c r="V665" s="239"/>
      <c r="W665" s="239"/>
      <c r="X665" s="239"/>
      <c r="Y665" s="239"/>
      <c r="Z665" s="239"/>
      <c r="AA665" s="239"/>
      <c r="AB665" s="239"/>
      <c r="AC665" s="239"/>
      <c r="AD665" s="239"/>
      <c r="AE665" s="239"/>
      <c r="AF665" s="239"/>
      <c r="AG665" s="239"/>
      <c r="AH665" s="239"/>
      <c r="AI665" s="239"/>
      <c r="AJ665" s="239"/>
      <c r="AK665" s="239"/>
      <c r="AL665" s="239"/>
      <c r="AM665" s="239"/>
      <c r="AN665" s="239"/>
      <c r="AO665" s="239"/>
      <c r="AP665" s="239"/>
      <c r="AQ665" s="239"/>
      <c r="AR665" s="239"/>
      <c r="AS665" s="239"/>
      <c r="AT665" s="239"/>
      <c r="AU665" s="239"/>
      <c r="AV665" s="239"/>
      <c r="AW665" s="239"/>
      <c r="AX665" s="239"/>
      <c r="AY665" s="239"/>
      <c r="AZ665" s="239"/>
      <c r="BA665" s="239"/>
      <c r="BB665" s="239"/>
      <c r="BC665" s="239"/>
      <c r="BD665" s="239"/>
      <c r="BE665" s="239"/>
      <c r="BF665" s="239"/>
      <c r="BG665" s="239"/>
      <c r="BH665" s="239"/>
      <c r="BI665" s="239"/>
      <c r="BJ665" s="239"/>
      <c r="BK665" s="239"/>
      <c r="BL665" s="239"/>
      <c r="BM665" s="239"/>
      <c r="BN665" s="239"/>
      <c r="BO665" s="239"/>
      <c r="BP665" s="239"/>
      <c r="BQ665" s="239"/>
      <c r="BR665" s="239"/>
      <c r="BS665" s="239"/>
      <c r="BT665" s="239"/>
      <c r="BU665" s="239"/>
      <c r="BV665" s="239"/>
      <c r="BW665" s="239"/>
      <c r="BX665" s="239"/>
      <c r="BY665" s="239"/>
      <c r="BZ665" s="239"/>
      <c r="CA665" s="239"/>
      <c r="CB665" s="239"/>
      <c r="CC665" s="239"/>
      <c r="CD665" s="239"/>
      <c r="CE665" s="239"/>
      <c r="CF665" s="239"/>
      <c r="CG665" s="239"/>
    </row>
    <row r="666" spans="1:85" ht="15.75" customHeight="1">
      <c r="A666" s="239"/>
      <c r="B666" s="239"/>
      <c r="C666" s="239"/>
      <c r="D666" s="239"/>
      <c r="E666" s="239"/>
      <c r="F666" s="239"/>
      <c r="G666" s="239"/>
      <c r="H666" s="239"/>
      <c r="I666" s="239"/>
      <c r="J666" s="239"/>
      <c r="K666" s="239"/>
      <c r="L666" s="239"/>
      <c r="M666" s="239"/>
      <c r="N666" s="239"/>
      <c r="O666" s="239"/>
      <c r="P666" s="239"/>
      <c r="Q666" s="239"/>
      <c r="R666" s="239"/>
      <c r="S666" s="239"/>
      <c r="T666" s="239"/>
      <c r="U666" s="239"/>
      <c r="V666" s="239"/>
      <c r="W666" s="239"/>
      <c r="X666" s="239"/>
      <c r="Y666" s="239"/>
      <c r="Z666" s="239"/>
      <c r="AA666" s="239"/>
      <c r="AB666" s="239"/>
      <c r="AC666" s="239"/>
      <c r="AD666" s="239"/>
      <c r="AE666" s="239"/>
      <c r="AF666" s="239"/>
      <c r="AG666" s="239"/>
      <c r="AH666" s="239"/>
      <c r="AI666" s="239"/>
      <c r="AJ666" s="239"/>
      <c r="AK666" s="239"/>
      <c r="AL666" s="239"/>
      <c r="AM666" s="239"/>
      <c r="AN666" s="239"/>
      <c r="AO666" s="239"/>
      <c r="AP666" s="239"/>
      <c r="AQ666" s="239"/>
      <c r="AR666" s="239"/>
      <c r="AS666" s="239"/>
      <c r="AT666" s="239"/>
      <c r="AU666" s="239"/>
      <c r="AV666" s="239"/>
      <c r="AW666" s="239"/>
      <c r="AX666" s="239"/>
      <c r="AY666" s="239"/>
      <c r="AZ666" s="239"/>
      <c r="BA666" s="239"/>
      <c r="BB666" s="239"/>
      <c r="BC666" s="239"/>
      <c r="BD666" s="239"/>
      <c r="BE666" s="239"/>
      <c r="BF666" s="239"/>
      <c r="BG666" s="239"/>
      <c r="BH666" s="239"/>
      <c r="BI666" s="239"/>
      <c r="BJ666" s="239"/>
      <c r="BK666" s="239"/>
      <c r="BL666" s="239"/>
      <c r="BM666" s="239"/>
      <c r="BN666" s="239"/>
      <c r="BO666" s="239"/>
      <c r="BP666" s="239"/>
      <c r="BQ666" s="239"/>
      <c r="BR666" s="239"/>
      <c r="BS666" s="239"/>
      <c r="BT666" s="239"/>
      <c r="BU666" s="239"/>
      <c r="BV666" s="239"/>
      <c r="BW666" s="239"/>
      <c r="BX666" s="239"/>
      <c r="BY666" s="239"/>
      <c r="BZ666" s="239"/>
      <c r="CA666" s="239"/>
      <c r="CB666" s="239"/>
      <c r="CC666" s="239"/>
      <c r="CD666" s="239"/>
      <c r="CE666" s="239"/>
      <c r="CF666" s="239"/>
      <c r="CG666" s="239"/>
    </row>
    <row r="667" spans="1:85" ht="15.75" customHeight="1">
      <c r="A667" s="239"/>
      <c r="B667" s="239"/>
      <c r="C667" s="239"/>
      <c r="D667" s="239"/>
      <c r="E667" s="239"/>
      <c r="F667" s="239"/>
      <c r="G667" s="239"/>
      <c r="H667" s="239"/>
      <c r="I667" s="239"/>
      <c r="J667" s="239"/>
      <c r="K667" s="239"/>
      <c r="L667" s="239"/>
      <c r="M667" s="239"/>
      <c r="N667" s="239"/>
      <c r="O667" s="239"/>
      <c r="P667" s="239"/>
      <c r="Q667" s="239"/>
      <c r="R667" s="239"/>
      <c r="S667" s="239"/>
      <c r="T667" s="239"/>
      <c r="U667" s="239"/>
      <c r="V667" s="239"/>
      <c r="W667" s="239"/>
      <c r="X667" s="239"/>
      <c r="Y667" s="239"/>
      <c r="Z667" s="239"/>
      <c r="AA667" s="239"/>
      <c r="AB667" s="239"/>
      <c r="AC667" s="239"/>
      <c r="AD667" s="239"/>
      <c r="AE667" s="239"/>
      <c r="AF667" s="239"/>
      <c r="AG667" s="239"/>
      <c r="AH667" s="239"/>
      <c r="AI667" s="239"/>
      <c r="AJ667" s="239"/>
      <c r="AK667" s="239"/>
      <c r="AL667" s="239"/>
      <c r="AM667" s="239"/>
      <c r="AN667" s="239"/>
      <c r="AO667" s="239"/>
      <c r="AP667" s="239"/>
      <c r="AQ667" s="239"/>
      <c r="AR667" s="239"/>
      <c r="AS667" s="239"/>
      <c r="AT667" s="239"/>
      <c r="AU667" s="239"/>
      <c r="AV667" s="239"/>
      <c r="AW667" s="239"/>
      <c r="AX667" s="239"/>
      <c r="AY667" s="239"/>
      <c r="AZ667" s="239"/>
      <c r="BA667" s="239"/>
      <c r="BB667" s="239"/>
      <c r="BC667" s="239"/>
      <c r="BD667" s="239"/>
      <c r="BE667" s="239"/>
      <c r="BF667" s="239"/>
      <c r="BG667" s="239"/>
      <c r="BH667" s="239"/>
      <c r="BI667" s="239"/>
      <c r="BJ667" s="239"/>
      <c r="BK667" s="239"/>
      <c r="BL667" s="239"/>
      <c r="BM667" s="239"/>
      <c r="BN667" s="239"/>
      <c r="BO667" s="239"/>
      <c r="BP667" s="239"/>
      <c r="BQ667" s="239"/>
      <c r="BR667" s="239"/>
      <c r="BS667" s="239"/>
      <c r="BT667" s="239"/>
      <c r="BU667" s="239"/>
      <c r="BV667" s="239"/>
      <c r="BW667" s="239"/>
      <c r="BX667" s="239"/>
      <c r="BY667" s="239"/>
      <c r="BZ667" s="239"/>
      <c r="CA667" s="239"/>
      <c r="CB667" s="239"/>
      <c r="CC667" s="239"/>
      <c r="CD667" s="239"/>
      <c r="CE667" s="239"/>
      <c r="CF667" s="239"/>
      <c r="CG667" s="239"/>
    </row>
    <row r="668" spans="1:85" ht="15.75" customHeight="1">
      <c r="A668" s="239"/>
      <c r="B668" s="239"/>
      <c r="C668" s="239"/>
      <c r="D668" s="239"/>
      <c r="E668" s="239"/>
      <c r="F668" s="239"/>
      <c r="G668" s="239"/>
      <c r="H668" s="239"/>
      <c r="I668" s="239"/>
      <c r="J668" s="239"/>
      <c r="K668" s="239"/>
      <c r="L668" s="239"/>
      <c r="M668" s="239"/>
      <c r="N668" s="239"/>
      <c r="O668" s="239"/>
      <c r="P668" s="239"/>
      <c r="Q668" s="239"/>
      <c r="R668" s="239"/>
      <c r="S668" s="239"/>
      <c r="T668" s="239"/>
      <c r="U668" s="239"/>
      <c r="V668" s="239"/>
      <c r="W668" s="239"/>
      <c r="X668" s="239"/>
      <c r="Y668" s="239"/>
      <c r="Z668" s="239"/>
      <c r="AA668" s="239"/>
      <c r="AB668" s="239"/>
      <c r="AC668" s="239"/>
      <c r="AD668" s="239"/>
      <c r="AE668" s="239"/>
      <c r="AF668" s="239"/>
      <c r="AG668" s="239"/>
      <c r="AH668" s="239"/>
      <c r="AI668" s="239"/>
      <c r="AJ668" s="239"/>
      <c r="AK668" s="239"/>
      <c r="AL668" s="239"/>
      <c r="AM668" s="239"/>
      <c r="AN668" s="239"/>
      <c r="AO668" s="239"/>
      <c r="AP668" s="239"/>
      <c r="AQ668" s="239"/>
      <c r="AR668" s="239"/>
      <c r="AS668" s="239"/>
      <c r="AT668" s="239"/>
      <c r="AU668" s="239"/>
      <c r="AV668" s="239"/>
      <c r="AW668" s="239"/>
      <c r="AX668" s="239"/>
      <c r="AY668" s="239"/>
      <c r="AZ668" s="239"/>
      <c r="BA668" s="239"/>
      <c r="BB668" s="239"/>
      <c r="BC668" s="239"/>
      <c r="BD668" s="239"/>
      <c r="BE668" s="239"/>
      <c r="BF668" s="239"/>
      <c r="BG668" s="239"/>
      <c r="BH668" s="239"/>
      <c r="BI668" s="239"/>
      <c r="BJ668" s="239"/>
      <c r="BK668" s="239"/>
      <c r="BL668" s="239"/>
      <c r="BM668" s="239"/>
      <c r="BN668" s="239"/>
      <c r="BO668" s="239"/>
      <c r="BP668" s="239"/>
      <c r="BQ668" s="239"/>
      <c r="BR668" s="239"/>
      <c r="BS668" s="239"/>
      <c r="BT668" s="239"/>
      <c r="BU668" s="239"/>
      <c r="BV668" s="239"/>
      <c r="BW668" s="239"/>
      <c r="BX668" s="239"/>
      <c r="BY668" s="239"/>
      <c r="BZ668" s="239"/>
      <c r="CA668" s="239"/>
      <c r="CB668" s="239"/>
      <c r="CC668" s="239"/>
      <c r="CD668" s="239"/>
      <c r="CE668" s="239"/>
      <c r="CF668" s="239"/>
      <c r="CG668" s="239"/>
    </row>
    <row r="669" spans="1:85" ht="15.75" customHeight="1">
      <c r="A669" s="239"/>
      <c r="B669" s="239"/>
      <c r="C669" s="239"/>
      <c r="D669" s="239"/>
      <c r="E669" s="239"/>
      <c r="F669" s="239"/>
      <c r="G669" s="239"/>
      <c r="H669" s="239"/>
      <c r="I669" s="239"/>
      <c r="J669" s="239"/>
      <c r="K669" s="239"/>
      <c r="L669" s="239"/>
      <c r="M669" s="239"/>
      <c r="N669" s="239"/>
      <c r="O669" s="239"/>
      <c r="P669" s="239"/>
      <c r="Q669" s="239"/>
      <c r="R669" s="239"/>
      <c r="S669" s="239"/>
      <c r="T669" s="239"/>
      <c r="U669" s="239"/>
      <c r="V669" s="239"/>
      <c r="W669" s="239"/>
      <c r="X669" s="239"/>
      <c r="Y669" s="239"/>
      <c r="Z669" s="239"/>
      <c r="AA669" s="239"/>
      <c r="AB669" s="239"/>
      <c r="AC669" s="239"/>
      <c r="AD669" s="239"/>
      <c r="AE669" s="239"/>
      <c r="AF669" s="239"/>
      <c r="AG669" s="239"/>
      <c r="AH669" s="239"/>
      <c r="AI669" s="239"/>
      <c r="AJ669" s="239"/>
      <c r="AK669" s="239"/>
      <c r="AL669" s="239"/>
      <c r="AM669" s="239"/>
      <c r="AN669" s="239"/>
      <c r="AO669" s="239"/>
      <c r="AP669" s="239"/>
      <c r="AQ669" s="239"/>
      <c r="AR669" s="239"/>
      <c r="AS669" s="239"/>
      <c r="AT669" s="239"/>
      <c r="AU669" s="239"/>
      <c r="AV669" s="239"/>
      <c r="AW669" s="239"/>
      <c r="AX669" s="239"/>
      <c r="AY669" s="239"/>
      <c r="AZ669" s="239"/>
      <c r="BA669" s="239"/>
      <c r="BB669" s="239"/>
      <c r="BC669" s="239"/>
      <c r="BD669" s="239"/>
      <c r="BE669" s="239"/>
      <c r="BF669" s="239"/>
      <c r="BG669" s="239"/>
      <c r="BH669" s="239"/>
      <c r="BI669" s="239"/>
      <c r="BJ669" s="239"/>
      <c r="BK669" s="239"/>
      <c r="BL669" s="239"/>
      <c r="BM669" s="239"/>
      <c r="BN669" s="239"/>
      <c r="BO669" s="239"/>
      <c r="BP669" s="239"/>
      <c r="BQ669" s="239"/>
      <c r="BR669" s="239"/>
      <c r="BS669" s="239"/>
      <c r="BT669" s="239"/>
      <c r="BU669" s="239"/>
      <c r="BV669" s="239"/>
      <c r="BW669" s="239"/>
      <c r="BX669" s="239"/>
      <c r="BY669" s="239"/>
      <c r="BZ669" s="239"/>
      <c r="CA669" s="239"/>
      <c r="CB669" s="239"/>
      <c r="CC669" s="239"/>
      <c r="CD669" s="239"/>
      <c r="CE669" s="239"/>
      <c r="CF669" s="239"/>
      <c r="CG669" s="239"/>
    </row>
    <row r="670" spans="1:85" ht="15.75" customHeight="1">
      <c r="A670" s="239"/>
      <c r="B670" s="239"/>
      <c r="C670" s="239"/>
      <c r="D670" s="239"/>
      <c r="E670" s="239"/>
      <c r="F670" s="239"/>
      <c r="G670" s="239"/>
      <c r="H670" s="239"/>
      <c r="I670" s="239"/>
      <c r="J670" s="239"/>
      <c r="K670" s="239"/>
      <c r="L670" s="239"/>
      <c r="M670" s="239"/>
      <c r="N670" s="239"/>
      <c r="O670" s="239"/>
      <c r="P670" s="239"/>
      <c r="Q670" s="239"/>
      <c r="R670" s="239"/>
      <c r="S670" s="239"/>
      <c r="T670" s="239"/>
      <c r="U670" s="239"/>
      <c r="V670" s="239"/>
      <c r="W670" s="239"/>
      <c r="X670" s="239"/>
      <c r="Y670" s="239"/>
      <c r="Z670" s="239"/>
      <c r="AA670" s="239"/>
      <c r="AB670" s="239"/>
      <c r="AC670" s="239"/>
      <c r="AD670" s="239"/>
      <c r="AE670" s="239"/>
      <c r="AF670" s="239"/>
      <c r="AG670" s="239"/>
      <c r="AH670" s="239"/>
      <c r="AI670" s="239"/>
      <c r="AJ670" s="239"/>
      <c r="AK670" s="239"/>
      <c r="AL670" s="239"/>
      <c r="AM670" s="239"/>
      <c r="AN670" s="239"/>
      <c r="AO670" s="239"/>
      <c r="AP670" s="239"/>
      <c r="AQ670" s="239"/>
      <c r="AR670" s="239"/>
      <c r="AS670" s="239"/>
      <c r="AT670" s="239"/>
      <c r="AU670" s="239"/>
      <c r="AV670" s="239"/>
      <c r="AW670" s="239"/>
      <c r="AX670" s="239"/>
      <c r="AY670" s="239"/>
      <c r="AZ670" s="239"/>
      <c r="BA670" s="239"/>
      <c r="BB670" s="239"/>
      <c r="BC670" s="239"/>
      <c r="BD670" s="239"/>
      <c r="BE670" s="239"/>
      <c r="BF670" s="239"/>
      <c r="BG670" s="239"/>
      <c r="BH670" s="239"/>
      <c r="BI670" s="239"/>
      <c r="BJ670" s="239"/>
      <c r="BK670" s="239"/>
      <c r="BL670" s="239"/>
      <c r="BM670" s="239"/>
      <c r="BN670" s="239"/>
      <c r="BO670" s="239"/>
      <c r="BP670" s="239"/>
      <c r="BQ670" s="239"/>
      <c r="BR670" s="239"/>
      <c r="BS670" s="239"/>
      <c r="BT670" s="239"/>
      <c r="BU670" s="239"/>
      <c r="BV670" s="239"/>
      <c r="BW670" s="239"/>
      <c r="BX670" s="239"/>
      <c r="BY670" s="239"/>
      <c r="BZ670" s="239"/>
      <c r="CA670" s="239"/>
      <c r="CB670" s="239"/>
      <c r="CC670" s="239"/>
      <c r="CD670" s="239"/>
      <c r="CE670" s="239"/>
      <c r="CF670" s="239"/>
      <c r="CG670" s="239"/>
    </row>
    <row r="671" spans="1:85" ht="15.75" customHeight="1">
      <c r="A671" s="239"/>
      <c r="B671" s="239"/>
      <c r="C671" s="239"/>
      <c r="D671" s="239"/>
      <c r="E671" s="239"/>
      <c r="F671" s="239"/>
      <c r="G671" s="239"/>
      <c r="H671" s="239"/>
      <c r="I671" s="239"/>
      <c r="J671" s="239"/>
      <c r="K671" s="239"/>
      <c r="L671" s="239"/>
      <c r="M671" s="239"/>
      <c r="N671" s="239"/>
      <c r="O671" s="239"/>
      <c r="P671" s="239"/>
      <c r="Q671" s="239"/>
      <c r="R671" s="239"/>
      <c r="S671" s="239"/>
      <c r="T671" s="239"/>
      <c r="U671" s="239"/>
      <c r="V671" s="239"/>
      <c r="W671" s="239"/>
      <c r="X671" s="239"/>
      <c r="Y671" s="239"/>
      <c r="Z671" s="239"/>
      <c r="AA671" s="239"/>
      <c r="AB671" s="239"/>
      <c r="AC671" s="239"/>
      <c r="AD671" s="239"/>
      <c r="AE671" s="239"/>
      <c r="AF671" s="239"/>
      <c r="AG671" s="239"/>
      <c r="AH671" s="239"/>
      <c r="AI671" s="239"/>
      <c r="AJ671" s="239"/>
      <c r="AK671" s="239"/>
      <c r="AL671" s="239"/>
      <c r="AM671" s="239"/>
      <c r="AN671" s="239"/>
      <c r="AO671" s="239"/>
      <c r="AP671" s="239"/>
      <c r="AQ671" s="239"/>
      <c r="AR671" s="239"/>
      <c r="AS671" s="239"/>
      <c r="AT671" s="239"/>
      <c r="AU671" s="239"/>
      <c r="AV671" s="239"/>
      <c r="AW671" s="239"/>
      <c r="AX671" s="239"/>
      <c r="AY671" s="239"/>
      <c r="AZ671" s="239"/>
      <c r="BA671" s="239"/>
      <c r="BB671" s="239"/>
      <c r="BC671" s="239"/>
      <c r="BD671" s="239"/>
      <c r="BE671" s="239"/>
      <c r="BF671" s="239"/>
      <c r="BG671" s="239"/>
      <c r="BH671" s="239"/>
      <c r="BI671" s="239"/>
      <c r="BJ671" s="239"/>
      <c r="BK671" s="239"/>
      <c r="BL671" s="239"/>
      <c r="BM671" s="239"/>
      <c r="BN671" s="239"/>
      <c r="BO671" s="239"/>
      <c r="BP671" s="239"/>
      <c r="BQ671" s="239"/>
      <c r="BR671" s="239"/>
      <c r="BS671" s="239"/>
      <c r="BT671" s="239"/>
      <c r="BU671" s="239"/>
      <c r="BV671" s="239"/>
      <c r="BW671" s="239"/>
      <c r="BX671" s="239"/>
      <c r="BY671" s="239"/>
      <c r="BZ671" s="239"/>
      <c r="CA671" s="239"/>
      <c r="CB671" s="239"/>
      <c r="CC671" s="239"/>
      <c r="CD671" s="239"/>
      <c r="CE671" s="239"/>
      <c r="CF671" s="239"/>
      <c r="CG671" s="239"/>
    </row>
    <row r="672" spans="1:85" ht="15.75" customHeight="1">
      <c r="A672" s="239"/>
      <c r="B672" s="239"/>
      <c r="C672" s="239"/>
      <c r="D672" s="239"/>
      <c r="E672" s="239"/>
      <c r="F672" s="239"/>
      <c r="G672" s="239"/>
      <c r="H672" s="239"/>
      <c r="I672" s="239"/>
      <c r="J672" s="239"/>
      <c r="K672" s="239"/>
      <c r="L672" s="239"/>
      <c r="M672" s="239"/>
      <c r="N672" s="239"/>
      <c r="O672" s="239"/>
      <c r="P672" s="239"/>
      <c r="Q672" s="239"/>
      <c r="R672" s="239"/>
      <c r="S672" s="239"/>
      <c r="T672" s="239"/>
      <c r="U672" s="239"/>
      <c r="V672" s="239"/>
      <c r="W672" s="239"/>
      <c r="X672" s="239"/>
      <c r="Y672" s="239"/>
      <c r="Z672" s="239"/>
      <c r="AA672" s="239"/>
      <c r="AB672" s="239"/>
      <c r="AC672" s="239"/>
      <c r="AD672" s="239"/>
      <c r="AE672" s="239"/>
      <c r="AF672" s="239"/>
      <c r="AG672" s="239"/>
      <c r="AH672" s="239"/>
      <c r="AI672" s="239"/>
      <c r="AJ672" s="239"/>
      <c r="AK672" s="239"/>
      <c r="AL672" s="239"/>
      <c r="AM672" s="239"/>
      <c r="AN672" s="239"/>
      <c r="AO672" s="239"/>
      <c r="AP672" s="239"/>
      <c r="AQ672" s="239"/>
      <c r="AR672" s="239"/>
      <c r="AS672" s="239"/>
      <c r="AT672" s="239"/>
      <c r="AU672" s="239"/>
      <c r="AV672" s="239"/>
      <c r="AW672" s="239"/>
      <c r="AX672" s="239"/>
      <c r="AY672" s="239"/>
      <c r="AZ672" s="239"/>
      <c r="BA672" s="239"/>
      <c r="BB672" s="239"/>
      <c r="BC672" s="239"/>
      <c r="BD672" s="239"/>
      <c r="BE672" s="239"/>
      <c r="BF672" s="239"/>
      <c r="BG672" s="239"/>
      <c r="BH672" s="239"/>
      <c r="BI672" s="239"/>
      <c r="BJ672" s="239"/>
      <c r="BK672" s="239"/>
      <c r="BL672" s="239"/>
      <c r="BM672" s="239"/>
      <c r="BN672" s="239"/>
      <c r="BO672" s="239"/>
      <c r="BP672" s="239"/>
      <c r="BQ672" s="239"/>
      <c r="BR672" s="239"/>
      <c r="BS672" s="239"/>
      <c r="BT672" s="239"/>
      <c r="BU672" s="239"/>
      <c r="BV672" s="239"/>
      <c r="BW672" s="239"/>
      <c r="BX672" s="239"/>
      <c r="BY672" s="239"/>
      <c r="BZ672" s="239"/>
      <c r="CA672" s="239"/>
      <c r="CB672" s="239"/>
      <c r="CC672" s="239"/>
      <c r="CD672" s="239"/>
      <c r="CE672" s="239"/>
      <c r="CF672" s="239"/>
      <c r="CG672" s="239"/>
    </row>
    <row r="673" spans="1:85" ht="15.75" customHeight="1">
      <c r="A673" s="239"/>
      <c r="B673" s="239"/>
      <c r="C673" s="239"/>
      <c r="D673" s="239"/>
      <c r="E673" s="239"/>
      <c r="F673" s="239"/>
      <c r="G673" s="239"/>
      <c r="H673" s="239"/>
      <c r="I673" s="239"/>
      <c r="J673" s="239"/>
      <c r="K673" s="239"/>
      <c r="L673" s="239"/>
      <c r="M673" s="239"/>
      <c r="N673" s="239"/>
      <c r="O673" s="239"/>
      <c r="P673" s="239"/>
      <c r="Q673" s="239"/>
      <c r="R673" s="239"/>
      <c r="S673" s="239"/>
      <c r="T673" s="239"/>
      <c r="U673" s="239"/>
      <c r="V673" s="239"/>
      <c r="W673" s="239"/>
      <c r="X673" s="239"/>
      <c r="Y673" s="239"/>
      <c r="Z673" s="239"/>
      <c r="AA673" s="239"/>
      <c r="AB673" s="239"/>
      <c r="AC673" s="239"/>
      <c r="AD673" s="239"/>
      <c r="AE673" s="239"/>
      <c r="AF673" s="239"/>
      <c r="AG673" s="239"/>
      <c r="AH673" s="239"/>
      <c r="AI673" s="239"/>
      <c r="AJ673" s="239"/>
      <c r="AK673" s="239"/>
      <c r="AL673" s="239"/>
      <c r="AM673" s="239"/>
      <c r="AN673" s="239"/>
      <c r="AO673" s="239"/>
      <c r="AP673" s="239"/>
      <c r="AQ673" s="239"/>
      <c r="AR673" s="239"/>
      <c r="AS673" s="239"/>
      <c r="AT673" s="239"/>
      <c r="AU673" s="239"/>
      <c r="AV673" s="239"/>
      <c r="AW673" s="239"/>
      <c r="AX673" s="239"/>
      <c r="AY673" s="239"/>
      <c r="AZ673" s="239"/>
      <c r="BA673" s="239"/>
      <c r="BB673" s="239"/>
      <c r="BC673" s="239"/>
      <c r="BD673" s="239"/>
      <c r="BE673" s="239"/>
      <c r="BF673" s="239"/>
      <c r="BG673" s="239"/>
      <c r="BH673" s="239"/>
      <c r="BI673" s="239"/>
      <c r="BJ673" s="239"/>
      <c r="BK673" s="239"/>
      <c r="BL673" s="239"/>
      <c r="BM673" s="239"/>
      <c r="BN673" s="239"/>
      <c r="BO673" s="239"/>
      <c r="BP673" s="239"/>
      <c r="BQ673" s="239"/>
      <c r="BR673" s="239"/>
      <c r="BS673" s="239"/>
      <c r="BT673" s="239"/>
      <c r="BU673" s="239"/>
      <c r="BV673" s="239"/>
      <c r="BW673" s="239"/>
      <c r="BX673" s="239"/>
      <c r="BY673" s="239"/>
      <c r="BZ673" s="239"/>
      <c r="CA673" s="239"/>
      <c r="CB673" s="239"/>
      <c r="CC673" s="239"/>
      <c r="CD673" s="239"/>
      <c r="CE673" s="239"/>
      <c r="CF673" s="239"/>
      <c r="CG673" s="239"/>
    </row>
    <row r="674" spans="1:85" ht="15.75" customHeight="1">
      <c r="A674" s="239"/>
      <c r="B674" s="239"/>
      <c r="C674" s="239"/>
      <c r="D674" s="239"/>
      <c r="E674" s="239"/>
      <c r="F674" s="239"/>
      <c r="G674" s="239"/>
      <c r="H674" s="239"/>
      <c r="I674" s="239"/>
      <c r="J674" s="239"/>
      <c r="K674" s="239"/>
      <c r="L674" s="239"/>
      <c r="M674" s="239"/>
      <c r="N674" s="239"/>
      <c r="O674" s="239"/>
      <c r="P674" s="239"/>
      <c r="Q674" s="239"/>
      <c r="R674" s="239"/>
      <c r="S674" s="239"/>
      <c r="T674" s="239"/>
      <c r="U674" s="239"/>
      <c r="V674" s="239"/>
      <c r="W674" s="239"/>
      <c r="X674" s="239"/>
      <c r="Y674" s="239"/>
      <c r="Z674" s="239"/>
      <c r="AA674" s="239"/>
      <c r="AB674" s="239"/>
      <c r="AC674" s="239"/>
      <c r="AD674" s="239"/>
      <c r="AE674" s="239"/>
      <c r="AF674" s="239"/>
      <c r="AG674" s="239"/>
      <c r="AH674" s="239"/>
      <c r="AI674" s="239"/>
      <c r="AJ674" s="239"/>
      <c r="AK674" s="239"/>
      <c r="AL674" s="239"/>
      <c r="AM674" s="239"/>
      <c r="AN674" s="239"/>
      <c r="AO674" s="239"/>
      <c r="AP674" s="239"/>
      <c r="AQ674" s="239"/>
      <c r="AR674" s="239"/>
      <c r="AS674" s="239"/>
      <c r="AT674" s="239"/>
      <c r="AU674" s="239"/>
      <c r="AV674" s="239"/>
      <c r="AW674" s="239"/>
      <c r="AX674" s="239"/>
      <c r="AY674" s="239"/>
      <c r="AZ674" s="239"/>
      <c r="BA674" s="239"/>
      <c r="BB674" s="239"/>
      <c r="BC674" s="239"/>
      <c r="BD674" s="239"/>
      <c r="BE674" s="239"/>
      <c r="BF674" s="239"/>
      <c r="BG674" s="239"/>
      <c r="BH674" s="239"/>
      <c r="BI674" s="239"/>
      <c r="BJ674" s="239"/>
      <c r="BK674" s="239"/>
      <c r="BL674" s="239"/>
      <c r="BM674" s="239"/>
      <c r="BN674" s="239"/>
      <c r="BO674" s="239"/>
      <c r="BP674" s="239"/>
      <c r="BQ674" s="239"/>
      <c r="BR674" s="239"/>
      <c r="BS674" s="239"/>
      <c r="BT674" s="239"/>
      <c r="BU674" s="239"/>
      <c r="BV674" s="239"/>
      <c r="BW674" s="239"/>
      <c r="BX674" s="239"/>
      <c r="BY674" s="239"/>
      <c r="BZ674" s="239"/>
      <c r="CA674" s="239"/>
      <c r="CB674" s="239"/>
      <c r="CC674" s="239"/>
      <c r="CD674" s="239"/>
      <c r="CE674" s="239"/>
      <c r="CF674" s="239"/>
      <c r="CG674" s="239"/>
    </row>
    <row r="675" spans="1:85" ht="15.75" customHeight="1">
      <c r="A675" s="239"/>
      <c r="B675" s="239"/>
      <c r="C675" s="239"/>
      <c r="D675" s="239"/>
      <c r="E675" s="239"/>
      <c r="F675" s="239"/>
      <c r="G675" s="239"/>
      <c r="H675" s="239"/>
      <c r="I675" s="239"/>
      <c r="J675" s="239"/>
      <c r="K675" s="239"/>
      <c r="L675" s="239"/>
      <c r="M675" s="239"/>
      <c r="N675" s="239"/>
      <c r="O675" s="239"/>
      <c r="P675" s="239"/>
      <c r="Q675" s="239"/>
      <c r="R675" s="239"/>
      <c r="S675" s="239"/>
      <c r="T675" s="239"/>
      <c r="U675" s="239"/>
      <c r="V675" s="239"/>
      <c r="W675" s="239"/>
      <c r="X675" s="239"/>
      <c r="Y675" s="239"/>
      <c r="Z675" s="239"/>
      <c r="AA675" s="239"/>
      <c r="AB675" s="239"/>
      <c r="AC675" s="239"/>
      <c r="AD675" s="239"/>
      <c r="AE675" s="239"/>
      <c r="AF675" s="239"/>
      <c r="AG675" s="239"/>
      <c r="AH675" s="239"/>
      <c r="AI675" s="239"/>
      <c r="AJ675" s="239"/>
      <c r="AK675" s="239"/>
      <c r="AL675" s="239"/>
      <c r="AM675" s="239"/>
      <c r="AN675" s="239"/>
      <c r="AO675" s="239"/>
      <c r="AP675" s="239"/>
      <c r="AQ675" s="239"/>
      <c r="AR675" s="239"/>
      <c r="AS675" s="239"/>
      <c r="AT675" s="239"/>
      <c r="AU675" s="239"/>
      <c r="AV675" s="239"/>
      <c r="AW675" s="239"/>
      <c r="AX675" s="239"/>
      <c r="AY675" s="239"/>
      <c r="AZ675" s="239"/>
      <c r="BA675" s="239"/>
      <c r="BB675" s="239"/>
      <c r="BC675" s="239"/>
      <c r="BD675" s="239"/>
      <c r="BE675" s="239"/>
      <c r="BF675" s="239"/>
      <c r="BG675" s="239"/>
      <c r="BH675" s="239"/>
      <c r="BI675" s="239"/>
      <c r="BJ675" s="239"/>
      <c r="BK675" s="239"/>
      <c r="BL675" s="239"/>
      <c r="BM675" s="239"/>
      <c r="BN675" s="239"/>
      <c r="BO675" s="239"/>
      <c r="BP675" s="239"/>
      <c r="BQ675" s="239"/>
      <c r="BR675" s="239"/>
      <c r="BS675" s="239"/>
      <c r="BT675" s="239"/>
      <c r="BU675" s="239"/>
      <c r="BV675" s="239"/>
      <c r="BW675" s="239"/>
      <c r="BX675" s="239"/>
      <c r="BY675" s="239"/>
      <c r="BZ675" s="239"/>
      <c r="CA675" s="239"/>
      <c r="CB675" s="239"/>
      <c r="CC675" s="239"/>
      <c r="CD675" s="239"/>
      <c r="CE675" s="239"/>
      <c r="CF675" s="239"/>
      <c r="CG675" s="239"/>
    </row>
    <row r="676" spans="1:85" ht="15.75" customHeight="1">
      <c r="A676" s="239"/>
      <c r="B676" s="239"/>
      <c r="C676" s="239"/>
      <c r="D676" s="239"/>
      <c r="E676" s="239"/>
      <c r="F676" s="239"/>
      <c r="G676" s="239"/>
      <c r="H676" s="239"/>
      <c r="I676" s="239"/>
      <c r="J676" s="239"/>
      <c r="K676" s="239"/>
      <c r="L676" s="239"/>
      <c r="M676" s="239"/>
      <c r="N676" s="239"/>
      <c r="O676" s="239"/>
      <c r="P676" s="239"/>
      <c r="Q676" s="239"/>
      <c r="R676" s="239"/>
      <c r="S676" s="239"/>
      <c r="T676" s="239"/>
      <c r="U676" s="239"/>
      <c r="V676" s="239"/>
      <c r="W676" s="239"/>
      <c r="X676" s="239"/>
      <c r="Y676" s="239"/>
      <c r="Z676" s="239"/>
      <c r="AA676" s="239"/>
      <c r="AB676" s="239"/>
      <c r="AC676" s="239"/>
      <c r="AD676" s="239"/>
      <c r="AE676" s="239"/>
      <c r="AF676" s="239"/>
      <c r="AG676" s="239"/>
      <c r="AH676" s="239"/>
      <c r="AI676" s="239"/>
      <c r="AJ676" s="239"/>
      <c r="AK676" s="239"/>
      <c r="AL676" s="239"/>
      <c r="AM676" s="239"/>
      <c r="AN676" s="239"/>
      <c r="AO676" s="239"/>
      <c r="AP676" s="239"/>
      <c r="AQ676" s="239"/>
      <c r="AR676" s="239"/>
      <c r="AS676" s="239"/>
      <c r="AT676" s="239"/>
      <c r="AU676" s="239"/>
      <c r="AV676" s="239"/>
      <c r="AW676" s="239"/>
      <c r="AX676" s="239"/>
      <c r="AY676" s="239"/>
      <c r="AZ676" s="239"/>
      <c r="BA676" s="239"/>
      <c r="BB676" s="239"/>
      <c r="BC676" s="239"/>
      <c r="BD676" s="239"/>
      <c r="BE676" s="239"/>
      <c r="BF676" s="239"/>
      <c r="BG676" s="239"/>
      <c r="BH676" s="239"/>
      <c r="BI676" s="239"/>
      <c r="BJ676" s="239"/>
      <c r="BK676" s="239"/>
      <c r="BL676" s="239"/>
      <c r="BM676" s="239"/>
      <c r="BN676" s="239"/>
      <c r="BO676" s="239"/>
      <c r="BP676" s="239"/>
      <c r="BQ676" s="239"/>
      <c r="BR676" s="239"/>
      <c r="BS676" s="239"/>
      <c r="BT676" s="239"/>
      <c r="BU676" s="239"/>
      <c r="BV676" s="239"/>
      <c r="BW676" s="239"/>
      <c r="BX676" s="239"/>
      <c r="BY676" s="239"/>
      <c r="BZ676" s="239"/>
      <c r="CA676" s="239"/>
      <c r="CB676" s="239"/>
      <c r="CC676" s="239"/>
      <c r="CD676" s="239"/>
      <c r="CE676" s="239"/>
      <c r="CF676" s="239"/>
      <c r="CG676" s="239"/>
    </row>
    <row r="677" spans="1:85" ht="15.75" customHeight="1">
      <c r="A677" s="239"/>
      <c r="B677" s="239"/>
      <c r="C677" s="239"/>
      <c r="D677" s="239"/>
      <c r="E677" s="239"/>
      <c r="F677" s="239"/>
      <c r="G677" s="239"/>
      <c r="H677" s="239"/>
      <c r="I677" s="239"/>
      <c r="J677" s="239"/>
      <c r="K677" s="239"/>
      <c r="L677" s="239"/>
      <c r="M677" s="239"/>
      <c r="N677" s="239"/>
      <c r="O677" s="239"/>
      <c r="P677" s="239"/>
      <c r="Q677" s="239"/>
      <c r="R677" s="239"/>
      <c r="S677" s="239"/>
      <c r="T677" s="239"/>
      <c r="U677" s="239"/>
      <c r="V677" s="239"/>
      <c r="W677" s="239"/>
      <c r="X677" s="239"/>
      <c r="Y677" s="239"/>
      <c r="Z677" s="239"/>
      <c r="AA677" s="239"/>
      <c r="AB677" s="239"/>
      <c r="AC677" s="239"/>
      <c r="AD677" s="239"/>
      <c r="AE677" s="239"/>
      <c r="AF677" s="239"/>
      <c r="AG677" s="239"/>
      <c r="AH677" s="239"/>
      <c r="AI677" s="239"/>
      <c r="AJ677" s="239"/>
      <c r="AK677" s="239"/>
      <c r="AL677" s="239"/>
      <c r="AM677" s="239"/>
      <c r="AN677" s="239"/>
      <c r="AO677" s="239"/>
      <c r="AP677" s="239"/>
      <c r="AQ677" s="239"/>
      <c r="AR677" s="239"/>
      <c r="AS677" s="239"/>
      <c r="AT677" s="239"/>
      <c r="AU677" s="239"/>
      <c r="AV677" s="239"/>
      <c r="AW677" s="239"/>
      <c r="AX677" s="239"/>
      <c r="AY677" s="239"/>
      <c r="AZ677" s="239"/>
      <c r="BA677" s="239"/>
      <c r="BB677" s="239"/>
      <c r="BC677" s="239"/>
      <c r="BD677" s="239"/>
      <c r="BE677" s="239"/>
      <c r="BF677" s="239"/>
      <c r="BG677" s="239"/>
      <c r="BH677" s="239"/>
      <c r="BI677" s="239"/>
      <c r="BJ677" s="239"/>
      <c r="BK677" s="239"/>
      <c r="BL677" s="239"/>
      <c r="BM677" s="239"/>
      <c r="BN677" s="239"/>
      <c r="BO677" s="239"/>
      <c r="BP677" s="239"/>
      <c r="BQ677" s="239"/>
      <c r="BR677" s="239"/>
      <c r="BS677" s="239"/>
      <c r="BT677" s="239"/>
      <c r="BU677" s="239"/>
      <c r="BV677" s="239"/>
      <c r="BW677" s="239"/>
      <c r="BX677" s="239"/>
      <c r="BY677" s="239"/>
      <c r="BZ677" s="239"/>
      <c r="CA677" s="239"/>
      <c r="CB677" s="239"/>
      <c r="CC677" s="239"/>
      <c r="CD677" s="239"/>
      <c r="CE677" s="239"/>
      <c r="CF677" s="239"/>
      <c r="CG677" s="239"/>
    </row>
    <row r="678" spans="1:85" ht="15.75" customHeight="1">
      <c r="A678" s="239"/>
      <c r="B678" s="239"/>
      <c r="C678" s="239"/>
      <c r="D678" s="239"/>
      <c r="E678" s="239"/>
      <c r="F678" s="239"/>
      <c r="G678" s="239"/>
      <c r="H678" s="239"/>
      <c r="I678" s="239"/>
      <c r="J678" s="239"/>
      <c r="K678" s="239"/>
      <c r="L678" s="239"/>
      <c r="M678" s="239"/>
      <c r="N678" s="239"/>
      <c r="O678" s="239"/>
      <c r="P678" s="239"/>
      <c r="Q678" s="239"/>
      <c r="R678" s="239"/>
      <c r="S678" s="239"/>
      <c r="T678" s="239"/>
      <c r="U678" s="239"/>
      <c r="V678" s="239"/>
      <c r="W678" s="239"/>
      <c r="X678" s="239"/>
      <c r="Y678" s="239"/>
      <c r="Z678" s="239"/>
      <c r="AA678" s="239"/>
      <c r="AB678" s="239"/>
      <c r="AC678" s="239"/>
      <c r="AD678" s="239"/>
      <c r="AE678" s="239"/>
      <c r="AF678" s="239"/>
      <c r="AG678" s="239"/>
      <c r="AH678" s="239"/>
      <c r="AI678" s="239"/>
      <c r="AJ678" s="239"/>
      <c r="AK678" s="239"/>
      <c r="AL678" s="239"/>
      <c r="AM678" s="239"/>
      <c r="AN678" s="239"/>
      <c r="AO678" s="239"/>
      <c r="AP678" s="239"/>
      <c r="AQ678" s="239"/>
      <c r="AR678" s="239"/>
      <c r="AS678" s="239"/>
      <c r="AT678" s="239"/>
      <c r="AU678" s="239"/>
      <c r="AV678" s="239"/>
      <c r="AW678" s="239"/>
      <c r="AX678" s="239"/>
      <c r="AY678" s="239"/>
      <c r="AZ678" s="239"/>
      <c r="BA678" s="239"/>
      <c r="BB678" s="239"/>
      <c r="BC678" s="239"/>
      <c r="BD678" s="239"/>
      <c r="BE678" s="239"/>
      <c r="BF678" s="239"/>
      <c r="BG678" s="239"/>
      <c r="BH678" s="239"/>
      <c r="BI678" s="239"/>
      <c r="BJ678" s="239"/>
      <c r="BK678" s="239"/>
      <c r="BL678" s="239"/>
      <c r="BM678" s="239"/>
      <c r="BN678" s="239"/>
      <c r="BO678" s="239"/>
      <c r="BP678" s="239"/>
      <c r="BQ678" s="239"/>
      <c r="BR678" s="239"/>
      <c r="BS678" s="239"/>
      <c r="BT678" s="239"/>
      <c r="BU678" s="239"/>
      <c r="BV678" s="239"/>
      <c r="BW678" s="239"/>
      <c r="BX678" s="239"/>
      <c r="BY678" s="239"/>
      <c r="BZ678" s="239"/>
      <c r="CA678" s="239"/>
      <c r="CB678" s="239"/>
      <c r="CC678" s="239"/>
      <c r="CD678" s="239"/>
      <c r="CE678" s="239"/>
      <c r="CF678" s="239"/>
      <c r="CG678" s="239"/>
    </row>
    <row r="679" spans="1:85" ht="15.75" customHeight="1">
      <c r="A679" s="239"/>
      <c r="B679" s="239"/>
      <c r="C679" s="239"/>
      <c r="D679" s="239"/>
      <c r="E679" s="239"/>
      <c r="F679" s="239"/>
      <c r="G679" s="239"/>
      <c r="H679" s="239"/>
      <c r="I679" s="239"/>
      <c r="J679" s="239"/>
      <c r="K679" s="239"/>
      <c r="L679" s="239"/>
      <c r="M679" s="239"/>
      <c r="N679" s="239"/>
      <c r="O679" s="239"/>
      <c r="P679" s="239"/>
      <c r="Q679" s="239"/>
      <c r="R679" s="239"/>
      <c r="S679" s="239"/>
      <c r="T679" s="239"/>
      <c r="U679" s="239"/>
      <c r="V679" s="239"/>
      <c r="W679" s="239"/>
      <c r="X679" s="239"/>
      <c r="Y679" s="239"/>
      <c r="Z679" s="239"/>
      <c r="AA679" s="239"/>
      <c r="AB679" s="239"/>
      <c r="AC679" s="239"/>
      <c r="AD679" s="239"/>
      <c r="AE679" s="239"/>
      <c r="AF679" s="239"/>
      <c r="AG679" s="239"/>
      <c r="AH679" s="239"/>
      <c r="AI679" s="239"/>
      <c r="AJ679" s="239"/>
      <c r="AK679" s="239"/>
      <c r="AL679" s="239"/>
      <c r="AM679" s="239"/>
      <c r="AN679" s="239"/>
      <c r="AO679" s="239"/>
      <c r="AP679" s="239"/>
      <c r="AQ679" s="239"/>
      <c r="AR679" s="239"/>
      <c r="AS679" s="239"/>
      <c r="AT679" s="239"/>
      <c r="AU679" s="239"/>
      <c r="AV679" s="239"/>
      <c r="AW679" s="239"/>
      <c r="AX679" s="239"/>
      <c r="AY679" s="239"/>
      <c r="AZ679" s="239"/>
      <c r="BA679" s="239"/>
      <c r="BB679" s="239"/>
      <c r="BC679" s="239"/>
      <c r="BD679" s="239"/>
      <c r="BE679" s="239"/>
      <c r="BF679" s="239"/>
      <c r="BG679" s="239"/>
      <c r="BH679" s="239"/>
      <c r="BI679" s="239"/>
      <c r="BJ679" s="239"/>
      <c r="BK679" s="239"/>
      <c r="BL679" s="239"/>
      <c r="BM679" s="239"/>
      <c r="BN679" s="239"/>
      <c r="BO679" s="239"/>
      <c r="BP679" s="239"/>
      <c r="BQ679" s="239"/>
      <c r="BR679" s="239"/>
      <c r="BS679" s="239"/>
      <c r="BT679" s="239"/>
      <c r="BU679" s="239"/>
      <c r="BV679" s="239"/>
      <c r="BW679" s="239"/>
      <c r="BX679" s="239"/>
      <c r="BY679" s="239"/>
      <c r="BZ679" s="239"/>
      <c r="CA679" s="239"/>
      <c r="CB679" s="239"/>
      <c r="CC679" s="239"/>
      <c r="CD679" s="239"/>
      <c r="CE679" s="239"/>
      <c r="CF679" s="239"/>
      <c r="CG679" s="239"/>
    </row>
    <row r="680" spans="1:85" ht="15.75" customHeight="1">
      <c r="A680" s="239"/>
      <c r="B680" s="239"/>
      <c r="C680" s="239"/>
      <c r="D680" s="239"/>
      <c r="E680" s="239"/>
      <c r="F680" s="239"/>
      <c r="G680" s="239"/>
      <c r="H680" s="239"/>
      <c r="I680" s="239"/>
      <c r="J680" s="239"/>
      <c r="K680" s="239"/>
      <c r="L680" s="239"/>
      <c r="M680" s="239"/>
      <c r="N680" s="239"/>
      <c r="O680" s="239"/>
      <c r="P680" s="239"/>
      <c r="Q680" s="239"/>
      <c r="R680" s="239"/>
      <c r="S680" s="239"/>
      <c r="T680" s="239"/>
      <c r="U680" s="239"/>
      <c r="V680" s="239"/>
      <c r="W680" s="239"/>
      <c r="X680" s="239"/>
      <c r="Y680" s="239"/>
      <c r="Z680" s="239"/>
      <c r="AA680" s="239"/>
      <c r="AB680" s="239"/>
      <c r="AC680" s="239"/>
      <c r="AD680" s="239"/>
      <c r="AE680" s="239"/>
      <c r="AF680" s="239"/>
      <c r="AG680" s="239"/>
      <c r="AH680" s="239"/>
      <c r="AI680" s="239"/>
      <c r="AJ680" s="239"/>
      <c r="AK680" s="239"/>
      <c r="AL680" s="239"/>
      <c r="AM680" s="239"/>
      <c r="AN680" s="239"/>
      <c r="AO680" s="239"/>
      <c r="AP680" s="239"/>
      <c r="AQ680" s="239"/>
      <c r="AR680" s="239"/>
      <c r="AS680" s="239"/>
      <c r="AT680" s="239"/>
      <c r="AU680" s="239"/>
      <c r="AV680" s="239"/>
      <c r="AW680" s="239"/>
      <c r="AX680" s="239"/>
      <c r="AY680" s="239"/>
      <c r="AZ680" s="239"/>
      <c r="BA680" s="239"/>
      <c r="BB680" s="239"/>
      <c r="BC680" s="239"/>
      <c r="BD680" s="239"/>
      <c r="BE680" s="239"/>
      <c r="BF680" s="239"/>
      <c r="BG680" s="239"/>
      <c r="BH680" s="239"/>
      <c r="BI680" s="239"/>
      <c r="BJ680" s="239"/>
      <c r="BK680" s="239"/>
      <c r="BL680" s="239"/>
      <c r="BM680" s="239"/>
      <c r="BN680" s="239"/>
      <c r="BO680" s="239"/>
      <c r="BP680" s="239"/>
      <c r="BQ680" s="239"/>
      <c r="BR680" s="239"/>
      <c r="BS680" s="239"/>
      <c r="BT680" s="239"/>
      <c r="BU680" s="239"/>
      <c r="BV680" s="239"/>
      <c r="BW680" s="239"/>
      <c r="BX680" s="239"/>
      <c r="BY680" s="239"/>
      <c r="BZ680" s="239"/>
      <c r="CA680" s="239"/>
      <c r="CB680" s="239"/>
      <c r="CC680" s="239"/>
      <c r="CD680" s="239"/>
      <c r="CE680" s="239"/>
      <c r="CF680" s="239"/>
      <c r="CG680" s="239"/>
    </row>
    <row r="681" spans="1:85" ht="15.75" customHeight="1">
      <c r="A681" s="239"/>
      <c r="B681" s="239"/>
      <c r="C681" s="239"/>
      <c r="D681" s="239"/>
      <c r="E681" s="239"/>
      <c r="F681" s="239"/>
      <c r="G681" s="239"/>
      <c r="H681" s="239"/>
      <c r="I681" s="239"/>
      <c r="J681" s="239"/>
      <c r="K681" s="239"/>
      <c r="L681" s="239"/>
      <c r="M681" s="239"/>
      <c r="N681" s="239"/>
      <c r="O681" s="239"/>
      <c r="P681" s="239"/>
      <c r="Q681" s="239"/>
      <c r="R681" s="239"/>
      <c r="S681" s="239"/>
      <c r="T681" s="239"/>
      <c r="U681" s="239"/>
      <c r="V681" s="239"/>
      <c r="W681" s="239"/>
      <c r="X681" s="239"/>
      <c r="Y681" s="239"/>
      <c r="Z681" s="239"/>
      <c r="AA681" s="239"/>
      <c r="AB681" s="239"/>
      <c r="AC681" s="239"/>
      <c r="AD681" s="239"/>
      <c r="AE681" s="239"/>
      <c r="AF681" s="239"/>
      <c r="AG681" s="239"/>
      <c r="AH681" s="239"/>
      <c r="AI681" s="239"/>
      <c r="AJ681" s="239"/>
      <c r="AK681" s="239"/>
      <c r="AL681" s="239"/>
      <c r="AM681" s="239"/>
      <c r="AN681" s="239"/>
      <c r="AO681" s="239"/>
      <c r="AP681" s="239"/>
      <c r="AQ681" s="239"/>
      <c r="AR681" s="239"/>
      <c r="AS681" s="239"/>
      <c r="AT681" s="239"/>
      <c r="AU681" s="239"/>
      <c r="AV681" s="239"/>
      <c r="AW681" s="239"/>
      <c r="AX681" s="239"/>
      <c r="AY681" s="239"/>
      <c r="AZ681" s="239"/>
      <c r="BA681" s="239"/>
      <c r="BB681" s="239"/>
      <c r="BC681" s="239"/>
      <c r="BD681" s="239"/>
      <c r="BE681" s="239"/>
      <c r="BF681" s="239"/>
      <c r="BG681" s="239"/>
      <c r="BH681" s="239"/>
      <c r="BI681" s="239"/>
      <c r="BJ681" s="239"/>
      <c r="BK681" s="239"/>
      <c r="BL681" s="239"/>
      <c r="BM681" s="239"/>
      <c r="BN681" s="239"/>
      <c r="BO681" s="239"/>
      <c r="BP681" s="239"/>
      <c r="BQ681" s="239"/>
      <c r="BR681" s="239"/>
      <c r="BS681" s="239"/>
      <c r="BT681" s="239"/>
      <c r="BU681" s="239"/>
      <c r="BV681" s="239"/>
      <c r="BW681" s="239"/>
      <c r="BX681" s="239"/>
      <c r="BY681" s="239"/>
      <c r="BZ681" s="239"/>
      <c r="CA681" s="239"/>
      <c r="CB681" s="239"/>
      <c r="CC681" s="239"/>
      <c r="CD681" s="239"/>
      <c r="CE681" s="239"/>
      <c r="CF681" s="239"/>
      <c r="CG681" s="239"/>
    </row>
    <row r="682" spans="1:85" ht="15.75" customHeight="1">
      <c r="A682" s="239"/>
      <c r="B682" s="239"/>
      <c r="C682" s="239"/>
      <c r="D682" s="239"/>
      <c r="E682" s="239"/>
      <c r="F682" s="239"/>
      <c r="G682" s="239"/>
      <c r="H682" s="239"/>
      <c r="I682" s="239"/>
      <c r="J682" s="239"/>
      <c r="K682" s="239"/>
      <c r="L682" s="239"/>
      <c r="M682" s="239"/>
      <c r="N682" s="239"/>
      <c r="O682" s="239"/>
      <c r="P682" s="239"/>
      <c r="Q682" s="239"/>
      <c r="R682" s="239"/>
      <c r="S682" s="239"/>
      <c r="T682" s="239"/>
      <c r="U682" s="239"/>
      <c r="V682" s="239"/>
      <c r="W682" s="239"/>
      <c r="X682" s="239"/>
      <c r="Y682" s="239"/>
      <c r="Z682" s="239"/>
      <c r="AA682" s="239"/>
      <c r="AB682" s="239"/>
      <c r="AC682" s="239"/>
      <c r="AD682" s="239"/>
      <c r="AE682" s="239"/>
      <c r="AF682" s="239"/>
      <c r="AG682" s="239"/>
      <c r="AH682" s="239"/>
      <c r="AI682" s="239"/>
      <c r="AJ682" s="239"/>
      <c r="AK682" s="239"/>
      <c r="AL682" s="239"/>
      <c r="AM682" s="239"/>
      <c r="AN682" s="239"/>
      <c r="AO682" s="239"/>
      <c r="AP682" s="239"/>
      <c r="AQ682" s="239"/>
      <c r="AR682" s="239"/>
      <c r="AS682" s="239"/>
      <c r="AT682" s="239"/>
      <c r="AU682" s="239"/>
      <c r="AV682" s="239"/>
      <c r="AW682" s="239"/>
      <c r="AX682" s="239"/>
      <c r="AY682" s="239"/>
      <c r="AZ682" s="239"/>
      <c r="BA682" s="239"/>
      <c r="BB682" s="239"/>
      <c r="BC682" s="239"/>
      <c r="BD682" s="239"/>
      <c r="BE682" s="239"/>
      <c r="BF682" s="239"/>
      <c r="BG682" s="239"/>
      <c r="BH682" s="239"/>
      <c r="BI682" s="239"/>
      <c r="BJ682" s="239"/>
      <c r="BK682" s="239"/>
      <c r="BL682" s="239"/>
      <c r="BM682" s="239"/>
      <c r="BN682" s="239"/>
      <c r="BO682" s="239"/>
      <c r="BP682" s="239"/>
      <c r="BQ682" s="239"/>
      <c r="BR682" s="239"/>
      <c r="BS682" s="239"/>
      <c r="BT682" s="239"/>
      <c r="BU682" s="239"/>
      <c r="BV682" s="239"/>
      <c r="BW682" s="239"/>
      <c r="BX682" s="239"/>
      <c r="BY682" s="239"/>
      <c r="BZ682" s="239"/>
      <c r="CA682" s="239"/>
      <c r="CB682" s="239"/>
      <c r="CC682" s="239"/>
      <c r="CD682" s="239"/>
      <c r="CE682" s="239"/>
      <c r="CF682" s="239"/>
      <c r="CG682" s="239"/>
    </row>
    <row r="683" spans="1:85" ht="15.75" customHeight="1">
      <c r="A683" s="239"/>
      <c r="B683" s="239"/>
      <c r="C683" s="239"/>
      <c r="D683" s="239"/>
      <c r="E683" s="239"/>
      <c r="F683" s="239"/>
      <c r="G683" s="239"/>
      <c r="H683" s="239"/>
      <c r="I683" s="239"/>
      <c r="J683" s="239"/>
      <c r="K683" s="239"/>
      <c r="L683" s="239"/>
      <c r="M683" s="239"/>
      <c r="N683" s="239"/>
      <c r="O683" s="239"/>
      <c r="P683" s="239"/>
      <c r="Q683" s="239"/>
      <c r="R683" s="239"/>
      <c r="S683" s="239"/>
      <c r="T683" s="239"/>
      <c r="U683" s="239"/>
      <c r="V683" s="239"/>
      <c r="W683" s="239"/>
      <c r="X683" s="239"/>
      <c r="Y683" s="239"/>
      <c r="Z683" s="239"/>
      <c r="AA683" s="239"/>
      <c r="AB683" s="239"/>
      <c r="AC683" s="239"/>
      <c r="AD683" s="239"/>
      <c r="AE683" s="239"/>
      <c r="AF683" s="239"/>
      <c r="AG683" s="239"/>
      <c r="AH683" s="239"/>
      <c r="AI683" s="239"/>
      <c r="AJ683" s="239"/>
      <c r="AK683" s="239"/>
      <c r="AL683" s="239"/>
      <c r="AM683" s="239"/>
      <c r="AN683" s="239"/>
      <c r="AO683" s="239"/>
      <c r="AP683" s="239"/>
      <c r="AQ683" s="239"/>
      <c r="AR683" s="239"/>
      <c r="AS683" s="239"/>
      <c r="AT683" s="239"/>
      <c r="AU683" s="239"/>
      <c r="AV683" s="239"/>
      <c r="AW683" s="239"/>
      <c r="AX683" s="239"/>
      <c r="AY683" s="239"/>
      <c r="AZ683" s="239"/>
      <c r="BA683" s="239"/>
      <c r="BB683" s="239"/>
      <c r="BC683" s="239"/>
      <c r="BD683" s="239"/>
      <c r="BE683" s="239"/>
      <c r="BF683" s="239"/>
      <c r="BG683" s="239"/>
      <c r="BH683" s="239"/>
      <c r="BI683" s="239"/>
      <c r="BJ683" s="239"/>
      <c r="BK683" s="239"/>
      <c r="BL683" s="239"/>
      <c r="BM683" s="239"/>
      <c r="BN683" s="239"/>
      <c r="BO683" s="239"/>
      <c r="BP683" s="239"/>
      <c r="BQ683" s="239"/>
      <c r="BR683" s="239"/>
      <c r="BS683" s="239"/>
      <c r="BT683" s="239"/>
      <c r="BU683" s="239"/>
      <c r="BV683" s="239"/>
      <c r="BW683" s="239"/>
      <c r="BX683" s="239"/>
      <c r="BY683" s="239"/>
      <c r="BZ683" s="239"/>
      <c r="CA683" s="239"/>
      <c r="CB683" s="239"/>
      <c r="CC683" s="239"/>
      <c r="CD683" s="239"/>
      <c r="CE683" s="239"/>
      <c r="CF683" s="239"/>
      <c r="CG683" s="239"/>
    </row>
    <row r="684" spans="1:85" ht="15.75" customHeight="1">
      <c r="A684" s="239"/>
      <c r="B684" s="239"/>
      <c r="C684" s="239"/>
      <c r="D684" s="239"/>
      <c r="E684" s="239"/>
      <c r="F684" s="239"/>
      <c r="G684" s="239"/>
      <c r="H684" s="239"/>
      <c r="I684" s="239"/>
      <c r="J684" s="239"/>
      <c r="K684" s="239"/>
      <c r="L684" s="239"/>
      <c r="M684" s="239"/>
      <c r="N684" s="239"/>
      <c r="O684" s="239"/>
      <c r="P684" s="239"/>
      <c r="Q684" s="239"/>
      <c r="R684" s="239"/>
      <c r="S684" s="239"/>
      <c r="T684" s="239"/>
      <c r="U684" s="239"/>
      <c r="V684" s="239"/>
      <c r="W684" s="239"/>
      <c r="X684" s="239"/>
      <c r="Y684" s="239"/>
      <c r="Z684" s="239"/>
      <c r="AA684" s="239"/>
      <c r="AB684" s="239"/>
      <c r="AC684" s="239"/>
      <c r="AD684" s="239"/>
      <c r="AE684" s="239"/>
      <c r="AF684" s="239"/>
      <c r="AG684" s="239"/>
      <c r="AH684" s="239"/>
      <c r="AI684" s="239"/>
      <c r="AJ684" s="239"/>
      <c r="AK684" s="239"/>
      <c r="AL684" s="239"/>
      <c r="AM684" s="239"/>
      <c r="AN684" s="239"/>
      <c r="AO684" s="239"/>
      <c r="AP684" s="239"/>
      <c r="AQ684" s="239"/>
      <c r="AR684" s="239"/>
      <c r="AS684" s="239"/>
      <c r="AT684" s="239"/>
      <c r="AU684" s="239"/>
      <c r="AV684" s="239"/>
      <c r="AW684" s="239"/>
      <c r="AX684" s="239"/>
      <c r="AY684" s="239"/>
      <c r="AZ684" s="239"/>
      <c r="BA684" s="239"/>
      <c r="BB684" s="239"/>
      <c r="BC684" s="239"/>
      <c r="BD684" s="239"/>
      <c r="BE684" s="239"/>
      <c r="BF684" s="239"/>
      <c r="BG684" s="239"/>
      <c r="BH684" s="239"/>
      <c r="BI684" s="239"/>
      <c r="BJ684" s="239"/>
      <c r="BK684" s="239"/>
      <c r="BL684" s="239"/>
      <c r="BM684" s="239"/>
      <c r="BN684" s="239"/>
      <c r="BO684" s="239"/>
      <c r="BP684" s="239"/>
      <c r="BQ684" s="239"/>
      <c r="BR684" s="239"/>
      <c r="BS684" s="239"/>
      <c r="BT684" s="239"/>
      <c r="BU684" s="239"/>
      <c r="BV684" s="239"/>
      <c r="BW684" s="239"/>
      <c r="BX684" s="239"/>
      <c r="BY684" s="239"/>
      <c r="BZ684" s="239"/>
      <c r="CA684" s="239"/>
      <c r="CB684" s="239"/>
      <c r="CC684" s="239"/>
      <c r="CD684" s="239"/>
      <c r="CE684" s="239"/>
      <c r="CF684" s="239"/>
      <c r="CG684" s="239"/>
    </row>
    <row r="685" spans="1:85" ht="15.75" customHeight="1">
      <c r="A685" s="239"/>
      <c r="B685" s="239"/>
      <c r="C685" s="239"/>
      <c r="D685" s="239"/>
      <c r="E685" s="239"/>
      <c r="F685" s="239"/>
      <c r="G685" s="239"/>
      <c r="H685" s="239"/>
      <c r="I685" s="239"/>
      <c r="J685" s="239"/>
      <c r="K685" s="239"/>
      <c r="L685" s="239"/>
      <c r="M685" s="239"/>
      <c r="N685" s="239"/>
      <c r="O685" s="239"/>
      <c r="P685" s="239"/>
      <c r="Q685" s="239"/>
      <c r="R685" s="239"/>
      <c r="S685" s="239"/>
      <c r="T685" s="239"/>
      <c r="U685" s="239"/>
      <c r="V685" s="239"/>
      <c r="W685" s="239"/>
      <c r="X685" s="239"/>
      <c r="Y685" s="239"/>
      <c r="Z685" s="239"/>
      <c r="AA685" s="239"/>
      <c r="AB685" s="239"/>
      <c r="AC685" s="239"/>
      <c r="AD685" s="239"/>
      <c r="AE685" s="239"/>
      <c r="AF685" s="239"/>
      <c r="AG685" s="239"/>
      <c r="AH685" s="239"/>
      <c r="AI685" s="239"/>
      <c r="AJ685" s="239"/>
      <c r="AK685" s="239"/>
      <c r="AL685" s="239"/>
      <c r="AM685" s="239"/>
      <c r="AN685" s="239"/>
      <c r="AO685" s="239"/>
      <c r="AP685" s="239"/>
      <c r="AQ685" s="239"/>
      <c r="AR685" s="239"/>
      <c r="AS685" s="239"/>
      <c r="AT685" s="239"/>
      <c r="AU685" s="239"/>
      <c r="AV685" s="239"/>
      <c r="AW685" s="239"/>
      <c r="AX685" s="239"/>
      <c r="AY685" s="239"/>
      <c r="AZ685" s="239"/>
      <c r="BA685" s="239"/>
      <c r="BB685" s="239"/>
      <c r="BC685" s="239"/>
      <c r="BD685" s="239"/>
      <c r="BE685" s="239"/>
      <c r="BF685" s="239"/>
      <c r="BG685" s="239"/>
      <c r="BH685" s="239"/>
      <c r="BI685" s="239"/>
      <c r="BJ685" s="239"/>
      <c r="BK685" s="239"/>
      <c r="BL685" s="239"/>
      <c r="BM685" s="239"/>
      <c r="BN685" s="239"/>
      <c r="BO685" s="239"/>
      <c r="BP685" s="239"/>
      <c r="BQ685" s="239"/>
      <c r="BR685" s="239"/>
      <c r="BS685" s="239"/>
      <c r="BT685" s="239"/>
      <c r="BU685" s="239"/>
      <c r="BV685" s="239"/>
      <c r="BW685" s="239"/>
      <c r="BX685" s="239"/>
      <c r="BY685" s="239"/>
      <c r="BZ685" s="239"/>
      <c r="CA685" s="239"/>
      <c r="CB685" s="239"/>
      <c r="CC685" s="239"/>
      <c r="CD685" s="239"/>
      <c r="CE685" s="239"/>
      <c r="CF685" s="239"/>
      <c r="CG685" s="239"/>
    </row>
    <row r="686" spans="1:85" ht="15.75" customHeight="1">
      <c r="A686" s="239"/>
      <c r="B686" s="239"/>
      <c r="C686" s="239"/>
      <c r="D686" s="239"/>
      <c r="E686" s="239"/>
      <c r="F686" s="239"/>
      <c r="G686" s="239"/>
      <c r="H686" s="239"/>
      <c r="I686" s="239"/>
      <c r="J686" s="239"/>
      <c r="K686" s="239"/>
      <c r="L686" s="239"/>
      <c r="M686" s="239"/>
      <c r="N686" s="239"/>
      <c r="O686" s="239"/>
      <c r="P686" s="239"/>
      <c r="Q686" s="239"/>
      <c r="R686" s="239"/>
      <c r="S686" s="239"/>
      <c r="T686" s="239"/>
      <c r="U686" s="239"/>
      <c r="V686" s="239"/>
      <c r="W686" s="239"/>
      <c r="X686" s="239"/>
      <c r="Y686" s="239"/>
      <c r="Z686" s="239"/>
      <c r="AA686" s="239"/>
      <c r="AB686" s="239"/>
      <c r="AC686" s="239"/>
      <c r="AD686" s="239"/>
      <c r="AE686" s="239"/>
      <c r="AF686" s="239"/>
      <c r="AG686" s="239"/>
      <c r="AH686" s="239"/>
      <c r="AI686" s="239"/>
      <c r="AJ686" s="239"/>
      <c r="AK686" s="239"/>
      <c r="AL686" s="239"/>
      <c r="AM686" s="239"/>
      <c r="AN686" s="239"/>
      <c r="AO686" s="239"/>
      <c r="AP686" s="239"/>
      <c r="AQ686" s="239"/>
      <c r="AR686" s="239"/>
      <c r="AS686" s="239"/>
      <c r="AT686" s="239"/>
      <c r="AU686" s="239"/>
      <c r="AV686" s="239"/>
      <c r="AW686" s="239"/>
      <c r="AX686" s="239"/>
      <c r="AY686" s="239"/>
      <c r="AZ686" s="239"/>
      <c r="BA686" s="239"/>
      <c r="BB686" s="239"/>
      <c r="BC686" s="239"/>
      <c r="BD686" s="239"/>
      <c r="BE686" s="239"/>
      <c r="BF686" s="239"/>
      <c r="BG686" s="239"/>
      <c r="BH686" s="239"/>
      <c r="BI686" s="239"/>
      <c r="BJ686" s="239"/>
      <c r="BK686" s="239"/>
      <c r="BL686" s="239"/>
      <c r="BM686" s="239"/>
      <c r="BN686" s="239"/>
      <c r="BO686" s="239"/>
      <c r="BP686" s="239"/>
      <c r="BQ686" s="239"/>
      <c r="BR686" s="239"/>
      <c r="BS686" s="239"/>
      <c r="BT686" s="239"/>
      <c r="BU686" s="239"/>
      <c r="BV686" s="239"/>
      <c r="BW686" s="239"/>
      <c r="BX686" s="239"/>
      <c r="BY686" s="239"/>
      <c r="BZ686" s="239"/>
      <c r="CA686" s="239"/>
      <c r="CB686" s="239"/>
      <c r="CC686" s="239"/>
      <c r="CD686" s="239"/>
      <c r="CE686" s="239"/>
      <c r="CF686" s="239"/>
      <c r="CG686" s="239"/>
    </row>
    <row r="687" spans="1:85" ht="15.75" customHeight="1">
      <c r="A687" s="239"/>
      <c r="B687" s="239"/>
      <c r="C687" s="239"/>
      <c r="D687" s="239"/>
      <c r="E687" s="239"/>
      <c r="F687" s="239"/>
      <c r="G687" s="239"/>
      <c r="H687" s="239"/>
      <c r="I687" s="239"/>
      <c r="J687" s="239"/>
      <c r="K687" s="239"/>
      <c r="L687" s="239"/>
      <c r="M687" s="239"/>
      <c r="N687" s="239"/>
      <c r="O687" s="239"/>
      <c r="P687" s="239"/>
      <c r="Q687" s="239"/>
      <c r="R687" s="239"/>
      <c r="S687" s="239"/>
      <c r="T687" s="239"/>
      <c r="U687" s="239"/>
      <c r="V687" s="239"/>
      <c r="W687" s="239"/>
      <c r="X687" s="239"/>
      <c r="Y687" s="239"/>
      <c r="Z687" s="239"/>
      <c r="AA687" s="239"/>
      <c r="AB687" s="239"/>
      <c r="AC687" s="239"/>
      <c r="AD687" s="239"/>
      <c r="AE687" s="239"/>
      <c r="AF687" s="239"/>
      <c r="AG687" s="239"/>
      <c r="AH687" s="239"/>
      <c r="AI687" s="239"/>
      <c r="AJ687" s="239"/>
      <c r="AK687" s="239"/>
      <c r="AL687" s="239"/>
      <c r="AM687" s="239"/>
      <c r="AN687" s="239"/>
      <c r="AO687" s="239"/>
      <c r="AP687" s="239"/>
      <c r="AQ687" s="239"/>
      <c r="AR687" s="239"/>
      <c r="AS687" s="239"/>
      <c r="AT687" s="239"/>
      <c r="AU687" s="239"/>
      <c r="AV687" s="239"/>
      <c r="AW687" s="239"/>
      <c r="AX687" s="239"/>
      <c r="AY687" s="239"/>
      <c r="AZ687" s="239"/>
      <c r="BA687" s="239"/>
      <c r="BB687" s="239"/>
      <c r="BC687" s="239"/>
      <c r="BD687" s="239"/>
      <c r="BE687" s="239"/>
      <c r="BF687" s="239"/>
      <c r="BG687" s="239"/>
      <c r="BH687" s="239"/>
      <c r="BI687" s="239"/>
      <c r="BJ687" s="239"/>
      <c r="BK687" s="239"/>
      <c r="BL687" s="239"/>
      <c r="BM687" s="239"/>
      <c r="BN687" s="239"/>
      <c r="BO687" s="239"/>
      <c r="BP687" s="239"/>
      <c r="BQ687" s="239"/>
      <c r="BR687" s="239"/>
      <c r="BS687" s="239"/>
      <c r="BT687" s="239"/>
      <c r="BU687" s="239"/>
      <c r="BV687" s="239"/>
      <c r="BW687" s="239"/>
      <c r="BX687" s="239"/>
      <c r="BY687" s="239"/>
      <c r="BZ687" s="239"/>
      <c r="CA687" s="239"/>
      <c r="CB687" s="239"/>
      <c r="CC687" s="239"/>
      <c r="CD687" s="239"/>
      <c r="CE687" s="239"/>
      <c r="CF687" s="239"/>
      <c r="CG687" s="239"/>
    </row>
    <row r="688" spans="1:85" ht="15.75" customHeight="1">
      <c r="A688" s="239"/>
      <c r="B688" s="239"/>
      <c r="C688" s="239"/>
      <c r="D688" s="239"/>
      <c r="E688" s="239"/>
      <c r="F688" s="239"/>
      <c r="G688" s="239"/>
      <c r="H688" s="239"/>
      <c r="I688" s="239"/>
      <c r="J688" s="239"/>
      <c r="K688" s="239"/>
      <c r="L688" s="239"/>
      <c r="M688" s="239"/>
      <c r="N688" s="239"/>
      <c r="O688" s="239"/>
      <c r="P688" s="239"/>
      <c r="Q688" s="239"/>
      <c r="R688" s="239"/>
      <c r="S688" s="239"/>
      <c r="T688" s="239"/>
      <c r="U688" s="239"/>
      <c r="V688" s="239"/>
      <c r="W688" s="239"/>
      <c r="X688" s="239"/>
      <c r="Y688" s="239"/>
      <c r="Z688" s="239"/>
      <c r="AA688" s="239"/>
      <c r="AB688" s="239"/>
      <c r="AC688" s="239"/>
      <c r="AD688" s="239"/>
      <c r="AE688" s="239"/>
      <c r="AF688" s="239"/>
      <c r="AG688" s="239"/>
      <c r="AH688" s="239"/>
      <c r="AI688" s="239"/>
      <c r="AJ688" s="239"/>
      <c r="AK688" s="239"/>
      <c r="AL688" s="239"/>
      <c r="AM688" s="239"/>
      <c r="AN688" s="239"/>
      <c r="AO688" s="239"/>
      <c r="AP688" s="239"/>
      <c r="AQ688" s="239"/>
      <c r="AR688" s="239"/>
      <c r="AS688" s="239"/>
      <c r="AT688" s="239"/>
      <c r="AU688" s="239"/>
      <c r="AV688" s="239"/>
      <c r="AW688" s="239"/>
      <c r="AX688" s="239"/>
      <c r="AY688" s="239"/>
      <c r="AZ688" s="239"/>
      <c r="BA688" s="239"/>
      <c r="BB688" s="239"/>
      <c r="BC688" s="239"/>
      <c r="BD688" s="239"/>
      <c r="BE688" s="239"/>
      <c r="BF688" s="239"/>
      <c r="BG688" s="239"/>
      <c r="BH688" s="239"/>
      <c r="BI688" s="239"/>
      <c r="BJ688" s="239"/>
      <c r="BK688" s="239"/>
      <c r="BL688" s="239"/>
      <c r="BM688" s="239"/>
      <c r="BN688" s="239"/>
      <c r="BO688" s="239"/>
      <c r="BP688" s="239"/>
      <c r="BQ688" s="239"/>
      <c r="BR688" s="239"/>
      <c r="BS688" s="239"/>
      <c r="BT688" s="239"/>
      <c r="BU688" s="239"/>
      <c r="BV688" s="239"/>
      <c r="BW688" s="239"/>
      <c r="BX688" s="239"/>
      <c r="BY688" s="239"/>
      <c r="BZ688" s="239"/>
      <c r="CA688" s="239"/>
      <c r="CB688" s="239"/>
      <c r="CC688" s="239"/>
      <c r="CD688" s="239"/>
      <c r="CE688" s="239"/>
      <c r="CF688" s="239"/>
      <c r="CG688" s="239"/>
    </row>
    <row r="689" spans="1:85" ht="15.75" customHeight="1">
      <c r="A689" s="239"/>
      <c r="B689" s="239"/>
      <c r="C689" s="239"/>
      <c r="D689" s="239"/>
      <c r="E689" s="239"/>
      <c r="F689" s="239"/>
      <c r="G689" s="239"/>
      <c r="H689" s="239"/>
      <c r="I689" s="239"/>
      <c r="J689" s="239"/>
      <c r="K689" s="239"/>
      <c r="L689" s="239"/>
      <c r="M689" s="239"/>
      <c r="N689" s="239"/>
      <c r="O689" s="239"/>
      <c r="P689" s="239"/>
      <c r="Q689" s="239"/>
      <c r="R689" s="239"/>
      <c r="S689" s="239"/>
      <c r="T689" s="239"/>
      <c r="U689" s="239"/>
      <c r="V689" s="239"/>
      <c r="W689" s="239"/>
      <c r="X689" s="239"/>
      <c r="Y689" s="239"/>
      <c r="Z689" s="239"/>
      <c r="AA689" s="239"/>
      <c r="AB689" s="239"/>
      <c r="AC689" s="239"/>
      <c r="AD689" s="239"/>
      <c r="AE689" s="239"/>
      <c r="AF689" s="239"/>
      <c r="AG689" s="239"/>
      <c r="AH689" s="239"/>
      <c r="AI689" s="239"/>
      <c r="AJ689" s="239"/>
      <c r="AK689" s="239"/>
      <c r="AL689" s="239"/>
      <c r="AM689" s="239"/>
      <c r="AN689" s="239"/>
      <c r="AO689" s="239"/>
      <c r="AP689" s="239"/>
      <c r="AQ689" s="239"/>
      <c r="AR689" s="239"/>
      <c r="AS689" s="239"/>
      <c r="AT689" s="239"/>
      <c r="AU689" s="239"/>
      <c r="AV689" s="239"/>
      <c r="AW689" s="239"/>
      <c r="AX689" s="239"/>
      <c r="AY689" s="239"/>
      <c r="AZ689" s="239"/>
      <c r="BA689" s="239"/>
      <c r="BB689" s="239"/>
      <c r="BC689" s="239"/>
      <c r="BD689" s="239"/>
      <c r="BE689" s="239"/>
      <c r="BF689" s="239"/>
      <c r="BG689" s="239"/>
      <c r="BH689" s="239"/>
      <c r="BI689" s="239"/>
      <c r="BJ689" s="239"/>
      <c r="BK689" s="239"/>
      <c r="BL689" s="239"/>
      <c r="BM689" s="239"/>
      <c r="BN689" s="239"/>
      <c r="BO689" s="239"/>
      <c r="BP689" s="239"/>
      <c r="BQ689" s="239"/>
      <c r="BR689" s="239"/>
      <c r="BS689" s="239"/>
      <c r="BT689" s="239"/>
      <c r="BU689" s="239"/>
      <c r="BV689" s="239"/>
      <c r="BW689" s="239"/>
      <c r="BX689" s="239"/>
      <c r="BY689" s="239"/>
      <c r="BZ689" s="239"/>
      <c r="CA689" s="239"/>
      <c r="CB689" s="239"/>
      <c r="CC689" s="239"/>
      <c r="CD689" s="239"/>
      <c r="CE689" s="239"/>
      <c r="CF689" s="239"/>
      <c r="CG689" s="239"/>
    </row>
    <row r="690" spans="1:85" ht="15.75" customHeight="1">
      <c r="A690" s="239"/>
      <c r="B690" s="239"/>
      <c r="C690" s="239"/>
      <c r="D690" s="239"/>
      <c r="E690" s="239"/>
      <c r="F690" s="239"/>
      <c r="G690" s="239"/>
      <c r="H690" s="239"/>
      <c r="I690" s="239"/>
      <c r="J690" s="239"/>
      <c r="K690" s="239"/>
      <c r="L690" s="239"/>
      <c r="M690" s="239"/>
      <c r="N690" s="239"/>
      <c r="O690" s="239"/>
      <c r="P690" s="239"/>
      <c r="Q690" s="239"/>
      <c r="R690" s="239"/>
      <c r="S690" s="239"/>
      <c r="T690" s="239"/>
      <c r="U690" s="239"/>
      <c r="V690" s="239"/>
      <c r="W690" s="239"/>
      <c r="X690" s="239"/>
      <c r="Y690" s="239"/>
      <c r="Z690" s="239"/>
      <c r="AA690" s="239"/>
      <c r="AB690" s="239"/>
      <c r="AC690" s="239"/>
      <c r="AD690" s="239"/>
      <c r="AE690" s="239"/>
      <c r="AF690" s="239"/>
      <c r="AG690" s="239"/>
      <c r="AH690" s="239"/>
      <c r="AI690" s="239"/>
      <c r="AJ690" s="239"/>
      <c r="AK690" s="239"/>
      <c r="AL690" s="239"/>
      <c r="AM690" s="239"/>
      <c r="AN690" s="239"/>
      <c r="AO690" s="239"/>
      <c r="AP690" s="239"/>
      <c r="AQ690" s="239"/>
      <c r="AR690" s="239"/>
      <c r="AS690" s="239"/>
      <c r="AT690" s="239"/>
      <c r="AU690" s="239"/>
      <c r="AV690" s="239"/>
      <c r="AW690" s="239"/>
      <c r="AX690" s="239"/>
      <c r="AY690" s="239"/>
      <c r="AZ690" s="239"/>
      <c r="BA690" s="239"/>
      <c r="BB690" s="239"/>
      <c r="BC690" s="239"/>
      <c r="BD690" s="239"/>
      <c r="BE690" s="239"/>
      <c r="BF690" s="239"/>
      <c r="BG690" s="239"/>
      <c r="BH690" s="239"/>
      <c r="BI690" s="239"/>
      <c r="BJ690" s="239"/>
      <c r="BK690" s="239"/>
      <c r="BL690" s="239"/>
      <c r="BM690" s="239"/>
      <c r="BN690" s="239"/>
      <c r="BO690" s="239"/>
      <c r="BP690" s="239"/>
      <c r="BQ690" s="239"/>
      <c r="BR690" s="239"/>
      <c r="BS690" s="239"/>
      <c r="BT690" s="239"/>
      <c r="BU690" s="239"/>
      <c r="BV690" s="239"/>
      <c r="BW690" s="239"/>
      <c r="BX690" s="239"/>
      <c r="BY690" s="239"/>
      <c r="BZ690" s="239"/>
      <c r="CA690" s="239"/>
      <c r="CB690" s="239"/>
      <c r="CC690" s="239"/>
      <c r="CD690" s="239"/>
      <c r="CE690" s="239"/>
      <c r="CF690" s="239"/>
      <c r="CG690" s="239"/>
    </row>
    <row r="691" spans="1:85" ht="15.75" customHeight="1">
      <c r="A691" s="239"/>
      <c r="B691" s="239"/>
      <c r="C691" s="239"/>
      <c r="D691" s="239"/>
      <c r="E691" s="239"/>
      <c r="F691" s="239"/>
      <c r="G691" s="239"/>
      <c r="H691" s="239"/>
      <c r="I691" s="239"/>
      <c r="J691" s="239"/>
      <c r="K691" s="239"/>
      <c r="L691" s="239"/>
      <c r="M691" s="239"/>
      <c r="N691" s="239"/>
      <c r="O691" s="239"/>
      <c r="P691" s="239"/>
      <c r="Q691" s="239"/>
      <c r="R691" s="239"/>
      <c r="S691" s="239"/>
      <c r="T691" s="239"/>
      <c r="U691" s="239"/>
      <c r="V691" s="239"/>
      <c r="W691" s="239"/>
      <c r="X691" s="239"/>
      <c r="Y691" s="239"/>
      <c r="Z691" s="239"/>
      <c r="AA691" s="239"/>
      <c r="AB691" s="239"/>
      <c r="AC691" s="239"/>
      <c r="AD691" s="239"/>
      <c r="AE691" s="239"/>
      <c r="AF691" s="239"/>
      <c r="AG691" s="239"/>
      <c r="AH691" s="239"/>
      <c r="AI691" s="239"/>
      <c r="AJ691" s="239"/>
      <c r="AK691" s="239"/>
      <c r="AL691" s="239"/>
      <c r="AM691" s="239"/>
      <c r="AN691" s="239"/>
      <c r="AO691" s="239"/>
      <c r="AP691" s="239"/>
      <c r="AQ691" s="239"/>
      <c r="AR691" s="239"/>
      <c r="AS691" s="239"/>
      <c r="AT691" s="239"/>
      <c r="AU691" s="239"/>
      <c r="AV691" s="239"/>
      <c r="AW691" s="239"/>
      <c r="AX691" s="239"/>
      <c r="AY691" s="239"/>
      <c r="AZ691" s="239"/>
      <c r="BA691" s="239"/>
      <c r="BB691" s="239"/>
      <c r="BC691" s="239"/>
      <c r="BD691" s="239"/>
      <c r="BE691" s="239"/>
      <c r="BF691" s="239"/>
      <c r="BG691" s="239"/>
      <c r="BH691" s="239"/>
      <c r="BI691" s="239"/>
      <c r="BJ691" s="239"/>
      <c r="BK691" s="239"/>
      <c r="BL691" s="239"/>
      <c r="BM691" s="239"/>
      <c r="BN691" s="239"/>
      <c r="BO691" s="239"/>
      <c r="BP691" s="239"/>
      <c r="BQ691" s="239"/>
      <c r="BR691" s="239"/>
      <c r="BS691" s="239"/>
      <c r="BT691" s="239"/>
      <c r="BU691" s="239"/>
      <c r="BV691" s="239"/>
      <c r="BW691" s="239"/>
      <c r="BX691" s="239"/>
      <c r="BY691" s="239"/>
      <c r="BZ691" s="239"/>
      <c r="CA691" s="239"/>
      <c r="CB691" s="239"/>
      <c r="CC691" s="239"/>
      <c r="CD691" s="239"/>
      <c r="CE691" s="239"/>
      <c r="CF691" s="239"/>
      <c r="CG691" s="239"/>
    </row>
    <row r="692" spans="1:85" ht="15.75" customHeight="1">
      <c r="A692" s="239"/>
      <c r="B692" s="239"/>
      <c r="C692" s="239"/>
      <c r="D692" s="239"/>
      <c r="E692" s="239"/>
      <c r="F692" s="239"/>
      <c r="G692" s="239"/>
      <c r="H692" s="239"/>
      <c r="I692" s="239"/>
      <c r="J692" s="239"/>
      <c r="K692" s="239"/>
      <c r="L692" s="239"/>
      <c r="M692" s="239"/>
      <c r="N692" s="239"/>
      <c r="O692" s="239"/>
      <c r="P692" s="239"/>
      <c r="Q692" s="239"/>
      <c r="R692" s="239"/>
      <c r="S692" s="239"/>
      <c r="T692" s="239"/>
      <c r="U692" s="239"/>
      <c r="V692" s="239"/>
      <c r="W692" s="239"/>
      <c r="X692" s="239"/>
      <c r="Y692" s="239"/>
      <c r="Z692" s="239"/>
      <c r="AA692" s="239"/>
      <c r="AB692" s="239"/>
      <c r="AC692" s="239"/>
      <c r="AD692" s="239"/>
      <c r="AE692" s="239"/>
      <c r="AF692" s="239"/>
      <c r="AG692" s="239"/>
      <c r="AH692" s="239"/>
      <c r="AI692" s="239"/>
      <c r="AJ692" s="239"/>
      <c r="AK692" s="239"/>
      <c r="AL692" s="239"/>
      <c r="AM692" s="239"/>
      <c r="AN692" s="239"/>
      <c r="AO692" s="239"/>
      <c r="AP692" s="239"/>
      <c r="AQ692" s="239"/>
      <c r="AR692" s="239"/>
      <c r="AS692" s="239"/>
      <c r="AT692" s="239"/>
      <c r="AU692" s="239"/>
      <c r="AV692" s="239"/>
      <c r="AW692" s="239"/>
      <c r="AX692" s="239"/>
      <c r="AY692" s="239"/>
      <c r="AZ692" s="239"/>
      <c r="BA692" s="239"/>
      <c r="BB692" s="239"/>
      <c r="BC692" s="239"/>
      <c r="BD692" s="239"/>
      <c r="BE692" s="239"/>
      <c r="BF692" s="239"/>
      <c r="BG692" s="239"/>
      <c r="BH692" s="239"/>
      <c r="BI692" s="239"/>
      <c r="BJ692" s="239"/>
      <c r="BK692" s="239"/>
      <c r="BL692" s="239"/>
      <c r="BM692" s="239"/>
      <c r="BN692" s="239"/>
      <c r="BO692" s="239"/>
      <c r="BP692" s="239"/>
      <c r="BQ692" s="239"/>
      <c r="BR692" s="239"/>
      <c r="BS692" s="239"/>
      <c r="BT692" s="239"/>
      <c r="BU692" s="239"/>
      <c r="BV692" s="239"/>
      <c r="BW692" s="239"/>
      <c r="BX692" s="239"/>
      <c r="BY692" s="239"/>
      <c r="BZ692" s="239"/>
      <c r="CA692" s="239"/>
      <c r="CB692" s="239"/>
      <c r="CC692" s="239"/>
      <c r="CD692" s="239"/>
      <c r="CE692" s="239"/>
      <c r="CF692" s="239"/>
      <c r="CG692" s="239"/>
    </row>
    <row r="693" spans="1:85" ht="15.75" customHeight="1">
      <c r="A693" s="239"/>
      <c r="B693" s="239"/>
      <c r="C693" s="239"/>
      <c r="D693" s="239"/>
      <c r="E693" s="239"/>
      <c r="F693" s="239"/>
      <c r="G693" s="239"/>
      <c r="H693" s="239"/>
      <c r="I693" s="239"/>
      <c r="J693" s="239"/>
      <c r="K693" s="239"/>
      <c r="L693" s="239"/>
      <c r="M693" s="239"/>
      <c r="N693" s="239"/>
      <c r="O693" s="239"/>
      <c r="P693" s="239"/>
      <c r="Q693" s="239"/>
      <c r="R693" s="239"/>
      <c r="S693" s="239"/>
      <c r="T693" s="239"/>
      <c r="U693" s="239"/>
      <c r="V693" s="239"/>
      <c r="W693" s="239"/>
      <c r="X693" s="239"/>
      <c r="Y693" s="239"/>
      <c r="Z693" s="239"/>
      <c r="AA693" s="239"/>
      <c r="AB693" s="239"/>
      <c r="AC693" s="239"/>
      <c r="AD693" s="239"/>
      <c r="AE693" s="239"/>
      <c r="AF693" s="239"/>
      <c r="AG693" s="239"/>
      <c r="AH693" s="239"/>
      <c r="AI693" s="239"/>
      <c r="AJ693" s="239"/>
      <c r="AK693" s="239"/>
      <c r="AL693" s="239"/>
      <c r="AM693" s="239"/>
      <c r="AN693" s="239"/>
      <c r="AO693" s="239"/>
      <c r="AP693" s="239"/>
      <c r="AQ693" s="239"/>
      <c r="AR693" s="239"/>
      <c r="AS693" s="239"/>
      <c r="AT693" s="239"/>
      <c r="AU693" s="239"/>
      <c r="AV693" s="239"/>
      <c r="AW693" s="239"/>
      <c r="AX693" s="239"/>
      <c r="AY693" s="239"/>
      <c r="AZ693" s="239"/>
      <c r="BA693" s="239"/>
      <c r="BB693" s="239"/>
      <c r="BC693" s="239"/>
      <c r="BD693" s="239"/>
      <c r="BE693" s="239"/>
      <c r="BF693" s="239"/>
      <c r="BG693" s="239"/>
      <c r="BH693" s="239"/>
      <c r="BI693" s="239"/>
      <c r="BJ693" s="239"/>
      <c r="BK693" s="239"/>
      <c r="BL693" s="239"/>
      <c r="BM693" s="239"/>
      <c r="BN693" s="239"/>
      <c r="BO693" s="239"/>
      <c r="BP693" s="239"/>
      <c r="BQ693" s="239"/>
      <c r="BR693" s="239"/>
      <c r="BS693" s="239"/>
      <c r="BT693" s="239"/>
      <c r="BU693" s="239"/>
      <c r="BV693" s="239"/>
      <c r="BW693" s="239"/>
      <c r="BX693" s="239"/>
      <c r="BY693" s="239"/>
      <c r="BZ693" s="239"/>
      <c r="CA693" s="239"/>
      <c r="CB693" s="239"/>
      <c r="CC693" s="239"/>
      <c r="CD693" s="239"/>
      <c r="CE693" s="239"/>
      <c r="CF693" s="239"/>
      <c r="CG693" s="239"/>
    </row>
    <row r="694" spans="1:85" ht="15.75" customHeight="1">
      <c r="A694" s="239"/>
      <c r="B694" s="239"/>
      <c r="C694" s="239"/>
      <c r="D694" s="239"/>
      <c r="E694" s="239"/>
      <c r="F694" s="239"/>
      <c r="G694" s="239"/>
      <c r="H694" s="239"/>
      <c r="I694" s="239"/>
      <c r="J694" s="239"/>
      <c r="K694" s="239"/>
      <c r="L694" s="239"/>
      <c r="M694" s="239"/>
      <c r="N694" s="239"/>
      <c r="O694" s="239"/>
      <c r="P694" s="239"/>
      <c r="Q694" s="239"/>
      <c r="R694" s="239"/>
      <c r="S694" s="239"/>
      <c r="T694" s="239"/>
      <c r="U694" s="239"/>
      <c r="V694" s="239"/>
      <c r="W694" s="239"/>
      <c r="X694" s="239"/>
      <c r="Y694" s="239"/>
      <c r="Z694" s="239"/>
      <c r="AA694" s="239"/>
      <c r="AB694" s="239"/>
      <c r="AC694" s="239"/>
      <c r="AD694" s="239"/>
      <c r="AE694" s="239"/>
      <c r="AF694" s="239"/>
      <c r="AG694" s="239"/>
      <c r="AH694" s="239"/>
      <c r="AI694" s="239"/>
      <c r="AJ694" s="239"/>
      <c r="AK694" s="239"/>
      <c r="AL694" s="239"/>
      <c r="AM694" s="239"/>
      <c r="AN694" s="239"/>
      <c r="AO694" s="239"/>
      <c r="AP694" s="239"/>
      <c r="AQ694" s="239"/>
      <c r="AR694" s="239"/>
      <c r="AS694" s="239"/>
      <c r="AT694" s="239"/>
      <c r="AU694" s="239"/>
      <c r="AV694" s="239"/>
      <c r="AW694" s="239"/>
      <c r="AX694" s="239"/>
      <c r="AY694" s="239"/>
      <c r="AZ694" s="239"/>
      <c r="BA694" s="239"/>
      <c r="BB694" s="239"/>
      <c r="BC694" s="239"/>
      <c r="BD694" s="239"/>
      <c r="BE694" s="239"/>
      <c r="BF694" s="239"/>
      <c r="BG694" s="239"/>
      <c r="BH694" s="239"/>
      <c r="BI694" s="239"/>
      <c r="BJ694" s="239"/>
      <c r="BK694" s="239"/>
      <c r="BL694" s="239"/>
      <c r="BM694" s="239"/>
      <c r="BN694" s="239"/>
      <c r="BO694" s="239"/>
      <c r="BP694" s="239"/>
      <c r="BQ694" s="239"/>
      <c r="BR694" s="239"/>
      <c r="BS694" s="239"/>
      <c r="BT694" s="239"/>
      <c r="BU694" s="239"/>
      <c r="BV694" s="239"/>
      <c r="BW694" s="239"/>
      <c r="BX694" s="239"/>
      <c r="BY694" s="239"/>
      <c r="BZ694" s="239"/>
      <c r="CA694" s="239"/>
      <c r="CB694" s="239"/>
      <c r="CC694" s="239"/>
      <c r="CD694" s="239"/>
      <c r="CE694" s="239"/>
      <c r="CF694" s="239"/>
      <c r="CG694" s="239"/>
    </row>
    <row r="695" spans="1:85" ht="15.75" customHeight="1">
      <c r="A695" s="239"/>
      <c r="B695" s="239"/>
      <c r="C695" s="239"/>
      <c r="D695" s="239"/>
      <c r="E695" s="239"/>
      <c r="F695" s="239"/>
      <c r="G695" s="239"/>
      <c r="H695" s="239"/>
      <c r="I695" s="239"/>
      <c r="J695" s="239"/>
      <c r="K695" s="239"/>
      <c r="L695" s="239"/>
      <c r="M695" s="239"/>
      <c r="N695" s="239"/>
      <c r="O695" s="239"/>
      <c r="P695" s="239"/>
      <c r="Q695" s="239"/>
      <c r="R695" s="239"/>
      <c r="S695" s="239"/>
      <c r="T695" s="239"/>
      <c r="U695" s="239"/>
      <c r="V695" s="239"/>
      <c r="W695" s="239"/>
      <c r="X695" s="239"/>
      <c r="Y695" s="239"/>
      <c r="Z695" s="239"/>
      <c r="AA695" s="239"/>
      <c r="AB695" s="239"/>
      <c r="AC695" s="239"/>
      <c r="AD695" s="239"/>
      <c r="AE695" s="239"/>
      <c r="AF695" s="239"/>
      <c r="AG695" s="239"/>
      <c r="AH695" s="239"/>
      <c r="AI695" s="239"/>
      <c r="AJ695" s="239"/>
      <c r="AK695" s="239"/>
      <c r="AL695" s="239"/>
      <c r="AM695" s="239"/>
      <c r="AN695" s="239"/>
      <c r="AO695" s="239"/>
      <c r="AP695" s="239"/>
      <c r="AQ695" s="239"/>
      <c r="AR695" s="239"/>
      <c r="AS695" s="239"/>
      <c r="AT695" s="239"/>
      <c r="AU695" s="239"/>
      <c r="AV695" s="239"/>
      <c r="AW695" s="239"/>
      <c r="AX695" s="239"/>
      <c r="AY695" s="239"/>
      <c r="AZ695" s="239"/>
      <c r="BA695" s="239"/>
      <c r="BB695" s="239"/>
      <c r="BC695" s="239"/>
      <c r="BD695" s="239"/>
      <c r="BE695" s="239"/>
      <c r="BF695" s="239"/>
      <c r="BG695" s="239"/>
      <c r="BH695" s="239"/>
      <c r="BI695" s="239"/>
      <c r="BJ695" s="239"/>
      <c r="BK695" s="239"/>
      <c r="BL695" s="239"/>
      <c r="BM695" s="239"/>
      <c r="BN695" s="239"/>
      <c r="BO695" s="239"/>
      <c r="BP695" s="239"/>
      <c r="BQ695" s="239"/>
      <c r="BR695" s="239"/>
      <c r="BS695" s="239"/>
      <c r="BT695" s="239"/>
      <c r="BU695" s="239"/>
      <c r="BV695" s="239"/>
      <c r="BW695" s="239"/>
      <c r="BX695" s="239"/>
      <c r="BY695" s="239"/>
      <c r="BZ695" s="239"/>
      <c r="CA695" s="239"/>
      <c r="CB695" s="239"/>
      <c r="CC695" s="239"/>
      <c r="CD695" s="239"/>
      <c r="CE695" s="239"/>
      <c r="CF695" s="239"/>
      <c r="CG695" s="239"/>
    </row>
    <row r="696" spans="1:85" ht="15.75" customHeight="1">
      <c r="A696" s="239"/>
      <c r="B696" s="239"/>
      <c r="C696" s="239"/>
      <c r="D696" s="239"/>
      <c r="E696" s="239"/>
      <c r="F696" s="239"/>
      <c r="G696" s="239"/>
      <c r="H696" s="239"/>
      <c r="I696" s="239"/>
      <c r="J696" s="239"/>
      <c r="K696" s="239"/>
      <c r="L696" s="239"/>
      <c r="M696" s="239"/>
      <c r="N696" s="239"/>
      <c r="O696" s="239"/>
      <c r="P696" s="239"/>
      <c r="Q696" s="239"/>
      <c r="R696" s="239"/>
      <c r="S696" s="239"/>
      <c r="T696" s="239"/>
      <c r="U696" s="239"/>
      <c r="V696" s="239"/>
      <c r="W696" s="239"/>
      <c r="X696" s="239"/>
      <c r="Y696" s="239"/>
      <c r="Z696" s="239"/>
      <c r="AA696" s="239"/>
      <c r="AB696" s="239"/>
      <c r="AC696" s="239"/>
      <c r="AD696" s="239"/>
      <c r="AE696" s="239"/>
      <c r="AF696" s="239"/>
      <c r="AG696" s="239"/>
      <c r="AH696" s="239"/>
      <c r="AI696" s="239"/>
      <c r="AJ696" s="239"/>
      <c r="AK696" s="239"/>
      <c r="AL696" s="239"/>
      <c r="AM696" s="239"/>
      <c r="AN696" s="239"/>
      <c r="AO696" s="239"/>
      <c r="AP696" s="239"/>
      <c r="AQ696" s="239"/>
      <c r="AR696" s="239"/>
      <c r="AS696" s="239"/>
      <c r="AT696" s="239"/>
      <c r="AU696" s="239"/>
      <c r="AV696" s="239"/>
      <c r="AW696" s="239"/>
      <c r="AX696" s="239"/>
      <c r="AY696" s="239"/>
      <c r="AZ696" s="239"/>
      <c r="BA696" s="239"/>
      <c r="BB696" s="239"/>
      <c r="BC696" s="239"/>
      <c r="BD696" s="239"/>
      <c r="BE696" s="239"/>
      <c r="BF696" s="239"/>
      <c r="BG696" s="239"/>
      <c r="BH696" s="239"/>
      <c r="BI696" s="239"/>
      <c r="BJ696" s="239"/>
      <c r="BK696" s="239"/>
      <c r="BL696" s="239"/>
      <c r="BM696" s="239"/>
      <c r="BN696" s="239"/>
      <c r="BO696" s="239"/>
      <c r="BP696" s="239"/>
      <c r="BQ696" s="239"/>
      <c r="BR696" s="239"/>
      <c r="BS696" s="239"/>
      <c r="BT696" s="239"/>
      <c r="BU696" s="239"/>
      <c r="BV696" s="239"/>
      <c r="BW696" s="239"/>
      <c r="BX696" s="239"/>
      <c r="BY696" s="239"/>
      <c r="BZ696" s="239"/>
      <c r="CA696" s="239"/>
      <c r="CB696" s="239"/>
      <c r="CC696" s="239"/>
      <c r="CD696" s="239"/>
      <c r="CE696" s="239"/>
      <c r="CF696" s="239"/>
      <c r="CG696" s="239"/>
    </row>
    <row r="697" spans="1:85" ht="15.75" customHeight="1">
      <c r="A697" s="239"/>
      <c r="B697" s="239"/>
      <c r="C697" s="239"/>
      <c r="D697" s="239"/>
      <c r="E697" s="239"/>
      <c r="F697" s="239"/>
      <c r="G697" s="239"/>
      <c r="H697" s="239"/>
      <c r="I697" s="239"/>
      <c r="J697" s="239"/>
      <c r="K697" s="239"/>
      <c r="L697" s="239"/>
      <c r="M697" s="239"/>
      <c r="N697" s="239"/>
      <c r="O697" s="239"/>
      <c r="P697" s="239"/>
      <c r="Q697" s="239"/>
      <c r="R697" s="239"/>
      <c r="S697" s="239"/>
      <c r="T697" s="239"/>
      <c r="U697" s="239"/>
      <c r="V697" s="239"/>
      <c r="W697" s="239"/>
      <c r="X697" s="239"/>
      <c r="Y697" s="239"/>
      <c r="Z697" s="239"/>
      <c r="AA697" s="239"/>
      <c r="AB697" s="239"/>
      <c r="AC697" s="239"/>
      <c r="AD697" s="239"/>
      <c r="AE697" s="239"/>
      <c r="AF697" s="239"/>
      <c r="AG697" s="239"/>
      <c r="AH697" s="239"/>
      <c r="AI697" s="239"/>
      <c r="AJ697" s="239"/>
      <c r="AK697" s="239"/>
      <c r="AL697" s="239"/>
      <c r="AM697" s="239"/>
      <c r="AN697" s="239"/>
      <c r="AO697" s="239"/>
      <c r="AP697" s="239"/>
      <c r="AQ697" s="239"/>
      <c r="AR697" s="239"/>
      <c r="AS697" s="239"/>
      <c r="AT697" s="239"/>
      <c r="AU697" s="239"/>
      <c r="AV697" s="239"/>
      <c r="AW697" s="239"/>
      <c r="AX697" s="239"/>
      <c r="AY697" s="239"/>
      <c r="AZ697" s="239"/>
      <c r="BA697" s="239"/>
      <c r="BB697" s="239"/>
      <c r="BC697" s="239"/>
      <c r="BD697" s="239"/>
      <c r="BE697" s="239"/>
      <c r="BF697" s="239"/>
      <c r="BG697" s="239"/>
      <c r="BH697" s="239"/>
      <c r="BI697" s="239"/>
      <c r="BJ697" s="239"/>
      <c r="BK697" s="239"/>
      <c r="BL697" s="239"/>
      <c r="BM697" s="239"/>
      <c r="BN697" s="239"/>
      <c r="BO697" s="239"/>
      <c r="BP697" s="239"/>
      <c r="BQ697" s="239"/>
      <c r="BR697" s="239"/>
      <c r="BS697" s="239"/>
      <c r="BT697" s="239"/>
      <c r="BU697" s="239"/>
      <c r="BV697" s="239"/>
      <c r="BW697" s="239"/>
      <c r="BX697" s="239"/>
      <c r="BY697" s="239"/>
      <c r="BZ697" s="239"/>
      <c r="CA697" s="239"/>
      <c r="CB697" s="239"/>
      <c r="CC697" s="239"/>
      <c r="CD697" s="239"/>
      <c r="CE697" s="239"/>
      <c r="CF697" s="239"/>
      <c r="CG697" s="239"/>
    </row>
    <row r="698" spans="1:85" ht="15.75" customHeight="1">
      <c r="A698" s="239"/>
      <c r="B698" s="239"/>
      <c r="C698" s="239"/>
      <c r="D698" s="239"/>
      <c r="E698" s="239"/>
      <c r="F698" s="239"/>
      <c r="G698" s="239"/>
      <c r="H698" s="239"/>
      <c r="I698" s="239"/>
      <c r="J698" s="239"/>
      <c r="K698" s="239"/>
      <c r="L698" s="239"/>
      <c r="M698" s="239"/>
      <c r="N698" s="239"/>
      <c r="O698" s="239"/>
      <c r="P698" s="239"/>
      <c r="Q698" s="239"/>
      <c r="R698" s="239"/>
      <c r="S698" s="239"/>
      <c r="T698" s="239"/>
      <c r="U698" s="239"/>
      <c r="V698" s="239"/>
      <c r="W698" s="239"/>
      <c r="X698" s="239"/>
      <c r="Y698" s="239"/>
      <c r="Z698" s="239"/>
      <c r="AA698" s="239"/>
      <c r="AB698" s="239"/>
      <c r="AC698" s="239"/>
      <c r="AD698" s="239"/>
      <c r="AE698" s="239"/>
      <c r="AF698" s="239"/>
      <c r="AG698" s="239"/>
      <c r="AH698" s="239"/>
      <c r="AI698" s="239"/>
      <c r="AJ698" s="239"/>
      <c r="AK698" s="239"/>
      <c r="AL698" s="239"/>
      <c r="AM698" s="239"/>
      <c r="AN698" s="239"/>
      <c r="AO698" s="239"/>
      <c r="AP698" s="239"/>
      <c r="AQ698" s="239"/>
      <c r="AR698" s="239"/>
      <c r="AS698" s="239"/>
      <c r="AT698" s="239"/>
      <c r="AU698" s="239"/>
      <c r="AV698" s="239"/>
      <c r="AW698" s="239"/>
      <c r="AX698" s="239"/>
      <c r="AY698" s="239"/>
      <c r="AZ698" s="239"/>
      <c r="BA698" s="239"/>
      <c r="BB698" s="239"/>
      <c r="BC698" s="239"/>
      <c r="BD698" s="239"/>
      <c r="BE698" s="239"/>
      <c r="BF698" s="239"/>
      <c r="BG698" s="239"/>
      <c r="BH698" s="239"/>
      <c r="BI698" s="239"/>
      <c r="BJ698" s="239"/>
      <c r="BK698" s="239"/>
      <c r="BL698" s="239"/>
      <c r="BM698" s="239"/>
      <c r="BN698" s="239"/>
      <c r="BO698" s="239"/>
      <c r="BP698" s="239"/>
      <c r="BQ698" s="239"/>
      <c r="BR698" s="239"/>
      <c r="BS698" s="239"/>
      <c r="BT698" s="239"/>
      <c r="BU698" s="239"/>
      <c r="BV698" s="239"/>
      <c r="BW698" s="239"/>
      <c r="BX698" s="239"/>
      <c r="BY698" s="239"/>
      <c r="BZ698" s="239"/>
      <c r="CA698" s="239"/>
      <c r="CB698" s="239"/>
      <c r="CC698" s="239"/>
      <c r="CD698" s="239"/>
      <c r="CE698" s="239"/>
      <c r="CF698" s="239"/>
      <c r="CG698" s="239"/>
    </row>
    <row r="699" spans="1:85" ht="15.75" customHeight="1">
      <c r="A699" s="239"/>
      <c r="B699" s="239"/>
      <c r="C699" s="239"/>
      <c r="D699" s="239"/>
      <c r="E699" s="239"/>
      <c r="F699" s="239"/>
      <c r="G699" s="239"/>
      <c r="H699" s="239"/>
      <c r="I699" s="239"/>
      <c r="J699" s="239"/>
      <c r="K699" s="239"/>
      <c r="L699" s="239"/>
      <c r="M699" s="239"/>
      <c r="N699" s="239"/>
      <c r="O699" s="239"/>
      <c r="P699" s="239"/>
      <c r="Q699" s="239"/>
      <c r="R699" s="239"/>
      <c r="S699" s="239"/>
      <c r="T699" s="239"/>
      <c r="U699" s="239"/>
      <c r="V699" s="239"/>
      <c r="W699" s="239"/>
      <c r="X699" s="239"/>
      <c r="Y699" s="239"/>
      <c r="Z699" s="239"/>
      <c r="AA699" s="239"/>
      <c r="AB699" s="239"/>
      <c r="AC699" s="239"/>
      <c r="AD699" s="239"/>
      <c r="AE699" s="239"/>
      <c r="AF699" s="239"/>
      <c r="AG699" s="239"/>
      <c r="AH699" s="239"/>
      <c r="AI699" s="239"/>
      <c r="AJ699" s="239"/>
      <c r="AK699" s="239"/>
      <c r="AL699" s="239"/>
      <c r="AM699" s="239"/>
      <c r="AN699" s="239"/>
      <c r="AO699" s="239"/>
      <c r="AP699" s="239"/>
      <c r="AQ699" s="239"/>
      <c r="AR699" s="239"/>
      <c r="AS699" s="239"/>
      <c r="AT699" s="239"/>
      <c r="AU699" s="239"/>
      <c r="AV699" s="239"/>
      <c r="AW699" s="239"/>
      <c r="AX699" s="239"/>
      <c r="AY699" s="239"/>
      <c r="AZ699" s="239"/>
      <c r="BA699" s="239"/>
      <c r="BB699" s="239"/>
      <c r="BC699" s="239"/>
      <c r="BD699" s="239"/>
      <c r="BE699" s="239"/>
      <c r="BF699" s="239"/>
      <c r="BG699" s="239"/>
      <c r="BH699" s="239"/>
      <c r="BI699" s="239"/>
      <c r="BJ699" s="239"/>
      <c r="BK699" s="239"/>
      <c r="BL699" s="239"/>
      <c r="BM699" s="239"/>
      <c r="BN699" s="239"/>
      <c r="BO699" s="239"/>
      <c r="BP699" s="239"/>
      <c r="BQ699" s="239"/>
      <c r="BR699" s="239"/>
      <c r="BS699" s="239"/>
      <c r="BT699" s="239"/>
      <c r="BU699" s="239"/>
      <c r="BV699" s="239"/>
      <c r="BW699" s="239"/>
      <c r="BX699" s="239"/>
      <c r="BY699" s="239"/>
      <c r="BZ699" s="239"/>
      <c r="CA699" s="239"/>
      <c r="CB699" s="239"/>
      <c r="CC699" s="239"/>
      <c r="CD699" s="239"/>
      <c r="CE699" s="239"/>
      <c r="CF699" s="239"/>
      <c r="CG699" s="239"/>
    </row>
    <row r="700" spans="1:85" ht="15.75" customHeight="1">
      <c r="A700" s="239"/>
      <c r="B700" s="239"/>
      <c r="C700" s="239"/>
      <c r="D700" s="239"/>
      <c r="E700" s="239"/>
      <c r="F700" s="239"/>
      <c r="G700" s="239"/>
      <c r="H700" s="239"/>
      <c r="I700" s="239"/>
      <c r="J700" s="239"/>
      <c r="K700" s="239"/>
      <c r="L700" s="239"/>
      <c r="M700" s="239"/>
      <c r="N700" s="239"/>
      <c r="O700" s="239"/>
      <c r="P700" s="239"/>
      <c r="Q700" s="239"/>
      <c r="R700" s="239"/>
      <c r="S700" s="239"/>
      <c r="T700" s="239"/>
      <c r="U700" s="239"/>
      <c r="V700" s="239"/>
      <c r="W700" s="239"/>
      <c r="X700" s="239"/>
      <c r="Y700" s="239"/>
      <c r="Z700" s="239"/>
      <c r="AA700" s="239"/>
      <c r="AB700" s="239"/>
      <c r="AC700" s="239"/>
      <c r="AD700" s="239"/>
      <c r="AE700" s="239"/>
      <c r="AF700" s="239"/>
      <c r="AG700" s="239"/>
      <c r="AH700" s="239"/>
      <c r="AI700" s="239"/>
      <c r="AJ700" s="239"/>
      <c r="AK700" s="239"/>
      <c r="AL700" s="239"/>
      <c r="AM700" s="239"/>
      <c r="AN700" s="239"/>
      <c r="AO700" s="239"/>
      <c r="AP700" s="239"/>
      <c r="AQ700" s="239"/>
      <c r="AR700" s="239"/>
      <c r="AS700" s="239"/>
      <c r="AT700" s="239"/>
      <c r="AU700" s="239"/>
      <c r="AV700" s="239"/>
      <c r="AW700" s="239"/>
      <c r="AX700" s="239"/>
      <c r="AY700" s="239"/>
      <c r="AZ700" s="239"/>
      <c r="BA700" s="239"/>
      <c r="BB700" s="239"/>
      <c r="BC700" s="239"/>
      <c r="BD700" s="239"/>
      <c r="BE700" s="239"/>
      <c r="BF700" s="239"/>
      <c r="BG700" s="239"/>
      <c r="BH700" s="239"/>
      <c r="BI700" s="239"/>
      <c r="BJ700" s="239"/>
      <c r="BK700" s="239"/>
      <c r="BL700" s="239"/>
      <c r="BM700" s="239"/>
      <c r="BN700" s="239"/>
      <c r="BO700" s="239"/>
      <c r="BP700" s="239"/>
      <c r="BQ700" s="239"/>
      <c r="BR700" s="239"/>
      <c r="BS700" s="239"/>
      <c r="BT700" s="239"/>
      <c r="BU700" s="239"/>
      <c r="BV700" s="239"/>
      <c r="BW700" s="239"/>
      <c r="BX700" s="239"/>
      <c r="BY700" s="239"/>
      <c r="BZ700" s="239"/>
      <c r="CA700" s="239"/>
      <c r="CB700" s="239"/>
      <c r="CC700" s="239"/>
      <c r="CD700" s="239"/>
      <c r="CE700" s="239"/>
      <c r="CF700" s="239"/>
      <c r="CG700" s="239"/>
    </row>
    <row r="701" spans="1:85" ht="15.75" customHeight="1">
      <c r="A701" s="239"/>
      <c r="B701" s="239"/>
      <c r="C701" s="239"/>
      <c r="D701" s="239"/>
      <c r="E701" s="239"/>
      <c r="F701" s="239"/>
      <c r="G701" s="239"/>
      <c r="H701" s="239"/>
      <c r="I701" s="239"/>
      <c r="J701" s="239"/>
      <c r="K701" s="239"/>
      <c r="L701" s="239"/>
      <c r="M701" s="239"/>
      <c r="N701" s="239"/>
      <c r="O701" s="239"/>
      <c r="P701" s="239"/>
      <c r="Q701" s="239"/>
      <c r="R701" s="239"/>
      <c r="S701" s="239"/>
      <c r="T701" s="239"/>
      <c r="U701" s="239"/>
      <c r="V701" s="239"/>
      <c r="W701" s="239"/>
      <c r="X701" s="239"/>
      <c r="Y701" s="239"/>
      <c r="Z701" s="239"/>
      <c r="AA701" s="239"/>
      <c r="AB701" s="239"/>
      <c r="AC701" s="239"/>
      <c r="AD701" s="239"/>
      <c r="AE701" s="239"/>
      <c r="AF701" s="239"/>
      <c r="AG701" s="239"/>
      <c r="AH701" s="239"/>
      <c r="AI701" s="239"/>
      <c r="AJ701" s="239"/>
      <c r="AK701" s="239"/>
      <c r="AL701" s="239"/>
      <c r="AM701" s="239"/>
      <c r="AN701" s="239"/>
      <c r="AO701" s="239"/>
      <c r="AP701" s="239"/>
      <c r="AQ701" s="239"/>
      <c r="AR701" s="239"/>
      <c r="AS701" s="239"/>
      <c r="AT701" s="239"/>
      <c r="AU701" s="239"/>
      <c r="AV701" s="239"/>
      <c r="AW701" s="239"/>
      <c r="AX701" s="239"/>
      <c r="AY701" s="239"/>
      <c r="AZ701" s="239"/>
      <c r="BA701" s="239"/>
      <c r="BB701" s="239"/>
      <c r="BC701" s="239"/>
      <c r="BD701" s="239"/>
      <c r="BE701" s="239"/>
      <c r="BF701" s="239"/>
      <c r="BG701" s="239"/>
      <c r="BH701" s="239"/>
      <c r="BI701" s="239"/>
      <c r="BJ701" s="239"/>
      <c r="BK701" s="239"/>
      <c r="BL701" s="239"/>
      <c r="BM701" s="239"/>
      <c r="BN701" s="239"/>
      <c r="BO701" s="239"/>
      <c r="BP701" s="239"/>
      <c r="BQ701" s="239"/>
      <c r="BR701" s="239"/>
      <c r="BS701" s="239"/>
      <c r="BT701" s="239"/>
      <c r="BU701" s="239"/>
      <c r="BV701" s="239"/>
      <c r="BW701" s="239"/>
      <c r="BX701" s="239"/>
      <c r="BY701" s="239"/>
      <c r="BZ701" s="239"/>
      <c r="CA701" s="239"/>
      <c r="CB701" s="239"/>
      <c r="CC701" s="239"/>
      <c r="CD701" s="239"/>
      <c r="CE701" s="239"/>
      <c r="CF701" s="239"/>
      <c r="CG701" s="239"/>
    </row>
    <row r="702" spans="1:85" ht="15.75" customHeight="1">
      <c r="A702" s="239"/>
      <c r="B702" s="239"/>
      <c r="C702" s="239"/>
      <c r="D702" s="239"/>
      <c r="E702" s="239"/>
      <c r="F702" s="239"/>
      <c r="G702" s="239"/>
      <c r="H702" s="239"/>
      <c r="I702" s="239"/>
      <c r="J702" s="239"/>
      <c r="K702" s="239"/>
      <c r="L702" s="239"/>
      <c r="M702" s="239"/>
      <c r="N702" s="239"/>
      <c r="O702" s="239"/>
      <c r="P702" s="239"/>
      <c r="Q702" s="239"/>
      <c r="R702" s="239"/>
      <c r="S702" s="239"/>
      <c r="T702" s="239"/>
      <c r="U702" s="239"/>
      <c r="V702" s="239"/>
      <c r="W702" s="239"/>
      <c r="X702" s="239"/>
      <c r="Y702" s="239"/>
      <c r="Z702" s="239"/>
      <c r="AA702" s="239"/>
      <c r="AB702" s="239"/>
      <c r="AC702" s="239"/>
      <c r="AD702" s="239"/>
      <c r="AE702" s="239"/>
      <c r="AF702" s="239"/>
      <c r="AG702" s="239"/>
      <c r="AH702" s="239"/>
      <c r="AI702" s="239"/>
      <c r="AJ702" s="239"/>
      <c r="AK702" s="239"/>
      <c r="AL702" s="239"/>
      <c r="AM702" s="239"/>
      <c r="AN702" s="239"/>
      <c r="AO702" s="239"/>
      <c r="AP702" s="239"/>
      <c r="AQ702" s="239"/>
      <c r="AR702" s="239"/>
      <c r="AS702" s="239"/>
      <c r="AT702" s="239"/>
      <c r="AU702" s="239"/>
      <c r="AV702" s="239"/>
      <c r="AW702" s="239"/>
      <c r="AX702" s="239"/>
      <c r="AY702" s="239"/>
      <c r="AZ702" s="239"/>
      <c r="BA702" s="239"/>
      <c r="BB702" s="239"/>
      <c r="BC702" s="239"/>
      <c r="BD702" s="239"/>
      <c r="BE702" s="239"/>
      <c r="BF702" s="239"/>
      <c r="BG702" s="239"/>
      <c r="BH702" s="239"/>
      <c r="BI702" s="239"/>
      <c r="BJ702" s="239"/>
      <c r="BK702" s="239"/>
      <c r="BL702" s="239"/>
      <c r="BM702" s="239"/>
      <c r="BN702" s="239"/>
      <c r="BO702" s="239"/>
      <c r="BP702" s="239"/>
      <c r="BQ702" s="239"/>
      <c r="BR702" s="239"/>
      <c r="BS702" s="239"/>
      <c r="BT702" s="239"/>
      <c r="BU702" s="239"/>
      <c r="BV702" s="239"/>
      <c r="BW702" s="239"/>
      <c r="BX702" s="239"/>
      <c r="BY702" s="239"/>
      <c r="BZ702" s="239"/>
      <c r="CA702" s="239"/>
      <c r="CB702" s="239"/>
      <c r="CC702" s="239"/>
      <c r="CD702" s="239"/>
      <c r="CE702" s="239"/>
      <c r="CF702" s="239"/>
      <c r="CG702" s="239"/>
    </row>
    <row r="703" spans="1:85" ht="15.75" customHeight="1">
      <c r="A703" s="239"/>
      <c r="B703" s="239"/>
      <c r="C703" s="239"/>
      <c r="D703" s="239"/>
      <c r="E703" s="239"/>
      <c r="F703" s="239"/>
      <c r="G703" s="239"/>
      <c r="H703" s="239"/>
      <c r="I703" s="239"/>
      <c r="J703" s="239"/>
      <c r="K703" s="239"/>
      <c r="L703" s="239"/>
      <c r="M703" s="239"/>
      <c r="N703" s="239"/>
      <c r="O703" s="239"/>
      <c r="P703" s="239"/>
      <c r="Q703" s="239"/>
      <c r="R703" s="239"/>
      <c r="S703" s="239"/>
      <c r="T703" s="239"/>
      <c r="U703" s="239"/>
      <c r="V703" s="239"/>
      <c r="W703" s="239"/>
      <c r="X703" s="239"/>
      <c r="Y703" s="239"/>
      <c r="Z703" s="239"/>
      <c r="AA703" s="239"/>
      <c r="AB703" s="239"/>
      <c r="AC703" s="239"/>
      <c r="AD703" s="239"/>
      <c r="AE703" s="239"/>
      <c r="AF703" s="239"/>
      <c r="AG703" s="239"/>
      <c r="AH703" s="239"/>
      <c r="AI703" s="239"/>
      <c r="AJ703" s="239"/>
      <c r="AK703" s="239"/>
      <c r="AL703" s="239"/>
      <c r="AM703" s="239"/>
      <c r="AN703" s="239"/>
      <c r="AO703" s="239"/>
      <c r="AP703" s="239"/>
      <c r="AQ703" s="239"/>
      <c r="AR703" s="239"/>
      <c r="AS703" s="239"/>
      <c r="AT703" s="239"/>
      <c r="AU703" s="239"/>
      <c r="AV703" s="239"/>
      <c r="AW703" s="239"/>
      <c r="AX703" s="239"/>
      <c r="AY703" s="239"/>
      <c r="AZ703" s="239"/>
      <c r="BA703" s="239"/>
      <c r="BB703" s="239"/>
      <c r="BC703" s="239"/>
      <c r="BD703" s="239"/>
      <c r="BE703" s="239"/>
      <c r="BF703" s="239"/>
      <c r="BG703" s="239"/>
      <c r="BH703" s="239"/>
      <c r="BI703" s="239"/>
      <c r="BJ703" s="239"/>
      <c r="BK703" s="239"/>
      <c r="BL703" s="239"/>
      <c r="BM703" s="239"/>
      <c r="BN703" s="239"/>
      <c r="BO703" s="239"/>
      <c r="BP703" s="239"/>
      <c r="BQ703" s="239"/>
      <c r="BR703" s="239"/>
      <c r="BS703" s="239"/>
      <c r="BT703" s="239"/>
      <c r="BU703" s="239"/>
      <c r="BV703" s="239"/>
      <c r="BW703" s="239"/>
      <c r="BX703" s="239"/>
      <c r="BY703" s="239"/>
      <c r="BZ703" s="239"/>
      <c r="CA703" s="239"/>
      <c r="CB703" s="239"/>
      <c r="CC703" s="239"/>
      <c r="CD703" s="239"/>
      <c r="CE703" s="239"/>
      <c r="CF703" s="239"/>
      <c r="CG703" s="239"/>
    </row>
    <row r="704" spans="1:85" ht="15.75" customHeight="1">
      <c r="A704" s="239"/>
      <c r="B704" s="239"/>
      <c r="C704" s="239"/>
      <c r="D704" s="239"/>
      <c r="E704" s="239"/>
      <c r="F704" s="239"/>
      <c r="G704" s="239"/>
      <c r="H704" s="239"/>
      <c r="I704" s="239"/>
      <c r="J704" s="239"/>
      <c r="K704" s="239"/>
      <c r="L704" s="239"/>
      <c r="M704" s="239"/>
      <c r="N704" s="239"/>
      <c r="O704" s="239"/>
      <c r="P704" s="239"/>
      <c r="Q704" s="239"/>
      <c r="R704" s="239"/>
      <c r="S704" s="239"/>
      <c r="T704" s="239"/>
      <c r="U704" s="239"/>
      <c r="V704" s="239"/>
      <c r="W704" s="239"/>
      <c r="X704" s="239"/>
      <c r="Y704" s="239"/>
      <c r="Z704" s="239"/>
      <c r="AA704" s="239"/>
      <c r="AB704" s="239"/>
      <c r="AC704" s="239"/>
      <c r="AD704" s="239"/>
      <c r="AE704" s="239"/>
      <c r="AF704" s="239"/>
      <c r="AG704" s="239"/>
      <c r="AH704" s="239"/>
      <c r="AI704" s="239"/>
      <c r="AJ704" s="239"/>
      <c r="AK704" s="239"/>
      <c r="AL704" s="239"/>
      <c r="AM704" s="239"/>
      <c r="AN704" s="239"/>
      <c r="AO704" s="239"/>
      <c r="AP704" s="239"/>
      <c r="AQ704" s="239"/>
      <c r="AR704" s="239"/>
      <c r="AS704" s="239"/>
      <c r="AT704" s="239"/>
      <c r="AU704" s="239"/>
      <c r="AV704" s="239"/>
      <c r="AW704" s="239"/>
      <c r="AX704" s="239"/>
      <c r="AY704" s="239"/>
      <c r="AZ704" s="239"/>
      <c r="BA704" s="239"/>
      <c r="BB704" s="239"/>
      <c r="BC704" s="239"/>
      <c r="BD704" s="239"/>
      <c r="BE704" s="239"/>
      <c r="BF704" s="239"/>
      <c r="BG704" s="239"/>
      <c r="BH704" s="239"/>
      <c r="BI704" s="239"/>
      <c r="BJ704" s="239"/>
      <c r="BK704" s="239"/>
      <c r="BL704" s="239"/>
      <c r="BM704" s="239"/>
      <c r="BN704" s="239"/>
      <c r="BO704" s="239"/>
      <c r="BP704" s="239"/>
      <c r="BQ704" s="239"/>
      <c r="BR704" s="239"/>
      <c r="BS704" s="239"/>
      <c r="BT704" s="239"/>
      <c r="BU704" s="239"/>
      <c r="BV704" s="239"/>
      <c r="BW704" s="239"/>
      <c r="BX704" s="239"/>
      <c r="BY704" s="239"/>
      <c r="BZ704" s="239"/>
      <c r="CA704" s="239"/>
      <c r="CB704" s="239"/>
      <c r="CC704" s="239"/>
      <c r="CD704" s="239"/>
      <c r="CE704" s="239"/>
      <c r="CF704" s="239"/>
      <c r="CG704" s="239"/>
    </row>
    <row r="705" spans="1:85" ht="15.75" customHeight="1">
      <c r="A705" s="239"/>
      <c r="B705" s="239"/>
      <c r="C705" s="239"/>
      <c r="D705" s="239"/>
      <c r="E705" s="239"/>
      <c r="F705" s="239"/>
      <c r="G705" s="239"/>
      <c r="H705" s="239"/>
      <c r="I705" s="239"/>
      <c r="J705" s="239"/>
      <c r="K705" s="239"/>
      <c r="L705" s="239"/>
      <c r="M705" s="239"/>
      <c r="N705" s="239"/>
      <c r="O705" s="239"/>
      <c r="P705" s="239"/>
      <c r="Q705" s="239"/>
      <c r="R705" s="239"/>
      <c r="S705" s="239"/>
      <c r="T705" s="239"/>
      <c r="U705" s="239"/>
      <c r="V705" s="239"/>
      <c r="W705" s="239"/>
      <c r="X705" s="239"/>
      <c r="Y705" s="239"/>
      <c r="Z705" s="239"/>
      <c r="AA705" s="239"/>
      <c r="AB705" s="239"/>
      <c r="AC705" s="239"/>
      <c r="AD705" s="239"/>
      <c r="AE705" s="239"/>
      <c r="AF705" s="239"/>
      <c r="AG705" s="239"/>
      <c r="AH705" s="239"/>
      <c r="AI705" s="239"/>
      <c r="AJ705" s="239"/>
      <c r="AK705" s="239"/>
      <c r="AL705" s="239"/>
      <c r="AM705" s="239"/>
      <c r="AN705" s="239"/>
      <c r="AO705" s="239"/>
      <c r="AP705" s="239"/>
      <c r="AQ705" s="239"/>
      <c r="AR705" s="239"/>
      <c r="AS705" s="239"/>
      <c r="AT705" s="239"/>
      <c r="AU705" s="239"/>
      <c r="AV705" s="239"/>
      <c r="AW705" s="239"/>
      <c r="AX705" s="239"/>
      <c r="AY705" s="239"/>
      <c r="AZ705" s="239"/>
      <c r="BA705" s="239"/>
      <c r="BB705" s="239"/>
      <c r="BC705" s="239"/>
      <c r="BD705" s="239"/>
      <c r="BE705" s="239"/>
      <c r="BF705" s="239"/>
      <c r="BG705" s="239"/>
      <c r="BH705" s="239"/>
      <c r="BI705" s="239"/>
      <c r="BJ705" s="239"/>
      <c r="BK705" s="239"/>
      <c r="BL705" s="239"/>
      <c r="BM705" s="239"/>
      <c r="BN705" s="239"/>
      <c r="BO705" s="239"/>
      <c r="BP705" s="239"/>
      <c r="BQ705" s="239"/>
      <c r="BR705" s="239"/>
      <c r="BS705" s="239"/>
      <c r="BT705" s="239"/>
      <c r="BU705" s="239"/>
      <c r="BV705" s="239"/>
      <c r="BW705" s="239"/>
      <c r="BX705" s="239"/>
      <c r="BY705" s="239"/>
      <c r="BZ705" s="239"/>
      <c r="CA705" s="239"/>
      <c r="CB705" s="239"/>
      <c r="CC705" s="239"/>
      <c r="CD705" s="239"/>
      <c r="CE705" s="239"/>
      <c r="CF705" s="239"/>
      <c r="CG705" s="239"/>
    </row>
    <row r="706" spans="1:85" ht="15.75" customHeight="1">
      <c r="A706" s="239"/>
      <c r="B706" s="239"/>
      <c r="C706" s="239"/>
      <c r="D706" s="239"/>
      <c r="E706" s="239"/>
      <c r="F706" s="239"/>
      <c r="G706" s="239"/>
      <c r="H706" s="239"/>
      <c r="I706" s="239"/>
      <c r="J706" s="239"/>
      <c r="K706" s="239"/>
      <c r="L706" s="239"/>
      <c r="M706" s="239"/>
      <c r="N706" s="239"/>
      <c r="O706" s="239"/>
      <c r="P706" s="239"/>
      <c r="Q706" s="239"/>
      <c r="R706" s="239"/>
      <c r="S706" s="239"/>
      <c r="T706" s="239"/>
      <c r="U706" s="239"/>
      <c r="V706" s="239"/>
      <c r="W706" s="239"/>
      <c r="X706" s="239"/>
      <c r="Y706" s="239"/>
      <c r="Z706" s="239"/>
      <c r="AA706" s="239"/>
      <c r="AB706" s="239"/>
      <c r="AC706" s="239"/>
      <c r="AD706" s="239"/>
      <c r="AE706" s="239"/>
      <c r="AF706" s="239"/>
      <c r="AG706" s="239"/>
      <c r="AH706" s="239"/>
      <c r="AI706" s="239"/>
      <c r="AJ706" s="239"/>
      <c r="AK706" s="239"/>
      <c r="AL706" s="239"/>
      <c r="AM706" s="239"/>
      <c r="AN706" s="239"/>
      <c r="AO706" s="239"/>
      <c r="AP706" s="239"/>
      <c r="AQ706" s="239"/>
      <c r="AR706" s="239"/>
      <c r="AS706" s="239"/>
      <c r="AT706" s="239"/>
      <c r="AU706" s="239"/>
      <c r="AV706" s="239"/>
      <c r="AW706" s="239"/>
      <c r="AX706" s="239"/>
      <c r="AY706" s="239"/>
      <c r="AZ706" s="239"/>
      <c r="BA706" s="239"/>
      <c r="BB706" s="239"/>
      <c r="BC706" s="239"/>
      <c r="BD706" s="239"/>
      <c r="BE706" s="239"/>
      <c r="BF706" s="239"/>
      <c r="BG706" s="239"/>
      <c r="BH706" s="239"/>
      <c r="BI706" s="239"/>
      <c r="BJ706" s="239"/>
      <c r="BK706" s="239"/>
      <c r="BL706" s="239"/>
      <c r="BM706" s="239"/>
      <c r="BN706" s="239"/>
      <c r="BO706" s="239"/>
      <c r="BP706" s="239"/>
      <c r="BQ706" s="239"/>
      <c r="BR706" s="239"/>
      <c r="BS706" s="239"/>
      <c r="BT706" s="239"/>
      <c r="BU706" s="239"/>
      <c r="BV706" s="239"/>
      <c r="BW706" s="239"/>
      <c r="BX706" s="239"/>
      <c r="BY706" s="239"/>
      <c r="BZ706" s="239"/>
      <c r="CA706" s="239"/>
      <c r="CB706" s="239"/>
      <c r="CC706" s="239"/>
      <c r="CD706" s="239"/>
      <c r="CE706" s="239"/>
      <c r="CF706" s="239"/>
      <c r="CG706" s="239"/>
    </row>
    <row r="707" spans="1:85" ht="15.75" customHeight="1">
      <c r="A707" s="239"/>
      <c r="B707" s="239"/>
      <c r="C707" s="239"/>
      <c r="D707" s="239"/>
      <c r="E707" s="239"/>
      <c r="F707" s="239"/>
      <c r="G707" s="239"/>
      <c r="H707" s="239"/>
      <c r="I707" s="239"/>
      <c r="J707" s="239"/>
      <c r="K707" s="239"/>
      <c r="L707" s="239"/>
      <c r="M707" s="239"/>
      <c r="N707" s="239"/>
      <c r="O707" s="239"/>
      <c r="P707" s="239"/>
      <c r="Q707" s="239"/>
      <c r="R707" s="239"/>
      <c r="S707" s="239"/>
      <c r="T707" s="239"/>
      <c r="U707" s="239"/>
      <c r="V707" s="239"/>
      <c r="W707" s="239"/>
      <c r="X707" s="239"/>
      <c r="Y707" s="239"/>
      <c r="Z707" s="239"/>
      <c r="AA707" s="239"/>
      <c r="AB707" s="239"/>
      <c r="AC707" s="239"/>
      <c r="AD707" s="239"/>
      <c r="AE707" s="239"/>
      <c r="AF707" s="239"/>
      <c r="AG707" s="239"/>
      <c r="AH707" s="239"/>
      <c r="AI707" s="239"/>
      <c r="AJ707" s="239"/>
      <c r="AK707" s="239"/>
      <c r="AL707" s="239"/>
      <c r="AM707" s="239"/>
      <c r="AN707" s="239"/>
      <c r="AO707" s="239"/>
      <c r="AP707" s="239"/>
      <c r="AQ707" s="239"/>
      <c r="AR707" s="239"/>
      <c r="AS707" s="239"/>
      <c r="AT707" s="239"/>
      <c r="AU707" s="239"/>
      <c r="AV707" s="239"/>
      <c r="AW707" s="239"/>
      <c r="AX707" s="239"/>
      <c r="AY707" s="239"/>
      <c r="AZ707" s="239"/>
      <c r="BA707" s="239"/>
      <c r="BB707" s="239"/>
      <c r="BC707" s="239"/>
      <c r="BD707" s="239"/>
      <c r="BE707" s="239"/>
      <c r="BF707" s="239"/>
      <c r="BG707" s="239"/>
      <c r="BH707" s="239"/>
      <c r="BI707" s="239"/>
      <c r="BJ707" s="239"/>
      <c r="BK707" s="239"/>
      <c r="BL707" s="239"/>
      <c r="BM707" s="239"/>
      <c r="BN707" s="239"/>
      <c r="BO707" s="239"/>
      <c r="BP707" s="239"/>
      <c r="BQ707" s="239"/>
      <c r="BR707" s="239"/>
      <c r="BS707" s="239"/>
      <c r="BT707" s="239"/>
      <c r="BU707" s="239"/>
      <c r="BV707" s="239"/>
      <c r="BW707" s="239"/>
      <c r="BX707" s="239"/>
      <c r="BY707" s="239"/>
      <c r="BZ707" s="239"/>
      <c r="CA707" s="239"/>
      <c r="CB707" s="239"/>
      <c r="CC707" s="239"/>
      <c r="CD707" s="239"/>
      <c r="CE707" s="239"/>
      <c r="CF707" s="239"/>
      <c r="CG707" s="239"/>
    </row>
    <row r="708" spans="1:85" ht="15.75" customHeight="1">
      <c r="A708" s="239"/>
      <c r="B708" s="239"/>
      <c r="C708" s="239"/>
      <c r="D708" s="239"/>
      <c r="E708" s="239"/>
      <c r="F708" s="239"/>
      <c r="G708" s="239"/>
      <c r="H708" s="239"/>
      <c r="I708" s="239"/>
      <c r="J708" s="239"/>
      <c r="K708" s="239"/>
      <c r="L708" s="239"/>
      <c r="M708" s="239"/>
      <c r="N708" s="239"/>
      <c r="O708" s="239"/>
      <c r="P708" s="239"/>
      <c r="Q708" s="239"/>
      <c r="R708" s="239"/>
      <c r="S708" s="239"/>
      <c r="T708" s="239"/>
      <c r="U708" s="239"/>
      <c r="V708" s="239"/>
      <c r="W708" s="239"/>
      <c r="X708" s="239"/>
      <c r="Y708" s="239"/>
      <c r="Z708" s="239"/>
      <c r="AA708" s="239"/>
      <c r="AB708" s="239"/>
      <c r="AC708" s="239"/>
      <c r="AD708" s="239"/>
      <c r="AE708" s="239"/>
      <c r="AF708" s="239"/>
      <c r="AG708" s="239"/>
      <c r="AH708" s="239"/>
      <c r="AI708" s="239"/>
      <c r="AJ708" s="239"/>
      <c r="AK708" s="239"/>
      <c r="AL708" s="239"/>
      <c r="AM708" s="239"/>
      <c r="AN708" s="239"/>
      <c r="AO708" s="239"/>
      <c r="AP708" s="239"/>
      <c r="AQ708" s="239"/>
      <c r="AR708" s="239"/>
      <c r="AS708" s="239"/>
      <c r="AT708" s="239"/>
      <c r="AU708" s="239"/>
      <c r="AV708" s="239"/>
      <c r="AW708" s="239"/>
      <c r="AX708" s="239"/>
      <c r="AY708" s="239"/>
      <c r="AZ708" s="239"/>
      <c r="BA708" s="239"/>
      <c r="BB708" s="239"/>
      <c r="BC708" s="239"/>
      <c r="BD708" s="239"/>
      <c r="BE708" s="239"/>
      <c r="BF708" s="239"/>
      <c r="BG708" s="239"/>
      <c r="BH708" s="239"/>
      <c r="BI708" s="239"/>
      <c r="BJ708" s="239"/>
      <c r="BK708" s="239"/>
      <c r="BL708" s="239"/>
      <c r="BM708" s="239"/>
      <c r="BN708" s="239"/>
      <c r="BO708" s="239"/>
      <c r="BP708" s="239"/>
      <c r="BQ708" s="239"/>
      <c r="BR708" s="239"/>
      <c r="BS708" s="239"/>
      <c r="BT708" s="239"/>
      <c r="BU708" s="239"/>
      <c r="BV708" s="239"/>
      <c r="BW708" s="239"/>
      <c r="BX708" s="239"/>
      <c r="BY708" s="239"/>
      <c r="BZ708" s="239"/>
      <c r="CA708" s="239"/>
      <c r="CB708" s="239"/>
      <c r="CC708" s="239"/>
      <c r="CD708" s="239"/>
      <c r="CE708" s="239"/>
      <c r="CF708" s="239"/>
      <c r="CG708" s="239"/>
    </row>
    <row r="709" spans="1:85" ht="15.75" customHeight="1">
      <c r="A709" s="239"/>
      <c r="B709" s="239"/>
      <c r="C709" s="239"/>
      <c r="D709" s="239"/>
      <c r="E709" s="239"/>
      <c r="F709" s="239"/>
      <c r="G709" s="239"/>
      <c r="H709" s="239"/>
      <c r="I709" s="239"/>
      <c r="J709" s="239"/>
      <c r="K709" s="239"/>
      <c r="L709" s="239"/>
      <c r="M709" s="239"/>
      <c r="N709" s="239"/>
      <c r="O709" s="239"/>
      <c r="P709" s="239"/>
      <c r="Q709" s="239"/>
      <c r="R709" s="239"/>
      <c r="S709" s="239"/>
      <c r="T709" s="239"/>
      <c r="U709" s="239"/>
      <c r="V709" s="239"/>
      <c r="W709" s="239"/>
      <c r="X709" s="239"/>
      <c r="Y709" s="239"/>
      <c r="Z709" s="239"/>
      <c r="AA709" s="239"/>
      <c r="AB709" s="239"/>
      <c r="AC709" s="239"/>
      <c r="AD709" s="239"/>
      <c r="AE709" s="239"/>
      <c r="AF709" s="239"/>
      <c r="AG709" s="239"/>
      <c r="AH709" s="239"/>
      <c r="AI709" s="239"/>
      <c r="AJ709" s="239"/>
      <c r="AK709" s="239"/>
      <c r="AL709" s="239"/>
      <c r="AM709" s="239"/>
      <c r="AN709" s="239"/>
      <c r="AO709" s="239"/>
      <c r="AP709" s="239"/>
      <c r="AQ709" s="239"/>
      <c r="AR709" s="239"/>
      <c r="AS709" s="239"/>
      <c r="AT709" s="239"/>
      <c r="AU709" s="239"/>
      <c r="AV709" s="239"/>
      <c r="AW709" s="239"/>
      <c r="AX709" s="239"/>
      <c r="AY709" s="239"/>
      <c r="AZ709" s="239"/>
      <c r="BA709" s="239"/>
      <c r="BB709" s="239"/>
      <c r="BC709" s="239"/>
      <c r="BD709" s="239"/>
      <c r="BE709" s="239"/>
      <c r="BF709" s="239"/>
      <c r="BG709" s="239"/>
      <c r="BH709" s="239"/>
      <c r="BI709" s="239"/>
      <c r="BJ709" s="239"/>
      <c r="BK709" s="239"/>
      <c r="BL709" s="239"/>
      <c r="BM709" s="239"/>
      <c r="BN709" s="239"/>
      <c r="BO709" s="239"/>
      <c r="BP709" s="239"/>
      <c r="BQ709" s="239"/>
      <c r="BR709" s="239"/>
      <c r="BS709" s="239"/>
      <c r="BT709" s="239"/>
      <c r="BU709" s="239"/>
      <c r="BV709" s="239"/>
      <c r="BW709" s="239"/>
      <c r="BX709" s="239"/>
      <c r="BY709" s="239"/>
      <c r="BZ709" s="239"/>
      <c r="CA709" s="239"/>
      <c r="CB709" s="239"/>
      <c r="CC709" s="239"/>
      <c r="CD709" s="239"/>
      <c r="CE709" s="239"/>
      <c r="CF709" s="239"/>
      <c r="CG709" s="239"/>
    </row>
    <row r="710" spans="1:85" ht="15.75" customHeight="1">
      <c r="A710" s="239"/>
      <c r="B710" s="239"/>
      <c r="C710" s="239"/>
      <c r="D710" s="239"/>
      <c r="E710" s="239"/>
      <c r="F710" s="239"/>
      <c r="G710" s="239"/>
      <c r="H710" s="239"/>
      <c r="I710" s="239"/>
      <c r="J710" s="239"/>
      <c r="K710" s="239"/>
      <c r="L710" s="239"/>
      <c r="M710" s="239"/>
      <c r="N710" s="239"/>
      <c r="O710" s="239"/>
      <c r="P710" s="239"/>
      <c r="Q710" s="239"/>
      <c r="R710" s="239"/>
      <c r="S710" s="239"/>
      <c r="T710" s="239"/>
      <c r="U710" s="239"/>
      <c r="V710" s="239"/>
      <c r="W710" s="239"/>
      <c r="X710" s="239"/>
      <c r="Y710" s="239"/>
      <c r="Z710" s="239"/>
      <c r="AA710" s="239"/>
      <c r="AB710" s="239"/>
      <c r="AC710" s="239"/>
      <c r="AD710" s="239"/>
      <c r="AE710" s="239"/>
      <c r="AF710" s="239"/>
      <c r="AG710" s="239"/>
      <c r="AH710" s="239"/>
      <c r="AI710" s="239"/>
      <c r="AJ710" s="239"/>
      <c r="AK710" s="239"/>
      <c r="AL710" s="239"/>
      <c r="AM710" s="239"/>
      <c r="AN710" s="239"/>
      <c r="AO710" s="239"/>
      <c r="AP710" s="239"/>
      <c r="AQ710" s="239"/>
      <c r="AR710" s="239"/>
      <c r="AS710" s="239"/>
      <c r="AT710" s="239"/>
      <c r="AU710" s="239"/>
      <c r="AV710" s="239"/>
      <c r="AW710" s="239"/>
      <c r="AX710" s="239"/>
      <c r="AY710" s="239"/>
      <c r="AZ710" s="239"/>
      <c r="BA710" s="239"/>
      <c r="BB710" s="239"/>
      <c r="BC710" s="239"/>
      <c r="BD710" s="239"/>
      <c r="BE710" s="239"/>
      <c r="BF710" s="239"/>
      <c r="BG710" s="239"/>
      <c r="BH710" s="239"/>
      <c r="BI710" s="239"/>
      <c r="BJ710" s="239"/>
      <c r="BK710" s="239"/>
      <c r="BL710" s="239"/>
      <c r="BM710" s="239"/>
      <c r="BN710" s="239"/>
      <c r="BO710" s="239"/>
      <c r="BP710" s="239"/>
      <c r="BQ710" s="239"/>
      <c r="BR710" s="239"/>
      <c r="BS710" s="239"/>
      <c r="BT710" s="239"/>
      <c r="BU710" s="239"/>
      <c r="BV710" s="239"/>
      <c r="BW710" s="239"/>
      <c r="BX710" s="239"/>
      <c r="BY710" s="239"/>
      <c r="BZ710" s="239"/>
      <c r="CA710" s="239"/>
      <c r="CB710" s="239"/>
      <c r="CC710" s="239"/>
      <c r="CD710" s="239"/>
      <c r="CE710" s="239"/>
      <c r="CF710" s="239"/>
      <c r="CG710" s="239"/>
    </row>
    <row r="711" spans="1:85" ht="15.75" customHeight="1">
      <c r="A711" s="239"/>
      <c r="B711" s="239"/>
      <c r="C711" s="239"/>
      <c r="D711" s="239"/>
      <c r="E711" s="239"/>
      <c r="F711" s="239"/>
      <c r="G711" s="239"/>
      <c r="H711" s="239"/>
      <c r="I711" s="239"/>
      <c r="J711" s="239"/>
      <c r="K711" s="239"/>
      <c r="L711" s="239"/>
      <c r="M711" s="239"/>
      <c r="N711" s="239"/>
      <c r="O711" s="239"/>
      <c r="P711" s="239"/>
      <c r="Q711" s="239"/>
      <c r="R711" s="239"/>
      <c r="S711" s="239"/>
      <c r="T711" s="239"/>
      <c r="U711" s="239"/>
      <c r="V711" s="239"/>
      <c r="W711" s="239"/>
      <c r="X711" s="239"/>
      <c r="Y711" s="239"/>
      <c r="Z711" s="239"/>
      <c r="AA711" s="239"/>
      <c r="AB711" s="239"/>
      <c r="AC711" s="239"/>
      <c r="AD711" s="239"/>
      <c r="AE711" s="239"/>
      <c r="AF711" s="239"/>
      <c r="AG711" s="239"/>
      <c r="AH711" s="239"/>
      <c r="AI711" s="239"/>
      <c r="AJ711" s="239"/>
      <c r="AK711" s="239"/>
      <c r="AL711" s="239"/>
      <c r="AM711" s="239"/>
      <c r="AN711" s="239"/>
      <c r="AO711" s="239"/>
      <c r="AP711" s="239"/>
      <c r="AQ711" s="239"/>
      <c r="AR711" s="239"/>
      <c r="AS711" s="239"/>
      <c r="AT711" s="239"/>
      <c r="AU711" s="239"/>
      <c r="AV711" s="239"/>
      <c r="AW711" s="239"/>
      <c r="AX711" s="239"/>
      <c r="AY711" s="239"/>
      <c r="AZ711" s="239"/>
      <c r="BA711" s="239"/>
      <c r="BB711" s="239"/>
      <c r="BC711" s="239"/>
      <c r="BD711" s="239"/>
      <c r="BE711" s="239"/>
      <c r="BF711" s="239"/>
      <c r="BG711" s="239"/>
      <c r="BH711" s="239"/>
      <c r="BI711" s="239"/>
      <c r="BJ711" s="239"/>
      <c r="BK711" s="239"/>
      <c r="BL711" s="239"/>
      <c r="BM711" s="239"/>
      <c r="BN711" s="239"/>
      <c r="BO711" s="239"/>
      <c r="BP711" s="239"/>
      <c r="BQ711" s="239"/>
      <c r="BR711" s="239"/>
      <c r="BS711" s="239"/>
      <c r="BT711" s="239"/>
      <c r="BU711" s="239"/>
      <c r="BV711" s="239"/>
      <c r="BW711" s="239"/>
      <c r="BX711" s="239"/>
      <c r="BY711" s="239"/>
      <c r="BZ711" s="239"/>
      <c r="CA711" s="239"/>
      <c r="CB711" s="239"/>
      <c r="CC711" s="239"/>
      <c r="CD711" s="239"/>
      <c r="CE711" s="239"/>
      <c r="CF711" s="239"/>
      <c r="CG711" s="239"/>
    </row>
    <row r="712" spans="1:85" ht="15.75" customHeight="1">
      <c r="A712" s="239"/>
      <c r="B712" s="239"/>
      <c r="C712" s="239"/>
      <c r="D712" s="239"/>
      <c r="E712" s="239"/>
      <c r="F712" s="239"/>
      <c r="G712" s="239"/>
      <c r="H712" s="239"/>
      <c r="I712" s="239"/>
      <c r="J712" s="239"/>
      <c r="K712" s="239"/>
      <c r="L712" s="239"/>
      <c r="M712" s="239"/>
      <c r="N712" s="239"/>
      <c r="O712" s="239"/>
      <c r="P712" s="239"/>
      <c r="Q712" s="239"/>
      <c r="R712" s="239"/>
      <c r="S712" s="239"/>
      <c r="T712" s="239"/>
      <c r="U712" s="239"/>
      <c r="V712" s="239"/>
      <c r="W712" s="239"/>
      <c r="X712" s="239"/>
      <c r="Y712" s="239"/>
      <c r="Z712" s="239"/>
      <c r="AA712" s="239"/>
      <c r="AB712" s="239"/>
      <c r="AC712" s="239"/>
      <c r="AD712" s="239"/>
      <c r="AE712" s="239"/>
      <c r="AF712" s="239"/>
      <c r="AG712" s="239"/>
      <c r="AH712" s="239"/>
      <c r="AI712" s="239"/>
      <c r="AJ712" s="239"/>
      <c r="AK712" s="239"/>
      <c r="AL712" s="239"/>
      <c r="AM712" s="239"/>
      <c r="AN712" s="239"/>
      <c r="AO712" s="239"/>
      <c r="AP712" s="239"/>
      <c r="AQ712" s="239"/>
      <c r="AR712" s="239"/>
      <c r="AS712" s="239"/>
      <c r="AT712" s="239"/>
      <c r="AU712" s="239"/>
      <c r="AV712" s="239"/>
      <c r="AW712" s="239"/>
      <c r="AX712" s="239"/>
      <c r="AY712" s="239"/>
      <c r="AZ712" s="239"/>
      <c r="BA712" s="239"/>
      <c r="BB712" s="239"/>
      <c r="BC712" s="239"/>
      <c r="BD712" s="239"/>
      <c r="BE712" s="239"/>
      <c r="BF712" s="239"/>
      <c r="BG712" s="239"/>
      <c r="BH712" s="239"/>
      <c r="BI712" s="239"/>
      <c r="BJ712" s="239"/>
      <c r="BK712" s="239"/>
      <c r="BL712" s="239"/>
      <c r="BM712" s="239"/>
      <c r="BN712" s="239"/>
      <c r="BO712" s="239"/>
      <c r="BP712" s="239"/>
      <c r="BQ712" s="239"/>
      <c r="BR712" s="239"/>
      <c r="BS712" s="239"/>
      <c r="BT712" s="239"/>
      <c r="BU712" s="239"/>
      <c r="BV712" s="239"/>
      <c r="BW712" s="239"/>
      <c r="BX712" s="239"/>
      <c r="BY712" s="239"/>
      <c r="BZ712" s="239"/>
      <c r="CA712" s="239"/>
      <c r="CB712" s="239"/>
      <c r="CC712" s="239"/>
      <c r="CD712" s="239"/>
      <c r="CE712" s="239"/>
      <c r="CF712" s="239"/>
      <c r="CG712" s="239"/>
    </row>
    <row r="713" spans="1:85" ht="15.75" customHeight="1">
      <c r="A713" s="239"/>
      <c r="B713" s="239"/>
      <c r="C713" s="239"/>
      <c r="D713" s="239"/>
      <c r="E713" s="239"/>
      <c r="F713" s="239"/>
      <c r="G713" s="239"/>
      <c r="H713" s="239"/>
      <c r="I713" s="239"/>
      <c r="J713" s="239"/>
      <c r="K713" s="239"/>
      <c r="L713" s="239"/>
      <c r="M713" s="239"/>
      <c r="N713" s="239"/>
      <c r="O713" s="239"/>
      <c r="P713" s="239"/>
      <c r="Q713" s="239"/>
      <c r="R713" s="239"/>
      <c r="S713" s="239"/>
      <c r="T713" s="239"/>
      <c r="U713" s="239"/>
      <c r="V713" s="239"/>
      <c r="W713" s="239"/>
      <c r="X713" s="239"/>
      <c r="Y713" s="239"/>
      <c r="Z713" s="239"/>
      <c r="AA713" s="239"/>
      <c r="AB713" s="239"/>
      <c r="AC713" s="239"/>
      <c r="AD713" s="239"/>
      <c r="AE713" s="239"/>
      <c r="AF713" s="239"/>
      <c r="AG713" s="239"/>
      <c r="AH713" s="239"/>
      <c r="AI713" s="239"/>
      <c r="AJ713" s="239"/>
      <c r="AK713" s="239"/>
      <c r="AL713" s="239"/>
      <c r="AM713" s="239"/>
      <c r="AN713" s="239"/>
      <c r="AO713" s="239"/>
      <c r="AP713" s="239"/>
      <c r="AQ713" s="239"/>
      <c r="AR713" s="239"/>
      <c r="AS713" s="239"/>
      <c r="AT713" s="239"/>
      <c r="AU713" s="239"/>
      <c r="AV713" s="239"/>
      <c r="AW713" s="239"/>
      <c r="AX713" s="239"/>
      <c r="AY713" s="239"/>
      <c r="AZ713" s="239"/>
      <c r="BA713" s="239"/>
      <c r="BB713" s="239"/>
      <c r="BC713" s="239"/>
      <c r="BD713" s="239"/>
      <c r="BE713" s="239"/>
      <c r="BF713" s="239"/>
      <c r="BG713" s="239"/>
      <c r="BH713" s="239"/>
      <c r="BI713" s="239"/>
      <c r="BJ713" s="239"/>
      <c r="BK713" s="239"/>
      <c r="BL713" s="239"/>
      <c r="BM713" s="239"/>
      <c r="BN713" s="239"/>
      <c r="BO713" s="239"/>
      <c r="BP713" s="239"/>
      <c r="BQ713" s="239"/>
      <c r="BR713" s="239"/>
      <c r="BS713" s="239"/>
      <c r="BT713" s="239"/>
      <c r="BU713" s="239"/>
      <c r="BV713" s="239"/>
      <c r="BW713" s="239"/>
      <c r="BX713" s="239"/>
      <c r="BY713" s="239"/>
      <c r="BZ713" s="239"/>
      <c r="CA713" s="239"/>
      <c r="CB713" s="239"/>
      <c r="CC713" s="239"/>
      <c r="CD713" s="239"/>
      <c r="CE713" s="239"/>
      <c r="CF713" s="239"/>
      <c r="CG713" s="239"/>
    </row>
    <row r="714" spans="1:85" ht="15.75" customHeight="1">
      <c r="A714" s="239"/>
      <c r="B714" s="239"/>
      <c r="C714" s="239"/>
      <c r="D714" s="239"/>
      <c r="E714" s="239"/>
      <c r="F714" s="239"/>
      <c r="G714" s="239"/>
      <c r="H714" s="239"/>
      <c r="I714" s="239"/>
      <c r="J714" s="239"/>
      <c r="K714" s="239"/>
      <c r="L714" s="239"/>
      <c r="M714" s="239"/>
      <c r="N714" s="239"/>
      <c r="O714" s="239"/>
      <c r="P714" s="239"/>
      <c r="Q714" s="239"/>
      <c r="R714" s="239"/>
      <c r="S714" s="239"/>
      <c r="T714" s="239"/>
      <c r="U714" s="239"/>
      <c r="V714" s="239"/>
      <c r="W714" s="239"/>
      <c r="X714" s="239"/>
      <c r="Y714" s="239"/>
      <c r="Z714" s="239"/>
      <c r="AA714" s="239"/>
      <c r="AB714" s="239"/>
      <c r="AC714" s="239"/>
      <c r="AD714" s="239"/>
      <c r="AE714" s="239"/>
      <c r="AF714" s="239"/>
      <c r="AG714" s="239"/>
      <c r="AH714" s="239"/>
      <c r="AI714" s="239"/>
      <c r="AJ714" s="239"/>
      <c r="AK714" s="239"/>
      <c r="AL714" s="239"/>
      <c r="AM714" s="239"/>
      <c r="AN714" s="239"/>
      <c r="AO714" s="239"/>
      <c r="AP714" s="239"/>
      <c r="AQ714" s="239"/>
      <c r="AR714" s="239"/>
      <c r="AS714" s="239"/>
      <c r="AT714" s="239"/>
      <c r="AU714" s="239"/>
      <c r="AV714" s="239"/>
      <c r="AW714" s="239"/>
      <c r="AX714" s="239"/>
      <c r="AY714" s="239"/>
      <c r="AZ714" s="239"/>
      <c r="BA714" s="239"/>
      <c r="BB714" s="239"/>
      <c r="BC714" s="239"/>
      <c r="BD714" s="239"/>
      <c r="BE714" s="239"/>
      <c r="BF714" s="239"/>
      <c r="BG714" s="239"/>
      <c r="BH714" s="239"/>
      <c r="BI714" s="239"/>
      <c r="BJ714" s="239"/>
      <c r="BK714" s="239"/>
      <c r="BL714" s="239"/>
      <c r="BM714" s="239"/>
      <c r="BN714" s="239"/>
      <c r="BO714" s="239"/>
      <c r="BP714" s="239"/>
      <c r="BQ714" s="239"/>
      <c r="BR714" s="239"/>
      <c r="BS714" s="239"/>
      <c r="BT714" s="239"/>
      <c r="BU714" s="239"/>
      <c r="BV714" s="239"/>
      <c r="BW714" s="239"/>
      <c r="BX714" s="239"/>
      <c r="BY714" s="239"/>
      <c r="BZ714" s="239"/>
      <c r="CA714" s="239"/>
      <c r="CB714" s="239"/>
      <c r="CC714" s="239"/>
      <c r="CD714" s="239"/>
      <c r="CE714" s="239"/>
      <c r="CF714" s="239"/>
      <c r="CG714" s="239"/>
    </row>
    <row r="715" spans="1:85" ht="15.75" customHeight="1">
      <c r="A715" s="239"/>
      <c r="B715" s="239"/>
      <c r="C715" s="239"/>
      <c r="D715" s="239"/>
      <c r="E715" s="239"/>
      <c r="F715" s="239"/>
      <c r="G715" s="239"/>
      <c r="H715" s="239"/>
      <c r="I715" s="239"/>
      <c r="J715" s="239"/>
      <c r="K715" s="239"/>
      <c r="L715" s="239"/>
      <c r="M715" s="239"/>
      <c r="N715" s="239"/>
      <c r="O715" s="239"/>
      <c r="P715" s="239"/>
      <c r="Q715" s="239"/>
      <c r="R715" s="239"/>
      <c r="S715" s="239"/>
      <c r="T715" s="239"/>
      <c r="U715" s="239"/>
      <c r="V715" s="239"/>
      <c r="W715" s="239"/>
      <c r="X715" s="239"/>
      <c r="Y715" s="239"/>
      <c r="Z715" s="239"/>
      <c r="AA715" s="239"/>
      <c r="AB715" s="239"/>
      <c r="AC715" s="239"/>
      <c r="AD715" s="239"/>
      <c r="AE715" s="239"/>
      <c r="AF715" s="239"/>
      <c r="AG715" s="239"/>
      <c r="AH715" s="239"/>
      <c r="AI715" s="239"/>
      <c r="AJ715" s="239"/>
      <c r="AK715" s="239"/>
      <c r="AL715" s="239"/>
      <c r="AM715" s="239"/>
      <c r="AN715" s="239"/>
      <c r="AO715" s="239"/>
      <c r="AP715" s="239"/>
      <c r="AQ715" s="239"/>
      <c r="AR715" s="239"/>
      <c r="AS715" s="239"/>
      <c r="AT715" s="239"/>
      <c r="AU715" s="239"/>
      <c r="AV715" s="239"/>
      <c r="AW715" s="239"/>
      <c r="AX715" s="239"/>
      <c r="AY715" s="239"/>
      <c r="AZ715" s="239"/>
      <c r="BA715" s="239"/>
      <c r="BB715" s="239"/>
      <c r="BC715" s="239"/>
      <c r="BD715" s="239"/>
      <c r="BE715" s="239"/>
      <c r="BF715" s="239"/>
      <c r="BG715" s="239"/>
      <c r="BH715" s="239"/>
      <c r="BI715" s="239"/>
      <c r="BJ715" s="239"/>
      <c r="BK715" s="239"/>
      <c r="BL715" s="239"/>
      <c r="BM715" s="239"/>
      <c r="BN715" s="239"/>
      <c r="BO715" s="239"/>
      <c r="BP715" s="239"/>
      <c r="BQ715" s="239"/>
      <c r="BR715" s="239"/>
      <c r="BS715" s="239"/>
      <c r="BT715" s="239"/>
      <c r="BU715" s="239"/>
      <c r="BV715" s="239"/>
      <c r="BW715" s="239"/>
      <c r="BX715" s="239"/>
      <c r="BY715" s="239"/>
      <c r="BZ715" s="239"/>
      <c r="CA715" s="239"/>
      <c r="CB715" s="239"/>
      <c r="CC715" s="239"/>
      <c r="CD715" s="239"/>
      <c r="CE715" s="239"/>
      <c r="CF715" s="239"/>
      <c r="CG715" s="239"/>
    </row>
    <row r="716" spans="1:85" ht="15.75" customHeight="1">
      <c r="A716" s="239"/>
      <c r="B716" s="239"/>
      <c r="C716" s="239"/>
      <c r="D716" s="239"/>
      <c r="E716" s="239"/>
      <c r="F716" s="239"/>
      <c r="G716" s="239"/>
      <c r="H716" s="239"/>
      <c r="I716" s="239"/>
      <c r="J716" s="239"/>
      <c r="K716" s="239"/>
      <c r="L716" s="239"/>
      <c r="M716" s="239"/>
      <c r="N716" s="239"/>
      <c r="O716" s="239"/>
      <c r="P716" s="239"/>
      <c r="Q716" s="239"/>
      <c r="R716" s="239"/>
      <c r="S716" s="239"/>
      <c r="T716" s="239"/>
      <c r="U716" s="239"/>
      <c r="V716" s="239"/>
      <c r="W716" s="239"/>
      <c r="X716" s="239"/>
      <c r="Y716" s="239"/>
      <c r="Z716" s="239"/>
      <c r="AA716" s="239"/>
      <c r="AB716" s="239"/>
      <c r="AC716" s="239"/>
      <c r="AD716" s="239"/>
      <c r="AE716" s="239"/>
      <c r="AF716" s="239"/>
      <c r="AG716" s="239"/>
      <c r="AH716" s="239"/>
      <c r="AI716" s="239"/>
      <c r="AJ716" s="239"/>
      <c r="AK716" s="239"/>
      <c r="AL716" s="239"/>
      <c r="AM716" s="239"/>
      <c r="AN716" s="239"/>
      <c r="AO716" s="239"/>
      <c r="AP716" s="239"/>
      <c r="AQ716" s="239"/>
      <c r="AR716" s="239"/>
      <c r="AS716" s="239"/>
      <c r="AT716" s="239"/>
      <c r="AU716" s="239"/>
      <c r="AV716" s="239"/>
      <c r="AW716" s="239"/>
      <c r="AX716" s="239"/>
      <c r="AY716" s="239"/>
      <c r="AZ716" s="239"/>
      <c r="BA716" s="239"/>
      <c r="BB716" s="239"/>
      <c r="BC716" s="239"/>
      <c r="BD716" s="239"/>
      <c r="BE716" s="239"/>
      <c r="BF716" s="239"/>
      <c r="BG716" s="239"/>
      <c r="BH716" s="239"/>
      <c r="BI716" s="239"/>
      <c r="BJ716" s="239"/>
      <c r="BK716" s="239"/>
      <c r="BL716" s="239"/>
      <c r="BM716" s="239"/>
      <c r="BN716" s="239"/>
      <c r="BO716" s="239"/>
      <c r="BP716" s="239"/>
      <c r="BQ716" s="239"/>
      <c r="BR716" s="239"/>
      <c r="BS716" s="239"/>
      <c r="BT716" s="239"/>
      <c r="BU716" s="239"/>
      <c r="BV716" s="239"/>
      <c r="BW716" s="239"/>
      <c r="BX716" s="239"/>
      <c r="BY716" s="239"/>
      <c r="BZ716" s="239"/>
      <c r="CA716" s="239"/>
      <c r="CB716" s="239"/>
      <c r="CC716" s="239"/>
      <c r="CD716" s="239"/>
      <c r="CE716" s="239"/>
      <c r="CF716" s="239"/>
      <c r="CG716" s="239"/>
    </row>
    <row r="717" spans="1:85" ht="15.75" customHeight="1">
      <c r="A717" s="239"/>
      <c r="B717" s="239"/>
      <c r="C717" s="239"/>
      <c r="D717" s="239"/>
      <c r="E717" s="239"/>
      <c r="F717" s="239"/>
      <c r="G717" s="239"/>
      <c r="H717" s="239"/>
      <c r="I717" s="239"/>
      <c r="J717" s="239"/>
      <c r="K717" s="239"/>
      <c r="L717" s="239"/>
      <c r="M717" s="239"/>
      <c r="N717" s="239"/>
      <c r="O717" s="239"/>
      <c r="P717" s="239"/>
      <c r="Q717" s="239"/>
      <c r="R717" s="239"/>
      <c r="S717" s="239"/>
      <c r="T717" s="239"/>
      <c r="U717" s="239"/>
      <c r="V717" s="239"/>
      <c r="W717" s="239"/>
      <c r="X717" s="239"/>
      <c r="Y717" s="239"/>
      <c r="Z717" s="239"/>
      <c r="AA717" s="239"/>
      <c r="AB717" s="239"/>
      <c r="AC717" s="239"/>
      <c r="AD717" s="239"/>
      <c r="AE717" s="239"/>
      <c r="AF717" s="239"/>
      <c r="AG717" s="239"/>
      <c r="AH717" s="239"/>
      <c r="AI717" s="239"/>
      <c r="AJ717" s="239"/>
      <c r="AK717" s="239"/>
      <c r="AL717" s="239"/>
      <c r="AM717" s="239"/>
      <c r="AN717" s="239"/>
      <c r="AO717" s="239"/>
      <c r="AP717" s="239"/>
      <c r="AQ717" s="239"/>
      <c r="AR717" s="239"/>
      <c r="AS717" s="239"/>
      <c r="AT717" s="239"/>
      <c r="AU717" s="239"/>
      <c r="AV717" s="239"/>
      <c r="AW717" s="239"/>
      <c r="AX717" s="239"/>
      <c r="AY717" s="239"/>
      <c r="AZ717" s="239"/>
      <c r="BA717" s="239"/>
      <c r="BB717" s="239"/>
      <c r="BC717" s="239"/>
      <c r="BD717" s="239"/>
      <c r="BE717" s="239"/>
      <c r="BF717" s="239"/>
      <c r="BG717" s="239"/>
      <c r="BH717" s="239"/>
      <c r="BI717" s="239"/>
      <c r="BJ717" s="239"/>
      <c r="BK717" s="239"/>
      <c r="BL717" s="239"/>
      <c r="BM717" s="239"/>
      <c r="BN717" s="239"/>
      <c r="BO717" s="239"/>
      <c r="BP717" s="239"/>
      <c r="BQ717" s="239"/>
      <c r="BR717" s="239"/>
      <c r="BS717" s="239"/>
      <c r="BT717" s="239"/>
      <c r="BU717" s="239"/>
      <c r="BV717" s="239"/>
      <c r="BW717" s="239"/>
      <c r="BX717" s="239"/>
      <c r="BY717" s="239"/>
      <c r="BZ717" s="239"/>
      <c r="CA717" s="239"/>
      <c r="CB717" s="239"/>
      <c r="CC717" s="239"/>
      <c r="CD717" s="239"/>
      <c r="CE717" s="239"/>
      <c r="CF717" s="239"/>
      <c r="CG717" s="239"/>
    </row>
    <row r="718" spans="1:85" ht="15.75" customHeight="1">
      <c r="A718" s="239"/>
      <c r="B718" s="239"/>
      <c r="C718" s="239"/>
      <c r="D718" s="239"/>
      <c r="E718" s="239"/>
      <c r="F718" s="239"/>
      <c r="G718" s="239"/>
      <c r="H718" s="239"/>
      <c r="I718" s="239"/>
      <c r="J718" s="239"/>
      <c r="K718" s="239"/>
      <c r="L718" s="239"/>
      <c r="M718" s="239"/>
      <c r="N718" s="239"/>
      <c r="O718" s="239"/>
      <c r="P718" s="239"/>
      <c r="Q718" s="239"/>
      <c r="R718" s="239"/>
      <c r="S718" s="239"/>
      <c r="T718" s="239"/>
      <c r="U718" s="239"/>
      <c r="V718" s="239"/>
      <c r="W718" s="239"/>
      <c r="X718" s="239"/>
      <c r="Y718" s="239"/>
      <c r="Z718" s="239"/>
      <c r="AA718" s="239"/>
      <c r="AB718" s="239"/>
      <c r="AC718" s="239"/>
      <c r="AD718" s="239"/>
      <c r="AE718" s="239"/>
      <c r="AF718" s="239"/>
      <c r="AG718" s="239"/>
      <c r="AH718" s="239"/>
      <c r="AI718" s="239"/>
      <c r="AJ718" s="239"/>
      <c r="AK718" s="239"/>
      <c r="AL718" s="239"/>
      <c r="AM718" s="239"/>
      <c r="AN718" s="239"/>
      <c r="AO718" s="239"/>
      <c r="AP718" s="239"/>
      <c r="AQ718" s="239"/>
      <c r="AR718" s="239"/>
      <c r="AS718" s="239"/>
      <c r="AT718" s="239"/>
      <c r="AU718" s="239"/>
      <c r="AV718" s="239"/>
      <c r="AW718" s="239"/>
      <c r="AX718" s="239"/>
      <c r="AY718" s="239"/>
      <c r="AZ718" s="239"/>
      <c r="BA718" s="239"/>
      <c r="BB718" s="239"/>
      <c r="BC718" s="239"/>
      <c r="BD718" s="239"/>
      <c r="BE718" s="239"/>
      <c r="BF718" s="239"/>
      <c r="BG718" s="239"/>
      <c r="BH718" s="239"/>
      <c r="BI718" s="239"/>
      <c r="BJ718" s="239"/>
      <c r="BK718" s="239"/>
      <c r="BL718" s="239"/>
      <c r="BM718" s="239"/>
      <c r="BN718" s="239"/>
      <c r="BO718" s="239"/>
      <c r="BP718" s="239"/>
      <c r="BQ718" s="239"/>
      <c r="BR718" s="239"/>
      <c r="BS718" s="239"/>
      <c r="BT718" s="239"/>
      <c r="BU718" s="239"/>
      <c r="BV718" s="239"/>
      <c r="BW718" s="239"/>
      <c r="BX718" s="239"/>
      <c r="BY718" s="239"/>
      <c r="BZ718" s="239"/>
      <c r="CA718" s="239"/>
      <c r="CB718" s="239"/>
      <c r="CC718" s="239"/>
      <c r="CD718" s="239"/>
      <c r="CE718" s="239"/>
      <c r="CF718" s="239"/>
      <c r="CG718" s="239"/>
    </row>
    <row r="719" spans="1:85" ht="15.75" customHeight="1">
      <c r="A719" s="239"/>
      <c r="B719" s="239"/>
      <c r="C719" s="239"/>
      <c r="D719" s="239"/>
      <c r="E719" s="239"/>
      <c r="F719" s="239"/>
      <c r="G719" s="239"/>
      <c r="H719" s="239"/>
      <c r="I719" s="239"/>
      <c r="J719" s="239"/>
      <c r="K719" s="239"/>
      <c r="L719" s="239"/>
      <c r="M719" s="239"/>
      <c r="N719" s="239"/>
      <c r="O719" s="239"/>
      <c r="P719" s="239"/>
      <c r="Q719" s="239"/>
      <c r="R719" s="239"/>
      <c r="S719" s="239"/>
      <c r="T719" s="239"/>
      <c r="U719" s="239"/>
      <c r="V719" s="239"/>
      <c r="W719" s="239"/>
      <c r="X719" s="239"/>
      <c r="Y719" s="239"/>
      <c r="Z719" s="239"/>
      <c r="AA719" s="239"/>
      <c r="AB719" s="239"/>
      <c r="AC719" s="239"/>
      <c r="AD719" s="239"/>
      <c r="AE719" s="239"/>
      <c r="AF719" s="239"/>
      <c r="AG719" s="239"/>
      <c r="AH719" s="239"/>
      <c r="AI719" s="239"/>
      <c r="AJ719" s="239"/>
      <c r="AK719" s="239"/>
      <c r="AL719" s="239"/>
      <c r="AM719" s="239"/>
      <c r="AN719" s="239"/>
      <c r="AO719" s="239"/>
      <c r="AP719" s="239"/>
      <c r="AQ719" s="239"/>
      <c r="AR719" s="239"/>
      <c r="AS719" s="239"/>
      <c r="AT719" s="239"/>
      <c r="AU719" s="239"/>
      <c r="AV719" s="239"/>
      <c r="AW719" s="239"/>
      <c r="AX719" s="239"/>
      <c r="AY719" s="239"/>
      <c r="AZ719" s="239"/>
      <c r="BA719" s="239"/>
      <c r="BB719" s="239"/>
      <c r="BC719" s="239"/>
      <c r="BD719" s="239"/>
      <c r="BE719" s="239"/>
      <c r="BF719" s="239"/>
      <c r="BG719" s="239"/>
      <c r="BH719" s="239"/>
      <c r="BI719" s="239"/>
      <c r="BJ719" s="239"/>
      <c r="BK719" s="239"/>
      <c r="BL719" s="239"/>
      <c r="BM719" s="239"/>
      <c r="BN719" s="239"/>
      <c r="BO719" s="239"/>
      <c r="BP719" s="239"/>
      <c r="BQ719" s="239"/>
      <c r="BR719" s="239"/>
      <c r="BS719" s="239"/>
      <c r="BT719" s="239"/>
      <c r="BU719" s="239"/>
      <c r="BV719" s="239"/>
      <c r="BW719" s="239"/>
      <c r="BX719" s="239"/>
      <c r="BY719" s="239"/>
      <c r="BZ719" s="239"/>
      <c r="CA719" s="239"/>
      <c r="CB719" s="239"/>
      <c r="CC719" s="239"/>
      <c r="CD719" s="239"/>
      <c r="CE719" s="239"/>
      <c r="CF719" s="239"/>
      <c r="CG719" s="239"/>
    </row>
    <row r="720" spans="1:85" ht="15.75" customHeight="1">
      <c r="A720" s="239"/>
      <c r="B720" s="239"/>
      <c r="C720" s="239"/>
      <c r="D720" s="239"/>
      <c r="E720" s="239"/>
      <c r="F720" s="239"/>
      <c r="G720" s="239"/>
      <c r="H720" s="239"/>
      <c r="I720" s="239"/>
      <c r="J720" s="239"/>
      <c r="K720" s="239"/>
      <c r="L720" s="239"/>
      <c r="M720" s="239"/>
      <c r="N720" s="239"/>
      <c r="O720" s="239"/>
      <c r="P720" s="239"/>
      <c r="Q720" s="239"/>
      <c r="R720" s="239"/>
      <c r="S720" s="239"/>
      <c r="T720" s="239"/>
      <c r="U720" s="239"/>
      <c r="V720" s="239"/>
      <c r="W720" s="239"/>
      <c r="X720" s="239"/>
      <c r="Y720" s="239"/>
      <c r="Z720" s="239"/>
      <c r="AA720" s="239"/>
      <c r="AB720" s="239"/>
      <c r="AC720" s="239"/>
      <c r="AD720" s="239"/>
      <c r="AE720" s="239"/>
      <c r="AF720" s="239"/>
      <c r="AG720" s="239"/>
      <c r="AH720" s="239"/>
      <c r="AI720" s="239"/>
      <c r="AJ720" s="239"/>
      <c r="AK720" s="239"/>
      <c r="AL720" s="239"/>
      <c r="AM720" s="239"/>
      <c r="AN720" s="239"/>
      <c r="AO720" s="239"/>
      <c r="AP720" s="239"/>
      <c r="AQ720" s="239"/>
      <c r="AR720" s="239"/>
      <c r="AS720" s="239"/>
      <c r="AT720" s="239"/>
      <c r="AU720" s="239"/>
      <c r="AV720" s="239"/>
      <c r="AW720" s="239"/>
      <c r="AX720" s="239"/>
      <c r="AY720" s="239"/>
      <c r="AZ720" s="239"/>
      <c r="BA720" s="239"/>
      <c r="BB720" s="239"/>
      <c r="BC720" s="239"/>
      <c r="BD720" s="239"/>
      <c r="BE720" s="239"/>
      <c r="BF720" s="239"/>
      <c r="BG720" s="239"/>
      <c r="BH720" s="239"/>
      <c r="BI720" s="239"/>
      <c r="BJ720" s="239"/>
      <c r="BK720" s="239"/>
      <c r="BL720" s="239"/>
      <c r="BM720" s="239"/>
      <c r="BN720" s="239"/>
      <c r="BO720" s="239"/>
      <c r="BP720" s="239"/>
      <c r="BQ720" s="239"/>
      <c r="BR720" s="239"/>
      <c r="BS720" s="239"/>
      <c r="BT720" s="239"/>
      <c r="BU720" s="239"/>
      <c r="BV720" s="239"/>
      <c r="BW720" s="239"/>
      <c r="BX720" s="239"/>
      <c r="BY720" s="239"/>
      <c r="BZ720" s="239"/>
      <c r="CA720" s="239"/>
      <c r="CB720" s="239"/>
      <c r="CC720" s="239"/>
      <c r="CD720" s="239"/>
      <c r="CE720" s="239"/>
      <c r="CF720" s="239"/>
      <c r="CG720" s="239"/>
    </row>
    <row r="721" spans="1:85" ht="15.75" customHeight="1">
      <c r="A721" s="239"/>
      <c r="B721" s="239"/>
      <c r="C721" s="239"/>
      <c r="D721" s="239"/>
      <c r="E721" s="239"/>
      <c r="F721" s="239"/>
      <c r="G721" s="239"/>
      <c r="H721" s="239"/>
      <c r="I721" s="239"/>
      <c r="J721" s="239"/>
      <c r="K721" s="239"/>
      <c r="L721" s="239"/>
      <c r="M721" s="239"/>
      <c r="N721" s="239"/>
      <c r="O721" s="239"/>
      <c r="P721" s="239"/>
      <c r="Q721" s="239"/>
      <c r="R721" s="239"/>
      <c r="S721" s="239"/>
      <c r="T721" s="239"/>
      <c r="U721" s="239"/>
      <c r="V721" s="239"/>
      <c r="W721" s="239"/>
      <c r="X721" s="239"/>
      <c r="Y721" s="239"/>
      <c r="Z721" s="239"/>
      <c r="AA721" s="239"/>
      <c r="AB721" s="239"/>
      <c r="AC721" s="239"/>
      <c r="AD721" s="239"/>
      <c r="AE721" s="239"/>
      <c r="AF721" s="239"/>
      <c r="AG721" s="239"/>
      <c r="AH721" s="239"/>
      <c r="AI721" s="239"/>
      <c r="AJ721" s="239"/>
      <c r="AK721" s="239"/>
      <c r="AL721" s="239"/>
      <c r="AM721" s="239"/>
      <c r="AN721" s="239"/>
      <c r="AO721" s="239"/>
      <c r="AP721" s="239"/>
      <c r="AQ721" s="239"/>
      <c r="AR721" s="239"/>
      <c r="AS721" s="239"/>
      <c r="AT721" s="239"/>
      <c r="AU721" s="239"/>
      <c r="AV721" s="239"/>
      <c r="AW721" s="239"/>
      <c r="AX721" s="239"/>
      <c r="AY721" s="239"/>
      <c r="AZ721" s="239"/>
      <c r="BA721" s="239"/>
      <c r="BB721" s="239"/>
      <c r="BC721" s="239"/>
      <c r="BD721" s="239"/>
      <c r="BE721" s="239"/>
      <c r="BF721" s="239"/>
      <c r="BG721" s="239"/>
      <c r="BH721" s="239"/>
      <c r="BI721" s="239"/>
      <c r="BJ721" s="239"/>
      <c r="BK721" s="239"/>
      <c r="BL721" s="239"/>
      <c r="BM721" s="239"/>
      <c r="BN721" s="239"/>
      <c r="BO721" s="239"/>
      <c r="BP721" s="239"/>
      <c r="BQ721" s="239"/>
      <c r="BR721" s="239"/>
      <c r="BS721" s="239"/>
      <c r="BT721" s="239"/>
      <c r="BU721" s="239"/>
      <c r="BV721" s="239"/>
      <c r="BW721" s="239"/>
      <c r="BX721" s="239"/>
      <c r="BY721" s="239"/>
      <c r="BZ721" s="239"/>
      <c r="CA721" s="239"/>
      <c r="CB721" s="239"/>
      <c r="CC721" s="239"/>
      <c r="CD721" s="239"/>
      <c r="CE721" s="239"/>
      <c r="CF721" s="239"/>
      <c r="CG721" s="239"/>
    </row>
    <row r="722" spans="1:85" ht="15.75" customHeight="1">
      <c r="A722" s="239"/>
      <c r="B722" s="239"/>
      <c r="C722" s="239"/>
      <c r="D722" s="239"/>
      <c r="E722" s="239"/>
      <c r="F722" s="239"/>
      <c r="G722" s="239"/>
      <c r="H722" s="239"/>
      <c r="I722" s="239"/>
      <c r="J722" s="239"/>
      <c r="K722" s="239"/>
      <c r="L722" s="239"/>
      <c r="M722" s="239"/>
      <c r="N722" s="239"/>
      <c r="O722" s="239"/>
      <c r="P722" s="239"/>
      <c r="Q722" s="239"/>
      <c r="R722" s="239"/>
      <c r="S722" s="239"/>
      <c r="T722" s="239"/>
      <c r="U722" s="239"/>
      <c r="V722" s="239"/>
      <c r="W722" s="239"/>
      <c r="X722" s="239"/>
      <c r="Y722" s="239"/>
      <c r="Z722" s="239"/>
      <c r="AA722" s="239"/>
      <c r="AB722" s="239"/>
      <c r="AC722" s="239"/>
      <c r="AD722" s="239"/>
      <c r="AE722" s="239"/>
      <c r="AF722" s="239"/>
      <c r="AG722" s="239"/>
      <c r="AH722" s="239"/>
      <c r="AI722" s="239"/>
      <c r="AJ722" s="239"/>
      <c r="AK722" s="239"/>
      <c r="AL722" s="239"/>
      <c r="AM722" s="239"/>
      <c r="AN722" s="239"/>
      <c r="AO722" s="239"/>
      <c r="AP722" s="239"/>
      <c r="AQ722" s="239"/>
      <c r="AR722" s="239"/>
      <c r="AS722" s="239"/>
      <c r="AT722" s="239"/>
      <c r="AU722" s="239"/>
      <c r="AV722" s="239"/>
      <c r="AW722" s="239"/>
      <c r="AX722" s="239"/>
      <c r="AY722" s="239"/>
      <c r="AZ722" s="239"/>
      <c r="BA722" s="239"/>
      <c r="BB722" s="239"/>
      <c r="BC722" s="239"/>
      <c r="BD722" s="239"/>
      <c r="BE722" s="239"/>
      <c r="BF722" s="239"/>
      <c r="BG722" s="239"/>
      <c r="BH722" s="239"/>
      <c r="BI722" s="239"/>
      <c r="BJ722" s="239"/>
      <c r="BK722" s="239"/>
      <c r="BL722" s="239"/>
      <c r="BM722" s="239"/>
      <c r="BN722" s="239"/>
      <c r="BO722" s="239"/>
      <c r="BP722" s="239"/>
      <c r="BQ722" s="239"/>
      <c r="BR722" s="239"/>
      <c r="BS722" s="239"/>
      <c r="BT722" s="239"/>
      <c r="BU722" s="239"/>
      <c r="BV722" s="239"/>
      <c r="BW722" s="239"/>
      <c r="BX722" s="239"/>
      <c r="BY722" s="239"/>
      <c r="BZ722" s="239"/>
      <c r="CA722" s="239"/>
      <c r="CB722" s="239"/>
      <c r="CC722" s="239"/>
      <c r="CD722" s="239"/>
      <c r="CE722" s="239"/>
      <c r="CF722" s="239"/>
      <c r="CG722" s="239"/>
    </row>
    <row r="723" spans="1:85" ht="15.75" customHeight="1">
      <c r="A723" s="239"/>
      <c r="B723" s="239"/>
      <c r="C723" s="239"/>
      <c r="D723" s="239"/>
      <c r="E723" s="239"/>
      <c r="F723" s="239"/>
      <c r="G723" s="239"/>
      <c r="H723" s="239"/>
      <c r="I723" s="239"/>
      <c r="J723" s="239"/>
      <c r="K723" s="239"/>
      <c r="L723" s="239"/>
      <c r="M723" s="239"/>
      <c r="N723" s="239"/>
      <c r="O723" s="239"/>
      <c r="P723" s="239"/>
      <c r="Q723" s="239"/>
      <c r="R723" s="239"/>
      <c r="S723" s="239"/>
      <c r="T723" s="239"/>
      <c r="U723" s="239"/>
      <c r="V723" s="239"/>
      <c r="W723" s="239"/>
      <c r="X723" s="239"/>
      <c r="Y723" s="239"/>
      <c r="Z723" s="239"/>
      <c r="AA723" s="239"/>
      <c r="AB723" s="239"/>
      <c r="AC723" s="239"/>
      <c r="AD723" s="239"/>
      <c r="AE723" s="239"/>
      <c r="AF723" s="239"/>
      <c r="AG723" s="239"/>
      <c r="AH723" s="239"/>
      <c r="AI723" s="239"/>
      <c r="AJ723" s="239"/>
      <c r="AK723" s="239"/>
      <c r="AL723" s="239"/>
      <c r="AM723" s="239"/>
      <c r="AN723" s="239"/>
      <c r="AO723" s="239"/>
      <c r="AP723" s="239"/>
      <c r="AQ723" s="239"/>
      <c r="AR723" s="239"/>
      <c r="AS723" s="239"/>
      <c r="AT723" s="239"/>
      <c r="AU723" s="239"/>
      <c r="AV723" s="239"/>
      <c r="AW723" s="239"/>
      <c r="AX723" s="239"/>
      <c r="AY723" s="239"/>
      <c r="AZ723" s="239"/>
      <c r="BA723" s="239"/>
      <c r="BB723" s="239"/>
      <c r="BC723" s="239"/>
      <c r="BD723" s="239"/>
      <c r="BE723" s="239"/>
      <c r="BF723" s="239"/>
      <c r="BG723" s="239"/>
      <c r="BH723" s="239"/>
      <c r="BI723" s="239"/>
      <c r="BJ723" s="239"/>
      <c r="BK723" s="239"/>
      <c r="BL723" s="239"/>
      <c r="BM723" s="239"/>
      <c r="BN723" s="239"/>
      <c r="BO723" s="239"/>
      <c r="BP723" s="239"/>
      <c r="BQ723" s="239"/>
      <c r="BR723" s="239"/>
      <c r="BS723" s="239"/>
      <c r="BT723" s="239"/>
      <c r="BU723" s="239"/>
      <c r="BV723" s="239"/>
      <c r="BW723" s="239"/>
      <c r="BX723" s="239"/>
      <c r="BY723" s="239"/>
      <c r="BZ723" s="239"/>
      <c r="CA723" s="239"/>
      <c r="CB723" s="239"/>
      <c r="CC723" s="239"/>
      <c r="CD723" s="239"/>
      <c r="CE723" s="239"/>
      <c r="CF723" s="239"/>
      <c r="CG723" s="239"/>
    </row>
    <row r="724" spans="1:85" ht="15.75" customHeight="1">
      <c r="A724" s="239"/>
      <c r="B724" s="239"/>
      <c r="C724" s="239"/>
      <c r="D724" s="239"/>
      <c r="E724" s="239"/>
      <c r="F724" s="239"/>
      <c r="G724" s="239"/>
      <c r="H724" s="239"/>
      <c r="I724" s="239"/>
      <c r="J724" s="239"/>
      <c r="K724" s="239"/>
      <c r="L724" s="239"/>
      <c r="M724" s="239"/>
      <c r="N724" s="239"/>
      <c r="O724" s="239"/>
      <c r="P724" s="239"/>
      <c r="Q724" s="239"/>
      <c r="R724" s="239"/>
      <c r="S724" s="239"/>
      <c r="T724" s="239"/>
      <c r="U724" s="239"/>
      <c r="V724" s="239"/>
      <c r="W724" s="239"/>
      <c r="X724" s="239"/>
      <c r="Y724" s="239"/>
      <c r="Z724" s="239"/>
      <c r="AA724" s="239"/>
      <c r="AB724" s="239"/>
      <c r="AC724" s="239"/>
      <c r="AD724" s="239"/>
      <c r="AE724" s="239"/>
      <c r="AF724" s="239"/>
      <c r="AG724" s="239"/>
      <c r="AH724" s="239"/>
      <c r="AI724" s="239"/>
      <c r="AJ724" s="239"/>
      <c r="AK724" s="239"/>
      <c r="AL724" s="239"/>
      <c r="AM724" s="239"/>
      <c r="AN724" s="239"/>
      <c r="AO724" s="239"/>
      <c r="AP724" s="239"/>
      <c r="AQ724" s="239"/>
      <c r="AR724" s="239"/>
      <c r="AS724" s="239"/>
      <c r="AT724" s="239"/>
      <c r="AU724" s="239"/>
      <c r="AV724" s="239"/>
      <c r="AW724" s="239"/>
      <c r="AX724" s="239"/>
      <c r="AY724" s="239"/>
      <c r="AZ724" s="239"/>
      <c r="BA724" s="239"/>
      <c r="BB724" s="239"/>
      <c r="BC724" s="239"/>
      <c r="BD724" s="239"/>
      <c r="BE724" s="239"/>
      <c r="BF724" s="239"/>
      <c r="BG724" s="239"/>
      <c r="BH724" s="239"/>
      <c r="BI724" s="239"/>
      <c r="BJ724" s="239"/>
      <c r="BK724" s="239"/>
      <c r="BL724" s="239"/>
      <c r="BM724" s="239"/>
      <c r="BN724" s="239"/>
      <c r="BO724" s="239"/>
      <c r="BP724" s="239"/>
      <c r="BQ724" s="239"/>
      <c r="BR724" s="239"/>
      <c r="BS724" s="239"/>
      <c r="BT724" s="239"/>
      <c r="BU724" s="239"/>
      <c r="BV724" s="239"/>
      <c r="BW724" s="239"/>
      <c r="BX724" s="239"/>
      <c r="BY724" s="239"/>
      <c r="BZ724" s="239"/>
      <c r="CA724" s="239"/>
      <c r="CB724" s="239"/>
      <c r="CC724" s="239"/>
      <c r="CD724" s="239"/>
      <c r="CE724" s="239"/>
      <c r="CF724" s="239"/>
      <c r="CG724" s="239"/>
    </row>
    <row r="725" spans="1:85" ht="15.75" customHeight="1">
      <c r="A725" s="239"/>
      <c r="B725" s="239"/>
      <c r="C725" s="239"/>
      <c r="D725" s="239"/>
      <c r="E725" s="239"/>
      <c r="F725" s="239"/>
      <c r="G725" s="239"/>
      <c r="H725" s="239"/>
      <c r="I725" s="239"/>
      <c r="J725" s="239"/>
      <c r="K725" s="239"/>
      <c r="L725" s="239"/>
      <c r="M725" s="239"/>
      <c r="N725" s="239"/>
      <c r="O725" s="239"/>
      <c r="P725" s="239"/>
      <c r="Q725" s="239"/>
      <c r="R725" s="239"/>
      <c r="S725" s="239"/>
      <c r="T725" s="239"/>
      <c r="U725" s="239"/>
      <c r="V725" s="239"/>
      <c r="W725" s="239"/>
      <c r="X725" s="239"/>
      <c r="Y725" s="239"/>
      <c r="Z725" s="239"/>
      <c r="AA725" s="239"/>
      <c r="AB725" s="239"/>
      <c r="AC725" s="239"/>
      <c r="AD725" s="239"/>
      <c r="AE725" s="239"/>
      <c r="AF725" s="239"/>
      <c r="AG725" s="239"/>
      <c r="AH725" s="239"/>
      <c r="AI725" s="239"/>
      <c r="AJ725" s="239"/>
      <c r="AK725" s="239"/>
      <c r="AL725" s="239"/>
      <c r="AM725" s="239"/>
      <c r="AN725" s="239"/>
      <c r="AO725" s="239"/>
      <c r="AP725" s="239"/>
      <c r="AQ725" s="239"/>
      <c r="AR725" s="239"/>
      <c r="AS725" s="239"/>
      <c r="AT725" s="239"/>
      <c r="AU725" s="239"/>
      <c r="AV725" s="239"/>
      <c r="AW725" s="239"/>
      <c r="AX725" s="239"/>
      <c r="AY725" s="239"/>
      <c r="AZ725" s="239"/>
      <c r="BA725" s="239"/>
      <c r="BB725" s="239"/>
      <c r="BC725" s="239"/>
      <c r="BD725" s="239"/>
      <c r="BE725" s="239"/>
      <c r="BF725" s="239"/>
      <c r="BG725" s="239"/>
      <c r="BH725" s="239"/>
      <c r="BI725" s="239"/>
      <c r="BJ725" s="239"/>
      <c r="BK725" s="239"/>
      <c r="BL725" s="239"/>
      <c r="BM725" s="239"/>
      <c r="BN725" s="239"/>
      <c r="BO725" s="239"/>
      <c r="BP725" s="239"/>
      <c r="BQ725" s="239"/>
      <c r="BR725" s="239"/>
      <c r="BS725" s="239"/>
      <c r="BT725" s="239"/>
      <c r="BU725" s="239"/>
      <c r="BV725" s="239"/>
      <c r="BW725" s="239"/>
      <c r="BX725" s="239"/>
      <c r="BY725" s="239"/>
      <c r="BZ725" s="239"/>
      <c r="CA725" s="239"/>
      <c r="CB725" s="239"/>
      <c r="CC725" s="239"/>
      <c r="CD725" s="239"/>
      <c r="CE725" s="239"/>
      <c r="CF725" s="239"/>
      <c r="CG725" s="239"/>
    </row>
    <row r="726" spans="1:85" ht="15.75" customHeight="1">
      <c r="A726" s="239"/>
      <c r="B726" s="239"/>
      <c r="C726" s="239"/>
      <c r="D726" s="239"/>
      <c r="E726" s="239"/>
      <c r="F726" s="239"/>
      <c r="G726" s="239"/>
      <c r="H726" s="239"/>
      <c r="I726" s="239"/>
      <c r="J726" s="239"/>
      <c r="K726" s="239"/>
      <c r="L726" s="239"/>
      <c r="M726" s="239"/>
      <c r="N726" s="239"/>
      <c r="O726" s="239"/>
      <c r="P726" s="239"/>
      <c r="Q726" s="239"/>
      <c r="R726" s="239"/>
      <c r="S726" s="239"/>
      <c r="T726" s="239"/>
      <c r="U726" s="239"/>
      <c r="V726" s="239"/>
      <c r="W726" s="239"/>
      <c r="X726" s="239"/>
      <c r="Y726" s="239"/>
      <c r="Z726" s="239"/>
      <c r="AA726" s="239"/>
      <c r="AB726" s="239"/>
      <c r="AC726" s="239"/>
      <c r="AD726" s="239"/>
      <c r="AE726" s="239"/>
      <c r="AF726" s="239"/>
      <c r="AG726" s="239"/>
      <c r="AH726" s="239"/>
      <c r="AI726" s="239"/>
      <c r="AJ726" s="239"/>
      <c r="AK726" s="239"/>
      <c r="AL726" s="239"/>
      <c r="AM726" s="239"/>
      <c r="AN726" s="239"/>
      <c r="AO726" s="239"/>
      <c r="AP726" s="239"/>
      <c r="AQ726" s="239"/>
      <c r="AR726" s="239"/>
      <c r="AS726" s="239"/>
      <c r="AT726" s="239"/>
      <c r="AU726" s="239"/>
      <c r="AV726" s="239"/>
      <c r="AW726" s="239"/>
      <c r="AX726" s="239"/>
      <c r="AY726" s="239"/>
      <c r="AZ726" s="239"/>
      <c r="BA726" s="239"/>
      <c r="BB726" s="239"/>
      <c r="BC726" s="239"/>
      <c r="BD726" s="239"/>
      <c r="BE726" s="239"/>
      <c r="BF726" s="239"/>
      <c r="BG726" s="239"/>
      <c r="BH726" s="239"/>
      <c r="BI726" s="239"/>
      <c r="BJ726" s="239"/>
      <c r="BK726" s="239"/>
      <c r="BL726" s="239"/>
      <c r="BM726" s="239"/>
      <c r="BN726" s="239"/>
      <c r="BO726" s="239"/>
      <c r="BP726" s="239"/>
      <c r="BQ726" s="239"/>
      <c r="BR726" s="239"/>
      <c r="BS726" s="239"/>
      <c r="BT726" s="239"/>
      <c r="BU726" s="239"/>
      <c r="BV726" s="239"/>
      <c r="BW726" s="239"/>
      <c r="BX726" s="239"/>
      <c r="BY726" s="239"/>
      <c r="BZ726" s="239"/>
      <c r="CA726" s="239"/>
      <c r="CB726" s="239"/>
      <c r="CC726" s="239"/>
      <c r="CD726" s="239"/>
      <c r="CE726" s="239"/>
      <c r="CF726" s="239"/>
      <c r="CG726" s="239"/>
    </row>
    <row r="727" spans="1:85" ht="15.75" customHeight="1">
      <c r="A727" s="239"/>
      <c r="B727" s="239"/>
      <c r="C727" s="239"/>
      <c r="D727" s="239"/>
      <c r="E727" s="239"/>
      <c r="F727" s="239"/>
      <c r="G727" s="239"/>
      <c r="H727" s="239"/>
      <c r="I727" s="239"/>
      <c r="J727" s="239"/>
      <c r="K727" s="239"/>
      <c r="L727" s="239"/>
      <c r="M727" s="239"/>
      <c r="N727" s="239"/>
      <c r="O727" s="239"/>
      <c r="P727" s="239"/>
      <c r="Q727" s="239"/>
      <c r="R727" s="239"/>
      <c r="S727" s="239"/>
      <c r="T727" s="239"/>
      <c r="U727" s="239"/>
      <c r="V727" s="239"/>
      <c r="W727" s="239"/>
      <c r="X727" s="239"/>
      <c r="Y727" s="239"/>
      <c r="Z727" s="239"/>
      <c r="AA727" s="239"/>
      <c r="AB727" s="239"/>
      <c r="AC727" s="239"/>
      <c r="AD727" s="239"/>
      <c r="AE727" s="239"/>
      <c r="AF727" s="239"/>
      <c r="AG727" s="239"/>
      <c r="AH727" s="239"/>
      <c r="AI727" s="239"/>
      <c r="AJ727" s="239"/>
      <c r="AK727" s="239"/>
      <c r="AL727" s="239"/>
      <c r="AM727" s="239"/>
      <c r="AN727" s="239"/>
      <c r="AO727" s="239"/>
      <c r="AP727" s="239"/>
      <c r="AQ727" s="239"/>
      <c r="AR727" s="239"/>
      <c r="AS727" s="239"/>
      <c r="AT727" s="239"/>
      <c r="AU727" s="239"/>
      <c r="AV727" s="239"/>
      <c r="AW727" s="239"/>
      <c r="AX727" s="239"/>
      <c r="AY727" s="239"/>
      <c r="AZ727" s="239"/>
      <c r="BA727" s="239"/>
      <c r="BB727" s="239"/>
      <c r="BC727" s="239"/>
      <c r="BD727" s="239"/>
      <c r="BE727" s="239"/>
      <c r="BF727" s="239"/>
      <c r="BG727" s="239"/>
      <c r="BH727" s="239"/>
      <c r="BI727" s="239"/>
      <c r="BJ727" s="239"/>
      <c r="BK727" s="239"/>
      <c r="BL727" s="239"/>
      <c r="BM727" s="239"/>
      <c r="BN727" s="239"/>
      <c r="BO727" s="239"/>
      <c r="BP727" s="239"/>
      <c r="BQ727" s="239"/>
      <c r="BR727" s="239"/>
      <c r="BS727" s="239"/>
      <c r="BT727" s="239"/>
      <c r="BU727" s="239"/>
      <c r="BV727" s="239"/>
      <c r="BW727" s="239"/>
      <c r="BX727" s="239"/>
      <c r="BY727" s="239"/>
      <c r="BZ727" s="239"/>
      <c r="CA727" s="239"/>
      <c r="CB727" s="239"/>
      <c r="CC727" s="239"/>
      <c r="CD727" s="239"/>
      <c r="CE727" s="239"/>
      <c r="CF727" s="239"/>
      <c r="CG727" s="239"/>
    </row>
    <row r="728" spans="1:85" ht="15.75" customHeight="1">
      <c r="A728" s="239"/>
      <c r="B728" s="239"/>
      <c r="C728" s="239"/>
      <c r="D728" s="239"/>
      <c r="E728" s="239"/>
      <c r="F728" s="239"/>
      <c r="G728" s="239"/>
      <c r="H728" s="239"/>
      <c r="I728" s="239"/>
      <c r="J728" s="239"/>
      <c r="K728" s="239"/>
      <c r="L728" s="239"/>
      <c r="M728" s="239"/>
      <c r="N728" s="239"/>
      <c r="O728" s="239"/>
      <c r="P728" s="239"/>
      <c r="Q728" s="239"/>
      <c r="R728" s="239"/>
      <c r="S728" s="239"/>
      <c r="T728" s="239"/>
      <c r="U728" s="239"/>
      <c r="V728" s="239"/>
      <c r="W728" s="239"/>
      <c r="X728" s="239"/>
      <c r="Y728" s="239"/>
      <c r="Z728" s="239"/>
      <c r="AA728" s="239"/>
      <c r="AB728" s="239"/>
      <c r="AC728" s="239"/>
      <c r="AD728" s="239"/>
      <c r="AE728" s="239"/>
      <c r="AF728" s="239"/>
      <c r="AG728" s="239"/>
      <c r="AH728" s="239"/>
      <c r="AI728" s="239"/>
      <c r="AJ728" s="239"/>
      <c r="AK728" s="239"/>
      <c r="AL728" s="239"/>
      <c r="AM728" s="239"/>
      <c r="AN728" s="239"/>
      <c r="AO728" s="239"/>
      <c r="AP728" s="239"/>
      <c r="AQ728" s="239"/>
      <c r="AR728" s="239"/>
      <c r="AS728" s="239"/>
      <c r="AT728" s="239"/>
      <c r="AU728" s="239"/>
      <c r="AV728" s="239"/>
      <c r="AW728" s="239"/>
      <c r="AX728" s="239"/>
      <c r="AY728" s="239"/>
      <c r="AZ728" s="239"/>
      <c r="BA728" s="239"/>
      <c r="BB728" s="239"/>
      <c r="BC728" s="239"/>
      <c r="BD728" s="239"/>
      <c r="BE728" s="239"/>
      <c r="BF728" s="239"/>
      <c r="BG728" s="239"/>
      <c r="BH728" s="239"/>
      <c r="BI728" s="239"/>
      <c r="BJ728" s="239"/>
      <c r="BK728" s="239"/>
      <c r="BL728" s="239"/>
      <c r="BM728" s="239"/>
      <c r="BN728" s="239"/>
      <c r="BO728" s="239"/>
      <c r="BP728" s="239"/>
      <c r="BQ728" s="239"/>
      <c r="BR728" s="239"/>
      <c r="BS728" s="239"/>
      <c r="BT728" s="239"/>
      <c r="BU728" s="239"/>
      <c r="BV728" s="239"/>
      <c r="BW728" s="239"/>
      <c r="BX728" s="239"/>
      <c r="BY728" s="239"/>
      <c r="BZ728" s="239"/>
      <c r="CA728" s="239"/>
      <c r="CB728" s="239"/>
      <c r="CC728" s="239"/>
      <c r="CD728" s="239"/>
      <c r="CE728" s="239"/>
      <c r="CF728" s="239"/>
      <c r="CG728" s="239"/>
    </row>
    <row r="729" spans="1:85" ht="15.75" customHeight="1">
      <c r="A729" s="239"/>
      <c r="B729" s="239"/>
      <c r="C729" s="239"/>
      <c r="D729" s="239"/>
      <c r="E729" s="239"/>
      <c r="F729" s="239"/>
      <c r="G729" s="239"/>
      <c r="H729" s="239"/>
      <c r="I729" s="239"/>
      <c r="J729" s="239"/>
      <c r="K729" s="239"/>
      <c r="L729" s="239"/>
      <c r="M729" s="239"/>
      <c r="N729" s="239"/>
      <c r="O729" s="239"/>
      <c r="P729" s="239"/>
      <c r="Q729" s="239"/>
      <c r="R729" s="239"/>
      <c r="S729" s="239"/>
      <c r="T729" s="239"/>
      <c r="U729" s="239"/>
      <c r="V729" s="239"/>
      <c r="W729" s="239"/>
      <c r="X729" s="239"/>
      <c r="Y729" s="239"/>
      <c r="Z729" s="239"/>
      <c r="AA729" s="239"/>
      <c r="AB729" s="239"/>
      <c r="AC729" s="239"/>
      <c r="AD729" s="239"/>
      <c r="AE729" s="239"/>
      <c r="AF729" s="239"/>
      <c r="AG729" s="239"/>
      <c r="AH729" s="239"/>
      <c r="AI729" s="239"/>
      <c r="AJ729" s="239"/>
      <c r="AK729" s="239"/>
      <c r="AL729" s="239"/>
      <c r="AM729" s="239"/>
      <c r="AN729" s="239"/>
      <c r="AO729" s="239"/>
      <c r="AP729" s="239"/>
      <c r="AQ729" s="239"/>
      <c r="AR729" s="239"/>
      <c r="AS729" s="239"/>
      <c r="AT729" s="239"/>
      <c r="AU729" s="239"/>
      <c r="AV729" s="239"/>
      <c r="AW729" s="239"/>
      <c r="AX729" s="239"/>
      <c r="AY729" s="239"/>
      <c r="AZ729" s="239"/>
      <c r="BA729" s="239"/>
      <c r="BB729" s="239"/>
      <c r="BC729" s="239"/>
      <c r="BD729" s="239"/>
      <c r="BE729" s="239"/>
      <c r="BF729" s="239"/>
      <c r="BG729" s="239"/>
      <c r="BH729" s="239"/>
      <c r="BI729" s="239"/>
      <c r="BJ729" s="239"/>
      <c r="BK729" s="239"/>
      <c r="BL729" s="239"/>
      <c r="BM729" s="239"/>
      <c r="BN729" s="239"/>
      <c r="BO729" s="239"/>
      <c r="BP729" s="239"/>
      <c r="BQ729" s="239"/>
      <c r="BR729" s="239"/>
      <c r="BS729" s="239"/>
      <c r="BT729" s="239"/>
      <c r="BU729" s="239"/>
      <c r="BV729" s="239"/>
      <c r="BW729" s="239"/>
      <c r="BX729" s="239"/>
      <c r="BY729" s="239"/>
      <c r="BZ729" s="239"/>
      <c r="CA729" s="239"/>
      <c r="CB729" s="239"/>
      <c r="CC729" s="239"/>
      <c r="CD729" s="239"/>
      <c r="CE729" s="239"/>
      <c r="CF729" s="239"/>
      <c r="CG729" s="239"/>
    </row>
    <row r="730" spans="1:85" ht="15.75" customHeight="1">
      <c r="A730" s="239"/>
      <c r="B730" s="239"/>
      <c r="C730" s="239"/>
      <c r="D730" s="239"/>
      <c r="E730" s="239"/>
      <c r="F730" s="239"/>
      <c r="G730" s="239"/>
      <c r="H730" s="239"/>
      <c r="I730" s="239"/>
      <c r="J730" s="239"/>
      <c r="K730" s="239"/>
      <c r="L730" s="239"/>
      <c r="M730" s="239"/>
      <c r="N730" s="239"/>
      <c r="O730" s="239"/>
      <c r="P730" s="239"/>
      <c r="Q730" s="239"/>
      <c r="R730" s="239"/>
      <c r="S730" s="239"/>
      <c r="T730" s="239"/>
      <c r="U730" s="239"/>
      <c r="V730" s="239"/>
      <c r="W730" s="239"/>
      <c r="X730" s="239"/>
      <c r="Y730" s="239"/>
      <c r="Z730" s="239"/>
      <c r="AA730" s="239"/>
      <c r="AB730" s="239"/>
      <c r="AC730" s="239"/>
      <c r="AD730" s="239"/>
      <c r="AE730" s="239"/>
      <c r="AF730" s="239"/>
      <c r="AG730" s="239"/>
      <c r="AH730" s="239"/>
      <c r="AI730" s="239"/>
      <c r="AJ730" s="239"/>
      <c r="AK730" s="239"/>
      <c r="AL730" s="239"/>
      <c r="AM730" s="239"/>
      <c r="AN730" s="239"/>
      <c r="AO730" s="239"/>
      <c r="AP730" s="239"/>
      <c r="AQ730" s="239"/>
      <c r="AR730" s="239"/>
      <c r="AS730" s="239"/>
      <c r="AT730" s="239"/>
      <c r="AU730" s="239"/>
      <c r="AV730" s="239"/>
      <c r="AW730" s="239"/>
      <c r="AX730" s="239"/>
      <c r="AY730" s="239"/>
      <c r="AZ730" s="239"/>
      <c r="BA730" s="239"/>
      <c r="BB730" s="239"/>
      <c r="BC730" s="239"/>
      <c r="BD730" s="239"/>
      <c r="BE730" s="239"/>
      <c r="BF730" s="239"/>
      <c r="BG730" s="239"/>
      <c r="BH730" s="239"/>
      <c r="BI730" s="239"/>
      <c r="BJ730" s="239"/>
      <c r="BK730" s="239"/>
      <c r="BL730" s="239"/>
      <c r="BM730" s="239"/>
      <c r="BN730" s="239"/>
      <c r="BO730" s="239"/>
      <c r="BP730" s="239"/>
      <c r="BQ730" s="239"/>
      <c r="BR730" s="239"/>
      <c r="BS730" s="239"/>
      <c r="BT730" s="239"/>
      <c r="BU730" s="239"/>
      <c r="BV730" s="239"/>
      <c r="BW730" s="239"/>
      <c r="BX730" s="239"/>
      <c r="BY730" s="239"/>
      <c r="BZ730" s="239"/>
      <c r="CA730" s="239"/>
      <c r="CB730" s="239"/>
      <c r="CC730" s="239"/>
      <c r="CD730" s="239"/>
      <c r="CE730" s="239"/>
      <c r="CF730" s="239"/>
      <c r="CG730" s="239"/>
    </row>
    <row r="731" spans="1:85" ht="15.75" customHeight="1">
      <c r="A731" s="239"/>
      <c r="B731" s="239"/>
      <c r="C731" s="239"/>
      <c r="D731" s="239"/>
      <c r="E731" s="239"/>
      <c r="F731" s="239"/>
      <c r="G731" s="239"/>
      <c r="H731" s="239"/>
      <c r="I731" s="239"/>
      <c r="J731" s="239"/>
      <c r="K731" s="239"/>
      <c r="L731" s="239"/>
      <c r="M731" s="239"/>
      <c r="N731" s="239"/>
      <c r="O731" s="239"/>
      <c r="P731" s="239"/>
      <c r="Q731" s="239"/>
      <c r="R731" s="239"/>
      <c r="S731" s="239"/>
      <c r="T731" s="239"/>
      <c r="U731" s="239"/>
      <c r="V731" s="239"/>
      <c r="W731" s="239"/>
      <c r="X731" s="239"/>
      <c r="Y731" s="239"/>
      <c r="Z731" s="239"/>
      <c r="AA731" s="239"/>
      <c r="AB731" s="239"/>
      <c r="AC731" s="239"/>
      <c r="AD731" s="239"/>
      <c r="AE731" s="239"/>
      <c r="AF731" s="239"/>
      <c r="AG731" s="239"/>
      <c r="AH731" s="239"/>
      <c r="AI731" s="239"/>
      <c r="AJ731" s="239"/>
      <c r="AK731" s="239"/>
      <c r="AL731" s="239"/>
      <c r="AM731" s="239"/>
      <c r="AN731" s="239"/>
      <c r="AO731" s="239"/>
      <c r="AP731" s="239"/>
      <c r="AQ731" s="239"/>
      <c r="AR731" s="239"/>
      <c r="AS731" s="239"/>
      <c r="AT731" s="239"/>
      <c r="AU731" s="239"/>
      <c r="AV731" s="239"/>
      <c r="AW731" s="239"/>
      <c r="AX731" s="239"/>
      <c r="AY731" s="239"/>
      <c r="AZ731" s="239"/>
      <c r="BA731" s="239"/>
      <c r="BB731" s="239"/>
      <c r="BC731" s="239"/>
      <c r="BD731" s="239"/>
      <c r="BE731" s="239"/>
      <c r="BF731" s="239"/>
      <c r="BG731" s="239"/>
      <c r="BH731" s="239"/>
      <c r="BI731" s="239"/>
      <c r="BJ731" s="239"/>
      <c r="BK731" s="239"/>
      <c r="BL731" s="239"/>
      <c r="BM731" s="239"/>
      <c r="BN731" s="239"/>
      <c r="BO731" s="239"/>
      <c r="BP731" s="239"/>
      <c r="BQ731" s="239"/>
      <c r="BR731" s="239"/>
      <c r="BS731" s="239"/>
      <c r="BT731" s="239"/>
      <c r="BU731" s="239"/>
      <c r="BV731" s="239"/>
      <c r="BW731" s="239"/>
      <c r="BX731" s="239"/>
      <c r="BY731" s="239"/>
      <c r="BZ731" s="239"/>
      <c r="CA731" s="239"/>
      <c r="CB731" s="239"/>
      <c r="CC731" s="239"/>
      <c r="CD731" s="239"/>
      <c r="CE731" s="239"/>
      <c r="CF731" s="239"/>
      <c r="CG731" s="239"/>
    </row>
    <row r="732" spans="1:85" ht="15.75" customHeight="1">
      <c r="A732" s="239"/>
      <c r="B732" s="239"/>
      <c r="C732" s="239"/>
      <c r="D732" s="239"/>
      <c r="E732" s="239"/>
      <c r="F732" s="239"/>
      <c r="G732" s="239"/>
      <c r="H732" s="239"/>
      <c r="I732" s="239"/>
      <c r="J732" s="239"/>
      <c r="K732" s="239"/>
      <c r="L732" s="239"/>
      <c r="M732" s="239"/>
      <c r="N732" s="239"/>
      <c r="O732" s="239"/>
      <c r="P732" s="239"/>
      <c r="Q732" s="239"/>
      <c r="R732" s="239"/>
      <c r="S732" s="239"/>
      <c r="T732" s="239"/>
      <c r="U732" s="239"/>
      <c r="V732" s="239"/>
      <c r="W732" s="239"/>
      <c r="X732" s="239"/>
      <c r="Y732" s="239"/>
      <c r="Z732" s="239"/>
      <c r="AA732" s="239"/>
      <c r="AB732" s="239"/>
      <c r="AC732" s="239"/>
      <c r="AD732" s="239"/>
      <c r="AE732" s="239"/>
      <c r="AF732" s="239"/>
      <c r="AG732" s="239"/>
      <c r="AH732" s="239"/>
      <c r="AI732" s="239"/>
      <c r="AJ732" s="239"/>
      <c r="AK732" s="239"/>
      <c r="AL732" s="239"/>
      <c r="AM732" s="239"/>
      <c r="AN732" s="239"/>
      <c r="AO732" s="239"/>
      <c r="AP732" s="239"/>
      <c r="AQ732" s="239"/>
      <c r="AR732" s="239"/>
      <c r="AS732" s="239"/>
      <c r="AT732" s="239"/>
      <c r="AU732" s="239"/>
      <c r="AV732" s="239"/>
      <c r="AW732" s="239"/>
      <c r="AX732" s="239"/>
      <c r="AY732" s="239"/>
      <c r="AZ732" s="239"/>
      <c r="BA732" s="239"/>
      <c r="BB732" s="239"/>
      <c r="BC732" s="239"/>
      <c r="BD732" s="239"/>
      <c r="BE732" s="239"/>
      <c r="BF732" s="239"/>
      <c r="BG732" s="239"/>
      <c r="BH732" s="239"/>
      <c r="BI732" s="239"/>
      <c r="BJ732" s="239"/>
      <c r="BK732" s="239"/>
      <c r="BL732" s="239"/>
      <c r="BM732" s="239"/>
      <c r="BN732" s="239"/>
      <c r="BO732" s="239"/>
      <c r="BP732" s="239"/>
      <c r="BQ732" s="239"/>
      <c r="BR732" s="239"/>
      <c r="BS732" s="239"/>
      <c r="BT732" s="239"/>
      <c r="BU732" s="239"/>
      <c r="BV732" s="239"/>
      <c r="BW732" s="239"/>
      <c r="BX732" s="239"/>
      <c r="BY732" s="239"/>
      <c r="BZ732" s="239"/>
      <c r="CA732" s="239"/>
      <c r="CB732" s="239"/>
      <c r="CC732" s="239"/>
      <c r="CD732" s="239"/>
      <c r="CE732" s="239"/>
      <c r="CF732" s="239"/>
      <c r="CG732" s="239"/>
    </row>
    <row r="733" spans="1:85" ht="15.75" customHeight="1">
      <c r="A733" s="239"/>
      <c r="B733" s="239"/>
      <c r="C733" s="239"/>
      <c r="D733" s="239"/>
      <c r="E733" s="239"/>
      <c r="F733" s="239"/>
      <c r="G733" s="239"/>
      <c r="H733" s="239"/>
      <c r="I733" s="239"/>
      <c r="J733" s="239"/>
      <c r="K733" s="239"/>
      <c r="L733" s="239"/>
      <c r="M733" s="239"/>
      <c r="N733" s="239"/>
      <c r="O733" s="239"/>
      <c r="P733" s="239"/>
      <c r="Q733" s="239"/>
      <c r="R733" s="239"/>
      <c r="S733" s="239"/>
      <c r="T733" s="239"/>
      <c r="U733" s="239"/>
      <c r="V733" s="239"/>
      <c r="W733" s="239"/>
      <c r="X733" s="239"/>
      <c r="Y733" s="239"/>
      <c r="Z733" s="239"/>
      <c r="AA733" s="239"/>
      <c r="AB733" s="239"/>
      <c r="AC733" s="239"/>
      <c r="AD733" s="239"/>
      <c r="AE733" s="239"/>
      <c r="AF733" s="239"/>
      <c r="AG733" s="239"/>
      <c r="AH733" s="239"/>
      <c r="AI733" s="239"/>
      <c r="AJ733" s="239"/>
      <c r="AK733" s="239"/>
      <c r="AL733" s="239"/>
      <c r="AM733" s="239"/>
      <c r="AN733" s="239"/>
      <c r="AO733" s="239"/>
      <c r="AP733" s="239"/>
      <c r="AQ733" s="239"/>
      <c r="AR733" s="239"/>
      <c r="AS733" s="239"/>
      <c r="AT733" s="239"/>
      <c r="AU733" s="239"/>
      <c r="AV733" s="239"/>
      <c r="AW733" s="239"/>
      <c r="AX733" s="239"/>
      <c r="AY733" s="239"/>
      <c r="AZ733" s="239"/>
      <c r="BA733" s="239"/>
      <c r="BB733" s="239"/>
      <c r="BC733" s="239"/>
      <c r="BD733" s="239"/>
      <c r="BE733" s="239"/>
      <c r="BF733" s="239"/>
      <c r="BG733" s="239"/>
      <c r="BH733" s="239"/>
      <c r="BI733" s="239"/>
      <c r="BJ733" s="239"/>
      <c r="BK733" s="239"/>
      <c r="BL733" s="239"/>
      <c r="BM733" s="239"/>
      <c r="BN733" s="239"/>
      <c r="BO733" s="239"/>
      <c r="BP733" s="239"/>
      <c r="BQ733" s="239"/>
      <c r="BR733" s="239"/>
      <c r="BS733" s="239"/>
      <c r="BT733" s="239"/>
      <c r="BU733" s="239"/>
      <c r="BV733" s="239"/>
      <c r="BW733" s="239"/>
      <c r="BX733" s="239"/>
      <c r="BY733" s="239"/>
      <c r="BZ733" s="239"/>
      <c r="CA733" s="239"/>
      <c r="CB733" s="239"/>
      <c r="CC733" s="239"/>
      <c r="CD733" s="239"/>
      <c r="CE733" s="239"/>
      <c r="CF733" s="239"/>
      <c r="CG733" s="239"/>
    </row>
    <row r="734" spans="1:85" ht="15.75" customHeight="1">
      <c r="A734" s="239"/>
      <c r="B734" s="239"/>
      <c r="C734" s="239"/>
      <c r="D734" s="239"/>
      <c r="E734" s="239"/>
      <c r="F734" s="239"/>
      <c r="G734" s="239"/>
      <c r="H734" s="239"/>
      <c r="I734" s="239"/>
      <c r="J734" s="239"/>
      <c r="K734" s="239"/>
      <c r="L734" s="239"/>
      <c r="M734" s="239"/>
      <c r="N734" s="239"/>
      <c r="O734" s="239"/>
      <c r="P734" s="239"/>
      <c r="Q734" s="239"/>
      <c r="R734" s="239"/>
      <c r="S734" s="239"/>
      <c r="T734" s="239"/>
      <c r="U734" s="239"/>
      <c r="V734" s="239"/>
      <c r="W734" s="239"/>
      <c r="X734" s="239"/>
      <c r="Y734" s="239"/>
      <c r="Z734" s="239"/>
      <c r="AA734" s="239"/>
      <c r="AB734" s="239"/>
      <c r="AC734" s="239"/>
      <c r="AD734" s="239"/>
      <c r="AE734" s="239"/>
      <c r="AF734" s="239"/>
      <c r="AG734" s="239"/>
      <c r="AH734" s="239"/>
      <c r="AI734" s="239"/>
      <c r="AJ734" s="239"/>
      <c r="AK734" s="239"/>
      <c r="AL734" s="239"/>
      <c r="AM734" s="239"/>
      <c r="AN734" s="239"/>
      <c r="AO734" s="239"/>
      <c r="AP734" s="239"/>
      <c r="AQ734" s="239"/>
      <c r="AR734" s="239"/>
      <c r="AS734" s="239"/>
      <c r="AT734" s="239"/>
      <c r="AU734" s="239"/>
      <c r="AV734" s="239"/>
      <c r="AW734" s="239"/>
      <c r="AX734" s="239"/>
      <c r="AY734" s="239"/>
      <c r="AZ734" s="239"/>
      <c r="BA734" s="239"/>
      <c r="BB734" s="239"/>
      <c r="BC734" s="239"/>
      <c r="BD734" s="239"/>
      <c r="BE734" s="239"/>
      <c r="BF734" s="239"/>
      <c r="BG734" s="239"/>
      <c r="BH734" s="239"/>
      <c r="BI734" s="239"/>
      <c r="BJ734" s="239"/>
      <c r="BK734" s="239"/>
      <c r="BL734" s="239"/>
      <c r="BM734" s="239"/>
      <c r="BN734" s="239"/>
      <c r="BO734" s="239"/>
      <c r="BP734" s="239"/>
      <c r="BQ734" s="239"/>
      <c r="BR734" s="239"/>
      <c r="BS734" s="239"/>
      <c r="BT734" s="239"/>
      <c r="BU734" s="239"/>
      <c r="BV734" s="239"/>
      <c r="BW734" s="239"/>
      <c r="BX734" s="239"/>
      <c r="BY734" s="239"/>
      <c r="BZ734" s="239"/>
      <c r="CA734" s="239"/>
      <c r="CB734" s="239"/>
      <c r="CC734" s="239"/>
      <c r="CD734" s="239"/>
      <c r="CE734" s="239"/>
      <c r="CF734" s="239"/>
      <c r="CG734" s="239"/>
    </row>
    <row r="735" spans="1:85" ht="15.75" customHeight="1">
      <c r="A735" s="239"/>
      <c r="B735" s="239"/>
      <c r="C735" s="239"/>
      <c r="D735" s="239"/>
      <c r="E735" s="239"/>
      <c r="F735" s="239"/>
      <c r="G735" s="239"/>
      <c r="H735" s="239"/>
      <c r="I735" s="239"/>
      <c r="J735" s="239"/>
      <c r="K735" s="239"/>
      <c r="L735" s="239"/>
      <c r="M735" s="239"/>
      <c r="N735" s="239"/>
      <c r="O735" s="239"/>
      <c r="P735" s="239"/>
      <c r="Q735" s="239"/>
      <c r="R735" s="239"/>
      <c r="S735" s="239"/>
      <c r="T735" s="239"/>
      <c r="U735" s="239"/>
      <c r="V735" s="239"/>
      <c r="W735" s="239"/>
      <c r="X735" s="239"/>
      <c r="Y735" s="239"/>
      <c r="Z735" s="239"/>
      <c r="AA735" s="239"/>
      <c r="AB735" s="239"/>
      <c r="AC735" s="239"/>
      <c r="AD735" s="239"/>
      <c r="AE735" s="239"/>
      <c r="AF735" s="239"/>
      <c r="AG735" s="239"/>
      <c r="AH735" s="239"/>
      <c r="AI735" s="239"/>
      <c r="AJ735" s="239"/>
      <c r="AK735" s="239"/>
      <c r="AL735" s="239"/>
      <c r="AM735" s="239"/>
      <c r="AN735" s="239"/>
      <c r="AO735" s="239"/>
      <c r="AP735" s="239"/>
      <c r="AQ735" s="239"/>
      <c r="AR735" s="239"/>
      <c r="AS735" s="239"/>
      <c r="AT735" s="239"/>
      <c r="AU735" s="239"/>
      <c r="AV735" s="239"/>
      <c r="AW735" s="239"/>
      <c r="AX735" s="239"/>
      <c r="AY735" s="239"/>
      <c r="AZ735" s="239"/>
      <c r="BA735" s="239"/>
      <c r="BB735" s="239"/>
      <c r="BC735" s="239"/>
      <c r="BD735" s="239"/>
      <c r="BE735" s="239"/>
      <c r="BF735" s="239"/>
      <c r="BG735" s="239"/>
      <c r="BH735" s="239"/>
      <c r="BI735" s="239"/>
      <c r="BJ735" s="239"/>
      <c r="BK735" s="239"/>
      <c r="BL735" s="239"/>
      <c r="BM735" s="239"/>
      <c r="BN735" s="239"/>
      <c r="BO735" s="239"/>
      <c r="BP735" s="239"/>
      <c r="BQ735" s="239"/>
      <c r="BR735" s="239"/>
      <c r="BS735" s="239"/>
      <c r="BT735" s="239"/>
      <c r="BU735" s="239"/>
      <c r="BV735" s="239"/>
      <c r="BW735" s="239"/>
      <c r="BX735" s="239"/>
      <c r="BY735" s="239"/>
      <c r="BZ735" s="239"/>
      <c r="CA735" s="239"/>
      <c r="CB735" s="239"/>
      <c r="CC735" s="239"/>
      <c r="CD735" s="239"/>
      <c r="CE735" s="239"/>
      <c r="CF735" s="239"/>
      <c r="CG735" s="239"/>
    </row>
    <row r="736" spans="1:85" ht="15.75" customHeight="1">
      <c r="A736" s="239"/>
      <c r="B736" s="239"/>
      <c r="C736" s="239"/>
      <c r="D736" s="239"/>
      <c r="E736" s="239"/>
      <c r="F736" s="239"/>
      <c r="G736" s="239"/>
      <c r="H736" s="239"/>
      <c r="I736" s="239"/>
      <c r="J736" s="239"/>
      <c r="K736" s="239"/>
      <c r="L736" s="239"/>
      <c r="M736" s="239"/>
      <c r="N736" s="239"/>
      <c r="O736" s="239"/>
      <c r="P736" s="239"/>
      <c r="Q736" s="239"/>
      <c r="R736" s="239"/>
      <c r="S736" s="239"/>
      <c r="T736" s="239"/>
      <c r="U736" s="239"/>
      <c r="V736" s="239"/>
      <c r="W736" s="239"/>
      <c r="X736" s="239"/>
      <c r="Y736" s="239"/>
      <c r="Z736" s="239"/>
      <c r="AA736" s="239"/>
      <c r="AB736" s="239"/>
      <c r="AC736" s="239"/>
      <c r="AD736" s="239"/>
      <c r="AE736" s="239"/>
      <c r="AF736" s="239"/>
      <c r="AG736" s="239"/>
      <c r="AH736" s="239"/>
      <c r="AI736" s="239"/>
      <c r="AJ736" s="239"/>
      <c r="AK736" s="239"/>
      <c r="AL736" s="239"/>
      <c r="AM736" s="239"/>
      <c r="AN736" s="239"/>
      <c r="AO736" s="239"/>
      <c r="AP736" s="239"/>
      <c r="AQ736" s="239"/>
      <c r="AR736" s="239"/>
      <c r="AS736" s="239"/>
      <c r="AT736" s="239"/>
      <c r="AU736" s="239"/>
      <c r="AV736" s="239"/>
      <c r="AW736" s="239"/>
      <c r="AX736" s="239"/>
      <c r="AY736" s="239"/>
      <c r="AZ736" s="239"/>
      <c r="BA736" s="239"/>
      <c r="BB736" s="239"/>
      <c r="BC736" s="239"/>
      <c r="BD736" s="239"/>
      <c r="BE736" s="239"/>
      <c r="BF736" s="239"/>
      <c r="BG736" s="239"/>
      <c r="BH736" s="239"/>
      <c r="BI736" s="239"/>
      <c r="BJ736" s="239"/>
      <c r="BK736" s="239"/>
      <c r="BL736" s="239"/>
      <c r="BM736" s="239"/>
      <c r="BN736" s="239"/>
      <c r="BO736" s="239"/>
      <c r="BP736" s="239"/>
      <c r="BQ736" s="239"/>
      <c r="BR736" s="239"/>
      <c r="BS736" s="239"/>
      <c r="BT736" s="239"/>
      <c r="BU736" s="239"/>
      <c r="BV736" s="239"/>
      <c r="BW736" s="239"/>
      <c r="BX736" s="239"/>
      <c r="BY736" s="239"/>
      <c r="BZ736" s="239"/>
      <c r="CA736" s="239"/>
      <c r="CB736" s="239"/>
      <c r="CC736" s="239"/>
      <c r="CD736" s="239"/>
      <c r="CE736" s="239"/>
      <c r="CF736" s="239"/>
      <c r="CG736" s="239"/>
    </row>
    <row r="737" spans="1:85" ht="15.75" customHeight="1">
      <c r="A737" s="239"/>
      <c r="B737" s="239"/>
      <c r="C737" s="239"/>
      <c r="D737" s="239"/>
      <c r="E737" s="239"/>
      <c r="F737" s="239"/>
      <c r="G737" s="239"/>
      <c r="H737" s="239"/>
      <c r="I737" s="239"/>
      <c r="J737" s="239"/>
      <c r="K737" s="239"/>
      <c r="L737" s="239"/>
      <c r="M737" s="239"/>
      <c r="N737" s="239"/>
      <c r="O737" s="239"/>
      <c r="P737" s="239"/>
      <c r="Q737" s="239"/>
      <c r="R737" s="239"/>
      <c r="S737" s="239"/>
      <c r="T737" s="239"/>
      <c r="U737" s="239"/>
      <c r="V737" s="239"/>
      <c r="W737" s="239"/>
      <c r="X737" s="239"/>
      <c r="Y737" s="239"/>
      <c r="Z737" s="239"/>
      <c r="AA737" s="239"/>
      <c r="AB737" s="239"/>
      <c r="AC737" s="239"/>
      <c r="AD737" s="239"/>
      <c r="AE737" s="239"/>
      <c r="AF737" s="239"/>
      <c r="AG737" s="239"/>
      <c r="AH737" s="239"/>
      <c r="AI737" s="239"/>
      <c r="AJ737" s="239"/>
      <c r="AK737" s="239"/>
      <c r="AL737" s="239"/>
      <c r="AM737" s="239"/>
      <c r="AN737" s="239"/>
      <c r="AO737" s="239"/>
      <c r="AP737" s="239"/>
      <c r="AQ737" s="239"/>
      <c r="AR737" s="239"/>
      <c r="AS737" s="239"/>
      <c r="AT737" s="239"/>
      <c r="AU737" s="239"/>
      <c r="AV737" s="239"/>
      <c r="AW737" s="239"/>
      <c r="AX737" s="239"/>
      <c r="AY737" s="239"/>
      <c r="AZ737" s="239"/>
      <c r="BA737" s="239"/>
      <c r="BB737" s="239"/>
      <c r="BC737" s="239"/>
      <c r="BD737" s="239"/>
      <c r="BE737" s="239"/>
      <c r="BF737" s="239"/>
      <c r="BG737" s="239"/>
      <c r="BH737" s="239"/>
      <c r="BI737" s="239"/>
      <c r="BJ737" s="239"/>
      <c r="BK737" s="239"/>
      <c r="BL737" s="239"/>
      <c r="BM737" s="239"/>
      <c r="BN737" s="239"/>
      <c r="BO737" s="239"/>
      <c r="BP737" s="239"/>
      <c r="BQ737" s="239"/>
      <c r="BR737" s="239"/>
      <c r="BS737" s="239"/>
      <c r="BT737" s="239"/>
      <c r="BU737" s="239"/>
      <c r="BV737" s="239"/>
      <c r="BW737" s="239"/>
      <c r="BX737" s="239"/>
      <c r="BY737" s="239"/>
      <c r="BZ737" s="239"/>
      <c r="CA737" s="239"/>
      <c r="CB737" s="239"/>
      <c r="CC737" s="239"/>
      <c r="CD737" s="239"/>
      <c r="CE737" s="239"/>
      <c r="CF737" s="239"/>
      <c r="CG737" s="239"/>
    </row>
    <row r="738" spans="1:85" ht="15.75" customHeight="1">
      <c r="A738" s="239"/>
      <c r="B738" s="239"/>
      <c r="C738" s="239"/>
      <c r="D738" s="239"/>
      <c r="E738" s="239"/>
      <c r="F738" s="239"/>
      <c r="G738" s="239"/>
      <c r="H738" s="239"/>
      <c r="I738" s="239"/>
      <c r="J738" s="239"/>
      <c r="K738" s="239"/>
      <c r="L738" s="239"/>
      <c r="M738" s="239"/>
      <c r="N738" s="239"/>
      <c r="O738" s="239"/>
      <c r="P738" s="239"/>
      <c r="Q738" s="239"/>
      <c r="R738" s="239"/>
      <c r="S738" s="239"/>
      <c r="T738" s="239"/>
      <c r="U738" s="239"/>
      <c r="V738" s="239"/>
      <c r="W738" s="239"/>
      <c r="X738" s="239"/>
      <c r="Y738" s="239"/>
      <c r="Z738" s="239"/>
      <c r="AA738" s="239"/>
      <c r="AB738" s="239"/>
      <c r="AC738" s="239"/>
      <c r="AD738" s="239"/>
      <c r="AE738" s="239"/>
      <c r="AF738" s="239"/>
      <c r="AG738" s="239"/>
      <c r="AH738" s="239"/>
      <c r="AI738" s="239"/>
      <c r="AJ738" s="239"/>
      <c r="AK738" s="239"/>
      <c r="AL738" s="239"/>
      <c r="AM738" s="239"/>
      <c r="AN738" s="239"/>
      <c r="AO738" s="239"/>
      <c r="AP738" s="239"/>
      <c r="AQ738" s="239"/>
      <c r="AR738" s="239"/>
      <c r="AS738" s="239"/>
      <c r="AT738" s="239"/>
      <c r="AU738" s="239"/>
      <c r="AV738" s="239"/>
      <c r="AW738" s="239"/>
      <c r="AX738" s="239"/>
      <c r="AY738" s="239"/>
      <c r="AZ738" s="239"/>
      <c r="BA738" s="239"/>
      <c r="BB738" s="239"/>
      <c r="BC738" s="239"/>
      <c r="BD738" s="239"/>
      <c r="BE738" s="239"/>
      <c r="BF738" s="239"/>
      <c r="BG738" s="239"/>
      <c r="BH738" s="239"/>
      <c r="BI738" s="239"/>
      <c r="BJ738" s="239"/>
      <c r="BK738" s="239"/>
      <c r="BL738" s="239"/>
      <c r="BM738" s="239"/>
      <c r="BN738" s="239"/>
      <c r="BO738" s="239"/>
      <c r="BP738" s="239"/>
      <c r="BQ738" s="239"/>
      <c r="BR738" s="239"/>
      <c r="BS738" s="239"/>
      <c r="BT738" s="239"/>
      <c r="BU738" s="239"/>
      <c r="BV738" s="239"/>
      <c r="BW738" s="239"/>
      <c r="BX738" s="239"/>
      <c r="BY738" s="239"/>
      <c r="BZ738" s="239"/>
      <c r="CA738" s="239"/>
      <c r="CB738" s="239"/>
      <c r="CC738" s="239"/>
      <c r="CD738" s="239"/>
      <c r="CE738" s="239"/>
      <c r="CF738" s="239"/>
      <c r="CG738" s="239"/>
    </row>
    <row r="739" spans="1:85" ht="15.75" customHeight="1">
      <c r="A739" s="239"/>
      <c r="B739" s="239"/>
      <c r="C739" s="239"/>
      <c r="D739" s="239"/>
      <c r="E739" s="239"/>
      <c r="F739" s="239"/>
      <c r="G739" s="239"/>
      <c r="H739" s="239"/>
      <c r="I739" s="239"/>
      <c r="J739" s="239"/>
      <c r="K739" s="239"/>
      <c r="L739" s="239"/>
      <c r="M739" s="239"/>
      <c r="N739" s="239"/>
      <c r="O739" s="239"/>
      <c r="P739" s="239"/>
      <c r="Q739" s="239"/>
      <c r="R739" s="239"/>
      <c r="S739" s="239"/>
      <c r="T739" s="239"/>
      <c r="U739" s="239"/>
      <c r="V739" s="239"/>
      <c r="W739" s="239"/>
      <c r="X739" s="239"/>
      <c r="Y739" s="239"/>
      <c r="Z739" s="239"/>
      <c r="AA739" s="239"/>
      <c r="AB739" s="239"/>
      <c r="AC739" s="239"/>
      <c r="AD739" s="239"/>
      <c r="AE739" s="239"/>
      <c r="AF739" s="239"/>
      <c r="AG739" s="239"/>
      <c r="AH739" s="239"/>
      <c r="AI739" s="239"/>
      <c r="AJ739" s="239"/>
      <c r="AK739" s="239"/>
      <c r="AL739" s="239"/>
      <c r="AM739" s="239"/>
      <c r="AN739" s="239"/>
      <c r="AO739" s="239"/>
      <c r="AP739" s="239"/>
      <c r="AQ739" s="239"/>
      <c r="AR739" s="239"/>
      <c r="AS739" s="239"/>
      <c r="AT739" s="239"/>
      <c r="AU739" s="239"/>
      <c r="AV739" s="239"/>
      <c r="AW739" s="239"/>
      <c r="AX739" s="239"/>
      <c r="AY739" s="239"/>
      <c r="AZ739" s="239"/>
      <c r="BA739" s="239"/>
      <c r="BB739" s="239"/>
      <c r="BC739" s="239"/>
      <c r="BD739" s="239"/>
      <c r="BE739" s="239"/>
      <c r="BF739" s="239"/>
      <c r="BG739" s="239"/>
      <c r="BH739" s="239"/>
      <c r="BI739" s="239"/>
      <c r="BJ739" s="239"/>
      <c r="BK739" s="239"/>
      <c r="BL739" s="239"/>
      <c r="BM739" s="239"/>
      <c r="BN739" s="239"/>
      <c r="BO739" s="239"/>
      <c r="BP739" s="239"/>
      <c r="BQ739" s="239"/>
      <c r="BR739" s="239"/>
      <c r="BS739" s="239"/>
      <c r="BT739" s="239"/>
      <c r="BU739" s="239"/>
      <c r="BV739" s="239"/>
      <c r="BW739" s="239"/>
      <c r="BX739" s="239"/>
      <c r="BY739" s="239"/>
      <c r="BZ739" s="239"/>
      <c r="CA739" s="239"/>
      <c r="CB739" s="239"/>
      <c r="CC739" s="239"/>
      <c r="CD739" s="239"/>
      <c r="CE739" s="239"/>
      <c r="CF739" s="239"/>
      <c r="CG739" s="239"/>
    </row>
    <row r="740" spans="1:85" ht="15.75" customHeight="1">
      <c r="A740" s="239"/>
      <c r="B740" s="239"/>
      <c r="C740" s="239"/>
      <c r="D740" s="239"/>
      <c r="E740" s="239"/>
      <c r="F740" s="239"/>
      <c r="G740" s="239"/>
      <c r="H740" s="239"/>
      <c r="I740" s="239"/>
      <c r="J740" s="239"/>
      <c r="K740" s="239"/>
      <c r="L740" s="239"/>
      <c r="M740" s="239"/>
      <c r="N740" s="239"/>
      <c r="O740" s="239"/>
      <c r="P740" s="239"/>
      <c r="Q740" s="239"/>
      <c r="R740" s="239"/>
      <c r="S740" s="239"/>
      <c r="T740" s="239"/>
      <c r="U740" s="239"/>
      <c r="V740" s="239"/>
      <c r="W740" s="239"/>
      <c r="X740" s="239"/>
      <c r="Y740" s="239"/>
      <c r="Z740" s="239"/>
      <c r="AA740" s="239"/>
      <c r="AB740" s="239"/>
      <c r="AC740" s="239"/>
      <c r="AD740" s="239"/>
      <c r="AE740" s="239"/>
      <c r="AF740" s="239"/>
      <c r="AG740" s="239"/>
      <c r="AH740" s="239"/>
      <c r="AI740" s="239"/>
      <c r="AJ740" s="239"/>
      <c r="AK740" s="239"/>
      <c r="AL740" s="239"/>
      <c r="AM740" s="239"/>
      <c r="AN740" s="239"/>
      <c r="AO740" s="239"/>
      <c r="AP740" s="239"/>
      <c r="AQ740" s="239"/>
      <c r="AR740" s="239"/>
      <c r="AS740" s="239"/>
      <c r="AT740" s="239"/>
      <c r="AU740" s="239"/>
      <c r="AV740" s="239"/>
      <c r="AW740" s="239"/>
      <c r="AX740" s="239"/>
      <c r="AY740" s="239"/>
      <c r="AZ740" s="239"/>
      <c r="BA740" s="239"/>
      <c r="BB740" s="239"/>
      <c r="BC740" s="239"/>
      <c r="BD740" s="239"/>
      <c r="BE740" s="239"/>
      <c r="BF740" s="239"/>
      <c r="BG740" s="239"/>
      <c r="BH740" s="239"/>
      <c r="BI740" s="239"/>
      <c r="BJ740" s="239"/>
      <c r="BK740" s="239"/>
      <c r="BL740" s="239"/>
      <c r="BM740" s="239"/>
      <c r="BN740" s="239"/>
      <c r="BO740" s="239"/>
      <c r="BP740" s="239"/>
      <c r="BQ740" s="239"/>
      <c r="BR740" s="239"/>
      <c r="BS740" s="239"/>
      <c r="BT740" s="239"/>
      <c r="BU740" s="239"/>
      <c r="BV740" s="239"/>
      <c r="BW740" s="239"/>
      <c r="BX740" s="239"/>
      <c r="BY740" s="239"/>
      <c r="BZ740" s="239"/>
      <c r="CA740" s="239"/>
      <c r="CB740" s="239"/>
      <c r="CC740" s="239"/>
      <c r="CD740" s="239"/>
      <c r="CE740" s="239"/>
      <c r="CF740" s="239"/>
      <c r="CG740" s="239"/>
    </row>
    <row r="741" spans="1:85" ht="15.75" customHeight="1">
      <c r="A741" s="239"/>
      <c r="B741" s="239"/>
      <c r="C741" s="239"/>
      <c r="D741" s="239"/>
      <c r="E741" s="239"/>
      <c r="F741" s="239"/>
      <c r="G741" s="239"/>
      <c r="H741" s="239"/>
      <c r="I741" s="239"/>
      <c r="J741" s="239"/>
      <c r="K741" s="239"/>
      <c r="L741" s="239"/>
      <c r="M741" s="239"/>
      <c r="N741" s="239"/>
      <c r="O741" s="239"/>
      <c r="P741" s="239"/>
      <c r="Q741" s="239"/>
      <c r="R741" s="239"/>
      <c r="S741" s="239"/>
      <c r="T741" s="239"/>
      <c r="U741" s="239"/>
      <c r="V741" s="239"/>
      <c r="W741" s="239"/>
      <c r="X741" s="239"/>
      <c r="Y741" s="239"/>
      <c r="Z741" s="239"/>
      <c r="AA741" s="239"/>
      <c r="AB741" s="239"/>
      <c r="AC741" s="239"/>
      <c r="AD741" s="239"/>
      <c r="AE741" s="239"/>
      <c r="AF741" s="239"/>
      <c r="AG741" s="239"/>
      <c r="AH741" s="239"/>
      <c r="AI741" s="239"/>
      <c r="AJ741" s="239"/>
      <c r="AK741" s="239"/>
      <c r="AL741" s="239"/>
      <c r="AM741" s="239"/>
      <c r="AN741" s="239"/>
      <c r="AO741" s="239"/>
      <c r="AP741" s="239"/>
      <c r="AQ741" s="239"/>
      <c r="AR741" s="239"/>
      <c r="AS741" s="239"/>
      <c r="AT741" s="239"/>
      <c r="AU741" s="239"/>
      <c r="AV741" s="239"/>
      <c r="AW741" s="239"/>
      <c r="AX741" s="239"/>
      <c r="AY741" s="239"/>
      <c r="AZ741" s="239"/>
      <c r="BA741" s="239"/>
      <c r="BB741" s="239"/>
      <c r="BC741" s="239"/>
      <c r="BD741" s="239"/>
      <c r="BE741" s="239"/>
      <c r="BF741" s="239"/>
      <c r="BG741" s="239"/>
      <c r="BH741" s="239"/>
      <c r="BI741" s="239"/>
      <c r="BJ741" s="239"/>
      <c r="BK741" s="239"/>
      <c r="BL741" s="239"/>
      <c r="BM741" s="239"/>
      <c r="BN741" s="239"/>
      <c r="BO741" s="239"/>
      <c r="BP741" s="239"/>
      <c r="BQ741" s="239"/>
      <c r="BR741" s="239"/>
      <c r="BS741" s="239"/>
      <c r="BT741" s="239"/>
      <c r="BU741" s="239"/>
      <c r="BV741" s="239"/>
      <c r="BW741" s="239"/>
      <c r="BX741" s="239"/>
      <c r="BY741" s="239"/>
      <c r="BZ741" s="239"/>
      <c r="CA741" s="239"/>
      <c r="CB741" s="239"/>
      <c r="CC741" s="239"/>
      <c r="CD741" s="239"/>
      <c r="CE741" s="239"/>
      <c r="CF741" s="239"/>
      <c r="CG741" s="239"/>
    </row>
    <row r="742" spans="1:85" ht="15.75" customHeight="1">
      <c r="A742" s="239"/>
      <c r="B742" s="239"/>
      <c r="C742" s="239"/>
      <c r="D742" s="239"/>
      <c r="E742" s="239"/>
      <c r="F742" s="239"/>
      <c r="G742" s="239"/>
      <c r="H742" s="239"/>
      <c r="I742" s="239"/>
      <c r="J742" s="239"/>
      <c r="K742" s="239"/>
      <c r="L742" s="239"/>
      <c r="M742" s="239"/>
      <c r="N742" s="239"/>
      <c r="O742" s="239"/>
      <c r="P742" s="239"/>
      <c r="Q742" s="239"/>
      <c r="R742" s="239"/>
      <c r="S742" s="239"/>
      <c r="T742" s="239"/>
      <c r="U742" s="239"/>
      <c r="V742" s="239"/>
      <c r="W742" s="239"/>
      <c r="X742" s="239"/>
      <c r="Y742" s="239"/>
      <c r="Z742" s="239"/>
      <c r="AA742" s="239"/>
      <c r="AB742" s="239"/>
      <c r="AC742" s="239"/>
      <c r="AD742" s="239"/>
      <c r="AE742" s="239"/>
      <c r="AF742" s="239"/>
      <c r="AG742" s="239"/>
      <c r="AH742" s="239"/>
      <c r="AI742" s="239"/>
      <c r="AJ742" s="239"/>
      <c r="AK742" s="239"/>
      <c r="AL742" s="239"/>
      <c r="AM742" s="239"/>
      <c r="AN742" s="239"/>
      <c r="AO742" s="239"/>
      <c r="AP742" s="239"/>
      <c r="AQ742" s="239"/>
      <c r="AR742" s="239"/>
      <c r="AS742" s="239"/>
      <c r="AT742" s="239"/>
      <c r="AU742" s="239"/>
      <c r="AV742" s="239"/>
      <c r="AW742" s="239"/>
      <c r="AX742" s="239"/>
      <c r="AY742" s="239"/>
      <c r="AZ742" s="239"/>
      <c r="BA742" s="239"/>
      <c r="BB742" s="239"/>
      <c r="BC742" s="239"/>
      <c r="BD742" s="239"/>
      <c r="BE742" s="239"/>
      <c r="BF742" s="239"/>
      <c r="BG742" s="239"/>
      <c r="BH742" s="239"/>
      <c r="BI742" s="239"/>
      <c r="BJ742" s="239"/>
      <c r="BK742" s="239"/>
      <c r="BL742" s="239"/>
      <c r="BM742" s="239"/>
      <c r="BN742" s="239"/>
      <c r="BO742" s="239"/>
      <c r="BP742" s="239"/>
      <c r="BQ742" s="239"/>
      <c r="BR742" s="239"/>
      <c r="BS742" s="239"/>
      <c r="BT742" s="239"/>
      <c r="BU742" s="239"/>
      <c r="BV742" s="239"/>
      <c r="BW742" s="239"/>
      <c r="BX742" s="239"/>
      <c r="BY742" s="239"/>
      <c r="BZ742" s="239"/>
      <c r="CA742" s="239"/>
      <c r="CB742" s="239"/>
      <c r="CC742" s="239"/>
      <c r="CD742" s="239"/>
      <c r="CE742" s="239"/>
      <c r="CF742" s="239"/>
      <c r="CG742" s="239"/>
    </row>
    <row r="743" spans="1:85" ht="15.75" customHeight="1">
      <c r="A743" s="239"/>
      <c r="B743" s="239"/>
      <c r="C743" s="239"/>
      <c r="D743" s="239"/>
      <c r="E743" s="239"/>
      <c r="F743" s="239"/>
      <c r="G743" s="239"/>
      <c r="H743" s="239"/>
      <c r="I743" s="239"/>
      <c r="J743" s="239"/>
      <c r="K743" s="239"/>
      <c r="L743" s="239"/>
      <c r="M743" s="239"/>
      <c r="N743" s="239"/>
      <c r="O743" s="239"/>
      <c r="P743" s="239"/>
      <c r="Q743" s="239"/>
      <c r="R743" s="239"/>
      <c r="S743" s="239"/>
      <c r="T743" s="239"/>
      <c r="U743" s="239"/>
      <c r="V743" s="239"/>
      <c r="W743" s="239"/>
      <c r="X743" s="239"/>
      <c r="Y743" s="239"/>
      <c r="Z743" s="239"/>
      <c r="AA743" s="239"/>
      <c r="AB743" s="239"/>
      <c r="AC743" s="239"/>
      <c r="AD743" s="239"/>
      <c r="AE743" s="239"/>
      <c r="AF743" s="239"/>
      <c r="AG743" s="239"/>
      <c r="AH743" s="239"/>
      <c r="AI743" s="239"/>
      <c r="AJ743" s="239"/>
      <c r="AK743" s="239"/>
      <c r="AL743" s="239"/>
      <c r="AM743" s="239"/>
      <c r="AN743" s="239"/>
      <c r="AO743" s="239"/>
      <c r="AP743" s="239"/>
      <c r="AQ743" s="239"/>
      <c r="AR743" s="239"/>
      <c r="AS743" s="239"/>
      <c r="AT743" s="239"/>
      <c r="AU743" s="239"/>
      <c r="AV743" s="239"/>
      <c r="AW743" s="239"/>
      <c r="AX743" s="239"/>
      <c r="AY743" s="239"/>
      <c r="AZ743" s="239"/>
      <c r="BA743" s="239"/>
      <c r="BB743" s="239"/>
      <c r="BC743" s="239"/>
      <c r="BD743" s="239"/>
      <c r="BE743" s="239"/>
      <c r="BF743" s="239"/>
      <c r="BG743" s="239"/>
      <c r="BH743" s="239"/>
      <c r="BI743" s="239"/>
      <c r="BJ743" s="239"/>
      <c r="BK743" s="239"/>
      <c r="BL743" s="239"/>
      <c r="BM743" s="239"/>
      <c r="BN743" s="239"/>
      <c r="BO743" s="239"/>
      <c r="BP743" s="239"/>
      <c r="BQ743" s="239"/>
      <c r="BR743" s="239"/>
      <c r="BS743" s="239"/>
      <c r="BT743" s="239"/>
      <c r="BU743" s="239"/>
      <c r="BV743" s="239"/>
      <c r="BW743" s="239"/>
      <c r="BX743" s="239"/>
      <c r="BY743" s="239"/>
      <c r="BZ743" s="239"/>
      <c r="CA743" s="239"/>
      <c r="CB743" s="239"/>
      <c r="CC743" s="239"/>
      <c r="CD743" s="239"/>
      <c r="CE743" s="239"/>
      <c r="CF743" s="239"/>
      <c r="CG743" s="239"/>
    </row>
    <row r="744" spans="1:85" ht="15.75" customHeight="1">
      <c r="A744" s="239"/>
      <c r="B744" s="239"/>
      <c r="C744" s="239"/>
      <c r="D744" s="239"/>
      <c r="E744" s="239"/>
      <c r="F744" s="239"/>
      <c r="G744" s="239"/>
      <c r="H744" s="239"/>
      <c r="I744" s="239"/>
      <c r="J744" s="239"/>
      <c r="K744" s="239"/>
      <c r="L744" s="239"/>
      <c r="M744" s="239"/>
      <c r="N744" s="239"/>
      <c r="O744" s="239"/>
      <c r="P744" s="239"/>
      <c r="Q744" s="239"/>
      <c r="R744" s="239"/>
      <c r="S744" s="239"/>
      <c r="T744" s="239"/>
      <c r="U744" s="239"/>
      <c r="V744" s="239"/>
      <c r="W744" s="239"/>
      <c r="X744" s="239"/>
      <c r="Y744" s="239"/>
      <c r="Z744" s="239"/>
      <c r="AA744" s="239"/>
      <c r="AB744" s="239"/>
      <c r="AC744" s="239"/>
      <c r="AD744" s="239"/>
      <c r="AE744" s="239"/>
      <c r="AF744" s="239"/>
      <c r="AG744" s="239"/>
      <c r="AH744" s="239"/>
      <c r="AI744" s="239"/>
      <c r="AJ744" s="239"/>
      <c r="AK744" s="239"/>
      <c r="AL744" s="239"/>
      <c r="AM744" s="239"/>
      <c r="AN744" s="239"/>
      <c r="AO744" s="239"/>
      <c r="AP744" s="239"/>
      <c r="AQ744" s="239"/>
      <c r="AR744" s="239"/>
      <c r="AS744" s="239"/>
      <c r="AT744" s="239"/>
      <c r="AU744" s="239"/>
      <c r="AV744" s="239"/>
      <c r="AW744" s="239"/>
      <c r="AX744" s="239"/>
      <c r="AY744" s="239"/>
      <c r="AZ744" s="239"/>
      <c r="BA744" s="239"/>
      <c r="BB744" s="239"/>
      <c r="BC744" s="239"/>
      <c r="BD744" s="239"/>
      <c r="BE744" s="239"/>
      <c r="BF744" s="239"/>
      <c r="BG744" s="239"/>
      <c r="BH744" s="239"/>
      <c r="BI744" s="239"/>
      <c r="BJ744" s="239"/>
      <c r="BK744" s="239"/>
      <c r="BL744" s="239"/>
      <c r="BM744" s="239"/>
      <c r="BN744" s="239"/>
      <c r="BO744" s="239"/>
      <c r="BP744" s="239"/>
      <c r="BQ744" s="239"/>
      <c r="BR744" s="239"/>
      <c r="BS744" s="239"/>
      <c r="BT744" s="239"/>
      <c r="BU744" s="239"/>
      <c r="BV744" s="239"/>
      <c r="BW744" s="239"/>
      <c r="BX744" s="239"/>
      <c r="BY744" s="239"/>
      <c r="BZ744" s="239"/>
      <c r="CA744" s="239"/>
      <c r="CB744" s="239"/>
      <c r="CC744" s="239"/>
      <c r="CD744" s="239"/>
      <c r="CE744" s="239"/>
      <c r="CF744" s="239"/>
      <c r="CG744" s="239"/>
    </row>
    <row r="745" spans="1:85" ht="15.75" customHeight="1">
      <c r="A745" s="239"/>
      <c r="B745" s="239"/>
      <c r="C745" s="239"/>
      <c r="D745" s="239"/>
      <c r="E745" s="239"/>
      <c r="F745" s="239"/>
      <c r="G745" s="239"/>
      <c r="H745" s="239"/>
      <c r="I745" s="239"/>
      <c r="J745" s="239"/>
      <c r="K745" s="239"/>
      <c r="L745" s="239"/>
      <c r="M745" s="239"/>
      <c r="N745" s="239"/>
      <c r="O745" s="239"/>
      <c r="P745" s="239"/>
      <c r="Q745" s="239"/>
      <c r="R745" s="239"/>
      <c r="S745" s="239"/>
      <c r="T745" s="239"/>
      <c r="U745" s="239"/>
      <c r="V745" s="239"/>
      <c r="W745" s="239"/>
      <c r="X745" s="239"/>
      <c r="Y745" s="239"/>
      <c r="Z745" s="239"/>
      <c r="AA745" s="239"/>
      <c r="AB745" s="239"/>
      <c r="AC745" s="239"/>
      <c r="AD745" s="239"/>
      <c r="AE745" s="239"/>
      <c r="AF745" s="239"/>
      <c r="AG745" s="239"/>
      <c r="AH745" s="239"/>
      <c r="AI745" s="239"/>
      <c r="AJ745" s="239"/>
      <c r="AK745" s="239"/>
      <c r="AL745" s="239"/>
      <c r="AM745" s="239"/>
      <c r="AN745" s="239"/>
      <c r="AO745" s="239"/>
      <c r="AP745" s="239"/>
      <c r="AQ745" s="239"/>
      <c r="AR745" s="239"/>
      <c r="AS745" s="239"/>
      <c r="AT745" s="239"/>
      <c r="AU745" s="239"/>
      <c r="AV745" s="239"/>
      <c r="AW745" s="239"/>
      <c r="AX745" s="239"/>
      <c r="AY745" s="239"/>
      <c r="AZ745" s="239"/>
      <c r="BA745" s="239"/>
      <c r="BB745" s="239"/>
      <c r="BC745" s="239"/>
      <c r="BD745" s="239"/>
      <c r="BE745" s="239"/>
      <c r="BF745" s="239"/>
      <c r="BG745" s="239"/>
      <c r="BH745" s="239"/>
      <c r="BI745" s="239"/>
      <c r="BJ745" s="239"/>
      <c r="BK745" s="239"/>
      <c r="BL745" s="239"/>
      <c r="BM745" s="239"/>
      <c r="BN745" s="239"/>
      <c r="BO745" s="239"/>
      <c r="BP745" s="239"/>
      <c r="BQ745" s="239"/>
      <c r="BR745" s="239"/>
      <c r="BS745" s="239"/>
      <c r="BT745" s="239"/>
      <c r="BU745" s="239"/>
      <c r="BV745" s="239"/>
      <c r="BW745" s="239"/>
      <c r="BX745" s="239"/>
      <c r="BY745" s="239"/>
      <c r="BZ745" s="239"/>
      <c r="CA745" s="239"/>
      <c r="CB745" s="239"/>
      <c r="CC745" s="239"/>
      <c r="CD745" s="239"/>
      <c r="CE745" s="239"/>
      <c r="CF745" s="239"/>
      <c r="CG745" s="239"/>
    </row>
    <row r="746" spans="1:85" ht="15.75" customHeight="1">
      <c r="A746" s="239"/>
      <c r="B746" s="239"/>
      <c r="C746" s="239"/>
      <c r="D746" s="239"/>
      <c r="E746" s="239"/>
      <c r="F746" s="239"/>
      <c r="G746" s="239"/>
      <c r="H746" s="239"/>
      <c r="I746" s="239"/>
      <c r="J746" s="239"/>
      <c r="K746" s="239"/>
      <c r="L746" s="239"/>
      <c r="M746" s="239"/>
      <c r="N746" s="239"/>
      <c r="O746" s="239"/>
      <c r="P746" s="239"/>
      <c r="Q746" s="239"/>
      <c r="R746" s="239"/>
      <c r="S746" s="239"/>
      <c r="T746" s="239"/>
      <c r="U746" s="239"/>
      <c r="V746" s="239"/>
      <c r="W746" s="239"/>
      <c r="X746" s="239"/>
      <c r="Y746" s="239"/>
      <c r="Z746" s="239"/>
      <c r="AA746" s="239"/>
      <c r="AB746" s="239"/>
      <c r="AC746" s="239"/>
      <c r="AD746" s="239"/>
      <c r="AE746" s="239"/>
      <c r="AF746" s="239"/>
      <c r="AG746" s="239"/>
      <c r="AH746" s="239"/>
      <c r="AI746" s="239"/>
      <c r="AJ746" s="239"/>
      <c r="AK746" s="239"/>
      <c r="AL746" s="239"/>
      <c r="AM746" s="239"/>
      <c r="AN746" s="239"/>
      <c r="AO746" s="239"/>
      <c r="AP746" s="239"/>
      <c r="AQ746" s="239"/>
      <c r="AR746" s="239"/>
      <c r="AS746" s="239"/>
      <c r="AT746" s="239"/>
      <c r="AU746" s="239"/>
      <c r="AV746" s="239"/>
      <c r="AW746" s="239"/>
      <c r="AX746" s="239"/>
      <c r="AY746" s="239"/>
      <c r="AZ746" s="239"/>
      <c r="BA746" s="239"/>
      <c r="BB746" s="239"/>
      <c r="BC746" s="239"/>
      <c r="BD746" s="239"/>
      <c r="BE746" s="239"/>
      <c r="BF746" s="239"/>
      <c r="BG746" s="239"/>
      <c r="BH746" s="239"/>
      <c r="BI746" s="239"/>
      <c r="BJ746" s="239"/>
      <c r="BK746" s="239"/>
      <c r="BL746" s="239"/>
      <c r="BM746" s="239"/>
      <c r="BN746" s="239"/>
      <c r="BO746" s="239"/>
      <c r="BP746" s="239"/>
      <c r="BQ746" s="239"/>
      <c r="BR746" s="239"/>
      <c r="BS746" s="239"/>
      <c r="BT746" s="239"/>
      <c r="BU746" s="239"/>
      <c r="BV746" s="239"/>
      <c r="BW746" s="239"/>
      <c r="BX746" s="239"/>
      <c r="BY746" s="239"/>
      <c r="BZ746" s="239"/>
      <c r="CA746" s="239"/>
      <c r="CB746" s="239"/>
      <c r="CC746" s="239"/>
      <c r="CD746" s="239"/>
      <c r="CE746" s="239"/>
      <c r="CF746" s="239"/>
      <c r="CG746" s="239"/>
    </row>
    <row r="747" spans="1:85" ht="15.75" customHeight="1">
      <c r="A747" s="239"/>
      <c r="B747" s="239"/>
      <c r="C747" s="239"/>
      <c r="D747" s="239"/>
      <c r="E747" s="239"/>
      <c r="F747" s="239"/>
      <c r="G747" s="239"/>
      <c r="H747" s="239"/>
      <c r="I747" s="239"/>
      <c r="J747" s="239"/>
      <c r="K747" s="239"/>
      <c r="L747" s="239"/>
      <c r="M747" s="239"/>
      <c r="N747" s="239"/>
      <c r="O747" s="239"/>
      <c r="P747" s="239"/>
      <c r="Q747" s="239"/>
      <c r="R747" s="239"/>
      <c r="S747" s="239"/>
      <c r="T747" s="239"/>
      <c r="U747" s="239"/>
      <c r="V747" s="239"/>
      <c r="W747" s="239"/>
      <c r="X747" s="239"/>
      <c r="Y747" s="239"/>
      <c r="Z747" s="239"/>
      <c r="AA747" s="239"/>
      <c r="AB747" s="239"/>
      <c r="AC747" s="239"/>
      <c r="AD747" s="239"/>
      <c r="AE747" s="239"/>
      <c r="AF747" s="239"/>
      <c r="AG747" s="239"/>
      <c r="AH747" s="239"/>
      <c r="AI747" s="239"/>
      <c r="AJ747" s="239"/>
      <c r="AK747" s="239"/>
      <c r="AL747" s="239"/>
      <c r="AM747" s="239"/>
      <c r="AN747" s="239"/>
      <c r="AO747" s="239"/>
      <c r="AP747" s="239"/>
      <c r="AQ747" s="239"/>
      <c r="AR747" s="239"/>
      <c r="AS747" s="239"/>
      <c r="AT747" s="239"/>
      <c r="AU747" s="239"/>
      <c r="AV747" s="239"/>
      <c r="AW747" s="239"/>
      <c r="AX747" s="239"/>
      <c r="AY747" s="239"/>
      <c r="AZ747" s="239"/>
      <c r="BA747" s="239"/>
      <c r="BB747" s="239"/>
      <c r="BC747" s="239"/>
      <c r="BD747" s="239"/>
      <c r="BE747" s="239"/>
      <c r="BF747" s="239"/>
      <c r="BG747" s="239"/>
      <c r="BH747" s="239"/>
      <c r="BI747" s="239"/>
      <c r="BJ747" s="239"/>
      <c r="BK747" s="239"/>
      <c r="BL747" s="239"/>
      <c r="BM747" s="239"/>
      <c r="BN747" s="239"/>
      <c r="BO747" s="239"/>
      <c r="BP747" s="239"/>
      <c r="BQ747" s="239"/>
      <c r="BR747" s="239"/>
      <c r="BS747" s="239"/>
      <c r="BT747" s="239"/>
      <c r="BU747" s="239"/>
      <c r="BV747" s="239"/>
      <c r="BW747" s="239"/>
      <c r="BX747" s="239"/>
      <c r="BY747" s="239"/>
      <c r="BZ747" s="239"/>
      <c r="CA747" s="239"/>
      <c r="CB747" s="239"/>
      <c r="CC747" s="239"/>
      <c r="CD747" s="239"/>
      <c r="CE747" s="239"/>
      <c r="CF747" s="239"/>
      <c r="CG747" s="239"/>
    </row>
    <row r="748" spans="1:85" ht="15.75" customHeight="1">
      <c r="A748" s="239"/>
      <c r="B748" s="239"/>
      <c r="C748" s="239"/>
      <c r="D748" s="239"/>
      <c r="E748" s="239"/>
      <c r="F748" s="239"/>
      <c r="G748" s="239"/>
      <c r="H748" s="239"/>
      <c r="I748" s="239"/>
      <c r="J748" s="239"/>
      <c r="K748" s="239"/>
      <c r="L748" s="239"/>
      <c r="M748" s="239"/>
      <c r="N748" s="239"/>
      <c r="O748" s="239"/>
      <c r="P748" s="239"/>
      <c r="Q748" s="239"/>
      <c r="R748" s="239"/>
      <c r="S748" s="239"/>
      <c r="T748" s="239"/>
      <c r="U748" s="239"/>
      <c r="V748" s="239"/>
      <c r="W748" s="239"/>
      <c r="X748" s="239"/>
      <c r="Y748" s="239"/>
      <c r="Z748" s="239"/>
      <c r="AA748" s="239"/>
      <c r="AB748" s="239"/>
      <c r="AC748" s="239"/>
      <c r="AD748" s="239"/>
      <c r="AE748" s="239"/>
      <c r="AF748" s="239"/>
      <c r="AG748" s="239"/>
      <c r="AH748" s="239"/>
      <c r="AI748" s="239"/>
      <c r="AJ748" s="239"/>
      <c r="AK748" s="239"/>
      <c r="AL748" s="239"/>
      <c r="AM748" s="239"/>
      <c r="AN748" s="239"/>
      <c r="AO748" s="239"/>
      <c r="AP748" s="239"/>
      <c r="AQ748" s="239"/>
      <c r="AR748" s="239"/>
      <c r="AS748" s="239"/>
      <c r="AT748" s="239"/>
      <c r="AU748" s="239"/>
      <c r="AV748" s="239"/>
      <c r="AW748" s="239"/>
      <c r="AX748" s="239"/>
      <c r="AY748" s="239"/>
      <c r="AZ748" s="239"/>
      <c r="BA748" s="239"/>
      <c r="BB748" s="239"/>
      <c r="BC748" s="239"/>
      <c r="BD748" s="239"/>
      <c r="BE748" s="239"/>
      <c r="BF748" s="239"/>
      <c r="BG748" s="239"/>
      <c r="BH748" s="239"/>
      <c r="BI748" s="239"/>
      <c r="BJ748" s="239"/>
      <c r="BK748" s="239"/>
      <c r="BL748" s="239"/>
      <c r="BM748" s="239"/>
      <c r="BN748" s="239"/>
      <c r="BO748" s="239"/>
      <c r="BP748" s="239"/>
      <c r="BQ748" s="239"/>
      <c r="BR748" s="239"/>
      <c r="BS748" s="239"/>
      <c r="BT748" s="239"/>
      <c r="BU748" s="239"/>
      <c r="BV748" s="239"/>
      <c r="BW748" s="239"/>
      <c r="BX748" s="239"/>
      <c r="BY748" s="239"/>
      <c r="BZ748" s="239"/>
      <c r="CA748" s="239"/>
      <c r="CB748" s="239"/>
      <c r="CC748" s="239"/>
      <c r="CD748" s="239"/>
      <c r="CE748" s="239"/>
      <c r="CF748" s="239"/>
      <c r="CG748" s="239"/>
    </row>
    <row r="749" spans="1:85" ht="15.75" customHeight="1">
      <c r="A749" s="239"/>
      <c r="B749" s="239"/>
      <c r="C749" s="239"/>
      <c r="D749" s="239"/>
      <c r="E749" s="239"/>
      <c r="F749" s="239"/>
      <c r="G749" s="239"/>
      <c r="H749" s="239"/>
      <c r="I749" s="239"/>
      <c r="J749" s="239"/>
      <c r="K749" s="239"/>
      <c r="L749" s="239"/>
      <c r="M749" s="239"/>
      <c r="N749" s="239"/>
      <c r="O749" s="239"/>
      <c r="P749" s="239"/>
      <c r="Q749" s="239"/>
      <c r="R749" s="239"/>
      <c r="S749" s="239"/>
      <c r="T749" s="239"/>
      <c r="U749" s="239"/>
      <c r="V749" s="239"/>
      <c r="W749" s="239"/>
      <c r="X749" s="239"/>
      <c r="Y749" s="239"/>
      <c r="Z749" s="239"/>
      <c r="AA749" s="239"/>
      <c r="AB749" s="239"/>
      <c r="AC749" s="239"/>
      <c r="AD749" s="239"/>
      <c r="AE749" s="239"/>
      <c r="AF749" s="239"/>
      <c r="AG749" s="239"/>
      <c r="AH749" s="239"/>
      <c r="AI749" s="239"/>
      <c r="AJ749" s="239"/>
      <c r="AK749" s="239"/>
      <c r="AL749" s="239"/>
      <c r="AM749" s="239"/>
      <c r="AN749" s="239"/>
      <c r="AO749" s="239"/>
      <c r="AP749" s="239"/>
      <c r="AQ749" s="239"/>
      <c r="AR749" s="239"/>
      <c r="AS749" s="239"/>
      <c r="AT749" s="239"/>
      <c r="AU749" s="239"/>
      <c r="AV749" s="239"/>
      <c r="AW749" s="239"/>
      <c r="AX749" s="239"/>
      <c r="AY749" s="239"/>
      <c r="AZ749" s="239"/>
      <c r="BA749" s="239"/>
      <c r="BB749" s="239"/>
      <c r="BC749" s="239"/>
      <c r="BD749" s="239"/>
      <c r="BE749" s="239"/>
      <c r="BF749" s="239"/>
      <c r="BG749" s="239"/>
      <c r="BH749" s="239"/>
      <c r="BI749" s="239"/>
      <c r="BJ749" s="239"/>
      <c r="BK749" s="239"/>
      <c r="BL749" s="239"/>
      <c r="BM749" s="239"/>
      <c r="BN749" s="239"/>
      <c r="BO749" s="239"/>
      <c r="BP749" s="239"/>
      <c r="BQ749" s="239"/>
      <c r="BR749" s="239"/>
      <c r="BS749" s="239"/>
      <c r="BT749" s="239"/>
      <c r="BU749" s="239"/>
      <c r="BV749" s="239"/>
      <c r="BW749" s="239"/>
      <c r="BX749" s="239"/>
      <c r="BY749" s="239"/>
      <c r="BZ749" s="239"/>
      <c r="CA749" s="239"/>
      <c r="CB749" s="239"/>
      <c r="CC749" s="239"/>
      <c r="CD749" s="239"/>
      <c r="CE749" s="239"/>
      <c r="CF749" s="239"/>
      <c r="CG749" s="239"/>
    </row>
    <row r="750" spans="1:85" ht="15.75" customHeight="1">
      <c r="A750" s="239"/>
      <c r="B750" s="239"/>
      <c r="C750" s="239"/>
      <c r="D750" s="239"/>
      <c r="E750" s="239"/>
      <c r="F750" s="239"/>
      <c r="G750" s="239"/>
      <c r="H750" s="239"/>
      <c r="I750" s="239"/>
      <c r="J750" s="239"/>
      <c r="K750" s="239"/>
      <c r="L750" s="239"/>
      <c r="M750" s="239"/>
      <c r="N750" s="239"/>
      <c r="O750" s="239"/>
      <c r="P750" s="239"/>
      <c r="Q750" s="239"/>
      <c r="R750" s="239"/>
      <c r="S750" s="239"/>
      <c r="T750" s="239"/>
      <c r="U750" s="239"/>
      <c r="V750" s="239"/>
      <c r="W750" s="239"/>
      <c r="X750" s="239"/>
      <c r="Y750" s="239"/>
      <c r="Z750" s="239"/>
      <c r="AA750" s="239"/>
      <c r="AB750" s="239"/>
      <c r="AC750" s="239"/>
      <c r="AD750" s="239"/>
      <c r="AE750" s="239"/>
      <c r="AF750" s="239"/>
      <c r="AG750" s="239"/>
      <c r="AH750" s="239"/>
      <c r="AI750" s="239"/>
      <c r="AJ750" s="239"/>
      <c r="AK750" s="239"/>
      <c r="AL750" s="239"/>
      <c r="AM750" s="239"/>
      <c r="AN750" s="239"/>
      <c r="AO750" s="239"/>
      <c r="AP750" s="239"/>
      <c r="AQ750" s="239"/>
      <c r="AR750" s="239"/>
      <c r="AS750" s="239"/>
      <c r="AT750" s="239"/>
      <c r="AU750" s="239"/>
      <c r="AV750" s="239"/>
      <c r="AW750" s="239"/>
      <c r="AX750" s="239"/>
      <c r="AY750" s="239"/>
      <c r="AZ750" s="239"/>
      <c r="BA750" s="239"/>
      <c r="BB750" s="239"/>
      <c r="BC750" s="239"/>
      <c r="BD750" s="239"/>
      <c r="BE750" s="239"/>
      <c r="BF750" s="239"/>
      <c r="BG750" s="239"/>
      <c r="BH750" s="239"/>
      <c r="BI750" s="239"/>
      <c r="BJ750" s="239"/>
      <c r="BK750" s="239"/>
      <c r="BL750" s="239"/>
      <c r="BM750" s="239"/>
      <c r="BN750" s="239"/>
      <c r="BO750" s="239"/>
      <c r="BP750" s="239"/>
      <c r="BQ750" s="239"/>
      <c r="BR750" s="239"/>
      <c r="BS750" s="239"/>
      <c r="BT750" s="239"/>
      <c r="BU750" s="239"/>
      <c r="BV750" s="239"/>
      <c r="BW750" s="239"/>
      <c r="BX750" s="239"/>
      <c r="BY750" s="239"/>
      <c r="BZ750" s="239"/>
      <c r="CA750" s="239"/>
      <c r="CB750" s="239"/>
      <c r="CC750" s="239"/>
      <c r="CD750" s="239"/>
      <c r="CE750" s="239"/>
      <c r="CF750" s="239"/>
      <c r="CG750" s="239"/>
    </row>
    <row r="751" spans="1:85" ht="15.75" customHeight="1">
      <c r="A751" s="239"/>
      <c r="B751" s="239"/>
      <c r="C751" s="239"/>
      <c r="D751" s="239"/>
      <c r="E751" s="239"/>
      <c r="F751" s="239"/>
      <c r="G751" s="239"/>
      <c r="H751" s="239"/>
      <c r="I751" s="239"/>
      <c r="J751" s="239"/>
      <c r="K751" s="239"/>
      <c r="L751" s="239"/>
      <c r="M751" s="239"/>
      <c r="N751" s="239"/>
      <c r="O751" s="239"/>
      <c r="P751" s="239"/>
      <c r="Q751" s="239"/>
      <c r="R751" s="239"/>
      <c r="S751" s="239"/>
      <c r="T751" s="239"/>
      <c r="U751" s="239"/>
      <c r="V751" s="239"/>
      <c r="W751" s="239"/>
      <c r="X751" s="239"/>
      <c r="Y751" s="239"/>
      <c r="Z751" s="239"/>
      <c r="AA751" s="239"/>
      <c r="AB751" s="239"/>
      <c r="AC751" s="239"/>
      <c r="AD751" s="239"/>
      <c r="AE751" s="239"/>
      <c r="AF751" s="239"/>
      <c r="AG751" s="239"/>
      <c r="AH751" s="239"/>
      <c r="AI751" s="239"/>
      <c r="AJ751" s="239"/>
      <c r="AK751" s="239"/>
      <c r="AL751" s="239"/>
      <c r="AM751" s="239"/>
      <c r="AN751" s="239"/>
      <c r="AO751" s="239"/>
      <c r="AP751" s="239"/>
      <c r="AQ751" s="239"/>
      <c r="AR751" s="239"/>
      <c r="AS751" s="239"/>
      <c r="AT751" s="239"/>
      <c r="AU751" s="239"/>
      <c r="AV751" s="239"/>
      <c r="AW751" s="239"/>
      <c r="AX751" s="239"/>
      <c r="AY751" s="239"/>
      <c r="AZ751" s="239"/>
      <c r="BA751" s="239"/>
      <c r="BB751" s="239"/>
      <c r="BC751" s="239"/>
      <c r="BD751" s="239"/>
      <c r="BE751" s="239"/>
      <c r="BF751" s="239"/>
      <c r="BG751" s="239"/>
      <c r="BH751" s="239"/>
      <c r="BI751" s="239"/>
      <c r="BJ751" s="239"/>
      <c r="BK751" s="239"/>
      <c r="BL751" s="239"/>
      <c r="BM751" s="239"/>
      <c r="BN751" s="239"/>
      <c r="BO751" s="239"/>
      <c r="BP751" s="239"/>
      <c r="BQ751" s="239"/>
      <c r="BR751" s="239"/>
      <c r="BS751" s="239"/>
      <c r="BT751" s="239"/>
      <c r="BU751" s="239"/>
      <c r="BV751" s="239"/>
      <c r="BW751" s="239"/>
      <c r="BX751" s="239"/>
      <c r="BY751" s="239"/>
      <c r="BZ751" s="239"/>
      <c r="CA751" s="239"/>
      <c r="CB751" s="239"/>
      <c r="CC751" s="239"/>
      <c r="CD751" s="239"/>
      <c r="CE751" s="239"/>
      <c r="CF751" s="239"/>
      <c r="CG751" s="239"/>
    </row>
    <row r="752" spans="1:85" ht="15.75" customHeight="1">
      <c r="A752" s="239"/>
      <c r="B752" s="239"/>
      <c r="C752" s="239"/>
      <c r="D752" s="239"/>
      <c r="E752" s="239"/>
      <c r="F752" s="239"/>
      <c r="G752" s="239"/>
      <c r="H752" s="239"/>
      <c r="I752" s="239"/>
      <c r="J752" s="239"/>
      <c r="K752" s="239"/>
      <c r="L752" s="239"/>
      <c r="M752" s="239"/>
      <c r="N752" s="239"/>
      <c r="O752" s="239"/>
      <c r="P752" s="239"/>
      <c r="Q752" s="239"/>
      <c r="R752" s="239"/>
      <c r="S752" s="239"/>
      <c r="T752" s="239"/>
      <c r="U752" s="239"/>
      <c r="V752" s="239"/>
      <c r="W752" s="239"/>
      <c r="X752" s="239"/>
      <c r="Y752" s="239"/>
      <c r="Z752" s="239"/>
      <c r="AA752" s="239"/>
      <c r="AB752" s="239"/>
      <c r="AC752" s="239"/>
      <c r="AD752" s="239"/>
      <c r="AE752" s="239"/>
      <c r="AF752" s="239"/>
      <c r="AG752" s="239"/>
      <c r="AH752" s="239"/>
      <c r="AI752" s="239"/>
      <c r="AJ752" s="239"/>
      <c r="AK752" s="239"/>
      <c r="AL752" s="239"/>
      <c r="AM752" s="239"/>
      <c r="AN752" s="239"/>
      <c r="AO752" s="239"/>
      <c r="AP752" s="239"/>
      <c r="AQ752" s="239"/>
      <c r="AR752" s="239"/>
      <c r="AS752" s="239"/>
      <c r="AT752" s="239"/>
      <c r="AU752" s="239"/>
      <c r="AV752" s="239"/>
      <c r="AW752" s="239"/>
      <c r="AX752" s="239"/>
      <c r="AY752" s="239"/>
      <c r="AZ752" s="239"/>
      <c r="BA752" s="239"/>
      <c r="BB752" s="239"/>
      <c r="BC752" s="239"/>
      <c r="BD752" s="239"/>
      <c r="BE752" s="239"/>
      <c r="BF752" s="239"/>
      <c r="BG752" s="239"/>
      <c r="BH752" s="239"/>
      <c r="BI752" s="239"/>
      <c r="BJ752" s="239"/>
      <c r="BK752" s="239"/>
      <c r="BL752" s="239"/>
      <c r="BM752" s="239"/>
      <c r="BN752" s="239"/>
      <c r="BO752" s="239"/>
      <c r="BP752" s="239"/>
      <c r="BQ752" s="239"/>
      <c r="BR752" s="239"/>
      <c r="BS752" s="239"/>
      <c r="BT752" s="239"/>
      <c r="BU752" s="239"/>
      <c r="BV752" s="239"/>
      <c r="BW752" s="239"/>
      <c r="BX752" s="239"/>
      <c r="BY752" s="239"/>
      <c r="BZ752" s="239"/>
      <c r="CA752" s="239"/>
      <c r="CB752" s="239"/>
      <c r="CC752" s="239"/>
      <c r="CD752" s="239"/>
      <c r="CE752" s="239"/>
      <c r="CF752" s="239"/>
      <c r="CG752" s="239"/>
    </row>
    <row r="753" spans="1:85" ht="15.75" customHeight="1">
      <c r="A753" s="239"/>
      <c r="B753" s="239"/>
      <c r="C753" s="239"/>
      <c r="D753" s="239"/>
      <c r="E753" s="239"/>
      <c r="F753" s="239"/>
      <c r="G753" s="239"/>
      <c r="H753" s="239"/>
      <c r="I753" s="239"/>
      <c r="J753" s="239"/>
      <c r="K753" s="239"/>
      <c r="L753" s="239"/>
      <c r="M753" s="239"/>
      <c r="N753" s="239"/>
      <c r="O753" s="239"/>
      <c r="P753" s="239"/>
      <c r="Q753" s="239"/>
      <c r="R753" s="239"/>
      <c r="S753" s="239"/>
      <c r="T753" s="239"/>
      <c r="U753" s="239"/>
      <c r="V753" s="239"/>
      <c r="W753" s="239"/>
      <c r="X753" s="239"/>
      <c r="Y753" s="239"/>
      <c r="Z753" s="239"/>
      <c r="AA753" s="239"/>
      <c r="AB753" s="239"/>
      <c r="AC753" s="239"/>
      <c r="AD753" s="239"/>
      <c r="AE753" s="239"/>
      <c r="AF753" s="239"/>
      <c r="AG753" s="239"/>
      <c r="AH753" s="239"/>
      <c r="AI753" s="239"/>
      <c r="AJ753" s="239"/>
      <c r="AK753" s="239"/>
      <c r="AL753" s="239"/>
      <c r="AM753" s="239"/>
      <c r="AN753" s="239"/>
      <c r="AO753" s="239"/>
      <c r="AP753" s="239"/>
      <c r="AQ753" s="239"/>
      <c r="AR753" s="239"/>
      <c r="AS753" s="239"/>
      <c r="AT753" s="239"/>
      <c r="AU753" s="239"/>
      <c r="AV753" s="239"/>
      <c r="AW753" s="239"/>
      <c r="AX753" s="239"/>
      <c r="AY753" s="239"/>
      <c r="AZ753" s="239"/>
      <c r="BA753" s="239"/>
      <c r="BB753" s="239"/>
      <c r="BC753" s="239"/>
      <c r="BD753" s="239"/>
      <c r="BE753" s="239"/>
      <c r="BF753" s="239"/>
      <c r="BG753" s="239"/>
      <c r="BH753" s="239"/>
      <c r="BI753" s="239"/>
      <c r="BJ753" s="239"/>
      <c r="BK753" s="239"/>
      <c r="BL753" s="239"/>
      <c r="BM753" s="239"/>
      <c r="BN753" s="239"/>
      <c r="BO753" s="239"/>
      <c r="BP753" s="239"/>
      <c r="BQ753" s="239"/>
      <c r="BR753" s="239"/>
      <c r="BS753" s="239"/>
      <c r="BT753" s="239"/>
      <c r="BU753" s="239"/>
      <c r="BV753" s="239"/>
      <c r="BW753" s="239"/>
      <c r="BX753" s="239"/>
      <c r="BY753" s="239"/>
      <c r="BZ753" s="239"/>
      <c r="CA753" s="239"/>
      <c r="CB753" s="239"/>
      <c r="CC753" s="239"/>
      <c r="CD753" s="239"/>
      <c r="CE753" s="239"/>
      <c r="CF753" s="239"/>
      <c r="CG753" s="239"/>
    </row>
    <row r="754" spans="1:85" ht="15.75" customHeight="1">
      <c r="A754" s="239"/>
      <c r="B754" s="239"/>
      <c r="C754" s="239"/>
      <c r="D754" s="239"/>
      <c r="E754" s="239"/>
      <c r="F754" s="239"/>
      <c r="G754" s="239"/>
      <c r="H754" s="239"/>
      <c r="I754" s="239"/>
      <c r="J754" s="239"/>
      <c r="K754" s="239"/>
      <c r="L754" s="239"/>
      <c r="M754" s="239"/>
      <c r="N754" s="239"/>
      <c r="O754" s="239"/>
      <c r="P754" s="239"/>
      <c r="Q754" s="239"/>
      <c r="R754" s="239"/>
      <c r="S754" s="239"/>
      <c r="T754" s="239"/>
      <c r="U754" s="239"/>
      <c r="V754" s="239"/>
      <c r="W754" s="239"/>
      <c r="X754" s="239"/>
      <c r="Y754" s="239"/>
      <c r="Z754" s="239"/>
      <c r="AA754" s="239"/>
      <c r="AB754" s="239"/>
      <c r="AC754" s="239"/>
      <c r="AD754" s="239"/>
      <c r="AE754" s="239"/>
      <c r="AF754" s="239"/>
      <c r="AG754" s="239"/>
      <c r="AH754" s="239"/>
      <c r="AI754" s="239"/>
      <c r="AJ754" s="239"/>
      <c r="AK754" s="239"/>
      <c r="AL754" s="239"/>
      <c r="AM754" s="239"/>
      <c r="AN754" s="239"/>
      <c r="AO754" s="239"/>
      <c r="AP754" s="239"/>
      <c r="AQ754" s="239"/>
      <c r="AR754" s="239"/>
      <c r="AS754" s="239"/>
      <c r="AT754" s="239"/>
      <c r="AU754" s="239"/>
      <c r="AV754" s="239"/>
      <c r="AW754" s="239"/>
      <c r="AX754" s="239"/>
      <c r="AY754" s="239"/>
      <c r="AZ754" s="239"/>
      <c r="BA754" s="239"/>
      <c r="BB754" s="239"/>
      <c r="BC754" s="239"/>
      <c r="BD754" s="239"/>
      <c r="BE754" s="239"/>
      <c r="BF754" s="239"/>
      <c r="BG754" s="239"/>
      <c r="BH754" s="239"/>
      <c r="BI754" s="239"/>
      <c r="BJ754" s="239"/>
      <c r="BK754" s="239"/>
      <c r="BL754" s="239"/>
      <c r="BM754" s="239"/>
      <c r="BN754" s="239"/>
      <c r="BO754" s="239"/>
      <c r="BP754" s="239"/>
      <c r="BQ754" s="239"/>
      <c r="BR754" s="239"/>
      <c r="BS754" s="239"/>
      <c r="BT754" s="239"/>
      <c r="BU754" s="239"/>
      <c r="BV754" s="239"/>
      <c r="BW754" s="239"/>
      <c r="BX754" s="239"/>
      <c r="BY754" s="239"/>
      <c r="BZ754" s="239"/>
      <c r="CA754" s="239"/>
      <c r="CB754" s="239"/>
      <c r="CC754" s="239"/>
      <c r="CD754" s="239"/>
      <c r="CE754" s="239"/>
      <c r="CF754" s="239"/>
      <c r="CG754" s="239"/>
    </row>
    <row r="755" spans="1:85" ht="15.75" customHeight="1">
      <c r="A755" s="239"/>
      <c r="B755" s="239"/>
      <c r="C755" s="239"/>
      <c r="D755" s="239"/>
      <c r="E755" s="239"/>
      <c r="F755" s="239"/>
      <c r="G755" s="239"/>
      <c r="H755" s="239"/>
      <c r="I755" s="239"/>
      <c r="J755" s="239"/>
      <c r="K755" s="239"/>
      <c r="L755" s="239"/>
      <c r="M755" s="239"/>
      <c r="N755" s="239"/>
      <c r="O755" s="239"/>
      <c r="P755" s="239"/>
      <c r="Q755" s="239"/>
      <c r="R755" s="239"/>
      <c r="S755" s="239"/>
      <c r="T755" s="239"/>
      <c r="U755" s="239"/>
      <c r="V755" s="239"/>
      <c r="W755" s="239"/>
      <c r="X755" s="239"/>
      <c r="Y755" s="239"/>
      <c r="Z755" s="239"/>
      <c r="AA755" s="239"/>
      <c r="AB755" s="239"/>
      <c r="AC755" s="239"/>
      <c r="AD755" s="239"/>
      <c r="AE755" s="239"/>
      <c r="AF755" s="239"/>
      <c r="AG755" s="239"/>
      <c r="AH755" s="239"/>
      <c r="AI755" s="239"/>
      <c r="AJ755" s="239"/>
      <c r="AK755" s="239"/>
      <c r="AL755" s="239"/>
      <c r="AM755" s="239"/>
      <c r="AN755" s="239"/>
      <c r="AO755" s="239"/>
      <c r="AP755" s="239"/>
      <c r="AQ755" s="239"/>
      <c r="AR755" s="239"/>
      <c r="AS755" s="239"/>
      <c r="AT755" s="239"/>
      <c r="AU755" s="239"/>
      <c r="AV755" s="239"/>
      <c r="AW755" s="239"/>
      <c r="AX755" s="239"/>
      <c r="AY755" s="239"/>
      <c r="AZ755" s="239"/>
      <c r="BA755" s="239"/>
      <c r="BB755" s="239"/>
      <c r="BC755" s="239"/>
      <c r="BD755" s="239"/>
      <c r="BE755" s="239"/>
      <c r="BF755" s="239"/>
      <c r="BG755" s="239"/>
      <c r="BH755" s="239"/>
      <c r="BI755" s="239"/>
      <c r="BJ755" s="239"/>
      <c r="BK755" s="239"/>
      <c r="BL755" s="239"/>
      <c r="BM755" s="239"/>
      <c r="BN755" s="239"/>
      <c r="BO755" s="239"/>
      <c r="BP755" s="239"/>
      <c r="BQ755" s="239"/>
      <c r="BR755" s="239"/>
      <c r="BS755" s="239"/>
      <c r="BT755" s="239"/>
      <c r="BU755" s="239"/>
      <c r="BV755" s="239"/>
      <c r="BW755" s="239"/>
      <c r="BX755" s="239"/>
      <c r="BY755" s="239"/>
      <c r="BZ755" s="239"/>
      <c r="CA755" s="239"/>
      <c r="CB755" s="239"/>
      <c r="CC755" s="239"/>
      <c r="CD755" s="239"/>
      <c r="CE755" s="239"/>
      <c r="CF755" s="239"/>
      <c r="CG755" s="239"/>
    </row>
    <row r="756" spans="1:85" ht="15.75" customHeight="1">
      <c r="A756" s="239"/>
      <c r="B756" s="239"/>
      <c r="C756" s="239"/>
      <c r="D756" s="239"/>
      <c r="E756" s="239"/>
      <c r="F756" s="239"/>
      <c r="G756" s="239"/>
      <c r="H756" s="239"/>
      <c r="I756" s="239"/>
      <c r="J756" s="239"/>
      <c r="K756" s="239"/>
      <c r="L756" s="239"/>
      <c r="M756" s="239"/>
      <c r="N756" s="239"/>
      <c r="O756" s="239"/>
      <c r="P756" s="239"/>
      <c r="Q756" s="239"/>
      <c r="R756" s="239"/>
      <c r="S756" s="239"/>
      <c r="T756" s="239"/>
      <c r="U756" s="239"/>
      <c r="V756" s="239"/>
      <c r="W756" s="239"/>
      <c r="X756" s="239"/>
      <c r="Y756" s="239"/>
      <c r="Z756" s="239"/>
      <c r="AA756" s="239"/>
      <c r="AB756" s="239"/>
      <c r="AC756" s="239"/>
      <c r="AD756" s="239"/>
      <c r="AE756" s="239"/>
      <c r="AF756" s="239"/>
      <c r="AG756" s="239"/>
      <c r="AH756" s="239"/>
      <c r="AI756" s="239"/>
      <c r="AJ756" s="239"/>
      <c r="AK756" s="239"/>
      <c r="AL756" s="239"/>
      <c r="AM756" s="239"/>
      <c r="AN756" s="239"/>
      <c r="AO756" s="239"/>
      <c r="AP756" s="239"/>
      <c r="AQ756" s="239"/>
      <c r="AR756" s="239"/>
      <c r="AS756" s="239"/>
      <c r="AT756" s="239"/>
      <c r="AU756" s="239"/>
      <c r="AV756" s="239"/>
      <c r="AW756" s="239"/>
      <c r="AX756" s="239"/>
      <c r="AY756" s="239"/>
      <c r="AZ756" s="239"/>
      <c r="BA756" s="239"/>
      <c r="BB756" s="239"/>
      <c r="BC756" s="239"/>
      <c r="BD756" s="239"/>
      <c r="BE756" s="239"/>
      <c r="BF756" s="239"/>
      <c r="BG756" s="239"/>
      <c r="BH756" s="239"/>
      <c r="BI756" s="239"/>
      <c r="BJ756" s="239"/>
      <c r="BK756" s="239"/>
      <c r="BL756" s="239"/>
      <c r="BM756" s="239"/>
      <c r="BN756" s="239"/>
      <c r="BO756" s="239"/>
      <c r="BP756" s="239"/>
      <c r="BQ756" s="239"/>
      <c r="BR756" s="239"/>
      <c r="BS756" s="239"/>
      <c r="BT756" s="239"/>
      <c r="BU756" s="239"/>
      <c r="BV756" s="239"/>
      <c r="BW756" s="239"/>
      <c r="BX756" s="239"/>
      <c r="BY756" s="239"/>
      <c r="BZ756" s="239"/>
      <c r="CA756" s="239"/>
      <c r="CB756" s="239"/>
      <c r="CC756" s="239"/>
      <c r="CD756" s="239"/>
      <c r="CE756" s="239"/>
      <c r="CF756" s="239"/>
      <c r="CG756" s="239"/>
    </row>
    <row r="757" spans="1:85" ht="15.75" customHeight="1">
      <c r="A757" s="239"/>
      <c r="B757" s="239"/>
      <c r="C757" s="239"/>
      <c r="D757" s="239"/>
      <c r="E757" s="239"/>
      <c r="F757" s="239"/>
      <c r="G757" s="239"/>
      <c r="H757" s="239"/>
      <c r="I757" s="239"/>
      <c r="J757" s="239"/>
      <c r="K757" s="239"/>
      <c r="L757" s="239"/>
      <c r="M757" s="239"/>
      <c r="N757" s="239"/>
      <c r="O757" s="239"/>
      <c r="P757" s="239"/>
      <c r="Q757" s="239"/>
      <c r="R757" s="239"/>
      <c r="S757" s="239"/>
      <c r="T757" s="239"/>
      <c r="U757" s="239"/>
      <c r="V757" s="239"/>
      <c r="W757" s="239"/>
      <c r="X757" s="239"/>
      <c r="Y757" s="239"/>
      <c r="Z757" s="239"/>
      <c r="AA757" s="239"/>
      <c r="AB757" s="239"/>
      <c r="AC757" s="239"/>
      <c r="AD757" s="239"/>
      <c r="AE757" s="239"/>
      <c r="AF757" s="239"/>
      <c r="AG757" s="239"/>
      <c r="AH757" s="239"/>
      <c r="AI757" s="239"/>
      <c r="AJ757" s="239"/>
      <c r="AK757" s="239"/>
      <c r="AL757" s="239"/>
      <c r="AM757" s="239"/>
      <c r="AN757" s="239"/>
      <c r="AO757" s="239"/>
      <c r="AP757" s="239"/>
      <c r="AQ757" s="239"/>
      <c r="AR757" s="239"/>
      <c r="AS757" s="239"/>
      <c r="AT757" s="239"/>
      <c r="AU757" s="239"/>
      <c r="AV757" s="239"/>
      <c r="AW757" s="239"/>
      <c r="AX757" s="239"/>
      <c r="AY757" s="239"/>
      <c r="AZ757" s="239"/>
      <c r="BA757" s="239"/>
      <c r="BB757" s="239"/>
      <c r="BC757" s="239"/>
      <c r="BD757" s="239"/>
      <c r="BE757" s="239"/>
      <c r="BF757" s="239"/>
      <c r="BG757" s="239"/>
      <c r="BH757" s="239"/>
      <c r="BI757" s="239"/>
      <c r="BJ757" s="239"/>
      <c r="BK757" s="239"/>
      <c r="BL757" s="239"/>
      <c r="BM757" s="239"/>
      <c r="BN757" s="239"/>
      <c r="BO757" s="239"/>
      <c r="BP757" s="239"/>
      <c r="BQ757" s="239"/>
      <c r="BR757" s="239"/>
      <c r="BS757" s="239"/>
      <c r="BT757" s="239"/>
      <c r="BU757" s="239"/>
      <c r="BV757" s="239"/>
      <c r="BW757" s="239"/>
      <c r="BX757" s="239"/>
      <c r="BY757" s="239"/>
      <c r="BZ757" s="239"/>
      <c r="CA757" s="239"/>
      <c r="CB757" s="239"/>
      <c r="CC757" s="239"/>
      <c r="CD757" s="239"/>
      <c r="CE757" s="239"/>
      <c r="CF757" s="239"/>
      <c r="CG757" s="239"/>
    </row>
    <row r="758" spans="1:85" ht="15.75" customHeight="1">
      <c r="A758" s="239"/>
      <c r="B758" s="239"/>
      <c r="C758" s="239"/>
      <c r="D758" s="239"/>
      <c r="E758" s="239"/>
      <c r="F758" s="239"/>
      <c r="G758" s="239"/>
      <c r="H758" s="239"/>
      <c r="I758" s="239"/>
      <c r="J758" s="239"/>
      <c r="K758" s="239"/>
      <c r="L758" s="239"/>
      <c r="M758" s="239"/>
      <c r="N758" s="239"/>
      <c r="O758" s="239"/>
      <c r="P758" s="239"/>
      <c r="Q758" s="239"/>
      <c r="R758" s="239"/>
      <c r="S758" s="239"/>
      <c r="T758" s="239"/>
      <c r="U758" s="239"/>
      <c r="V758" s="239"/>
      <c r="W758" s="239"/>
      <c r="X758" s="239"/>
      <c r="Y758" s="239"/>
      <c r="Z758" s="239"/>
      <c r="AA758" s="239"/>
      <c r="AB758" s="239"/>
      <c r="AC758" s="239"/>
      <c r="AD758" s="239"/>
      <c r="AE758" s="239"/>
      <c r="AF758" s="239"/>
      <c r="AG758" s="239"/>
      <c r="AH758" s="239"/>
      <c r="AI758" s="239"/>
      <c r="AJ758" s="239"/>
      <c r="AK758" s="239"/>
      <c r="AL758" s="239"/>
      <c r="AM758" s="239"/>
      <c r="AN758" s="239"/>
      <c r="AO758" s="239"/>
      <c r="AP758" s="239"/>
      <c r="AQ758" s="239"/>
      <c r="AR758" s="239"/>
      <c r="AS758" s="239"/>
      <c r="AT758" s="239"/>
      <c r="AU758" s="239"/>
      <c r="AV758" s="239"/>
      <c r="AW758" s="239"/>
      <c r="AX758" s="239"/>
      <c r="AY758" s="239"/>
      <c r="AZ758" s="239"/>
      <c r="BA758" s="239"/>
      <c r="BB758" s="239"/>
      <c r="BC758" s="239"/>
      <c r="BD758" s="239"/>
      <c r="BE758" s="239"/>
      <c r="BF758" s="239"/>
      <c r="BG758" s="239"/>
      <c r="BH758" s="239"/>
      <c r="BI758" s="239"/>
      <c r="BJ758" s="239"/>
      <c r="BK758" s="239"/>
      <c r="BL758" s="239"/>
      <c r="BM758" s="239"/>
      <c r="BN758" s="239"/>
      <c r="BO758" s="239"/>
      <c r="BP758" s="239"/>
      <c r="BQ758" s="239"/>
      <c r="BR758" s="239"/>
      <c r="BS758" s="239"/>
      <c r="BT758" s="239"/>
      <c r="BU758" s="239"/>
      <c r="BV758" s="239"/>
      <c r="BW758" s="239"/>
      <c r="BX758" s="239"/>
      <c r="BY758" s="239"/>
      <c r="BZ758" s="239"/>
      <c r="CA758" s="239"/>
      <c r="CB758" s="239"/>
      <c r="CC758" s="239"/>
      <c r="CD758" s="239"/>
      <c r="CE758" s="239"/>
      <c r="CF758" s="239"/>
      <c r="CG758" s="239"/>
    </row>
    <row r="759" spans="1:85" ht="15.75" customHeight="1">
      <c r="A759" s="239"/>
      <c r="B759" s="239"/>
      <c r="C759" s="239"/>
      <c r="D759" s="239"/>
      <c r="E759" s="239"/>
      <c r="F759" s="239"/>
      <c r="G759" s="239"/>
      <c r="H759" s="239"/>
      <c r="I759" s="239"/>
      <c r="J759" s="239"/>
      <c r="K759" s="239"/>
      <c r="L759" s="239"/>
      <c r="M759" s="239"/>
      <c r="N759" s="239"/>
      <c r="O759" s="239"/>
      <c r="P759" s="239"/>
      <c r="Q759" s="239"/>
      <c r="R759" s="239"/>
      <c r="S759" s="239"/>
      <c r="T759" s="239"/>
      <c r="U759" s="239"/>
      <c r="V759" s="239"/>
      <c r="W759" s="239"/>
      <c r="X759" s="239"/>
      <c r="Y759" s="239"/>
      <c r="Z759" s="239"/>
      <c r="AA759" s="239"/>
      <c r="AB759" s="239"/>
      <c r="AC759" s="239"/>
      <c r="AD759" s="239"/>
      <c r="AE759" s="239"/>
      <c r="AF759" s="239"/>
      <c r="AG759" s="239"/>
      <c r="AH759" s="239"/>
      <c r="AI759" s="239"/>
      <c r="AJ759" s="239"/>
      <c r="AK759" s="239"/>
      <c r="AL759" s="239"/>
      <c r="AM759" s="239"/>
      <c r="AN759" s="239"/>
      <c r="AO759" s="239"/>
      <c r="AP759" s="239"/>
      <c r="AQ759" s="239"/>
      <c r="AR759" s="239"/>
      <c r="AS759" s="239"/>
      <c r="AT759" s="239"/>
      <c r="AU759" s="239"/>
      <c r="AV759" s="239"/>
      <c r="AW759" s="239"/>
      <c r="AX759" s="239"/>
      <c r="AY759" s="239"/>
      <c r="AZ759" s="239"/>
      <c r="BA759" s="239"/>
      <c r="BB759" s="239"/>
      <c r="BC759" s="239"/>
      <c r="BD759" s="239"/>
      <c r="BE759" s="239"/>
      <c r="BF759" s="239"/>
      <c r="BG759" s="239"/>
      <c r="BH759" s="239"/>
      <c r="BI759" s="239"/>
      <c r="BJ759" s="239"/>
      <c r="BK759" s="239"/>
      <c r="BL759" s="239"/>
      <c r="BM759" s="239"/>
      <c r="BN759" s="239"/>
      <c r="BO759" s="239"/>
      <c r="BP759" s="239"/>
      <c r="BQ759" s="239"/>
      <c r="BR759" s="239"/>
      <c r="BS759" s="239"/>
      <c r="BT759" s="239"/>
      <c r="BU759" s="239"/>
      <c r="BV759" s="239"/>
      <c r="BW759" s="239"/>
      <c r="BX759" s="239"/>
      <c r="BY759" s="239"/>
      <c r="BZ759" s="239"/>
      <c r="CA759" s="239"/>
      <c r="CB759" s="239"/>
      <c r="CC759" s="239"/>
      <c r="CD759" s="239"/>
      <c r="CE759" s="239"/>
      <c r="CF759" s="239"/>
      <c r="CG759" s="239"/>
    </row>
    <row r="760" spans="1:85" ht="15.75" customHeight="1">
      <c r="A760" s="239"/>
      <c r="B760" s="239"/>
      <c r="C760" s="239"/>
      <c r="D760" s="239"/>
      <c r="E760" s="239"/>
      <c r="F760" s="239"/>
      <c r="G760" s="239"/>
      <c r="H760" s="239"/>
      <c r="I760" s="239"/>
      <c r="J760" s="239"/>
      <c r="K760" s="239"/>
      <c r="L760" s="239"/>
      <c r="M760" s="239"/>
      <c r="N760" s="239"/>
      <c r="O760" s="239"/>
      <c r="P760" s="239"/>
      <c r="Q760" s="239"/>
      <c r="R760" s="239"/>
      <c r="S760" s="239"/>
      <c r="T760" s="239"/>
      <c r="U760" s="239"/>
      <c r="V760" s="239"/>
      <c r="W760" s="239"/>
      <c r="X760" s="239"/>
      <c r="Y760" s="239"/>
      <c r="Z760" s="239"/>
      <c r="AA760" s="239"/>
      <c r="AB760" s="239"/>
      <c r="AC760" s="239"/>
      <c r="AD760" s="239"/>
      <c r="AE760" s="239"/>
      <c r="AF760" s="239"/>
      <c r="AG760" s="239"/>
      <c r="AH760" s="239"/>
      <c r="AI760" s="239"/>
      <c r="AJ760" s="239"/>
      <c r="AK760" s="239"/>
      <c r="AL760" s="239"/>
      <c r="AM760" s="239"/>
      <c r="AN760" s="239"/>
      <c r="AO760" s="239"/>
      <c r="AP760" s="239"/>
      <c r="AQ760" s="239"/>
      <c r="AR760" s="239"/>
      <c r="AS760" s="239"/>
      <c r="AT760" s="239"/>
      <c r="AU760" s="239"/>
      <c r="AV760" s="239"/>
      <c r="AW760" s="239"/>
      <c r="AX760" s="239"/>
      <c r="AY760" s="239"/>
      <c r="AZ760" s="239"/>
      <c r="BA760" s="239"/>
      <c r="BB760" s="239"/>
      <c r="BC760" s="239"/>
      <c r="BD760" s="239"/>
      <c r="BE760" s="239"/>
      <c r="BF760" s="239"/>
      <c r="BG760" s="239"/>
      <c r="BH760" s="239"/>
      <c r="BI760" s="239"/>
      <c r="BJ760" s="239"/>
      <c r="BK760" s="239"/>
      <c r="BL760" s="239"/>
      <c r="BM760" s="239"/>
      <c r="BN760" s="239"/>
      <c r="BO760" s="239"/>
      <c r="BP760" s="239"/>
      <c r="BQ760" s="239"/>
      <c r="BR760" s="239"/>
      <c r="BS760" s="239"/>
      <c r="BT760" s="239"/>
      <c r="BU760" s="239"/>
      <c r="BV760" s="239"/>
      <c r="BW760" s="239"/>
      <c r="BX760" s="239"/>
      <c r="BY760" s="239"/>
      <c r="BZ760" s="239"/>
      <c r="CA760" s="239"/>
      <c r="CB760" s="239"/>
      <c r="CC760" s="239"/>
      <c r="CD760" s="239"/>
      <c r="CE760" s="239"/>
      <c r="CF760" s="239"/>
      <c r="CG760" s="239"/>
    </row>
    <row r="761" spans="1:85" ht="15.75" customHeight="1">
      <c r="A761" s="239"/>
      <c r="B761" s="239"/>
      <c r="C761" s="239"/>
      <c r="D761" s="239"/>
      <c r="E761" s="239"/>
      <c r="F761" s="239"/>
      <c r="G761" s="239"/>
      <c r="H761" s="239"/>
      <c r="I761" s="239"/>
      <c r="J761" s="239"/>
      <c r="K761" s="239"/>
      <c r="L761" s="239"/>
      <c r="M761" s="239"/>
      <c r="N761" s="239"/>
      <c r="O761" s="239"/>
      <c r="P761" s="239"/>
      <c r="Q761" s="239"/>
      <c r="R761" s="239"/>
      <c r="S761" s="239"/>
      <c r="T761" s="239"/>
      <c r="U761" s="239"/>
      <c r="V761" s="239"/>
      <c r="W761" s="239"/>
      <c r="X761" s="239"/>
      <c r="Y761" s="239"/>
      <c r="Z761" s="239"/>
      <c r="AA761" s="239"/>
      <c r="AB761" s="239"/>
      <c r="AC761" s="239"/>
      <c r="AD761" s="239"/>
      <c r="AE761" s="239"/>
      <c r="AF761" s="239"/>
      <c r="AG761" s="239"/>
      <c r="AH761" s="239"/>
      <c r="AI761" s="239"/>
      <c r="AJ761" s="239"/>
      <c r="AK761" s="239"/>
      <c r="AL761" s="239"/>
      <c r="AM761" s="239"/>
      <c r="AN761" s="239"/>
      <c r="AO761" s="239"/>
      <c r="AP761" s="239"/>
      <c r="AQ761" s="239"/>
      <c r="AR761" s="239"/>
      <c r="AS761" s="239"/>
      <c r="AT761" s="239"/>
      <c r="AU761" s="239"/>
      <c r="AV761" s="239"/>
      <c r="AW761" s="239"/>
      <c r="AX761" s="239"/>
      <c r="AY761" s="239"/>
      <c r="AZ761" s="239"/>
      <c r="BA761" s="239"/>
      <c r="BB761" s="239"/>
      <c r="BC761" s="239"/>
      <c r="BD761" s="239"/>
      <c r="BE761" s="239"/>
      <c r="BF761" s="239"/>
      <c r="BG761" s="239"/>
      <c r="BH761" s="239"/>
      <c r="BI761" s="239"/>
      <c r="BJ761" s="239"/>
      <c r="BK761" s="239"/>
      <c r="BL761" s="239"/>
      <c r="BM761" s="239"/>
      <c r="BN761" s="239"/>
      <c r="BO761" s="239"/>
      <c r="BP761" s="239"/>
      <c r="BQ761" s="239"/>
      <c r="BR761" s="239"/>
      <c r="BS761" s="239"/>
      <c r="BT761" s="239"/>
      <c r="BU761" s="239"/>
      <c r="BV761" s="239"/>
      <c r="BW761" s="239"/>
      <c r="BX761" s="239"/>
      <c r="BY761" s="239"/>
      <c r="BZ761" s="239"/>
      <c r="CA761" s="239"/>
      <c r="CB761" s="239"/>
      <c r="CC761" s="239"/>
      <c r="CD761" s="239"/>
      <c r="CE761" s="239"/>
      <c r="CF761" s="239"/>
      <c r="CG761" s="239"/>
    </row>
    <row r="762" spans="1:85" ht="15.75" customHeight="1">
      <c r="A762" s="239"/>
      <c r="B762" s="239"/>
      <c r="C762" s="239"/>
      <c r="D762" s="239"/>
      <c r="E762" s="239"/>
      <c r="F762" s="239"/>
      <c r="G762" s="239"/>
      <c r="H762" s="239"/>
      <c r="I762" s="239"/>
      <c r="J762" s="239"/>
      <c r="K762" s="239"/>
      <c r="L762" s="239"/>
      <c r="M762" s="239"/>
      <c r="N762" s="239"/>
      <c r="O762" s="239"/>
      <c r="P762" s="239"/>
      <c r="Q762" s="239"/>
      <c r="R762" s="239"/>
      <c r="S762" s="239"/>
      <c r="T762" s="239"/>
      <c r="U762" s="239"/>
      <c r="V762" s="239"/>
      <c r="W762" s="239"/>
      <c r="X762" s="239"/>
      <c r="Y762" s="239"/>
      <c r="Z762" s="239"/>
      <c r="AA762" s="239"/>
      <c r="AB762" s="239"/>
      <c r="AC762" s="239"/>
      <c r="AD762" s="239"/>
      <c r="AE762" s="239"/>
      <c r="AF762" s="239"/>
      <c r="AG762" s="239"/>
      <c r="AH762" s="239"/>
      <c r="AI762" s="239"/>
      <c r="AJ762" s="239"/>
      <c r="AK762" s="239"/>
      <c r="AL762" s="239"/>
      <c r="AM762" s="239"/>
      <c r="AN762" s="239"/>
      <c r="AO762" s="239"/>
      <c r="AP762" s="239"/>
      <c r="AQ762" s="239"/>
      <c r="AR762" s="239"/>
      <c r="AS762" s="239"/>
      <c r="AT762" s="239"/>
      <c r="AU762" s="239"/>
      <c r="AV762" s="239"/>
      <c r="AW762" s="239"/>
      <c r="AX762" s="239"/>
      <c r="AY762" s="239"/>
      <c r="AZ762" s="239"/>
      <c r="BA762" s="239"/>
      <c r="BB762" s="239"/>
      <c r="BC762" s="239"/>
      <c r="BD762" s="239"/>
      <c r="BE762" s="239"/>
      <c r="BF762" s="239"/>
      <c r="BG762" s="239"/>
      <c r="BH762" s="239"/>
      <c r="BI762" s="239"/>
      <c r="BJ762" s="239"/>
      <c r="BK762" s="239"/>
      <c r="BL762" s="239"/>
      <c r="BM762" s="239"/>
      <c r="BN762" s="239"/>
      <c r="BO762" s="239"/>
      <c r="BP762" s="239"/>
      <c r="BQ762" s="239"/>
      <c r="BR762" s="239"/>
      <c r="BS762" s="239"/>
      <c r="BT762" s="239"/>
      <c r="BU762" s="239"/>
      <c r="BV762" s="239"/>
      <c r="BW762" s="239"/>
      <c r="BX762" s="239"/>
      <c r="BY762" s="239"/>
      <c r="BZ762" s="239"/>
      <c r="CA762" s="239"/>
      <c r="CB762" s="239"/>
      <c r="CC762" s="239"/>
      <c r="CD762" s="239"/>
      <c r="CE762" s="239"/>
      <c r="CF762" s="239"/>
      <c r="CG762" s="239"/>
    </row>
    <row r="763" spans="1:85" ht="15.75" customHeight="1">
      <c r="A763" s="239"/>
      <c r="B763" s="239"/>
      <c r="C763" s="239"/>
      <c r="D763" s="239"/>
      <c r="E763" s="239"/>
      <c r="F763" s="239"/>
      <c r="G763" s="239"/>
      <c r="H763" s="239"/>
      <c r="I763" s="239"/>
      <c r="J763" s="239"/>
      <c r="K763" s="239"/>
      <c r="L763" s="239"/>
      <c r="M763" s="239"/>
      <c r="N763" s="239"/>
      <c r="O763" s="239"/>
      <c r="P763" s="239"/>
      <c r="Q763" s="239"/>
      <c r="R763" s="239"/>
      <c r="S763" s="239"/>
      <c r="T763" s="239"/>
      <c r="U763" s="239"/>
      <c r="V763" s="239"/>
      <c r="W763" s="239"/>
      <c r="X763" s="239"/>
      <c r="Y763" s="239"/>
      <c r="Z763" s="239"/>
      <c r="AA763" s="239"/>
      <c r="AB763" s="239"/>
      <c r="AC763" s="239"/>
      <c r="AD763" s="239"/>
      <c r="AE763" s="239"/>
      <c r="AF763" s="239"/>
      <c r="AG763" s="239"/>
      <c r="AH763" s="239"/>
      <c r="AI763" s="239"/>
      <c r="AJ763" s="239"/>
      <c r="AK763" s="239"/>
      <c r="AL763" s="239"/>
      <c r="AM763" s="239"/>
      <c r="AN763" s="239"/>
      <c r="AO763" s="239"/>
      <c r="AP763" s="239"/>
      <c r="AQ763" s="239"/>
      <c r="AR763" s="239"/>
      <c r="AS763" s="239"/>
      <c r="AT763" s="239"/>
      <c r="AU763" s="239"/>
      <c r="AV763" s="239"/>
      <c r="AW763" s="239"/>
      <c r="AX763" s="239"/>
      <c r="AY763" s="239"/>
      <c r="AZ763" s="239"/>
      <c r="BA763" s="239"/>
      <c r="BB763" s="239"/>
      <c r="BC763" s="239"/>
      <c r="BD763" s="239"/>
      <c r="BE763" s="239"/>
      <c r="BF763" s="239"/>
      <c r="BG763" s="239"/>
      <c r="BH763" s="239"/>
      <c r="BI763" s="239"/>
      <c r="BJ763" s="239"/>
      <c r="BK763" s="239"/>
      <c r="BL763" s="239"/>
      <c r="BM763" s="239"/>
      <c r="BN763" s="239"/>
      <c r="BO763" s="239"/>
      <c r="BP763" s="239"/>
      <c r="BQ763" s="239"/>
      <c r="BR763" s="239"/>
      <c r="BS763" s="239"/>
      <c r="BT763" s="239"/>
      <c r="BU763" s="239"/>
      <c r="BV763" s="239"/>
      <c r="BW763" s="239"/>
      <c r="BX763" s="239"/>
      <c r="BY763" s="239"/>
      <c r="BZ763" s="239"/>
      <c r="CA763" s="239"/>
      <c r="CB763" s="239"/>
      <c r="CC763" s="239"/>
      <c r="CD763" s="239"/>
      <c r="CE763" s="239"/>
      <c r="CF763" s="239"/>
      <c r="CG763" s="239"/>
    </row>
    <row r="764" spans="1:85" ht="15.75" customHeight="1">
      <c r="A764" s="239"/>
      <c r="B764" s="239"/>
      <c r="C764" s="239"/>
      <c r="D764" s="239"/>
      <c r="E764" s="239"/>
      <c r="F764" s="239"/>
      <c r="G764" s="239"/>
      <c r="H764" s="239"/>
      <c r="I764" s="239"/>
      <c r="J764" s="239"/>
      <c r="K764" s="239"/>
      <c r="L764" s="239"/>
      <c r="M764" s="239"/>
      <c r="N764" s="239"/>
      <c r="O764" s="239"/>
      <c r="P764" s="239"/>
      <c r="Q764" s="239"/>
      <c r="R764" s="239"/>
      <c r="S764" s="239"/>
      <c r="T764" s="239"/>
      <c r="U764" s="239"/>
      <c r="V764" s="239"/>
      <c r="W764" s="239"/>
      <c r="X764" s="239"/>
      <c r="Y764" s="239"/>
      <c r="Z764" s="239"/>
      <c r="AA764" s="239"/>
      <c r="AB764" s="239"/>
      <c r="AC764" s="239"/>
      <c r="AD764" s="239"/>
      <c r="AE764" s="239"/>
      <c r="AF764" s="239"/>
      <c r="AG764" s="239"/>
      <c r="AH764" s="239"/>
      <c r="AI764" s="239"/>
      <c r="AJ764" s="239"/>
      <c r="AK764" s="239"/>
      <c r="AL764" s="239"/>
      <c r="AM764" s="239"/>
      <c r="AN764" s="239"/>
      <c r="AO764" s="239"/>
      <c r="AP764" s="239"/>
      <c r="AQ764" s="239"/>
      <c r="AR764" s="239"/>
      <c r="AS764" s="239"/>
      <c r="AT764" s="239"/>
      <c r="AU764" s="239"/>
      <c r="AV764" s="239"/>
      <c r="AW764" s="239"/>
      <c r="AX764" s="239"/>
      <c r="AY764" s="239"/>
      <c r="AZ764" s="239"/>
      <c r="BA764" s="239"/>
      <c r="BB764" s="239"/>
      <c r="BC764" s="239"/>
      <c r="BD764" s="239"/>
      <c r="BE764" s="239"/>
      <c r="BF764" s="239"/>
      <c r="BG764" s="239"/>
      <c r="BH764" s="239"/>
      <c r="BI764" s="239"/>
      <c r="BJ764" s="239"/>
      <c r="BK764" s="239"/>
      <c r="BL764" s="239"/>
      <c r="BM764" s="239"/>
      <c r="BN764" s="239"/>
      <c r="BO764" s="239"/>
      <c r="BP764" s="239"/>
      <c r="BQ764" s="239"/>
      <c r="BR764" s="239"/>
      <c r="BS764" s="239"/>
      <c r="BT764" s="239"/>
      <c r="BU764" s="239"/>
      <c r="BV764" s="239"/>
      <c r="BW764" s="239"/>
      <c r="BX764" s="239"/>
      <c r="BY764" s="239"/>
      <c r="BZ764" s="239"/>
      <c r="CA764" s="239"/>
      <c r="CB764" s="239"/>
      <c r="CC764" s="239"/>
      <c r="CD764" s="239"/>
      <c r="CE764" s="239"/>
      <c r="CF764" s="239"/>
      <c r="CG764" s="239"/>
    </row>
    <row r="765" spans="1:85" ht="15.75" customHeight="1">
      <c r="A765" s="239"/>
      <c r="B765" s="239"/>
      <c r="C765" s="239"/>
      <c r="D765" s="239"/>
      <c r="E765" s="239"/>
      <c r="F765" s="239"/>
      <c r="G765" s="239"/>
      <c r="H765" s="239"/>
      <c r="I765" s="239"/>
      <c r="J765" s="239"/>
      <c r="K765" s="239"/>
      <c r="L765" s="239"/>
      <c r="M765" s="239"/>
      <c r="N765" s="239"/>
      <c r="O765" s="239"/>
      <c r="P765" s="239"/>
      <c r="Q765" s="239"/>
      <c r="R765" s="239"/>
      <c r="S765" s="239"/>
      <c r="T765" s="239"/>
      <c r="U765" s="239"/>
      <c r="V765" s="239"/>
      <c r="W765" s="239"/>
      <c r="X765" s="239"/>
      <c r="Y765" s="239"/>
      <c r="Z765" s="239"/>
      <c r="AA765" s="239"/>
      <c r="AB765" s="239"/>
      <c r="AC765" s="239"/>
      <c r="AD765" s="239"/>
      <c r="AE765" s="239"/>
      <c r="AF765" s="239"/>
      <c r="AG765" s="239"/>
      <c r="AH765" s="239"/>
      <c r="AI765" s="239"/>
      <c r="AJ765" s="239"/>
      <c r="AK765" s="239"/>
      <c r="AL765" s="239"/>
      <c r="AM765" s="239"/>
      <c r="AN765" s="239"/>
      <c r="AO765" s="239"/>
      <c r="AP765" s="239"/>
      <c r="AQ765" s="239"/>
      <c r="AR765" s="239"/>
      <c r="AS765" s="239"/>
      <c r="AT765" s="239"/>
      <c r="AU765" s="239"/>
      <c r="AV765" s="239"/>
      <c r="AW765" s="239"/>
      <c r="AX765" s="239"/>
      <c r="AY765" s="239"/>
      <c r="AZ765" s="239"/>
      <c r="BA765" s="239"/>
      <c r="BB765" s="239"/>
      <c r="BC765" s="239"/>
      <c r="BD765" s="239"/>
      <c r="BE765" s="239"/>
      <c r="BF765" s="239"/>
      <c r="BG765" s="239"/>
      <c r="BH765" s="239"/>
      <c r="BI765" s="239"/>
      <c r="BJ765" s="239"/>
      <c r="BK765" s="239"/>
      <c r="BL765" s="239"/>
      <c r="BM765" s="239"/>
      <c r="BN765" s="239"/>
      <c r="BO765" s="239"/>
      <c r="BP765" s="239"/>
      <c r="BQ765" s="239"/>
      <c r="BR765" s="239"/>
      <c r="BS765" s="239"/>
      <c r="BT765" s="239"/>
      <c r="BU765" s="239"/>
      <c r="BV765" s="239"/>
      <c r="BW765" s="239"/>
      <c r="BX765" s="239"/>
      <c r="BY765" s="239"/>
      <c r="BZ765" s="239"/>
      <c r="CA765" s="239"/>
      <c r="CB765" s="239"/>
      <c r="CC765" s="239"/>
      <c r="CD765" s="239"/>
      <c r="CE765" s="239"/>
      <c r="CF765" s="239"/>
      <c r="CG765" s="239"/>
    </row>
    <row r="766" spans="1:85" ht="15.75" customHeight="1">
      <c r="A766" s="239"/>
      <c r="B766" s="239"/>
      <c r="C766" s="239"/>
      <c r="D766" s="239"/>
      <c r="E766" s="239"/>
      <c r="F766" s="239"/>
      <c r="G766" s="239"/>
      <c r="H766" s="239"/>
      <c r="I766" s="239"/>
      <c r="J766" s="239"/>
      <c r="K766" s="239"/>
      <c r="L766" s="239"/>
      <c r="M766" s="239"/>
      <c r="N766" s="239"/>
      <c r="O766" s="239"/>
      <c r="P766" s="239"/>
      <c r="Q766" s="239"/>
      <c r="R766" s="239"/>
      <c r="S766" s="239"/>
      <c r="T766" s="239"/>
      <c r="U766" s="239"/>
      <c r="V766" s="239"/>
      <c r="W766" s="239"/>
      <c r="X766" s="239"/>
      <c r="Y766" s="239"/>
      <c r="Z766" s="239"/>
      <c r="AA766" s="239"/>
      <c r="AB766" s="239"/>
      <c r="AC766" s="239"/>
      <c r="AD766" s="239"/>
      <c r="AE766" s="239"/>
      <c r="AF766" s="239"/>
      <c r="AG766" s="239"/>
      <c r="AH766" s="239"/>
      <c r="AI766" s="239"/>
      <c r="AJ766" s="239"/>
      <c r="AK766" s="239"/>
      <c r="AL766" s="239"/>
      <c r="AM766" s="239"/>
      <c r="AN766" s="239"/>
      <c r="AO766" s="239"/>
      <c r="AP766" s="239"/>
      <c r="AQ766" s="239"/>
      <c r="AR766" s="239"/>
      <c r="AS766" s="239"/>
      <c r="AT766" s="239"/>
      <c r="AU766" s="239"/>
      <c r="AV766" s="239"/>
      <c r="AW766" s="239"/>
      <c r="AX766" s="239"/>
      <c r="AY766" s="239"/>
      <c r="AZ766" s="239"/>
      <c r="BA766" s="239"/>
      <c r="BB766" s="239"/>
      <c r="BC766" s="239"/>
      <c r="BD766" s="239"/>
      <c r="BE766" s="239"/>
      <c r="BF766" s="239"/>
      <c r="BG766" s="239"/>
      <c r="BH766" s="239"/>
      <c r="BI766" s="239"/>
      <c r="BJ766" s="239"/>
      <c r="BK766" s="239"/>
      <c r="BL766" s="239"/>
      <c r="BM766" s="239"/>
      <c r="BN766" s="239"/>
      <c r="BO766" s="239"/>
      <c r="BP766" s="239"/>
      <c r="BQ766" s="239"/>
      <c r="BR766" s="239"/>
      <c r="BS766" s="239"/>
      <c r="BT766" s="239"/>
      <c r="BU766" s="239"/>
      <c r="BV766" s="239"/>
      <c r="BW766" s="239"/>
      <c r="BX766" s="239"/>
      <c r="BY766" s="239"/>
      <c r="BZ766" s="239"/>
      <c r="CA766" s="239"/>
      <c r="CB766" s="239"/>
      <c r="CC766" s="239"/>
      <c r="CD766" s="239"/>
      <c r="CE766" s="239"/>
      <c r="CF766" s="239"/>
      <c r="CG766" s="239"/>
    </row>
    <row r="767" spans="1:85" ht="15.75" customHeight="1">
      <c r="A767" s="239"/>
      <c r="B767" s="239"/>
      <c r="C767" s="239"/>
      <c r="D767" s="239"/>
      <c r="E767" s="239"/>
      <c r="F767" s="239"/>
      <c r="G767" s="239"/>
      <c r="H767" s="239"/>
      <c r="I767" s="239"/>
      <c r="J767" s="239"/>
      <c r="K767" s="239"/>
      <c r="L767" s="239"/>
      <c r="M767" s="239"/>
      <c r="N767" s="239"/>
      <c r="O767" s="239"/>
      <c r="P767" s="239"/>
      <c r="Q767" s="239"/>
      <c r="R767" s="239"/>
      <c r="S767" s="239"/>
      <c r="T767" s="239"/>
      <c r="U767" s="239"/>
      <c r="V767" s="239"/>
      <c r="W767" s="239"/>
      <c r="X767" s="239"/>
      <c r="Y767" s="239"/>
      <c r="Z767" s="239"/>
      <c r="AA767" s="239"/>
      <c r="AB767" s="239"/>
      <c r="AC767" s="239"/>
      <c r="AD767" s="239"/>
      <c r="AE767" s="239"/>
      <c r="AF767" s="239"/>
      <c r="AG767" s="239"/>
      <c r="AH767" s="239"/>
      <c r="AI767" s="239"/>
      <c r="AJ767" s="239"/>
      <c r="AK767" s="239"/>
      <c r="AL767" s="239"/>
      <c r="AM767" s="239"/>
      <c r="AN767" s="239"/>
      <c r="AO767" s="239"/>
      <c r="AP767" s="239"/>
      <c r="AQ767" s="239"/>
      <c r="AR767" s="239"/>
      <c r="AS767" s="239"/>
      <c r="AT767" s="239"/>
      <c r="AU767" s="239"/>
      <c r="AV767" s="239"/>
      <c r="AW767" s="239"/>
      <c r="AX767" s="239"/>
      <c r="AY767" s="239"/>
      <c r="AZ767" s="239"/>
      <c r="BA767" s="239"/>
      <c r="BB767" s="239"/>
      <c r="BC767" s="239"/>
      <c r="BD767" s="239"/>
      <c r="BE767" s="239"/>
      <c r="BF767" s="239"/>
      <c r="BG767" s="239"/>
      <c r="BH767" s="239"/>
      <c r="BI767" s="239"/>
      <c r="BJ767" s="239"/>
      <c r="BK767" s="239"/>
      <c r="BL767" s="239"/>
      <c r="BM767" s="239"/>
      <c r="BN767" s="239"/>
      <c r="BO767" s="239"/>
      <c r="BP767" s="239"/>
      <c r="BQ767" s="239"/>
      <c r="BR767" s="239"/>
      <c r="BS767" s="239"/>
      <c r="BT767" s="239"/>
      <c r="BU767" s="239"/>
      <c r="BV767" s="239"/>
      <c r="BW767" s="239"/>
      <c r="BX767" s="239"/>
      <c r="BY767" s="239"/>
      <c r="BZ767" s="239"/>
      <c r="CA767" s="239"/>
      <c r="CB767" s="239"/>
      <c r="CC767" s="239"/>
      <c r="CD767" s="239"/>
      <c r="CE767" s="239"/>
      <c r="CF767" s="239"/>
      <c r="CG767" s="239"/>
    </row>
    <row r="768" spans="1:85" ht="15.75" customHeight="1">
      <c r="A768" s="239"/>
      <c r="B768" s="239"/>
      <c r="C768" s="239"/>
      <c r="D768" s="239"/>
      <c r="E768" s="239"/>
      <c r="F768" s="239"/>
      <c r="G768" s="239"/>
      <c r="H768" s="239"/>
      <c r="I768" s="239"/>
      <c r="J768" s="239"/>
      <c r="K768" s="239"/>
      <c r="L768" s="239"/>
      <c r="M768" s="239"/>
      <c r="N768" s="239"/>
      <c r="O768" s="239"/>
      <c r="P768" s="239"/>
      <c r="Q768" s="239"/>
      <c r="R768" s="239"/>
      <c r="S768" s="239"/>
      <c r="T768" s="239"/>
      <c r="U768" s="239"/>
      <c r="V768" s="239"/>
      <c r="W768" s="239"/>
      <c r="X768" s="239"/>
      <c r="Y768" s="239"/>
      <c r="Z768" s="239"/>
      <c r="AA768" s="239"/>
      <c r="AB768" s="239"/>
      <c r="AC768" s="239"/>
      <c r="AD768" s="239"/>
      <c r="AE768" s="239"/>
      <c r="AF768" s="239"/>
      <c r="AG768" s="239"/>
      <c r="AH768" s="239"/>
      <c r="AI768" s="239"/>
      <c r="AJ768" s="239"/>
      <c r="AK768" s="239"/>
      <c r="AL768" s="239"/>
      <c r="AM768" s="239"/>
      <c r="AN768" s="239"/>
      <c r="AO768" s="239"/>
      <c r="AP768" s="239"/>
      <c r="AQ768" s="239"/>
      <c r="AR768" s="239"/>
      <c r="AS768" s="239"/>
      <c r="AT768" s="239"/>
      <c r="AU768" s="239"/>
      <c r="AV768" s="239"/>
      <c r="AW768" s="239"/>
      <c r="AX768" s="239"/>
      <c r="AY768" s="239"/>
      <c r="AZ768" s="239"/>
      <c r="BA768" s="239"/>
      <c r="BB768" s="239"/>
      <c r="BC768" s="239"/>
      <c r="BD768" s="239"/>
      <c r="BE768" s="239"/>
      <c r="BF768" s="239"/>
      <c r="BG768" s="239"/>
      <c r="BH768" s="239"/>
      <c r="BI768" s="239"/>
      <c r="BJ768" s="239"/>
      <c r="BK768" s="239"/>
      <c r="BL768" s="239"/>
      <c r="BM768" s="239"/>
      <c r="BN768" s="239"/>
      <c r="BO768" s="239"/>
      <c r="BP768" s="239"/>
      <c r="BQ768" s="239"/>
      <c r="BR768" s="239"/>
      <c r="BS768" s="239"/>
      <c r="BT768" s="239"/>
      <c r="BU768" s="239"/>
      <c r="BV768" s="239"/>
      <c r="BW768" s="239"/>
      <c r="BX768" s="239"/>
      <c r="BY768" s="239"/>
      <c r="BZ768" s="239"/>
      <c r="CA768" s="239"/>
      <c r="CB768" s="239"/>
      <c r="CC768" s="239"/>
      <c r="CD768" s="239"/>
      <c r="CE768" s="239"/>
      <c r="CF768" s="239"/>
      <c r="CG768" s="239"/>
    </row>
    <row r="769" spans="1:85" ht="15.75" customHeight="1">
      <c r="A769" s="239"/>
      <c r="B769" s="239"/>
      <c r="C769" s="239"/>
      <c r="D769" s="239"/>
      <c r="E769" s="239"/>
      <c r="F769" s="239"/>
      <c r="G769" s="239"/>
      <c r="H769" s="239"/>
      <c r="I769" s="239"/>
      <c r="J769" s="239"/>
      <c r="K769" s="239"/>
      <c r="L769" s="239"/>
      <c r="M769" s="239"/>
      <c r="N769" s="239"/>
      <c r="O769" s="239"/>
      <c r="P769" s="239"/>
      <c r="Q769" s="239"/>
      <c r="R769" s="239"/>
      <c r="S769" s="239"/>
      <c r="T769" s="239"/>
      <c r="U769" s="239"/>
      <c r="V769" s="239"/>
      <c r="W769" s="239"/>
      <c r="X769" s="239"/>
      <c r="Y769" s="239"/>
      <c r="Z769" s="239"/>
      <c r="AA769" s="239"/>
      <c r="AB769" s="239"/>
      <c r="AC769" s="239"/>
      <c r="AD769" s="239"/>
      <c r="AE769" s="239"/>
      <c r="AF769" s="239"/>
      <c r="AG769" s="239"/>
      <c r="AH769" s="239"/>
      <c r="AI769" s="239"/>
      <c r="AJ769" s="239"/>
      <c r="AK769" s="239"/>
      <c r="AL769" s="239"/>
      <c r="AM769" s="239"/>
      <c r="AN769" s="239"/>
      <c r="AO769" s="239"/>
      <c r="AP769" s="239"/>
      <c r="AQ769" s="239"/>
      <c r="AR769" s="239"/>
      <c r="AS769" s="239"/>
      <c r="AT769" s="239"/>
      <c r="AU769" s="239"/>
      <c r="AV769" s="239"/>
      <c r="AW769" s="239"/>
      <c r="AX769" s="239"/>
      <c r="AY769" s="239"/>
      <c r="AZ769" s="239"/>
      <c r="BA769" s="239"/>
      <c r="BB769" s="239"/>
      <c r="BC769" s="239"/>
      <c r="BD769" s="239"/>
      <c r="BE769" s="239"/>
      <c r="BF769" s="239"/>
      <c r="BG769" s="239"/>
      <c r="BH769" s="239"/>
      <c r="BI769" s="239"/>
      <c r="BJ769" s="239"/>
      <c r="BK769" s="239"/>
      <c r="BL769" s="239"/>
      <c r="BM769" s="239"/>
      <c r="BN769" s="239"/>
      <c r="BO769" s="239"/>
      <c r="BP769" s="239"/>
      <c r="BQ769" s="239"/>
      <c r="BR769" s="239"/>
      <c r="BS769" s="239"/>
      <c r="BT769" s="239"/>
      <c r="BU769" s="239"/>
      <c r="BV769" s="239"/>
      <c r="BW769" s="239"/>
      <c r="BX769" s="239"/>
      <c r="BY769" s="239"/>
      <c r="BZ769" s="239"/>
      <c r="CA769" s="239"/>
      <c r="CB769" s="239"/>
      <c r="CC769" s="239"/>
      <c r="CD769" s="239"/>
      <c r="CE769" s="239"/>
      <c r="CF769" s="239"/>
      <c r="CG769" s="239"/>
    </row>
    <row r="770" spans="1:85" ht="15.75" customHeight="1">
      <c r="A770" s="239"/>
      <c r="B770" s="239"/>
      <c r="C770" s="239"/>
      <c r="D770" s="239"/>
      <c r="E770" s="239"/>
      <c r="F770" s="239"/>
      <c r="G770" s="239"/>
      <c r="H770" s="239"/>
      <c r="I770" s="239"/>
      <c r="J770" s="239"/>
      <c r="K770" s="239"/>
      <c r="L770" s="239"/>
      <c r="M770" s="239"/>
      <c r="N770" s="239"/>
      <c r="O770" s="239"/>
      <c r="P770" s="239"/>
      <c r="Q770" s="239"/>
      <c r="R770" s="239"/>
      <c r="S770" s="239"/>
      <c r="T770" s="239"/>
      <c r="U770" s="239"/>
      <c r="V770" s="239"/>
      <c r="W770" s="239"/>
      <c r="X770" s="239"/>
      <c r="Y770" s="239"/>
      <c r="Z770" s="239"/>
      <c r="AA770" s="239"/>
      <c r="AB770" s="239"/>
      <c r="AC770" s="239"/>
      <c r="AD770" s="239"/>
      <c r="AE770" s="239"/>
      <c r="AF770" s="239"/>
      <c r="AG770" s="239"/>
      <c r="AH770" s="239"/>
      <c r="AI770" s="239"/>
      <c r="AJ770" s="239"/>
      <c r="AK770" s="239"/>
      <c r="AL770" s="239"/>
      <c r="AM770" s="239"/>
      <c r="AN770" s="239"/>
      <c r="AO770" s="239"/>
      <c r="AP770" s="239"/>
      <c r="AQ770" s="239"/>
      <c r="AR770" s="239"/>
      <c r="AS770" s="239"/>
      <c r="AT770" s="239"/>
      <c r="AU770" s="239"/>
      <c r="AV770" s="239"/>
      <c r="AW770" s="239"/>
      <c r="AX770" s="239"/>
      <c r="AY770" s="239"/>
      <c r="AZ770" s="239"/>
      <c r="BA770" s="239"/>
      <c r="BB770" s="239"/>
      <c r="BC770" s="239"/>
      <c r="BD770" s="239"/>
      <c r="BE770" s="239"/>
      <c r="BF770" s="239"/>
      <c r="BG770" s="239"/>
      <c r="BH770" s="239"/>
      <c r="BI770" s="239"/>
      <c r="BJ770" s="239"/>
      <c r="BK770" s="239"/>
      <c r="BL770" s="239"/>
      <c r="BM770" s="239"/>
      <c r="BN770" s="239"/>
      <c r="BO770" s="239"/>
      <c r="BP770" s="239"/>
      <c r="BQ770" s="239"/>
      <c r="BR770" s="239"/>
      <c r="BS770" s="239"/>
      <c r="BT770" s="239"/>
      <c r="BU770" s="239"/>
      <c r="BV770" s="239"/>
      <c r="BW770" s="239"/>
      <c r="BX770" s="239"/>
      <c r="BY770" s="239"/>
      <c r="BZ770" s="239"/>
      <c r="CA770" s="239"/>
      <c r="CB770" s="239"/>
      <c r="CC770" s="239"/>
      <c r="CD770" s="239"/>
      <c r="CE770" s="239"/>
      <c r="CF770" s="239"/>
      <c r="CG770" s="239"/>
    </row>
    <row r="771" spans="1:85" ht="15.75" customHeight="1">
      <c r="A771" s="239"/>
      <c r="B771" s="239"/>
      <c r="C771" s="239"/>
      <c r="D771" s="239"/>
      <c r="E771" s="239"/>
      <c r="F771" s="239"/>
      <c r="G771" s="239"/>
      <c r="H771" s="239"/>
      <c r="I771" s="239"/>
      <c r="J771" s="239"/>
      <c r="K771" s="239"/>
      <c r="L771" s="239"/>
      <c r="M771" s="239"/>
      <c r="N771" s="239"/>
      <c r="O771" s="239"/>
      <c r="P771" s="239"/>
      <c r="Q771" s="239"/>
      <c r="R771" s="239"/>
      <c r="S771" s="239"/>
      <c r="T771" s="239"/>
      <c r="U771" s="239"/>
      <c r="V771" s="239"/>
      <c r="W771" s="239"/>
      <c r="X771" s="239"/>
      <c r="Y771" s="239"/>
      <c r="Z771" s="239"/>
      <c r="AA771" s="239"/>
      <c r="AB771" s="239"/>
      <c r="AC771" s="239"/>
      <c r="AD771" s="239"/>
      <c r="AE771" s="239"/>
      <c r="AF771" s="239"/>
      <c r="AG771" s="239"/>
      <c r="AH771" s="239"/>
      <c r="AI771" s="239"/>
      <c r="AJ771" s="239"/>
      <c r="AK771" s="239"/>
      <c r="AL771" s="239"/>
      <c r="AM771" s="239"/>
      <c r="AN771" s="239"/>
      <c r="AO771" s="239"/>
      <c r="AP771" s="239"/>
      <c r="AQ771" s="239"/>
      <c r="AR771" s="239"/>
      <c r="AS771" s="239"/>
      <c r="AT771" s="239"/>
      <c r="AU771" s="239"/>
      <c r="AV771" s="239"/>
      <c r="AW771" s="239"/>
      <c r="AX771" s="239"/>
      <c r="AY771" s="239"/>
      <c r="AZ771" s="239"/>
      <c r="BA771" s="239"/>
      <c r="BB771" s="239"/>
      <c r="BC771" s="239"/>
      <c r="BD771" s="239"/>
      <c r="BE771" s="239"/>
      <c r="BF771" s="239"/>
      <c r="BG771" s="239"/>
      <c r="BH771" s="239"/>
      <c r="BI771" s="239"/>
      <c r="BJ771" s="239"/>
      <c r="BK771" s="239"/>
      <c r="BL771" s="239"/>
      <c r="BM771" s="239"/>
      <c r="BN771" s="239"/>
      <c r="BO771" s="239"/>
      <c r="BP771" s="239"/>
      <c r="BQ771" s="239"/>
      <c r="BR771" s="239"/>
      <c r="BS771" s="239"/>
      <c r="BT771" s="239"/>
      <c r="BU771" s="239"/>
      <c r="BV771" s="239"/>
      <c r="BW771" s="239"/>
      <c r="BX771" s="239"/>
      <c r="BY771" s="239"/>
      <c r="BZ771" s="239"/>
      <c r="CA771" s="239"/>
      <c r="CB771" s="239"/>
      <c r="CC771" s="239"/>
      <c r="CD771" s="239"/>
      <c r="CE771" s="239"/>
      <c r="CF771" s="239"/>
      <c r="CG771" s="239"/>
    </row>
    <row r="772" spans="1:85" ht="15.75" customHeight="1">
      <c r="A772" s="239"/>
      <c r="B772" s="239"/>
      <c r="C772" s="239"/>
      <c r="D772" s="239"/>
      <c r="E772" s="239"/>
      <c r="F772" s="239"/>
      <c r="G772" s="239"/>
      <c r="H772" s="239"/>
      <c r="I772" s="239"/>
      <c r="J772" s="239"/>
      <c r="K772" s="239"/>
      <c r="L772" s="239"/>
      <c r="M772" s="239"/>
      <c r="N772" s="239"/>
      <c r="O772" s="239"/>
      <c r="P772" s="239"/>
      <c r="Q772" s="239"/>
      <c r="R772" s="239"/>
      <c r="S772" s="239"/>
      <c r="T772" s="239"/>
      <c r="U772" s="239"/>
      <c r="V772" s="239"/>
      <c r="W772" s="239"/>
      <c r="X772" s="239"/>
      <c r="Y772" s="239"/>
      <c r="Z772" s="239"/>
      <c r="AA772" s="239"/>
      <c r="AB772" s="239"/>
      <c r="AC772" s="239"/>
      <c r="AD772" s="239"/>
      <c r="AE772" s="239"/>
      <c r="AF772" s="239"/>
      <c r="AG772" s="239"/>
      <c r="AH772" s="239"/>
      <c r="AI772" s="239"/>
      <c r="AJ772" s="239"/>
      <c r="AK772" s="239"/>
      <c r="AL772" s="239"/>
      <c r="AM772" s="239"/>
      <c r="AN772" s="239"/>
      <c r="AO772" s="239"/>
      <c r="AP772" s="239"/>
      <c r="AQ772" s="239"/>
      <c r="AR772" s="239"/>
      <c r="AS772" s="239"/>
      <c r="AT772" s="239"/>
      <c r="AU772" s="239"/>
      <c r="AV772" s="239"/>
      <c r="AW772" s="239"/>
      <c r="AX772" s="239"/>
      <c r="AY772" s="239"/>
      <c r="AZ772" s="239"/>
      <c r="BA772" s="239"/>
      <c r="BB772" s="239"/>
      <c r="BC772" s="239"/>
      <c r="BD772" s="239"/>
      <c r="BE772" s="239"/>
      <c r="BF772" s="239"/>
      <c r="BG772" s="239"/>
      <c r="BH772" s="239"/>
      <c r="BI772" s="239"/>
      <c r="BJ772" s="239"/>
      <c r="BK772" s="239"/>
      <c r="BL772" s="239"/>
      <c r="BM772" s="239"/>
      <c r="BN772" s="239"/>
      <c r="BO772" s="239"/>
      <c r="BP772" s="239"/>
      <c r="BQ772" s="239"/>
      <c r="BR772" s="239"/>
      <c r="BS772" s="239"/>
      <c r="BT772" s="239"/>
      <c r="BU772" s="239"/>
      <c r="BV772" s="239"/>
      <c r="BW772" s="239"/>
      <c r="BX772" s="239"/>
      <c r="BY772" s="239"/>
      <c r="BZ772" s="239"/>
      <c r="CA772" s="239"/>
      <c r="CB772" s="239"/>
      <c r="CC772" s="239"/>
      <c r="CD772" s="239"/>
      <c r="CE772" s="239"/>
      <c r="CF772" s="239"/>
      <c r="CG772" s="239"/>
    </row>
    <row r="773" spans="1:85" ht="15.75" customHeight="1">
      <c r="A773" s="239"/>
      <c r="B773" s="239"/>
      <c r="C773" s="239"/>
      <c r="D773" s="239"/>
      <c r="E773" s="239"/>
      <c r="F773" s="239"/>
      <c r="G773" s="239"/>
      <c r="H773" s="239"/>
      <c r="I773" s="239"/>
      <c r="J773" s="239"/>
      <c r="K773" s="239"/>
      <c r="L773" s="239"/>
      <c r="M773" s="239"/>
      <c r="N773" s="239"/>
      <c r="O773" s="239"/>
      <c r="P773" s="239"/>
      <c r="Q773" s="239"/>
      <c r="R773" s="239"/>
      <c r="S773" s="239"/>
      <c r="T773" s="239"/>
      <c r="U773" s="239"/>
      <c r="V773" s="239"/>
      <c r="W773" s="239"/>
      <c r="X773" s="239"/>
      <c r="Y773" s="239"/>
      <c r="Z773" s="239"/>
      <c r="AA773" s="239"/>
      <c r="AB773" s="239"/>
      <c r="AC773" s="239"/>
      <c r="AD773" s="239"/>
      <c r="AE773" s="239"/>
      <c r="AF773" s="239"/>
      <c r="AG773" s="239"/>
      <c r="AH773" s="239"/>
      <c r="AI773" s="239"/>
      <c r="AJ773" s="239"/>
      <c r="AK773" s="239"/>
      <c r="AL773" s="239"/>
      <c r="AM773" s="239"/>
      <c r="AN773" s="239"/>
      <c r="AO773" s="239"/>
      <c r="AP773" s="239"/>
      <c r="AQ773" s="239"/>
      <c r="AR773" s="239"/>
      <c r="AS773" s="239"/>
      <c r="AT773" s="239"/>
      <c r="AU773" s="239"/>
      <c r="AV773" s="239"/>
      <c r="AW773" s="239"/>
      <c r="AX773" s="239"/>
      <c r="AY773" s="239"/>
      <c r="AZ773" s="239"/>
      <c r="BA773" s="239"/>
      <c r="BB773" s="239"/>
      <c r="BC773" s="239"/>
      <c r="BD773" s="239"/>
      <c r="BE773" s="239"/>
      <c r="BF773" s="239"/>
      <c r="BG773" s="239"/>
      <c r="BH773" s="239"/>
      <c r="BI773" s="239"/>
      <c r="BJ773" s="239"/>
      <c r="BK773" s="239"/>
      <c r="BL773" s="239"/>
      <c r="BM773" s="239"/>
      <c r="BN773" s="239"/>
      <c r="BO773" s="239"/>
      <c r="BP773" s="239"/>
      <c r="BQ773" s="239"/>
      <c r="BR773" s="239"/>
      <c r="BS773" s="239"/>
      <c r="BT773" s="239"/>
      <c r="BU773" s="239"/>
      <c r="BV773" s="239"/>
      <c r="BW773" s="239"/>
      <c r="BX773" s="239"/>
      <c r="BY773" s="239"/>
      <c r="BZ773" s="239"/>
      <c r="CA773" s="239"/>
      <c r="CB773" s="239"/>
      <c r="CC773" s="239"/>
      <c r="CD773" s="239"/>
      <c r="CE773" s="239"/>
      <c r="CF773" s="239"/>
      <c r="CG773" s="239"/>
    </row>
    <row r="774" spans="1:85" ht="15.75" customHeight="1">
      <c r="A774" s="239"/>
      <c r="B774" s="239"/>
      <c r="C774" s="239"/>
      <c r="D774" s="239"/>
      <c r="E774" s="239"/>
      <c r="F774" s="239"/>
      <c r="G774" s="239"/>
      <c r="H774" s="239"/>
      <c r="I774" s="239"/>
      <c r="J774" s="239"/>
      <c r="K774" s="239"/>
      <c r="L774" s="239"/>
      <c r="M774" s="239"/>
      <c r="N774" s="239"/>
      <c r="O774" s="239"/>
      <c r="P774" s="239"/>
      <c r="Q774" s="239"/>
      <c r="R774" s="239"/>
      <c r="S774" s="239"/>
      <c r="T774" s="239"/>
      <c r="U774" s="239"/>
      <c r="V774" s="239"/>
      <c r="W774" s="239"/>
      <c r="X774" s="239"/>
      <c r="Y774" s="239"/>
      <c r="Z774" s="239"/>
      <c r="AA774" s="239"/>
      <c r="AB774" s="239"/>
      <c r="AC774" s="239"/>
      <c r="AD774" s="239"/>
      <c r="AE774" s="239"/>
      <c r="AF774" s="239"/>
      <c r="AG774" s="239"/>
      <c r="AH774" s="239"/>
      <c r="AI774" s="239"/>
      <c r="AJ774" s="239"/>
      <c r="AK774" s="239"/>
      <c r="AL774" s="239"/>
      <c r="AM774" s="239"/>
      <c r="AN774" s="239"/>
      <c r="AO774" s="239"/>
      <c r="AP774" s="239"/>
      <c r="AQ774" s="239"/>
      <c r="AR774" s="239"/>
      <c r="AS774" s="239"/>
      <c r="AT774" s="239"/>
      <c r="AU774" s="239"/>
      <c r="AV774" s="239"/>
      <c r="AW774" s="239"/>
      <c r="AX774" s="239"/>
      <c r="AY774" s="239"/>
      <c r="AZ774" s="239"/>
      <c r="BA774" s="239"/>
      <c r="BB774" s="239"/>
      <c r="BC774" s="239"/>
      <c r="BD774" s="239"/>
      <c r="BE774" s="239"/>
      <c r="BF774" s="239"/>
      <c r="BG774" s="239"/>
      <c r="BH774" s="239"/>
      <c r="BI774" s="239"/>
      <c r="BJ774" s="239"/>
      <c r="BK774" s="239"/>
      <c r="BL774" s="239"/>
      <c r="BM774" s="239"/>
      <c r="BN774" s="239"/>
      <c r="BO774" s="239"/>
      <c r="BP774" s="239"/>
      <c r="BQ774" s="239"/>
      <c r="BR774" s="239"/>
      <c r="BS774" s="239"/>
      <c r="BT774" s="239"/>
      <c r="BU774" s="239"/>
      <c r="BV774" s="239"/>
      <c r="BW774" s="239"/>
      <c r="BX774" s="239"/>
      <c r="BY774" s="239"/>
      <c r="BZ774" s="239"/>
      <c r="CA774" s="239"/>
      <c r="CB774" s="239"/>
      <c r="CC774" s="239"/>
      <c r="CD774" s="239"/>
      <c r="CE774" s="239"/>
      <c r="CF774" s="239"/>
      <c r="CG774" s="239"/>
    </row>
    <row r="775" spans="1:85" ht="15.75" customHeight="1">
      <c r="A775" s="239"/>
      <c r="B775" s="239"/>
      <c r="C775" s="239"/>
      <c r="D775" s="239"/>
      <c r="E775" s="239"/>
      <c r="F775" s="239"/>
      <c r="G775" s="239"/>
      <c r="H775" s="239"/>
      <c r="I775" s="239"/>
      <c r="J775" s="239"/>
      <c r="K775" s="239"/>
      <c r="L775" s="239"/>
      <c r="M775" s="239"/>
      <c r="N775" s="239"/>
      <c r="O775" s="239"/>
      <c r="P775" s="239"/>
      <c r="Q775" s="239"/>
      <c r="R775" s="239"/>
      <c r="S775" s="239"/>
      <c r="T775" s="239"/>
      <c r="U775" s="239"/>
      <c r="V775" s="239"/>
      <c r="W775" s="239"/>
      <c r="X775" s="239"/>
      <c r="Y775" s="239"/>
      <c r="Z775" s="239"/>
      <c r="AA775" s="239"/>
      <c r="AB775" s="239"/>
      <c r="AC775" s="239"/>
      <c r="AD775" s="239"/>
      <c r="AE775" s="239"/>
      <c r="AF775" s="239"/>
      <c r="AG775" s="239"/>
      <c r="AH775" s="239"/>
      <c r="AI775" s="239"/>
      <c r="AJ775" s="239"/>
      <c r="AK775" s="239"/>
      <c r="AL775" s="239"/>
      <c r="AM775" s="239"/>
      <c r="AN775" s="239"/>
      <c r="AO775" s="239"/>
      <c r="AP775" s="239"/>
      <c r="AQ775" s="239"/>
      <c r="AR775" s="239"/>
      <c r="AS775" s="239"/>
      <c r="AT775" s="239"/>
      <c r="AU775" s="239"/>
      <c r="AV775" s="239"/>
      <c r="AW775" s="239"/>
      <c r="AX775" s="239"/>
      <c r="AY775" s="239"/>
      <c r="AZ775" s="239"/>
      <c r="BA775" s="239"/>
      <c r="BB775" s="239"/>
      <c r="BC775" s="239"/>
      <c r="BD775" s="239"/>
      <c r="BE775" s="239"/>
      <c r="BF775" s="239"/>
      <c r="BG775" s="239"/>
      <c r="BH775" s="239"/>
      <c r="BI775" s="239"/>
      <c r="BJ775" s="239"/>
      <c r="BK775" s="239"/>
      <c r="BL775" s="239"/>
      <c r="BM775" s="239"/>
      <c r="BN775" s="239"/>
      <c r="BO775" s="239"/>
      <c r="BP775" s="239"/>
      <c r="BQ775" s="239"/>
      <c r="BR775" s="239"/>
      <c r="BS775" s="239"/>
      <c r="BT775" s="239"/>
      <c r="BU775" s="239"/>
      <c r="BV775" s="239"/>
      <c r="BW775" s="239"/>
      <c r="BX775" s="239"/>
      <c r="BY775" s="239"/>
      <c r="BZ775" s="239"/>
      <c r="CA775" s="239"/>
      <c r="CB775" s="239"/>
      <c r="CC775" s="239"/>
      <c r="CD775" s="239"/>
      <c r="CE775" s="239"/>
      <c r="CF775" s="239"/>
      <c r="CG775" s="239"/>
    </row>
    <row r="776" spans="1:85" ht="15.75" customHeight="1">
      <c r="A776" s="239"/>
      <c r="B776" s="239"/>
      <c r="C776" s="239"/>
      <c r="D776" s="239"/>
      <c r="E776" s="239"/>
      <c r="F776" s="239"/>
      <c r="G776" s="239"/>
      <c r="H776" s="239"/>
      <c r="I776" s="239"/>
      <c r="J776" s="239"/>
      <c r="K776" s="239"/>
      <c r="L776" s="239"/>
      <c r="M776" s="239"/>
      <c r="N776" s="239"/>
      <c r="O776" s="239"/>
      <c r="P776" s="239"/>
      <c r="Q776" s="239"/>
      <c r="R776" s="239"/>
      <c r="S776" s="239"/>
      <c r="T776" s="239"/>
      <c r="U776" s="239"/>
      <c r="V776" s="239"/>
      <c r="W776" s="239"/>
      <c r="X776" s="239"/>
      <c r="Y776" s="239"/>
      <c r="Z776" s="239"/>
      <c r="AA776" s="239"/>
      <c r="AB776" s="239"/>
      <c r="AC776" s="239"/>
      <c r="AD776" s="239"/>
      <c r="AE776" s="239"/>
      <c r="AF776" s="239"/>
      <c r="AG776" s="239"/>
      <c r="AH776" s="239"/>
      <c r="AI776" s="239"/>
      <c r="AJ776" s="239"/>
      <c r="AK776" s="239"/>
      <c r="AL776" s="239"/>
      <c r="AM776" s="239"/>
      <c r="AN776" s="239"/>
      <c r="AO776" s="239"/>
      <c r="AP776" s="239"/>
      <c r="AQ776" s="239"/>
      <c r="AR776" s="239"/>
      <c r="AS776" s="239"/>
      <c r="AT776" s="239"/>
      <c r="AU776" s="239"/>
      <c r="AV776" s="239"/>
      <c r="AW776" s="239"/>
      <c r="AX776" s="239"/>
      <c r="AY776" s="239"/>
      <c r="AZ776" s="239"/>
      <c r="BA776" s="239"/>
      <c r="BB776" s="239"/>
      <c r="BC776" s="239"/>
      <c r="BD776" s="239"/>
      <c r="BE776" s="239"/>
      <c r="BF776" s="239"/>
      <c r="BG776" s="239"/>
      <c r="BH776" s="239"/>
      <c r="BI776" s="239"/>
      <c r="BJ776" s="239"/>
      <c r="BK776" s="239"/>
      <c r="BL776" s="239"/>
      <c r="BM776" s="239"/>
      <c r="BN776" s="239"/>
      <c r="BO776" s="239"/>
      <c r="BP776" s="239"/>
      <c r="BQ776" s="239"/>
      <c r="BR776" s="239"/>
      <c r="BS776" s="239"/>
      <c r="BT776" s="239"/>
      <c r="BU776" s="239"/>
      <c r="BV776" s="239"/>
      <c r="BW776" s="239"/>
      <c r="BX776" s="239"/>
      <c r="BY776" s="239"/>
      <c r="BZ776" s="239"/>
      <c r="CA776" s="239"/>
      <c r="CB776" s="239"/>
      <c r="CC776" s="239"/>
      <c r="CD776" s="239"/>
      <c r="CE776" s="239"/>
      <c r="CF776" s="239"/>
      <c r="CG776" s="239"/>
    </row>
    <row r="777" spans="1:85" ht="15.75" customHeight="1">
      <c r="A777" s="239"/>
      <c r="B777" s="239"/>
      <c r="C777" s="239"/>
      <c r="D777" s="239"/>
      <c r="E777" s="239"/>
      <c r="F777" s="239"/>
      <c r="G777" s="239"/>
      <c r="H777" s="239"/>
      <c r="I777" s="239"/>
      <c r="J777" s="239"/>
      <c r="K777" s="239"/>
      <c r="L777" s="239"/>
      <c r="M777" s="239"/>
      <c r="N777" s="239"/>
      <c r="O777" s="239"/>
      <c r="P777" s="239"/>
      <c r="Q777" s="239"/>
      <c r="R777" s="239"/>
      <c r="S777" s="239"/>
      <c r="T777" s="239"/>
      <c r="U777" s="239"/>
      <c r="V777" s="239"/>
      <c r="W777" s="239"/>
      <c r="X777" s="239"/>
      <c r="Y777" s="239"/>
      <c r="Z777" s="239"/>
      <c r="AA777" s="239"/>
      <c r="AB777" s="239"/>
      <c r="AC777" s="239"/>
      <c r="AD777" s="239"/>
      <c r="AE777" s="239"/>
      <c r="AF777" s="239"/>
      <c r="AG777" s="239"/>
      <c r="AH777" s="239"/>
      <c r="AI777" s="239"/>
      <c r="AJ777" s="239"/>
      <c r="AK777" s="239"/>
      <c r="AL777" s="239"/>
      <c r="AM777" s="239"/>
      <c r="AN777" s="239"/>
      <c r="AO777" s="239"/>
      <c r="AP777" s="239"/>
      <c r="AQ777" s="239"/>
      <c r="AR777" s="239"/>
      <c r="AS777" s="239"/>
      <c r="AT777" s="239"/>
      <c r="AU777" s="239"/>
      <c r="AV777" s="239"/>
      <c r="AW777" s="239"/>
      <c r="AX777" s="239"/>
      <c r="AY777" s="239"/>
      <c r="AZ777" s="239"/>
      <c r="BA777" s="239"/>
      <c r="BB777" s="239"/>
      <c r="BC777" s="239"/>
      <c r="BD777" s="239"/>
      <c r="BE777" s="239"/>
      <c r="BF777" s="239"/>
      <c r="BG777" s="239"/>
      <c r="BH777" s="239"/>
      <c r="BI777" s="239"/>
      <c r="BJ777" s="239"/>
      <c r="BK777" s="239"/>
      <c r="BL777" s="239"/>
      <c r="BM777" s="239"/>
      <c r="BN777" s="239"/>
      <c r="BO777" s="239"/>
      <c r="BP777" s="239"/>
      <c r="BQ777" s="239"/>
      <c r="BR777" s="239"/>
      <c r="BS777" s="239"/>
      <c r="BT777" s="239"/>
      <c r="BU777" s="239"/>
      <c r="BV777" s="239"/>
      <c r="BW777" s="239"/>
      <c r="BX777" s="239"/>
      <c r="BY777" s="239"/>
      <c r="BZ777" s="239"/>
      <c r="CA777" s="239"/>
      <c r="CB777" s="239"/>
      <c r="CC777" s="239"/>
      <c r="CD777" s="239"/>
      <c r="CE777" s="239"/>
      <c r="CF777" s="239"/>
      <c r="CG777" s="239"/>
    </row>
    <row r="778" spans="1:85" ht="15.75" customHeight="1">
      <c r="A778" s="239"/>
      <c r="B778" s="239"/>
      <c r="C778" s="239"/>
      <c r="D778" s="239"/>
      <c r="E778" s="239"/>
      <c r="F778" s="239"/>
      <c r="G778" s="239"/>
      <c r="H778" s="239"/>
      <c r="I778" s="239"/>
      <c r="J778" s="239"/>
      <c r="K778" s="239"/>
      <c r="L778" s="239"/>
      <c r="M778" s="239"/>
      <c r="N778" s="239"/>
      <c r="O778" s="239"/>
      <c r="P778" s="239"/>
      <c r="Q778" s="239"/>
      <c r="R778" s="239"/>
      <c r="S778" s="239"/>
      <c r="T778" s="239"/>
      <c r="U778" s="239"/>
      <c r="V778" s="239"/>
      <c r="W778" s="239"/>
      <c r="X778" s="239"/>
      <c r="Y778" s="239"/>
      <c r="Z778" s="239"/>
      <c r="AA778" s="239"/>
      <c r="AB778" s="239"/>
      <c r="AC778" s="239"/>
      <c r="AD778" s="239"/>
      <c r="AE778" s="239"/>
      <c r="AF778" s="239"/>
      <c r="AG778" s="239"/>
      <c r="AH778" s="239"/>
      <c r="AI778" s="239"/>
      <c r="AJ778" s="239"/>
      <c r="AK778" s="239"/>
      <c r="AL778" s="239"/>
      <c r="AM778" s="239"/>
      <c r="AN778" s="239"/>
      <c r="AO778" s="239"/>
      <c r="AP778" s="239"/>
      <c r="AQ778" s="239"/>
      <c r="AR778" s="239"/>
      <c r="AS778" s="239"/>
      <c r="AT778" s="239"/>
      <c r="AU778" s="239"/>
      <c r="AV778" s="239"/>
      <c r="AW778" s="239"/>
      <c r="AX778" s="239"/>
      <c r="AY778" s="239"/>
      <c r="AZ778" s="239"/>
      <c r="BA778" s="239"/>
      <c r="BB778" s="239"/>
      <c r="BC778" s="239"/>
      <c r="BD778" s="239"/>
      <c r="BE778" s="239"/>
      <c r="BF778" s="239"/>
      <c r="BG778" s="239"/>
      <c r="BH778" s="239"/>
      <c r="BI778" s="239"/>
      <c r="BJ778" s="239"/>
      <c r="BK778" s="239"/>
      <c r="BL778" s="239"/>
      <c r="BM778" s="239"/>
      <c r="BN778" s="239"/>
      <c r="BO778" s="239"/>
      <c r="BP778" s="239"/>
      <c r="BQ778" s="239"/>
      <c r="BR778" s="239"/>
      <c r="BS778" s="239"/>
      <c r="BT778" s="239"/>
      <c r="BU778" s="239"/>
      <c r="BV778" s="239"/>
      <c r="BW778" s="239"/>
      <c r="BX778" s="239"/>
      <c r="BY778" s="239"/>
      <c r="BZ778" s="239"/>
      <c r="CA778" s="239"/>
      <c r="CB778" s="239"/>
      <c r="CC778" s="239"/>
      <c r="CD778" s="239"/>
      <c r="CE778" s="239"/>
      <c r="CF778" s="239"/>
      <c r="CG778" s="239"/>
    </row>
    <row r="779" spans="1:85" ht="15.75" customHeight="1">
      <c r="A779" s="239"/>
      <c r="B779" s="239"/>
      <c r="C779" s="239"/>
      <c r="D779" s="239"/>
      <c r="E779" s="239"/>
      <c r="F779" s="239"/>
      <c r="G779" s="239"/>
      <c r="H779" s="239"/>
      <c r="I779" s="239"/>
      <c r="J779" s="239"/>
      <c r="K779" s="239"/>
      <c r="L779" s="239"/>
      <c r="M779" s="239"/>
      <c r="N779" s="239"/>
      <c r="O779" s="239"/>
      <c r="P779" s="239"/>
      <c r="Q779" s="239"/>
      <c r="R779" s="239"/>
      <c r="S779" s="239"/>
      <c r="T779" s="239"/>
      <c r="U779" s="239"/>
      <c r="V779" s="239"/>
      <c r="W779" s="239"/>
      <c r="X779" s="239"/>
      <c r="Y779" s="239"/>
      <c r="Z779" s="239"/>
      <c r="AA779" s="239"/>
      <c r="AB779" s="239"/>
      <c r="AC779" s="239"/>
      <c r="AD779" s="239"/>
      <c r="AE779" s="239"/>
      <c r="AF779" s="239"/>
      <c r="AG779" s="239"/>
      <c r="AH779" s="239"/>
      <c r="AI779" s="239"/>
      <c r="AJ779" s="239"/>
      <c r="AK779" s="239"/>
      <c r="AL779" s="239"/>
      <c r="AM779" s="239"/>
      <c r="AN779" s="239"/>
      <c r="AO779" s="239"/>
      <c r="AP779" s="239"/>
      <c r="AQ779" s="239"/>
      <c r="AR779" s="239"/>
      <c r="AS779" s="239"/>
      <c r="AT779" s="239"/>
      <c r="AU779" s="239"/>
      <c r="AV779" s="239"/>
      <c r="AW779" s="239"/>
      <c r="AX779" s="239"/>
      <c r="AY779" s="239"/>
      <c r="AZ779" s="239"/>
      <c r="BA779" s="239"/>
      <c r="BB779" s="239"/>
      <c r="BC779" s="239"/>
      <c r="BD779" s="239"/>
      <c r="BE779" s="239"/>
      <c r="BF779" s="239"/>
      <c r="BG779" s="239"/>
      <c r="BH779" s="239"/>
      <c r="BI779" s="239"/>
      <c r="BJ779" s="239"/>
      <c r="BK779" s="239"/>
      <c r="BL779" s="239"/>
      <c r="BM779" s="239"/>
      <c r="BN779" s="239"/>
      <c r="BO779" s="239"/>
      <c r="BP779" s="239"/>
      <c r="BQ779" s="239"/>
      <c r="BR779" s="239"/>
      <c r="BS779" s="239"/>
      <c r="BT779" s="239"/>
      <c r="BU779" s="239"/>
      <c r="BV779" s="239"/>
      <c r="BW779" s="239"/>
      <c r="BX779" s="239"/>
      <c r="BY779" s="239"/>
      <c r="BZ779" s="239"/>
      <c r="CA779" s="239"/>
      <c r="CB779" s="239"/>
      <c r="CC779" s="239"/>
      <c r="CD779" s="239"/>
      <c r="CE779" s="239"/>
      <c r="CF779" s="239"/>
      <c r="CG779" s="239"/>
    </row>
    <row r="780" spans="1:85" ht="15.75" customHeight="1">
      <c r="A780" s="239"/>
      <c r="B780" s="239"/>
      <c r="C780" s="239"/>
      <c r="D780" s="239"/>
      <c r="E780" s="239"/>
      <c r="F780" s="239"/>
      <c r="G780" s="239"/>
      <c r="H780" s="239"/>
      <c r="I780" s="239"/>
      <c r="J780" s="239"/>
      <c r="K780" s="239"/>
      <c r="L780" s="239"/>
      <c r="M780" s="239"/>
      <c r="N780" s="239"/>
      <c r="O780" s="239"/>
      <c r="P780" s="239"/>
      <c r="Q780" s="239"/>
      <c r="R780" s="239"/>
      <c r="S780" s="239"/>
      <c r="T780" s="239"/>
      <c r="U780" s="239"/>
      <c r="V780" s="239"/>
      <c r="W780" s="239"/>
      <c r="X780" s="239"/>
      <c r="Y780" s="239"/>
      <c r="Z780" s="239"/>
      <c r="AA780" s="239"/>
      <c r="AB780" s="239"/>
      <c r="AC780" s="239"/>
      <c r="AD780" s="239"/>
      <c r="AE780" s="239"/>
      <c r="AF780" s="239"/>
      <c r="AG780" s="239"/>
      <c r="AH780" s="239"/>
      <c r="AI780" s="239"/>
      <c r="AJ780" s="239"/>
      <c r="AK780" s="239"/>
      <c r="AL780" s="239"/>
      <c r="AM780" s="239"/>
      <c r="AN780" s="239"/>
      <c r="AO780" s="239"/>
      <c r="AP780" s="239"/>
      <c r="AQ780" s="239"/>
      <c r="AR780" s="239"/>
      <c r="AS780" s="239"/>
      <c r="AT780" s="239"/>
      <c r="AU780" s="239"/>
      <c r="AV780" s="239"/>
      <c r="AW780" s="239"/>
      <c r="AX780" s="239"/>
      <c r="AY780" s="239"/>
      <c r="AZ780" s="239"/>
      <c r="BA780" s="239"/>
      <c r="BB780" s="239"/>
      <c r="BC780" s="239"/>
      <c r="BD780" s="239"/>
      <c r="BE780" s="239"/>
      <c r="BF780" s="239"/>
      <c r="BG780" s="239"/>
      <c r="BH780" s="239"/>
      <c r="BI780" s="239"/>
      <c r="BJ780" s="239"/>
      <c r="BK780" s="239"/>
      <c r="BL780" s="239"/>
      <c r="BM780" s="239"/>
      <c r="BN780" s="239"/>
      <c r="BO780" s="239"/>
      <c r="BP780" s="239"/>
      <c r="BQ780" s="239"/>
      <c r="BR780" s="239"/>
      <c r="BS780" s="239"/>
      <c r="BT780" s="239"/>
      <c r="BU780" s="239"/>
      <c r="BV780" s="239"/>
      <c r="BW780" s="239"/>
      <c r="BX780" s="239"/>
      <c r="BY780" s="239"/>
      <c r="BZ780" s="239"/>
      <c r="CA780" s="239"/>
      <c r="CB780" s="239"/>
      <c r="CC780" s="239"/>
      <c r="CD780" s="239"/>
      <c r="CE780" s="239"/>
      <c r="CF780" s="239"/>
      <c r="CG780" s="239"/>
    </row>
    <row r="781" spans="1:85" ht="15.75" customHeight="1">
      <c r="A781" s="239"/>
      <c r="B781" s="239"/>
      <c r="C781" s="239"/>
      <c r="D781" s="239"/>
      <c r="E781" s="239"/>
      <c r="F781" s="239"/>
      <c r="G781" s="239"/>
      <c r="H781" s="239"/>
      <c r="I781" s="239"/>
      <c r="J781" s="239"/>
      <c r="K781" s="239"/>
      <c r="L781" s="239"/>
      <c r="M781" s="239"/>
      <c r="N781" s="239"/>
      <c r="O781" s="239"/>
      <c r="P781" s="239"/>
      <c r="Q781" s="239"/>
      <c r="R781" s="239"/>
      <c r="S781" s="239"/>
      <c r="T781" s="239"/>
      <c r="U781" s="239"/>
      <c r="V781" s="239"/>
      <c r="W781" s="239"/>
      <c r="X781" s="239"/>
      <c r="Y781" s="239"/>
      <c r="Z781" s="239"/>
      <c r="AA781" s="239"/>
      <c r="AB781" s="239"/>
      <c r="AC781" s="239"/>
      <c r="AD781" s="239"/>
      <c r="AE781" s="239"/>
      <c r="AF781" s="239"/>
      <c r="AG781" s="239"/>
      <c r="AH781" s="239"/>
      <c r="AI781" s="239"/>
      <c r="AJ781" s="239"/>
      <c r="AK781" s="239"/>
      <c r="AL781" s="239"/>
      <c r="AM781" s="239"/>
      <c r="AN781" s="239"/>
      <c r="AO781" s="239"/>
      <c r="AP781" s="239"/>
      <c r="AQ781" s="239"/>
      <c r="AR781" s="239"/>
      <c r="AS781" s="239"/>
      <c r="AT781" s="239"/>
      <c r="AU781" s="239"/>
      <c r="AV781" s="239"/>
      <c r="AW781" s="239"/>
      <c r="AX781" s="239"/>
      <c r="AY781" s="239"/>
      <c r="AZ781" s="239"/>
      <c r="BA781" s="239"/>
      <c r="BB781" s="239"/>
      <c r="BC781" s="239"/>
      <c r="BD781" s="239"/>
      <c r="BE781" s="239"/>
      <c r="BF781" s="239"/>
      <c r="BG781" s="239"/>
      <c r="BH781" s="239"/>
      <c r="BI781" s="239"/>
      <c r="BJ781" s="239"/>
      <c r="BK781" s="239"/>
      <c r="BL781" s="239"/>
      <c r="BM781" s="239"/>
      <c r="BN781" s="239"/>
      <c r="BO781" s="239"/>
      <c r="BP781" s="239"/>
      <c r="BQ781" s="239"/>
      <c r="BR781" s="239"/>
      <c r="BS781" s="239"/>
      <c r="BT781" s="239"/>
      <c r="BU781" s="239"/>
      <c r="BV781" s="239"/>
      <c r="BW781" s="239"/>
      <c r="BX781" s="239"/>
      <c r="BY781" s="239"/>
      <c r="BZ781" s="239"/>
      <c r="CA781" s="239"/>
      <c r="CB781" s="239"/>
      <c r="CC781" s="239"/>
      <c r="CD781" s="239"/>
      <c r="CE781" s="239"/>
      <c r="CF781" s="239"/>
      <c r="CG781" s="239"/>
    </row>
    <row r="782" spans="1:85" ht="15.75" customHeight="1">
      <c r="A782" s="239"/>
      <c r="B782" s="239"/>
      <c r="C782" s="239"/>
      <c r="D782" s="239"/>
      <c r="E782" s="239"/>
      <c r="F782" s="239"/>
      <c r="G782" s="239"/>
      <c r="H782" s="239"/>
      <c r="I782" s="239"/>
      <c r="J782" s="239"/>
      <c r="K782" s="239"/>
      <c r="L782" s="239"/>
      <c r="M782" s="239"/>
      <c r="N782" s="239"/>
      <c r="O782" s="239"/>
      <c r="P782" s="239"/>
      <c r="Q782" s="239"/>
      <c r="R782" s="239"/>
      <c r="S782" s="239"/>
      <c r="T782" s="239"/>
      <c r="U782" s="239"/>
      <c r="V782" s="239"/>
      <c r="W782" s="239"/>
      <c r="X782" s="239"/>
      <c r="Y782" s="239"/>
      <c r="Z782" s="239"/>
      <c r="AA782" s="239"/>
      <c r="AB782" s="239"/>
      <c r="AC782" s="239"/>
      <c r="AD782" s="239"/>
      <c r="AE782" s="239"/>
      <c r="AF782" s="239"/>
      <c r="AG782" s="239"/>
      <c r="AH782" s="239"/>
      <c r="AI782" s="239"/>
      <c r="AJ782" s="239"/>
      <c r="AK782" s="239"/>
      <c r="AL782" s="239"/>
      <c r="AM782" s="239"/>
      <c r="AN782" s="239"/>
      <c r="AO782" s="239"/>
      <c r="AP782" s="239"/>
      <c r="AQ782" s="239"/>
      <c r="AR782" s="239"/>
      <c r="AS782" s="239"/>
      <c r="AT782" s="239"/>
      <c r="AU782" s="239"/>
      <c r="AV782" s="239"/>
      <c r="AW782" s="239"/>
      <c r="AX782" s="239"/>
      <c r="AY782" s="239"/>
      <c r="AZ782" s="239"/>
      <c r="BA782" s="239"/>
      <c r="BB782" s="239"/>
      <c r="BC782" s="239"/>
      <c r="BD782" s="239"/>
      <c r="BE782" s="239"/>
      <c r="BF782" s="239"/>
      <c r="BG782" s="239"/>
      <c r="BH782" s="239"/>
      <c r="BI782" s="239"/>
      <c r="BJ782" s="239"/>
      <c r="BK782" s="239"/>
      <c r="BL782" s="239"/>
      <c r="BM782" s="239"/>
      <c r="BN782" s="239"/>
      <c r="BO782" s="239"/>
      <c r="BP782" s="239"/>
      <c r="BQ782" s="239"/>
      <c r="BR782" s="239"/>
      <c r="BS782" s="239"/>
      <c r="BT782" s="239"/>
      <c r="BU782" s="239"/>
      <c r="BV782" s="239"/>
      <c r="BW782" s="239"/>
      <c r="BX782" s="239"/>
      <c r="BY782" s="239"/>
      <c r="BZ782" s="239"/>
      <c r="CA782" s="239"/>
      <c r="CB782" s="239"/>
      <c r="CC782" s="239"/>
      <c r="CD782" s="239"/>
      <c r="CE782" s="239"/>
      <c r="CF782" s="239"/>
      <c r="CG782" s="239"/>
    </row>
    <row r="783" spans="1:85" ht="15.75" customHeight="1">
      <c r="A783" s="239"/>
      <c r="B783" s="239"/>
      <c r="C783" s="239"/>
      <c r="D783" s="239"/>
      <c r="E783" s="239"/>
      <c r="F783" s="239"/>
      <c r="G783" s="239"/>
      <c r="H783" s="239"/>
      <c r="I783" s="239"/>
      <c r="J783" s="239"/>
      <c r="K783" s="239"/>
      <c r="L783" s="239"/>
      <c r="M783" s="239"/>
      <c r="N783" s="239"/>
      <c r="O783" s="239"/>
      <c r="P783" s="239"/>
      <c r="Q783" s="239"/>
      <c r="R783" s="239"/>
      <c r="S783" s="239"/>
      <c r="T783" s="239"/>
      <c r="U783" s="239"/>
      <c r="V783" s="239"/>
      <c r="W783" s="239"/>
      <c r="X783" s="239"/>
      <c r="Y783" s="239"/>
      <c r="Z783" s="239"/>
      <c r="AA783" s="239"/>
      <c r="AB783" s="239"/>
      <c r="AC783" s="239"/>
      <c r="AD783" s="239"/>
      <c r="AE783" s="239"/>
      <c r="AF783" s="239"/>
      <c r="AG783" s="239"/>
      <c r="AH783" s="239"/>
      <c r="AI783" s="239"/>
      <c r="AJ783" s="239"/>
      <c r="AK783" s="239"/>
      <c r="AL783" s="239"/>
      <c r="AM783" s="239"/>
      <c r="AN783" s="239"/>
      <c r="AO783" s="239"/>
      <c r="AP783" s="239"/>
      <c r="AQ783" s="239"/>
      <c r="AR783" s="239"/>
      <c r="AS783" s="239"/>
      <c r="AT783" s="239"/>
      <c r="AU783" s="239"/>
      <c r="AV783" s="239"/>
      <c r="AW783" s="239"/>
      <c r="AX783" s="239"/>
      <c r="AY783" s="239"/>
      <c r="AZ783" s="239"/>
      <c r="BA783" s="239"/>
      <c r="BB783" s="239"/>
      <c r="BC783" s="239"/>
      <c r="BD783" s="239"/>
      <c r="BE783" s="239"/>
      <c r="BF783" s="239"/>
      <c r="BG783" s="239"/>
      <c r="BH783" s="239"/>
      <c r="BI783" s="239"/>
      <c r="BJ783" s="239"/>
      <c r="BK783" s="239"/>
      <c r="BL783" s="239"/>
      <c r="BM783" s="239"/>
      <c r="BN783" s="239"/>
      <c r="BO783" s="239"/>
      <c r="BP783" s="239"/>
      <c r="BQ783" s="239"/>
      <c r="BR783" s="239"/>
      <c r="BS783" s="239"/>
      <c r="BT783" s="239"/>
      <c r="BU783" s="239"/>
      <c r="BV783" s="239"/>
      <c r="BW783" s="239"/>
      <c r="BX783" s="239"/>
      <c r="BY783" s="239"/>
      <c r="BZ783" s="239"/>
      <c r="CA783" s="239"/>
      <c r="CB783" s="239"/>
      <c r="CC783" s="239"/>
      <c r="CD783" s="239"/>
      <c r="CE783" s="239"/>
      <c r="CF783" s="239"/>
      <c r="CG783" s="239"/>
    </row>
    <row r="784" spans="1:85" ht="15.75" customHeight="1">
      <c r="A784" s="239"/>
      <c r="B784" s="239"/>
      <c r="C784" s="239"/>
      <c r="D784" s="239"/>
      <c r="E784" s="239"/>
      <c r="F784" s="239"/>
      <c r="G784" s="239"/>
      <c r="H784" s="239"/>
      <c r="I784" s="239"/>
      <c r="J784" s="239"/>
      <c r="K784" s="239"/>
      <c r="L784" s="239"/>
      <c r="M784" s="239"/>
      <c r="N784" s="239"/>
      <c r="O784" s="239"/>
      <c r="P784" s="239"/>
      <c r="Q784" s="239"/>
      <c r="R784" s="239"/>
      <c r="S784" s="239"/>
      <c r="T784" s="239"/>
      <c r="U784" s="239"/>
      <c r="V784" s="239"/>
      <c r="W784" s="239"/>
      <c r="X784" s="239"/>
      <c r="Y784" s="239"/>
      <c r="Z784" s="239"/>
      <c r="AA784" s="239"/>
      <c r="AB784" s="239"/>
      <c r="AC784" s="239"/>
      <c r="AD784" s="239"/>
      <c r="AE784" s="239"/>
      <c r="AF784" s="239"/>
      <c r="AG784" s="239"/>
      <c r="AH784" s="239"/>
      <c r="AI784" s="239"/>
      <c r="AJ784" s="239"/>
      <c r="AK784" s="239"/>
      <c r="AL784" s="239"/>
      <c r="AM784" s="239"/>
      <c r="AN784" s="239"/>
      <c r="AO784" s="239"/>
      <c r="AP784" s="239"/>
      <c r="AQ784" s="239"/>
      <c r="AR784" s="239"/>
      <c r="AS784" s="239"/>
      <c r="AT784" s="239"/>
      <c r="AU784" s="239"/>
      <c r="AV784" s="239"/>
      <c r="AW784" s="239"/>
      <c r="AX784" s="239"/>
      <c r="AY784" s="239"/>
      <c r="AZ784" s="239"/>
      <c r="BA784" s="239"/>
      <c r="BB784" s="239"/>
      <c r="BC784" s="239"/>
      <c r="BD784" s="239"/>
      <c r="BE784" s="239"/>
      <c r="BF784" s="239"/>
      <c r="BG784" s="239"/>
      <c r="BH784" s="239"/>
      <c r="BI784" s="239"/>
      <c r="BJ784" s="239"/>
      <c r="BK784" s="239"/>
      <c r="BL784" s="239"/>
      <c r="BM784" s="239"/>
      <c r="BN784" s="239"/>
      <c r="BO784" s="239"/>
      <c r="BP784" s="239"/>
      <c r="BQ784" s="239"/>
      <c r="BR784" s="239"/>
      <c r="BS784" s="239"/>
      <c r="BT784" s="239"/>
      <c r="BU784" s="239"/>
      <c r="BV784" s="239"/>
      <c r="BW784" s="239"/>
      <c r="BX784" s="239"/>
      <c r="BY784" s="239"/>
      <c r="BZ784" s="239"/>
      <c r="CA784" s="239"/>
      <c r="CB784" s="239"/>
      <c r="CC784" s="239"/>
      <c r="CD784" s="239"/>
      <c r="CE784" s="239"/>
      <c r="CF784" s="239"/>
      <c r="CG784" s="239"/>
    </row>
    <row r="785" spans="1:85" ht="15.75" customHeight="1">
      <c r="A785" s="239"/>
      <c r="B785" s="239"/>
      <c r="C785" s="239"/>
      <c r="D785" s="239"/>
      <c r="E785" s="239"/>
      <c r="F785" s="239"/>
      <c r="G785" s="239"/>
      <c r="H785" s="239"/>
      <c r="I785" s="239"/>
      <c r="J785" s="239"/>
      <c r="K785" s="239"/>
      <c r="L785" s="239"/>
      <c r="M785" s="239"/>
      <c r="N785" s="239"/>
      <c r="O785" s="239"/>
      <c r="P785" s="239"/>
      <c r="Q785" s="239"/>
      <c r="R785" s="239"/>
      <c r="S785" s="239"/>
      <c r="T785" s="239"/>
      <c r="U785" s="239"/>
      <c r="V785" s="239"/>
      <c r="W785" s="239"/>
      <c r="X785" s="239"/>
      <c r="Y785" s="239"/>
      <c r="Z785" s="239"/>
      <c r="AA785" s="239"/>
      <c r="AB785" s="239"/>
      <c r="AC785" s="239"/>
      <c r="AD785" s="239"/>
      <c r="AE785" s="239"/>
      <c r="AF785" s="239"/>
      <c r="AG785" s="239"/>
      <c r="AH785" s="239"/>
      <c r="AI785" s="239"/>
      <c r="AJ785" s="239"/>
      <c r="AK785" s="239"/>
      <c r="AL785" s="239"/>
      <c r="AM785" s="239"/>
      <c r="AN785" s="239"/>
      <c r="AO785" s="239"/>
      <c r="AP785" s="239"/>
      <c r="AQ785" s="239"/>
      <c r="AR785" s="239"/>
      <c r="AS785" s="239"/>
      <c r="AT785" s="239"/>
      <c r="AU785" s="239"/>
      <c r="AV785" s="239"/>
      <c r="AW785" s="239"/>
      <c r="AX785" s="239"/>
      <c r="AY785" s="239"/>
      <c r="AZ785" s="239"/>
      <c r="BA785" s="239"/>
      <c r="BB785" s="239"/>
      <c r="BC785" s="239"/>
      <c r="BD785" s="239"/>
      <c r="BE785" s="239"/>
      <c r="BF785" s="239"/>
      <c r="BG785" s="239"/>
      <c r="BH785" s="239"/>
      <c r="BI785" s="239"/>
      <c r="BJ785" s="239"/>
      <c r="BK785" s="239"/>
      <c r="BL785" s="239"/>
      <c r="BM785" s="239"/>
      <c r="BN785" s="239"/>
      <c r="BO785" s="239"/>
      <c r="BP785" s="239"/>
      <c r="BQ785" s="239"/>
      <c r="BR785" s="239"/>
      <c r="BS785" s="239"/>
      <c r="BT785" s="239"/>
      <c r="BU785" s="239"/>
      <c r="BV785" s="239"/>
      <c r="BW785" s="239"/>
      <c r="BX785" s="239"/>
      <c r="BY785" s="239"/>
      <c r="BZ785" s="239"/>
      <c r="CA785" s="239"/>
      <c r="CB785" s="239"/>
      <c r="CC785" s="239"/>
      <c r="CD785" s="239"/>
      <c r="CE785" s="239"/>
      <c r="CF785" s="239"/>
      <c r="CG785" s="239"/>
    </row>
    <row r="786" spans="1:85" ht="15.75" customHeight="1">
      <c r="A786" s="239"/>
      <c r="B786" s="239"/>
      <c r="C786" s="239"/>
      <c r="D786" s="239"/>
      <c r="E786" s="239"/>
      <c r="F786" s="239"/>
      <c r="G786" s="239"/>
      <c r="H786" s="239"/>
      <c r="I786" s="239"/>
      <c r="J786" s="239"/>
      <c r="K786" s="239"/>
      <c r="L786" s="239"/>
      <c r="M786" s="239"/>
      <c r="N786" s="239"/>
      <c r="O786" s="239"/>
      <c r="P786" s="239"/>
      <c r="Q786" s="239"/>
      <c r="R786" s="239"/>
      <c r="S786" s="239"/>
      <c r="T786" s="239"/>
      <c r="U786" s="239"/>
      <c r="V786" s="239"/>
      <c r="W786" s="239"/>
      <c r="X786" s="239"/>
      <c r="Y786" s="239"/>
      <c r="Z786" s="239"/>
      <c r="AA786" s="239"/>
      <c r="AB786" s="239"/>
      <c r="AC786" s="239"/>
      <c r="AD786" s="239"/>
      <c r="AE786" s="239"/>
      <c r="AF786" s="239"/>
      <c r="AG786" s="239"/>
      <c r="AH786" s="239"/>
      <c r="AI786" s="239"/>
      <c r="AJ786" s="239"/>
      <c r="AK786" s="239"/>
      <c r="AL786" s="239"/>
      <c r="AM786" s="239"/>
      <c r="AN786" s="239"/>
      <c r="AO786" s="239"/>
      <c r="AP786" s="239"/>
      <c r="AQ786" s="239"/>
      <c r="AR786" s="239"/>
      <c r="AS786" s="239"/>
      <c r="AT786" s="239"/>
      <c r="AU786" s="239"/>
      <c r="AV786" s="239"/>
      <c r="AW786" s="239"/>
      <c r="AX786" s="239"/>
      <c r="AY786" s="239"/>
      <c r="AZ786" s="239"/>
      <c r="BA786" s="239"/>
      <c r="BB786" s="239"/>
      <c r="BC786" s="239"/>
      <c r="BD786" s="239"/>
      <c r="BE786" s="239"/>
      <c r="BF786" s="239"/>
      <c r="BG786" s="239"/>
      <c r="BH786" s="239"/>
      <c r="BI786" s="239"/>
      <c r="BJ786" s="239"/>
      <c r="BK786" s="239"/>
      <c r="BL786" s="239"/>
      <c r="BM786" s="239"/>
      <c r="BN786" s="239"/>
      <c r="BO786" s="239"/>
      <c r="BP786" s="239"/>
      <c r="BQ786" s="239"/>
      <c r="BR786" s="239"/>
      <c r="BS786" s="239"/>
      <c r="BT786" s="239"/>
      <c r="BU786" s="239"/>
      <c r="BV786" s="239"/>
      <c r="BW786" s="239"/>
      <c r="BX786" s="239"/>
      <c r="BY786" s="239"/>
      <c r="BZ786" s="239"/>
      <c r="CA786" s="239"/>
      <c r="CB786" s="239"/>
      <c r="CC786" s="239"/>
      <c r="CD786" s="239"/>
      <c r="CE786" s="239"/>
      <c r="CF786" s="239"/>
      <c r="CG786" s="239"/>
    </row>
    <row r="787" spans="1:85" ht="15.75" customHeight="1">
      <c r="A787" s="239"/>
      <c r="B787" s="239"/>
      <c r="C787" s="239"/>
      <c r="D787" s="239"/>
      <c r="E787" s="239"/>
      <c r="F787" s="239"/>
      <c r="G787" s="239"/>
      <c r="H787" s="239"/>
      <c r="I787" s="239"/>
      <c r="J787" s="239"/>
      <c r="K787" s="239"/>
      <c r="L787" s="239"/>
      <c r="M787" s="239"/>
      <c r="N787" s="239"/>
      <c r="O787" s="239"/>
      <c r="P787" s="239"/>
      <c r="Q787" s="239"/>
      <c r="R787" s="239"/>
      <c r="S787" s="239"/>
      <c r="T787" s="239"/>
      <c r="U787" s="239"/>
      <c r="V787" s="239"/>
      <c r="W787" s="239"/>
      <c r="X787" s="239"/>
      <c r="Y787" s="239"/>
      <c r="Z787" s="239"/>
      <c r="AA787" s="239"/>
      <c r="AB787" s="239"/>
      <c r="AC787" s="239"/>
      <c r="AD787" s="239"/>
      <c r="AE787" s="239"/>
      <c r="AF787" s="239"/>
      <c r="AG787" s="239"/>
      <c r="AH787" s="239"/>
      <c r="AI787" s="239"/>
      <c r="AJ787" s="239"/>
      <c r="AK787" s="239"/>
      <c r="AL787" s="239"/>
      <c r="AM787" s="239"/>
      <c r="AN787" s="239"/>
      <c r="AO787" s="239"/>
      <c r="AP787" s="239"/>
      <c r="AQ787" s="239"/>
      <c r="AR787" s="239"/>
      <c r="AS787" s="239"/>
      <c r="AT787" s="239"/>
      <c r="AU787" s="239"/>
      <c r="AV787" s="239"/>
      <c r="AW787" s="239"/>
      <c r="AX787" s="239"/>
      <c r="AY787" s="239"/>
      <c r="AZ787" s="239"/>
      <c r="BA787" s="239"/>
      <c r="BB787" s="239"/>
      <c r="BC787" s="239"/>
      <c r="BD787" s="239"/>
      <c r="BE787" s="239"/>
      <c r="BF787" s="239"/>
      <c r="BG787" s="239"/>
      <c r="BH787" s="239"/>
      <c r="BI787" s="239"/>
      <c r="BJ787" s="239"/>
      <c r="BK787" s="239"/>
      <c r="BL787" s="239"/>
      <c r="BM787" s="239"/>
      <c r="BN787" s="239"/>
      <c r="BO787" s="239"/>
      <c r="BP787" s="239"/>
      <c r="BQ787" s="239"/>
      <c r="BR787" s="239"/>
      <c r="BS787" s="239"/>
      <c r="BT787" s="239"/>
      <c r="BU787" s="239"/>
      <c r="BV787" s="239"/>
      <c r="BW787" s="239"/>
      <c r="BX787" s="239"/>
      <c r="BY787" s="239"/>
      <c r="BZ787" s="239"/>
      <c r="CA787" s="239"/>
      <c r="CB787" s="239"/>
      <c r="CC787" s="239"/>
      <c r="CD787" s="239"/>
      <c r="CE787" s="239"/>
      <c r="CF787" s="239"/>
      <c r="CG787" s="239"/>
    </row>
    <row r="788" spans="1:85" ht="15.75" customHeight="1">
      <c r="A788" s="239"/>
      <c r="B788" s="239"/>
      <c r="C788" s="239"/>
      <c r="D788" s="239"/>
      <c r="E788" s="239"/>
      <c r="F788" s="239"/>
      <c r="G788" s="239"/>
      <c r="H788" s="239"/>
      <c r="I788" s="239"/>
      <c r="J788" s="239"/>
      <c r="K788" s="239"/>
      <c r="L788" s="239"/>
      <c r="M788" s="239"/>
      <c r="N788" s="239"/>
      <c r="O788" s="239"/>
      <c r="P788" s="239"/>
      <c r="Q788" s="239"/>
      <c r="R788" s="239"/>
      <c r="S788" s="239"/>
      <c r="T788" s="239"/>
      <c r="U788" s="239"/>
      <c r="V788" s="239"/>
      <c r="W788" s="239"/>
      <c r="X788" s="239"/>
      <c r="Y788" s="239"/>
      <c r="Z788" s="239"/>
      <c r="AA788" s="239"/>
      <c r="AB788" s="239"/>
      <c r="AC788" s="239"/>
      <c r="AD788" s="239"/>
      <c r="AE788" s="239"/>
      <c r="AF788" s="239"/>
      <c r="AG788" s="239"/>
      <c r="AH788" s="239"/>
      <c r="AI788" s="239"/>
      <c r="AJ788" s="239"/>
      <c r="AK788" s="239"/>
      <c r="AL788" s="239"/>
      <c r="AM788" s="239"/>
      <c r="AN788" s="239"/>
      <c r="AO788" s="239"/>
      <c r="AP788" s="239"/>
      <c r="AQ788" s="239"/>
      <c r="AR788" s="239"/>
      <c r="AS788" s="239"/>
      <c r="AT788" s="239"/>
      <c r="AU788" s="239"/>
      <c r="AV788" s="239"/>
      <c r="AW788" s="239"/>
      <c r="AX788" s="239"/>
      <c r="AY788" s="239"/>
      <c r="AZ788" s="239"/>
      <c r="BA788" s="239"/>
      <c r="BB788" s="239"/>
      <c r="BC788" s="239"/>
      <c r="BD788" s="239"/>
      <c r="BE788" s="239"/>
      <c r="BF788" s="239"/>
      <c r="BG788" s="239"/>
      <c r="BH788" s="239"/>
      <c r="BI788" s="239"/>
      <c r="BJ788" s="239"/>
      <c r="BK788" s="239"/>
      <c r="BL788" s="239"/>
      <c r="BM788" s="239"/>
      <c r="BN788" s="239"/>
      <c r="BO788" s="239"/>
      <c r="BP788" s="239"/>
      <c r="BQ788" s="239"/>
      <c r="BR788" s="239"/>
      <c r="BS788" s="239"/>
      <c r="BT788" s="239"/>
      <c r="BU788" s="239"/>
      <c r="BV788" s="239"/>
      <c r="BW788" s="239"/>
      <c r="BX788" s="239"/>
      <c r="BY788" s="239"/>
      <c r="BZ788" s="239"/>
      <c r="CA788" s="239"/>
      <c r="CB788" s="239"/>
      <c r="CC788" s="239"/>
      <c r="CD788" s="239"/>
      <c r="CE788" s="239"/>
      <c r="CF788" s="239"/>
      <c r="CG788" s="239"/>
    </row>
    <row r="789" spans="1:85" ht="15.75" customHeight="1">
      <c r="A789" s="239"/>
      <c r="B789" s="239"/>
      <c r="C789" s="239"/>
      <c r="D789" s="239"/>
      <c r="E789" s="239"/>
      <c r="F789" s="239"/>
      <c r="G789" s="239"/>
      <c r="H789" s="239"/>
      <c r="I789" s="239"/>
      <c r="J789" s="239"/>
      <c r="K789" s="239"/>
      <c r="L789" s="239"/>
      <c r="M789" s="239"/>
      <c r="N789" s="239"/>
      <c r="O789" s="239"/>
      <c r="P789" s="239"/>
      <c r="Q789" s="239"/>
      <c r="R789" s="239"/>
      <c r="S789" s="239"/>
      <c r="T789" s="239"/>
      <c r="U789" s="239"/>
      <c r="V789" s="239"/>
      <c r="W789" s="239"/>
      <c r="X789" s="239"/>
      <c r="Y789" s="239"/>
      <c r="Z789" s="239"/>
      <c r="AA789" s="239"/>
      <c r="AB789" s="239"/>
      <c r="AC789" s="239"/>
      <c r="AD789" s="239"/>
      <c r="AE789" s="239"/>
      <c r="AF789" s="239"/>
      <c r="AG789" s="239"/>
      <c r="AH789" s="239"/>
      <c r="AI789" s="239"/>
      <c r="AJ789" s="239"/>
      <c r="AK789" s="239"/>
      <c r="AL789" s="239"/>
      <c r="AM789" s="239"/>
      <c r="AN789" s="239"/>
      <c r="AO789" s="239"/>
      <c r="AP789" s="239"/>
      <c r="AQ789" s="239"/>
      <c r="AR789" s="239"/>
      <c r="AS789" s="239"/>
      <c r="AT789" s="239"/>
      <c r="AU789" s="239"/>
      <c r="AV789" s="239"/>
      <c r="AW789" s="239"/>
      <c r="AX789" s="239"/>
      <c r="AY789" s="239"/>
      <c r="AZ789" s="239"/>
      <c r="BA789" s="239"/>
      <c r="BB789" s="239"/>
      <c r="BC789" s="239"/>
      <c r="BD789" s="239"/>
      <c r="BE789" s="239"/>
      <c r="BF789" s="239"/>
      <c r="BG789" s="239"/>
      <c r="BH789" s="239"/>
      <c r="BI789" s="239"/>
      <c r="BJ789" s="239"/>
      <c r="BK789" s="239"/>
      <c r="BL789" s="239"/>
      <c r="BM789" s="239"/>
      <c r="BN789" s="239"/>
      <c r="BO789" s="239"/>
      <c r="BP789" s="239"/>
      <c r="BQ789" s="239"/>
      <c r="BR789" s="239"/>
      <c r="BS789" s="239"/>
      <c r="BT789" s="239"/>
      <c r="BU789" s="239"/>
      <c r="BV789" s="239"/>
      <c r="BW789" s="239"/>
      <c r="BX789" s="239"/>
      <c r="BY789" s="239"/>
      <c r="BZ789" s="239"/>
      <c r="CA789" s="239"/>
      <c r="CB789" s="239"/>
      <c r="CC789" s="239"/>
      <c r="CD789" s="239"/>
      <c r="CE789" s="239"/>
      <c r="CF789" s="239"/>
      <c r="CG789" s="239"/>
    </row>
    <row r="790" spans="1:85" ht="15.75" customHeight="1">
      <c r="A790" s="239"/>
      <c r="B790" s="239"/>
      <c r="C790" s="239"/>
      <c r="D790" s="239"/>
      <c r="E790" s="239"/>
      <c r="F790" s="239"/>
      <c r="G790" s="239"/>
      <c r="H790" s="239"/>
      <c r="I790" s="239"/>
      <c r="J790" s="239"/>
      <c r="K790" s="239"/>
      <c r="L790" s="239"/>
      <c r="M790" s="239"/>
      <c r="N790" s="239"/>
      <c r="O790" s="239"/>
      <c r="P790" s="239"/>
      <c r="Q790" s="239"/>
      <c r="R790" s="239"/>
      <c r="S790" s="239"/>
      <c r="T790" s="239"/>
      <c r="U790" s="239"/>
      <c r="V790" s="239"/>
      <c r="W790" s="239"/>
      <c r="X790" s="239"/>
      <c r="Y790" s="239"/>
      <c r="Z790" s="239"/>
      <c r="AA790" s="239"/>
      <c r="AB790" s="239"/>
      <c r="AC790" s="239"/>
      <c r="AD790" s="239"/>
      <c r="AE790" s="239"/>
      <c r="AF790" s="239"/>
      <c r="AG790" s="239"/>
      <c r="AH790" s="239"/>
      <c r="AI790" s="239"/>
      <c r="AJ790" s="239"/>
      <c r="AK790" s="239"/>
      <c r="AL790" s="239"/>
      <c r="AM790" s="239"/>
      <c r="AN790" s="239"/>
      <c r="AO790" s="239"/>
      <c r="AP790" s="239"/>
      <c r="AQ790" s="239"/>
      <c r="AR790" s="239"/>
      <c r="AS790" s="239"/>
      <c r="AT790" s="239"/>
      <c r="AU790" s="239"/>
      <c r="AV790" s="239"/>
      <c r="AW790" s="239"/>
      <c r="AX790" s="239"/>
      <c r="AY790" s="239"/>
      <c r="AZ790" s="239"/>
      <c r="BA790" s="239"/>
      <c r="BB790" s="239"/>
      <c r="BC790" s="239"/>
      <c r="BD790" s="239"/>
      <c r="BE790" s="239"/>
      <c r="BF790" s="239"/>
      <c r="BG790" s="239"/>
      <c r="BH790" s="239"/>
      <c r="BI790" s="239"/>
      <c r="BJ790" s="239"/>
      <c r="BK790" s="239"/>
      <c r="BL790" s="239"/>
      <c r="BM790" s="239"/>
      <c r="BN790" s="239"/>
      <c r="BO790" s="239"/>
      <c r="BP790" s="239"/>
      <c r="BQ790" s="239"/>
      <c r="BR790" s="239"/>
      <c r="BS790" s="239"/>
      <c r="BT790" s="239"/>
      <c r="BU790" s="239"/>
      <c r="BV790" s="239"/>
      <c r="BW790" s="239"/>
      <c r="BX790" s="239"/>
      <c r="BY790" s="239"/>
      <c r="BZ790" s="239"/>
      <c r="CA790" s="239"/>
      <c r="CB790" s="239"/>
      <c r="CC790" s="239"/>
      <c r="CD790" s="239"/>
      <c r="CE790" s="239"/>
      <c r="CF790" s="239"/>
      <c r="CG790" s="239"/>
    </row>
    <row r="791" spans="1:85" ht="15.75" customHeight="1">
      <c r="A791" s="239"/>
      <c r="B791" s="239"/>
      <c r="C791" s="239"/>
      <c r="D791" s="239"/>
      <c r="E791" s="239"/>
      <c r="F791" s="239"/>
      <c r="G791" s="239"/>
      <c r="H791" s="239"/>
      <c r="I791" s="239"/>
      <c r="J791" s="239"/>
      <c r="K791" s="239"/>
      <c r="L791" s="239"/>
      <c r="M791" s="239"/>
      <c r="N791" s="239"/>
      <c r="O791" s="239"/>
      <c r="P791" s="239"/>
      <c r="Q791" s="239"/>
      <c r="R791" s="239"/>
      <c r="S791" s="239"/>
      <c r="T791" s="239"/>
      <c r="U791" s="239"/>
      <c r="V791" s="239"/>
      <c r="W791" s="239"/>
      <c r="X791" s="239"/>
      <c r="Y791" s="239"/>
      <c r="Z791" s="239"/>
      <c r="AA791" s="239"/>
      <c r="AB791" s="239"/>
      <c r="AC791" s="239"/>
      <c r="AD791" s="239"/>
      <c r="AE791" s="239"/>
      <c r="AF791" s="239"/>
      <c r="AG791" s="239"/>
      <c r="AH791" s="239"/>
      <c r="AI791" s="239"/>
      <c r="AJ791" s="239"/>
      <c r="AK791" s="239"/>
      <c r="AL791" s="239"/>
      <c r="AM791" s="239"/>
      <c r="AN791" s="239"/>
      <c r="AO791" s="239"/>
      <c r="AP791" s="239"/>
      <c r="AQ791" s="239"/>
      <c r="AR791" s="239"/>
      <c r="AS791" s="239"/>
      <c r="AT791" s="239"/>
      <c r="AU791" s="239"/>
      <c r="AV791" s="239"/>
      <c r="AW791" s="239"/>
      <c r="AX791" s="239"/>
      <c r="AY791" s="239"/>
      <c r="AZ791" s="239"/>
      <c r="BA791" s="239"/>
      <c r="BB791" s="239"/>
      <c r="BC791" s="239"/>
      <c r="BD791" s="239"/>
      <c r="BE791" s="239"/>
      <c r="BF791" s="239"/>
      <c r="BG791" s="239"/>
      <c r="BH791" s="239"/>
      <c r="BI791" s="239"/>
      <c r="BJ791" s="239"/>
      <c r="BK791" s="239"/>
      <c r="BL791" s="239"/>
      <c r="BM791" s="239"/>
      <c r="BN791" s="239"/>
      <c r="BO791" s="239"/>
      <c r="BP791" s="239"/>
      <c r="BQ791" s="239"/>
      <c r="BR791" s="239"/>
      <c r="BS791" s="239"/>
      <c r="BT791" s="239"/>
      <c r="BU791" s="239"/>
      <c r="BV791" s="239"/>
      <c r="BW791" s="239"/>
      <c r="BX791" s="239"/>
      <c r="BY791" s="239"/>
      <c r="BZ791" s="239"/>
      <c r="CA791" s="239"/>
      <c r="CB791" s="239"/>
      <c r="CC791" s="239"/>
      <c r="CD791" s="239"/>
      <c r="CE791" s="239"/>
      <c r="CF791" s="239"/>
      <c r="CG791" s="239"/>
    </row>
    <row r="792" spans="1:85" ht="15.75" customHeight="1">
      <c r="A792" s="239"/>
      <c r="B792" s="239"/>
      <c r="C792" s="239"/>
      <c r="D792" s="239"/>
      <c r="E792" s="239"/>
      <c r="F792" s="239"/>
      <c r="G792" s="239"/>
      <c r="H792" s="239"/>
      <c r="I792" s="239"/>
      <c r="J792" s="239"/>
      <c r="K792" s="239"/>
      <c r="L792" s="239"/>
      <c r="M792" s="239"/>
      <c r="N792" s="239"/>
      <c r="O792" s="239"/>
      <c r="P792" s="239"/>
      <c r="Q792" s="239"/>
      <c r="R792" s="239"/>
      <c r="S792" s="239"/>
      <c r="T792" s="239"/>
      <c r="U792" s="239"/>
      <c r="V792" s="239"/>
      <c r="W792" s="239"/>
      <c r="X792" s="239"/>
      <c r="Y792" s="239"/>
      <c r="Z792" s="239"/>
      <c r="AA792" s="239"/>
      <c r="AB792" s="239"/>
      <c r="AC792" s="239"/>
      <c r="AD792" s="239"/>
      <c r="AE792" s="239"/>
      <c r="AF792" s="239"/>
      <c r="AG792" s="239"/>
      <c r="AH792" s="239"/>
      <c r="AI792" s="239"/>
      <c r="AJ792" s="239"/>
      <c r="AK792" s="239"/>
      <c r="AL792" s="239"/>
      <c r="AM792" s="239"/>
      <c r="AN792" s="239"/>
      <c r="AO792" s="239"/>
      <c r="AP792" s="239"/>
      <c r="AQ792" s="239"/>
      <c r="AR792" s="239"/>
      <c r="AS792" s="239"/>
      <c r="AT792" s="239"/>
      <c r="AU792" s="239"/>
      <c r="AV792" s="239"/>
      <c r="AW792" s="239"/>
      <c r="AX792" s="239"/>
      <c r="AY792" s="239"/>
      <c r="AZ792" s="239"/>
      <c r="BA792" s="239"/>
      <c r="BB792" s="239"/>
      <c r="BC792" s="239"/>
      <c r="BD792" s="239"/>
      <c r="BE792" s="239"/>
      <c r="BF792" s="239"/>
      <c r="BG792" s="239"/>
      <c r="BH792" s="239"/>
      <c r="BI792" s="239"/>
      <c r="BJ792" s="239"/>
      <c r="BK792" s="239"/>
      <c r="BL792" s="239"/>
      <c r="BM792" s="239"/>
      <c r="BN792" s="239"/>
      <c r="BO792" s="239"/>
      <c r="BP792" s="239"/>
      <c r="BQ792" s="239"/>
      <c r="BR792" s="239"/>
      <c r="BS792" s="239"/>
      <c r="BT792" s="239"/>
      <c r="BU792" s="239"/>
      <c r="BV792" s="239"/>
      <c r="BW792" s="239"/>
      <c r="BX792" s="239"/>
      <c r="BY792" s="239"/>
      <c r="BZ792" s="239"/>
      <c r="CA792" s="239"/>
      <c r="CB792" s="239"/>
      <c r="CC792" s="239"/>
      <c r="CD792" s="239"/>
      <c r="CE792" s="239"/>
      <c r="CF792" s="239"/>
      <c r="CG792" s="239"/>
    </row>
    <row r="793" spans="1:85" ht="15.75" customHeight="1">
      <c r="A793" s="239"/>
      <c r="B793" s="239"/>
      <c r="C793" s="239"/>
      <c r="D793" s="239"/>
      <c r="E793" s="239"/>
      <c r="F793" s="239"/>
      <c r="G793" s="239"/>
      <c r="H793" s="239"/>
      <c r="I793" s="239"/>
      <c r="J793" s="239"/>
      <c r="K793" s="239"/>
      <c r="L793" s="239"/>
      <c r="M793" s="239"/>
      <c r="N793" s="239"/>
      <c r="O793" s="239"/>
      <c r="P793" s="239"/>
      <c r="Q793" s="239"/>
      <c r="R793" s="239"/>
      <c r="S793" s="239"/>
      <c r="T793" s="239"/>
      <c r="U793" s="239"/>
      <c r="V793" s="239"/>
      <c r="W793" s="239"/>
      <c r="X793" s="239"/>
      <c r="Y793" s="239"/>
      <c r="Z793" s="239"/>
      <c r="AA793" s="239"/>
      <c r="AB793" s="239"/>
      <c r="AC793" s="239"/>
      <c r="AD793" s="239"/>
      <c r="AE793" s="239"/>
      <c r="AF793" s="239"/>
      <c r="AG793" s="239"/>
      <c r="AH793" s="239"/>
      <c r="AI793" s="239"/>
      <c r="AJ793" s="239"/>
      <c r="AK793" s="239"/>
      <c r="AL793" s="239"/>
      <c r="AM793" s="239"/>
      <c r="AN793" s="239"/>
      <c r="AO793" s="239"/>
      <c r="AP793" s="239"/>
      <c r="AQ793" s="239"/>
      <c r="AR793" s="239"/>
      <c r="AS793" s="239"/>
      <c r="AT793" s="239"/>
      <c r="AU793" s="239"/>
      <c r="AV793" s="239"/>
      <c r="AW793" s="239"/>
      <c r="AX793" s="239"/>
      <c r="AY793" s="239"/>
      <c r="AZ793" s="239"/>
      <c r="BA793" s="239"/>
      <c r="BB793" s="239"/>
      <c r="BC793" s="239"/>
      <c r="BD793" s="239"/>
      <c r="BE793" s="239"/>
      <c r="BF793" s="239"/>
      <c r="BG793" s="239"/>
      <c r="BH793" s="239"/>
      <c r="BI793" s="239"/>
      <c r="BJ793" s="239"/>
      <c r="BK793" s="239"/>
      <c r="BL793" s="239"/>
      <c r="BM793" s="239"/>
      <c r="BN793" s="239"/>
      <c r="BO793" s="239"/>
      <c r="BP793" s="239"/>
      <c r="BQ793" s="239"/>
      <c r="BR793" s="239"/>
      <c r="BS793" s="239"/>
      <c r="BT793" s="239"/>
      <c r="BU793" s="239"/>
      <c r="BV793" s="239"/>
      <c r="BW793" s="239"/>
      <c r="BX793" s="239"/>
      <c r="BY793" s="239"/>
      <c r="BZ793" s="239"/>
      <c r="CA793" s="239"/>
      <c r="CB793" s="239"/>
      <c r="CC793" s="239"/>
      <c r="CD793" s="239"/>
      <c r="CE793" s="239"/>
      <c r="CF793" s="239"/>
      <c r="CG793" s="239"/>
    </row>
    <row r="794" spans="1:85" ht="15.75" customHeight="1">
      <c r="A794" s="239"/>
      <c r="B794" s="239"/>
      <c r="C794" s="239"/>
      <c r="D794" s="239"/>
      <c r="E794" s="239"/>
      <c r="F794" s="239"/>
      <c r="G794" s="239"/>
      <c r="H794" s="239"/>
      <c r="I794" s="239"/>
      <c r="J794" s="239"/>
      <c r="K794" s="239"/>
      <c r="L794" s="239"/>
      <c r="M794" s="239"/>
      <c r="N794" s="239"/>
      <c r="O794" s="239"/>
      <c r="P794" s="239"/>
      <c r="Q794" s="239"/>
      <c r="R794" s="239"/>
      <c r="S794" s="239"/>
      <c r="T794" s="239"/>
      <c r="U794" s="239"/>
      <c r="V794" s="239"/>
      <c r="W794" s="239"/>
      <c r="X794" s="239"/>
      <c r="Y794" s="239"/>
      <c r="Z794" s="239"/>
      <c r="AA794" s="239"/>
      <c r="AB794" s="239"/>
      <c r="AC794" s="239"/>
      <c r="AD794" s="239"/>
      <c r="AE794" s="239"/>
      <c r="AF794" s="239"/>
      <c r="AG794" s="239"/>
      <c r="AH794" s="239"/>
      <c r="AI794" s="239"/>
      <c r="AJ794" s="239"/>
      <c r="AK794" s="239"/>
      <c r="AL794" s="239"/>
      <c r="AM794" s="239"/>
      <c r="AN794" s="239"/>
      <c r="AO794" s="239"/>
      <c r="AP794" s="239"/>
      <c r="AQ794" s="239"/>
      <c r="AR794" s="239"/>
      <c r="AS794" s="239"/>
      <c r="AT794" s="239"/>
      <c r="AU794" s="239"/>
      <c r="AV794" s="239"/>
      <c r="AW794" s="239"/>
      <c r="AX794" s="239"/>
      <c r="AY794" s="239"/>
      <c r="AZ794" s="239"/>
      <c r="BA794" s="239"/>
      <c r="BB794" s="239"/>
      <c r="BC794" s="239"/>
      <c r="BD794" s="239"/>
      <c r="BE794" s="239"/>
      <c r="BF794" s="239"/>
      <c r="BG794" s="239"/>
      <c r="BH794" s="239"/>
      <c r="BI794" s="239"/>
      <c r="BJ794" s="239"/>
      <c r="BK794" s="239"/>
      <c r="BL794" s="239"/>
      <c r="BM794" s="239"/>
      <c r="BN794" s="239"/>
      <c r="BO794" s="239"/>
      <c r="BP794" s="239"/>
      <c r="BQ794" s="239"/>
      <c r="BR794" s="239"/>
      <c r="BS794" s="239"/>
      <c r="BT794" s="239"/>
      <c r="BU794" s="239"/>
      <c r="BV794" s="239"/>
      <c r="BW794" s="239"/>
      <c r="BX794" s="239"/>
      <c r="BY794" s="239"/>
      <c r="BZ794" s="239"/>
      <c r="CA794" s="239"/>
      <c r="CB794" s="239"/>
      <c r="CC794" s="239"/>
      <c r="CD794" s="239"/>
      <c r="CE794" s="239"/>
      <c r="CF794" s="239"/>
      <c r="CG794" s="239"/>
    </row>
    <row r="795" spans="1:85" ht="15.75" customHeight="1">
      <c r="A795" s="239"/>
      <c r="B795" s="239"/>
      <c r="C795" s="239"/>
      <c r="D795" s="239"/>
      <c r="E795" s="239"/>
      <c r="F795" s="239"/>
      <c r="G795" s="239"/>
      <c r="H795" s="239"/>
      <c r="I795" s="239"/>
      <c r="J795" s="239"/>
      <c r="K795" s="239"/>
      <c r="L795" s="239"/>
      <c r="M795" s="239"/>
      <c r="N795" s="239"/>
      <c r="O795" s="239"/>
      <c r="P795" s="239"/>
      <c r="Q795" s="239"/>
      <c r="R795" s="239"/>
      <c r="S795" s="239"/>
      <c r="T795" s="239"/>
      <c r="U795" s="239"/>
      <c r="V795" s="239"/>
      <c r="W795" s="239"/>
      <c r="X795" s="239"/>
      <c r="Y795" s="239"/>
      <c r="Z795" s="239"/>
      <c r="AA795" s="239"/>
      <c r="AB795" s="239"/>
      <c r="AC795" s="239"/>
      <c r="AD795" s="239"/>
      <c r="AE795" s="239"/>
      <c r="AF795" s="239"/>
      <c r="AG795" s="239"/>
      <c r="AH795" s="239"/>
      <c r="AI795" s="239"/>
      <c r="AJ795" s="239"/>
      <c r="AK795" s="239"/>
      <c r="AL795" s="239"/>
      <c r="AM795" s="239"/>
      <c r="AN795" s="239"/>
      <c r="AO795" s="239"/>
      <c r="AP795" s="239"/>
      <c r="AQ795" s="239"/>
      <c r="AR795" s="239"/>
      <c r="AS795" s="239"/>
      <c r="AT795" s="239"/>
      <c r="AU795" s="239"/>
      <c r="AV795" s="239"/>
      <c r="AW795" s="239"/>
      <c r="AX795" s="239"/>
      <c r="AY795" s="239"/>
      <c r="AZ795" s="239"/>
      <c r="BA795" s="239"/>
      <c r="BB795" s="239"/>
      <c r="BC795" s="239"/>
      <c r="BD795" s="239"/>
      <c r="BE795" s="239"/>
      <c r="BF795" s="239"/>
      <c r="BG795" s="239"/>
      <c r="BH795" s="239"/>
      <c r="BI795" s="239"/>
      <c r="BJ795" s="239"/>
      <c r="BK795" s="239"/>
      <c r="BL795" s="239"/>
      <c r="BM795" s="239"/>
      <c r="BN795" s="239"/>
      <c r="BO795" s="239"/>
      <c r="BP795" s="239"/>
      <c r="BQ795" s="239"/>
      <c r="BR795" s="239"/>
      <c r="BS795" s="239"/>
      <c r="BT795" s="239"/>
      <c r="BU795" s="239"/>
      <c r="BV795" s="239"/>
      <c r="BW795" s="239"/>
      <c r="BX795" s="239"/>
      <c r="BY795" s="239"/>
      <c r="BZ795" s="239"/>
      <c r="CA795" s="239"/>
      <c r="CB795" s="239"/>
      <c r="CC795" s="239"/>
      <c r="CD795" s="239"/>
      <c r="CE795" s="239"/>
      <c r="CF795" s="239"/>
      <c r="CG795" s="239"/>
    </row>
    <row r="796" spans="1:85" ht="15.75" customHeight="1">
      <c r="A796" s="239"/>
      <c r="B796" s="239"/>
      <c r="C796" s="239"/>
      <c r="D796" s="239"/>
      <c r="E796" s="239"/>
      <c r="F796" s="239"/>
      <c r="G796" s="239"/>
      <c r="H796" s="239"/>
      <c r="I796" s="239"/>
      <c r="J796" s="239"/>
      <c r="K796" s="239"/>
      <c r="L796" s="239"/>
      <c r="M796" s="239"/>
      <c r="N796" s="239"/>
      <c r="O796" s="239"/>
      <c r="P796" s="239"/>
      <c r="Q796" s="239"/>
      <c r="R796" s="239"/>
      <c r="S796" s="239"/>
      <c r="T796" s="239"/>
      <c r="U796" s="239"/>
      <c r="V796" s="239"/>
      <c r="W796" s="239"/>
      <c r="X796" s="239"/>
      <c r="Y796" s="239"/>
      <c r="Z796" s="239"/>
      <c r="AA796" s="239"/>
      <c r="AB796" s="239"/>
      <c r="AC796" s="239"/>
      <c r="AD796" s="239"/>
      <c r="AE796" s="239"/>
      <c r="AF796" s="239"/>
      <c r="AG796" s="239"/>
      <c r="AH796" s="239"/>
      <c r="AI796" s="239"/>
      <c r="AJ796" s="239"/>
      <c r="AK796" s="239"/>
      <c r="AL796" s="239"/>
      <c r="AM796" s="239"/>
      <c r="AN796" s="239"/>
      <c r="AO796" s="239"/>
      <c r="AP796" s="239"/>
      <c r="AQ796" s="239"/>
      <c r="AR796" s="239"/>
      <c r="AS796" s="239"/>
      <c r="AT796" s="239"/>
      <c r="AU796" s="239"/>
      <c r="AV796" s="239"/>
      <c r="AW796" s="239"/>
      <c r="AX796" s="239"/>
      <c r="AY796" s="239"/>
      <c r="AZ796" s="239"/>
      <c r="BA796" s="239"/>
      <c r="BB796" s="239"/>
      <c r="BC796" s="239"/>
      <c r="BD796" s="239"/>
      <c r="BE796" s="239"/>
      <c r="BF796" s="239"/>
      <c r="BG796" s="239"/>
      <c r="BH796" s="239"/>
      <c r="BI796" s="239"/>
      <c r="BJ796" s="239"/>
      <c r="BK796" s="239"/>
      <c r="BL796" s="239"/>
      <c r="BM796" s="239"/>
      <c r="BN796" s="239"/>
      <c r="BO796" s="239"/>
      <c r="BP796" s="239"/>
      <c r="BQ796" s="239"/>
      <c r="BR796" s="239"/>
      <c r="BS796" s="239"/>
      <c r="BT796" s="239"/>
      <c r="BU796" s="239"/>
      <c r="BV796" s="239"/>
      <c r="BW796" s="239"/>
      <c r="BX796" s="239"/>
      <c r="BY796" s="239"/>
      <c r="BZ796" s="239"/>
      <c r="CA796" s="239"/>
      <c r="CB796" s="239"/>
      <c r="CC796" s="239"/>
      <c r="CD796" s="239"/>
      <c r="CE796" s="239"/>
      <c r="CF796" s="239"/>
      <c r="CG796" s="239"/>
    </row>
    <row r="797" spans="1:85" ht="15.75" customHeight="1">
      <c r="A797" s="239"/>
      <c r="B797" s="239"/>
      <c r="C797" s="239"/>
      <c r="D797" s="239"/>
      <c r="E797" s="239"/>
      <c r="F797" s="239"/>
      <c r="G797" s="239"/>
      <c r="H797" s="239"/>
      <c r="I797" s="239"/>
      <c r="J797" s="239"/>
      <c r="K797" s="239"/>
      <c r="L797" s="239"/>
      <c r="M797" s="239"/>
      <c r="N797" s="239"/>
      <c r="O797" s="239"/>
      <c r="P797" s="239"/>
      <c r="Q797" s="239"/>
      <c r="R797" s="239"/>
      <c r="S797" s="239"/>
      <c r="T797" s="239"/>
      <c r="U797" s="239"/>
      <c r="V797" s="239"/>
      <c r="W797" s="239"/>
      <c r="X797" s="239"/>
      <c r="Y797" s="239"/>
      <c r="Z797" s="239"/>
      <c r="AA797" s="239"/>
      <c r="AB797" s="239"/>
      <c r="AC797" s="239"/>
      <c r="AD797" s="239"/>
      <c r="AE797" s="239"/>
      <c r="AF797" s="239"/>
      <c r="AG797" s="239"/>
      <c r="AH797" s="239"/>
      <c r="AI797" s="239"/>
      <c r="AJ797" s="239"/>
      <c r="AK797" s="239"/>
      <c r="AL797" s="239"/>
      <c r="AM797" s="239"/>
      <c r="AN797" s="239"/>
      <c r="AO797" s="239"/>
      <c r="AP797" s="239"/>
      <c r="AQ797" s="239"/>
      <c r="AR797" s="239"/>
      <c r="AS797" s="239"/>
      <c r="AT797" s="239"/>
      <c r="AU797" s="239"/>
      <c r="AV797" s="239"/>
      <c r="AW797" s="239"/>
      <c r="AX797" s="239"/>
      <c r="AY797" s="239"/>
      <c r="AZ797" s="239"/>
      <c r="BA797" s="239"/>
      <c r="BB797" s="239"/>
      <c r="BC797" s="239"/>
      <c r="BD797" s="239"/>
      <c r="BE797" s="239"/>
      <c r="BF797" s="239"/>
      <c r="BG797" s="239"/>
      <c r="BH797" s="239"/>
      <c r="BI797" s="239"/>
      <c r="BJ797" s="239"/>
      <c r="BK797" s="239"/>
      <c r="BL797" s="239"/>
      <c r="BM797" s="239"/>
      <c r="BN797" s="239"/>
      <c r="BO797" s="239"/>
      <c r="BP797" s="239"/>
      <c r="BQ797" s="239"/>
      <c r="BR797" s="239"/>
      <c r="BS797" s="239"/>
      <c r="BT797" s="239"/>
      <c r="BU797" s="239"/>
      <c r="BV797" s="239"/>
      <c r="BW797" s="239"/>
      <c r="BX797" s="239"/>
      <c r="BY797" s="239"/>
      <c r="BZ797" s="239"/>
      <c r="CA797" s="239"/>
      <c r="CB797" s="239"/>
      <c r="CC797" s="239"/>
      <c r="CD797" s="239"/>
      <c r="CE797" s="239"/>
      <c r="CF797" s="239"/>
      <c r="CG797" s="239"/>
    </row>
    <row r="798" spans="1:85" ht="15.75" customHeight="1">
      <c r="A798" s="239"/>
      <c r="B798" s="239"/>
      <c r="C798" s="239"/>
      <c r="D798" s="239"/>
      <c r="E798" s="239"/>
      <c r="F798" s="239"/>
      <c r="G798" s="239"/>
      <c r="H798" s="239"/>
      <c r="I798" s="239"/>
      <c r="J798" s="239"/>
      <c r="K798" s="239"/>
      <c r="L798" s="239"/>
      <c r="M798" s="239"/>
      <c r="N798" s="239"/>
      <c r="O798" s="239"/>
      <c r="P798" s="239"/>
      <c r="Q798" s="239"/>
      <c r="R798" s="239"/>
      <c r="S798" s="239"/>
      <c r="T798" s="239"/>
      <c r="U798" s="239"/>
      <c r="V798" s="239"/>
      <c r="W798" s="239"/>
      <c r="X798" s="239"/>
      <c r="Y798" s="239"/>
      <c r="Z798" s="239"/>
      <c r="AA798" s="239"/>
      <c r="AB798" s="239"/>
      <c r="AC798" s="239"/>
      <c r="AD798" s="239"/>
      <c r="AE798" s="239"/>
      <c r="AF798" s="239"/>
      <c r="AG798" s="239"/>
      <c r="AH798" s="239"/>
      <c r="AI798" s="239"/>
      <c r="AJ798" s="239"/>
      <c r="AK798" s="239"/>
      <c r="AL798" s="239"/>
      <c r="AM798" s="239"/>
      <c r="AN798" s="239"/>
      <c r="AO798" s="239"/>
      <c r="AP798" s="239"/>
      <c r="AQ798" s="239"/>
      <c r="AR798" s="239"/>
      <c r="AS798" s="239"/>
      <c r="AT798" s="239"/>
      <c r="AU798" s="239"/>
      <c r="AV798" s="239"/>
      <c r="AW798" s="239"/>
      <c r="AX798" s="239"/>
      <c r="AY798" s="239"/>
      <c r="AZ798" s="239"/>
      <c r="BA798" s="239"/>
      <c r="BB798" s="239"/>
      <c r="BC798" s="239"/>
      <c r="BD798" s="239"/>
      <c r="BE798" s="239"/>
      <c r="BF798" s="239"/>
      <c r="BG798" s="239"/>
      <c r="BH798" s="239"/>
      <c r="BI798" s="239"/>
      <c r="BJ798" s="239"/>
      <c r="BK798" s="239"/>
      <c r="BL798" s="239"/>
      <c r="BM798" s="239"/>
      <c r="BN798" s="239"/>
      <c r="BO798" s="239"/>
      <c r="BP798" s="239"/>
      <c r="BQ798" s="239"/>
      <c r="BR798" s="239"/>
      <c r="BS798" s="239"/>
      <c r="BT798" s="239"/>
      <c r="BU798" s="239"/>
      <c r="BV798" s="239"/>
      <c r="BW798" s="239"/>
      <c r="BX798" s="239"/>
      <c r="BY798" s="239"/>
      <c r="BZ798" s="239"/>
      <c r="CA798" s="239"/>
      <c r="CB798" s="239"/>
      <c r="CC798" s="239"/>
      <c r="CD798" s="239"/>
      <c r="CE798" s="239"/>
      <c r="CF798" s="239"/>
      <c r="CG798" s="239"/>
    </row>
    <row r="799" spans="1:85" ht="15.75" customHeight="1">
      <c r="A799" s="239"/>
      <c r="B799" s="239"/>
      <c r="C799" s="239"/>
      <c r="D799" s="239"/>
      <c r="E799" s="239"/>
      <c r="F799" s="239"/>
      <c r="G799" s="239"/>
      <c r="H799" s="239"/>
      <c r="I799" s="239"/>
      <c r="J799" s="239"/>
      <c r="K799" s="239"/>
      <c r="L799" s="239"/>
      <c r="M799" s="239"/>
      <c r="N799" s="239"/>
      <c r="O799" s="239"/>
      <c r="P799" s="239"/>
      <c r="Q799" s="239"/>
      <c r="R799" s="239"/>
      <c r="S799" s="239"/>
      <c r="T799" s="239"/>
      <c r="U799" s="239"/>
      <c r="V799" s="239"/>
      <c r="W799" s="239"/>
      <c r="X799" s="239"/>
      <c r="Y799" s="239"/>
      <c r="Z799" s="239"/>
      <c r="AA799" s="239"/>
      <c r="AB799" s="239"/>
      <c r="AC799" s="239"/>
      <c r="AD799" s="239"/>
      <c r="AE799" s="239"/>
      <c r="AF799" s="239"/>
      <c r="AG799" s="239"/>
      <c r="AH799" s="239"/>
      <c r="AI799" s="239"/>
      <c r="AJ799" s="239"/>
      <c r="AK799" s="239"/>
      <c r="AL799" s="239"/>
      <c r="AM799" s="239"/>
      <c r="AN799" s="239"/>
      <c r="AO799" s="239"/>
      <c r="AP799" s="239"/>
      <c r="AQ799" s="239"/>
      <c r="AR799" s="239"/>
      <c r="AS799" s="239"/>
      <c r="AT799" s="239"/>
      <c r="AU799" s="239"/>
      <c r="AV799" s="239"/>
      <c r="AW799" s="239"/>
      <c r="AX799" s="239"/>
      <c r="AY799" s="239"/>
      <c r="AZ799" s="239"/>
      <c r="BA799" s="239"/>
      <c r="BB799" s="239"/>
      <c r="BC799" s="239"/>
      <c r="BD799" s="239"/>
      <c r="BE799" s="239"/>
      <c r="BF799" s="239"/>
      <c r="BG799" s="239"/>
      <c r="BH799" s="239"/>
      <c r="BI799" s="239"/>
      <c r="BJ799" s="239"/>
      <c r="BK799" s="239"/>
      <c r="BL799" s="239"/>
      <c r="BM799" s="239"/>
      <c r="BN799" s="239"/>
      <c r="BO799" s="239"/>
      <c r="BP799" s="239"/>
      <c r="BQ799" s="239"/>
      <c r="BR799" s="239"/>
      <c r="BS799" s="239"/>
      <c r="BT799" s="239"/>
      <c r="BU799" s="239"/>
      <c r="BV799" s="239"/>
      <c r="BW799" s="239"/>
      <c r="BX799" s="239"/>
      <c r="BY799" s="239"/>
      <c r="BZ799" s="239"/>
      <c r="CA799" s="239"/>
      <c r="CB799" s="239"/>
      <c r="CC799" s="239"/>
      <c r="CD799" s="239"/>
      <c r="CE799" s="239"/>
      <c r="CF799" s="239"/>
      <c r="CG799" s="239"/>
    </row>
    <row r="800" spans="1:85" ht="15.75" customHeight="1">
      <c r="A800" s="239"/>
      <c r="B800" s="239"/>
      <c r="C800" s="239"/>
      <c r="D800" s="239"/>
      <c r="E800" s="239"/>
      <c r="F800" s="239"/>
      <c r="G800" s="239"/>
      <c r="H800" s="239"/>
      <c r="I800" s="239"/>
      <c r="J800" s="239"/>
      <c r="K800" s="239"/>
      <c r="L800" s="239"/>
      <c r="M800" s="239"/>
      <c r="N800" s="239"/>
      <c r="O800" s="239"/>
      <c r="P800" s="239"/>
      <c r="Q800" s="239"/>
      <c r="R800" s="239"/>
      <c r="S800" s="239"/>
      <c r="T800" s="239"/>
      <c r="U800" s="239"/>
      <c r="V800" s="239"/>
      <c r="W800" s="239"/>
      <c r="X800" s="239"/>
      <c r="Y800" s="239"/>
      <c r="Z800" s="239"/>
      <c r="AA800" s="239"/>
      <c r="AB800" s="239"/>
      <c r="AC800" s="239"/>
      <c r="AD800" s="239"/>
      <c r="AE800" s="239"/>
      <c r="AF800" s="239"/>
      <c r="AG800" s="239"/>
      <c r="AH800" s="239"/>
      <c r="AI800" s="239"/>
      <c r="AJ800" s="239"/>
      <c r="AK800" s="239"/>
      <c r="AL800" s="239"/>
      <c r="AM800" s="239"/>
      <c r="AN800" s="239"/>
      <c r="AO800" s="239"/>
      <c r="AP800" s="239"/>
      <c r="AQ800" s="239"/>
      <c r="AR800" s="239"/>
      <c r="AS800" s="239"/>
      <c r="AT800" s="239"/>
      <c r="AU800" s="239"/>
      <c r="AV800" s="239"/>
      <c r="AW800" s="239"/>
      <c r="AX800" s="239"/>
      <c r="AY800" s="239"/>
      <c r="AZ800" s="239"/>
      <c r="BA800" s="239"/>
      <c r="BB800" s="239"/>
      <c r="BC800" s="239"/>
      <c r="BD800" s="239"/>
      <c r="BE800" s="239"/>
      <c r="BF800" s="239"/>
      <c r="BG800" s="239"/>
      <c r="BH800" s="239"/>
      <c r="BI800" s="239"/>
      <c r="BJ800" s="239"/>
      <c r="BK800" s="239"/>
      <c r="BL800" s="239"/>
      <c r="BM800" s="239"/>
      <c r="BN800" s="239"/>
      <c r="BO800" s="239"/>
      <c r="BP800" s="239"/>
      <c r="BQ800" s="239"/>
      <c r="BR800" s="239"/>
      <c r="BS800" s="239"/>
      <c r="BT800" s="239"/>
      <c r="BU800" s="239"/>
      <c r="BV800" s="239"/>
      <c r="BW800" s="239"/>
      <c r="BX800" s="239"/>
      <c r="BY800" s="239"/>
      <c r="BZ800" s="239"/>
      <c r="CA800" s="239"/>
      <c r="CB800" s="239"/>
      <c r="CC800" s="239"/>
      <c r="CD800" s="239"/>
      <c r="CE800" s="239"/>
      <c r="CF800" s="239"/>
      <c r="CG800" s="239"/>
    </row>
    <row r="801" spans="1:85" ht="15.75" customHeight="1">
      <c r="A801" s="239"/>
      <c r="B801" s="239"/>
      <c r="C801" s="239"/>
      <c r="D801" s="239"/>
      <c r="E801" s="239"/>
      <c r="F801" s="239"/>
      <c r="G801" s="239"/>
      <c r="H801" s="239"/>
      <c r="I801" s="239"/>
      <c r="J801" s="239"/>
      <c r="K801" s="239"/>
      <c r="L801" s="239"/>
      <c r="M801" s="239"/>
      <c r="N801" s="239"/>
      <c r="O801" s="239"/>
      <c r="P801" s="239"/>
      <c r="Q801" s="239"/>
      <c r="R801" s="239"/>
      <c r="S801" s="239"/>
      <c r="T801" s="239"/>
      <c r="U801" s="239"/>
      <c r="V801" s="239"/>
      <c r="W801" s="239"/>
      <c r="X801" s="239"/>
      <c r="Y801" s="239"/>
      <c r="Z801" s="239"/>
      <c r="AA801" s="239"/>
      <c r="AB801" s="239"/>
      <c r="AC801" s="239"/>
      <c r="AD801" s="239"/>
      <c r="AE801" s="239"/>
      <c r="AF801" s="239"/>
      <c r="AG801" s="239"/>
      <c r="AH801" s="239"/>
      <c r="AI801" s="239"/>
      <c r="AJ801" s="239"/>
      <c r="AK801" s="239"/>
      <c r="AL801" s="239"/>
      <c r="AM801" s="239"/>
      <c r="AN801" s="239"/>
      <c r="AO801" s="239"/>
      <c r="AP801" s="239"/>
      <c r="AQ801" s="239"/>
      <c r="AR801" s="239"/>
      <c r="AS801" s="239"/>
      <c r="AT801" s="239"/>
      <c r="AU801" s="239"/>
      <c r="AV801" s="239"/>
      <c r="AW801" s="239"/>
      <c r="AX801" s="239"/>
      <c r="AY801" s="239"/>
      <c r="AZ801" s="239"/>
      <c r="BA801" s="239"/>
      <c r="BB801" s="239"/>
      <c r="BC801" s="239"/>
      <c r="BD801" s="239"/>
      <c r="BE801" s="239"/>
      <c r="BF801" s="239"/>
      <c r="BG801" s="239"/>
      <c r="BH801" s="239"/>
      <c r="BI801" s="239"/>
      <c r="BJ801" s="239"/>
      <c r="BK801" s="239"/>
      <c r="BL801" s="239"/>
      <c r="BM801" s="239"/>
      <c r="BN801" s="239"/>
      <c r="BO801" s="239"/>
      <c r="BP801" s="239"/>
      <c r="BQ801" s="239"/>
      <c r="BR801" s="239"/>
      <c r="BS801" s="239"/>
      <c r="BT801" s="239"/>
      <c r="BU801" s="239"/>
      <c r="BV801" s="239"/>
      <c r="BW801" s="239"/>
      <c r="BX801" s="239"/>
      <c r="BY801" s="239"/>
      <c r="BZ801" s="239"/>
      <c r="CA801" s="239"/>
      <c r="CB801" s="239"/>
      <c r="CC801" s="239"/>
      <c r="CD801" s="239"/>
      <c r="CE801" s="239"/>
      <c r="CF801" s="239"/>
      <c r="CG801" s="239"/>
    </row>
    <row r="802" spans="1:85" ht="15.75" customHeight="1">
      <c r="A802" s="239"/>
      <c r="B802" s="239"/>
      <c r="C802" s="239"/>
      <c r="D802" s="239"/>
      <c r="E802" s="239"/>
      <c r="F802" s="239"/>
      <c r="G802" s="239"/>
      <c r="H802" s="239"/>
      <c r="I802" s="239"/>
      <c r="J802" s="239"/>
      <c r="K802" s="239"/>
      <c r="L802" s="239"/>
      <c r="M802" s="239"/>
      <c r="N802" s="239"/>
      <c r="O802" s="239"/>
      <c r="P802" s="239"/>
      <c r="Q802" s="239"/>
      <c r="R802" s="239"/>
      <c r="S802" s="239"/>
      <c r="T802" s="239"/>
      <c r="U802" s="239"/>
      <c r="V802" s="239"/>
      <c r="W802" s="239"/>
      <c r="X802" s="239"/>
      <c r="Y802" s="239"/>
      <c r="Z802" s="239"/>
      <c r="AA802" s="239"/>
      <c r="AB802" s="239"/>
      <c r="AC802" s="239"/>
      <c r="AD802" s="239"/>
      <c r="AE802" s="239"/>
      <c r="AF802" s="239"/>
      <c r="AG802" s="239"/>
      <c r="AH802" s="239"/>
      <c r="AI802" s="239"/>
      <c r="AJ802" s="239"/>
      <c r="AK802" s="239"/>
      <c r="AL802" s="239"/>
      <c r="AM802" s="239"/>
      <c r="AN802" s="239"/>
      <c r="AO802" s="239"/>
      <c r="AP802" s="239"/>
      <c r="AQ802" s="239"/>
      <c r="AR802" s="239"/>
      <c r="AS802" s="239"/>
      <c r="AT802" s="239"/>
      <c r="AU802" s="239"/>
      <c r="AV802" s="239"/>
      <c r="AW802" s="239"/>
      <c r="AX802" s="239"/>
      <c r="AY802" s="239"/>
      <c r="AZ802" s="239"/>
      <c r="BA802" s="239"/>
      <c r="BB802" s="239"/>
      <c r="BC802" s="239"/>
      <c r="BD802" s="239"/>
      <c r="BE802" s="239"/>
      <c r="BF802" s="239"/>
      <c r="BG802" s="239"/>
      <c r="BH802" s="239"/>
      <c r="BI802" s="239"/>
      <c r="BJ802" s="239"/>
      <c r="BK802" s="239"/>
      <c r="BL802" s="239"/>
      <c r="BM802" s="239"/>
      <c r="BN802" s="239"/>
      <c r="BO802" s="239"/>
      <c r="BP802" s="239"/>
      <c r="BQ802" s="239"/>
      <c r="BR802" s="239"/>
      <c r="BS802" s="239"/>
      <c r="BT802" s="239"/>
      <c r="BU802" s="239"/>
      <c r="BV802" s="239"/>
      <c r="BW802" s="239"/>
      <c r="BX802" s="239"/>
      <c r="BY802" s="239"/>
      <c r="BZ802" s="239"/>
      <c r="CA802" s="239"/>
      <c r="CB802" s="239"/>
      <c r="CC802" s="239"/>
      <c r="CD802" s="239"/>
      <c r="CE802" s="239"/>
      <c r="CF802" s="239"/>
      <c r="CG802" s="239"/>
    </row>
    <row r="803" spans="1:85" ht="15.75" customHeight="1">
      <c r="A803" s="239"/>
      <c r="B803" s="239"/>
      <c r="C803" s="239"/>
      <c r="D803" s="239"/>
      <c r="E803" s="239"/>
      <c r="F803" s="239"/>
      <c r="G803" s="239"/>
      <c r="H803" s="239"/>
      <c r="I803" s="239"/>
      <c r="J803" s="239"/>
      <c r="K803" s="239"/>
      <c r="L803" s="239"/>
      <c r="M803" s="239"/>
      <c r="N803" s="239"/>
      <c r="O803" s="239"/>
      <c r="P803" s="239"/>
      <c r="Q803" s="239"/>
      <c r="R803" s="239"/>
      <c r="S803" s="239"/>
      <c r="T803" s="239"/>
      <c r="U803" s="239"/>
      <c r="V803" s="239"/>
      <c r="W803" s="239"/>
      <c r="X803" s="239"/>
      <c r="Y803" s="239"/>
      <c r="Z803" s="239"/>
      <c r="AA803" s="239"/>
      <c r="AB803" s="239"/>
      <c r="AC803" s="239"/>
      <c r="AD803" s="239"/>
      <c r="AE803" s="239"/>
      <c r="AF803" s="239"/>
      <c r="AG803" s="239"/>
      <c r="AH803" s="239"/>
      <c r="AI803" s="239"/>
      <c r="AJ803" s="239"/>
      <c r="AK803" s="239"/>
      <c r="AL803" s="239"/>
      <c r="AM803" s="239"/>
      <c r="AN803" s="239"/>
      <c r="AO803" s="239"/>
      <c r="AP803" s="239"/>
      <c r="AQ803" s="239"/>
      <c r="AR803" s="239"/>
      <c r="AS803" s="239"/>
      <c r="AT803" s="239"/>
      <c r="AU803" s="239"/>
      <c r="AV803" s="239"/>
      <c r="AW803" s="239"/>
      <c r="AX803" s="239"/>
      <c r="AY803" s="239"/>
      <c r="AZ803" s="239"/>
      <c r="BA803" s="239"/>
      <c r="BB803" s="239"/>
      <c r="BC803" s="239"/>
      <c r="BD803" s="239"/>
      <c r="BE803" s="239"/>
      <c r="BF803" s="239"/>
      <c r="BG803" s="239"/>
      <c r="BH803" s="239"/>
      <c r="BI803" s="239"/>
      <c r="BJ803" s="239"/>
      <c r="BK803" s="239"/>
      <c r="BL803" s="239"/>
      <c r="BM803" s="239"/>
      <c r="BN803" s="239"/>
      <c r="BO803" s="239"/>
      <c r="BP803" s="239"/>
      <c r="BQ803" s="239"/>
      <c r="BR803" s="239"/>
      <c r="BS803" s="239"/>
      <c r="BT803" s="239"/>
      <c r="BU803" s="239"/>
      <c r="BV803" s="239"/>
      <c r="BW803" s="239"/>
      <c r="BX803" s="239"/>
      <c r="BY803" s="239"/>
      <c r="BZ803" s="239"/>
      <c r="CA803" s="239"/>
      <c r="CB803" s="239"/>
      <c r="CC803" s="239"/>
      <c r="CD803" s="239"/>
      <c r="CE803" s="239"/>
      <c r="CF803" s="239"/>
      <c r="CG803" s="239"/>
    </row>
    <row r="804" spans="1:85" ht="15.75" customHeight="1">
      <c r="A804" s="239"/>
      <c r="B804" s="239"/>
      <c r="C804" s="239"/>
      <c r="D804" s="239"/>
      <c r="E804" s="239"/>
      <c r="F804" s="239"/>
      <c r="G804" s="239"/>
      <c r="H804" s="239"/>
      <c r="I804" s="239"/>
      <c r="J804" s="239"/>
      <c r="K804" s="239"/>
      <c r="L804" s="239"/>
      <c r="M804" s="239"/>
      <c r="N804" s="239"/>
      <c r="O804" s="239"/>
      <c r="P804" s="239"/>
      <c r="Q804" s="239"/>
      <c r="R804" s="239"/>
      <c r="S804" s="239"/>
      <c r="T804" s="239"/>
      <c r="U804" s="239"/>
      <c r="V804" s="239"/>
      <c r="W804" s="239"/>
      <c r="X804" s="239"/>
      <c r="Y804" s="239"/>
      <c r="Z804" s="239"/>
      <c r="AA804" s="239"/>
      <c r="AB804" s="239"/>
      <c r="AC804" s="239"/>
      <c r="AD804" s="239"/>
      <c r="AE804" s="239"/>
      <c r="AF804" s="239"/>
      <c r="AG804" s="239"/>
      <c r="AH804" s="239"/>
      <c r="AI804" s="239"/>
      <c r="AJ804" s="239"/>
      <c r="AK804" s="239"/>
      <c r="AL804" s="239"/>
      <c r="AM804" s="239"/>
      <c r="AN804" s="239"/>
      <c r="AO804" s="239"/>
      <c r="AP804" s="239"/>
      <c r="AQ804" s="239"/>
      <c r="AR804" s="239"/>
      <c r="AS804" s="239"/>
      <c r="AT804" s="239"/>
      <c r="AU804" s="239"/>
      <c r="AV804" s="239"/>
      <c r="AW804" s="239"/>
      <c r="AX804" s="239"/>
      <c r="AY804" s="239"/>
      <c r="AZ804" s="239"/>
      <c r="BA804" s="239"/>
      <c r="BB804" s="239"/>
      <c r="BC804" s="239"/>
      <c r="BD804" s="239"/>
      <c r="BE804" s="239"/>
      <c r="BF804" s="239"/>
      <c r="BG804" s="239"/>
      <c r="BH804" s="239"/>
      <c r="BI804" s="239"/>
      <c r="BJ804" s="239"/>
      <c r="BK804" s="239"/>
      <c r="BL804" s="239"/>
      <c r="BM804" s="239"/>
      <c r="BN804" s="239"/>
      <c r="BO804" s="239"/>
      <c r="BP804" s="239"/>
      <c r="BQ804" s="239"/>
      <c r="BR804" s="239"/>
      <c r="BS804" s="239"/>
      <c r="BT804" s="239"/>
      <c r="BU804" s="239"/>
      <c r="BV804" s="239"/>
      <c r="BW804" s="239"/>
      <c r="BX804" s="239"/>
      <c r="BY804" s="239"/>
      <c r="BZ804" s="239"/>
      <c r="CA804" s="239"/>
      <c r="CB804" s="239"/>
      <c r="CC804" s="239"/>
      <c r="CD804" s="239"/>
      <c r="CE804" s="239"/>
      <c r="CF804" s="239"/>
      <c r="CG804" s="239"/>
    </row>
    <row r="805" spans="1:85" ht="15.75" customHeight="1">
      <c r="A805" s="239"/>
      <c r="B805" s="239"/>
      <c r="C805" s="239"/>
      <c r="D805" s="239"/>
      <c r="E805" s="239"/>
      <c r="F805" s="239"/>
      <c r="G805" s="239"/>
      <c r="H805" s="239"/>
      <c r="I805" s="239"/>
      <c r="J805" s="239"/>
      <c r="K805" s="239"/>
      <c r="L805" s="239"/>
      <c r="M805" s="239"/>
      <c r="N805" s="239"/>
      <c r="O805" s="239"/>
      <c r="P805" s="239"/>
      <c r="Q805" s="239"/>
      <c r="R805" s="239"/>
      <c r="S805" s="239"/>
      <c r="T805" s="239"/>
      <c r="U805" s="239"/>
      <c r="V805" s="239"/>
      <c r="W805" s="239"/>
      <c r="X805" s="239"/>
      <c r="Y805" s="239"/>
      <c r="Z805" s="239"/>
      <c r="AA805" s="239"/>
      <c r="AB805" s="239"/>
      <c r="AC805" s="239"/>
      <c r="AD805" s="239"/>
      <c r="AE805" s="239"/>
      <c r="AF805" s="239"/>
      <c r="AG805" s="239"/>
      <c r="AH805" s="239"/>
      <c r="AI805" s="239"/>
      <c r="AJ805" s="239"/>
      <c r="AK805" s="239"/>
      <c r="AL805" s="239"/>
      <c r="AM805" s="239"/>
      <c r="AN805" s="239"/>
      <c r="AO805" s="239"/>
      <c r="AP805" s="239"/>
      <c r="AQ805" s="239"/>
      <c r="AR805" s="239"/>
      <c r="AS805" s="239"/>
      <c r="AT805" s="239"/>
      <c r="AU805" s="239"/>
      <c r="AV805" s="239"/>
      <c r="AW805" s="239"/>
      <c r="AX805" s="239"/>
      <c r="AY805" s="239"/>
      <c r="AZ805" s="239"/>
      <c r="BA805" s="239"/>
      <c r="BB805" s="239"/>
      <c r="BC805" s="239"/>
      <c r="BD805" s="239"/>
      <c r="BE805" s="239"/>
      <c r="BF805" s="239"/>
      <c r="BG805" s="239"/>
      <c r="BH805" s="239"/>
      <c r="BI805" s="239"/>
      <c r="BJ805" s="239"/>
      <c r="BK805" s="239"/>
      <c r="BL805" s="239"/>
      <c r="BM805" s="239"/>
      <c r="BN805" s="239"/>
      <c r="BO805" s="239"/>
      <c r="BP805" s="239"/>
      <c r="BQ805" s="239"/>
      <c r="BR805" s="239"/>
      <c r="BS805" s="239"/>
      <c r="BT805" s="239"/>
      <c r="BU805" s="239"/>
      <c r="BV805" s="239"/>
      <c r="BW805" s="239"/>
      <c r="BX805" s="239"/>
      <c r="BY805" s="239"/>
      <c r="BZ805" s="239"/>
      <c r="CA805" s="239"/>
      <c r="CB805" s="239"/>
      <c r="CC805" s="239"/>
      <c r="CD805" s="239"/>
      <c r="CE805" s="239"/>
      <c r="CF805" s="239"/>
      <c r="CG805" s="239"/>
    </row>
    <row r="806" spans="1:85" ht="15.75" customHeight="1">
      <c r="A806" s="239"/>
      <c r="B806" s="239"/>
      <c r="C806" s="239"/>
      <c r="D806" s="239"/>
      <c r="E806" s="239"/>
      <c r="F806" s="239"/>
      <c r="G806" s="239"/>
      <c r="H806" s="239"/>
      <c r="I806" s="239"/>
      <c r="J806" s="239"/>
      <c r="K806" s="239"/>
      <c r="L806" s="239"/>
      <c r="M806" s="239"/>
      <c r="N806" s="239"/>
      <c r="O806" s="239"/>
      <c r="P806" s="239"/>
      <c r="Q806" s="239"/>
      <c r="R806" s="239"/>
      <c r="S806" s="239"/>
      <c r="T806" s="239"/>
      <c r="U806" s="239"/>
      <c r="V806" s="239"/>
      <c r="W806" s="239"/>
      <c r="X806" s="239"/>
      <c r="Y806" s="239"/>
      <c r="Z806" s="239"/>
      <c r="AA806" s="239"/>
      <c r="AB806" s="239"/>
      <c r="AC806" s="239"/>
      <c r="AD806" s="239"/>
      <c r="AE806" s="239"/>
      <c r="AF806" s="239"/>
      <c r="AG806" s="239"/>
      <c r="AH806" s="239"/>
      <c r="AI806" s="239"/>
      <c r="AJ806" s="239"/>
      <c r="AK806" s="239"/>
      <c r="AL806" s="239"/>
      <c r="AM806" s="239"/>
      <c r="AN806" s="239"/>
      <c r="AO806" s="239"/>
      <c r="AP806" s="239"/>
      <c r="AQ806" s="239"/>
      <c r="AR806" s="239"/>
      <c r="AS806" s="239"/>
      <c r="AT806" s="239"/>
      <c r="AU806" s="239"/>
      <c r="AV806" s="239"/>
      <c r="AW806" s="239"/>
      <c r="AX806" s="239"/>
      <c r="AY806" s="239"/>
      <c r="AZ806" s="239"/>
      <c r="BA806" s="239"/>
      <c r="BB806" s="239"/>
      <c r="BC806" s="239"/>
      <c r="BD806" s="239"/>
      <c r="BE806" s="239"/>
      <c r="BF806" s="239"/>
      <c r="BG806" s="239"/>
      <c r="BH806" s="239"/>
      <c r="BI806" s="239"/>
      <c r="BJ806" s="239"/>
      <c r="BK806" s="239"/>
      <c r="BL806" s="239"/>
      <c r="BM806" s="239"/>
      <c r="BN806" s="239"/>
      <c r="BO806" s="239"/>
      <c r="BP806" s="239"/>
      <c r="BQ806" s="239"/>
      <c r="BR806" s="239"/>
      <c r="BS806" s="239"/>
      <c r="BT806" s="239"/>
      <c r="BU806" s="239"/>
      <c r="BV806" s="239"/>
      <c r="BW806" s="239"/>
      <c r="BX806" s="239"/>
      <c r="BY806" s="239"/>
      <c r="BZ806" s="239"/>
      <c r="CA806" s="239"/>
      <c r="CB806" s="239"/>
      <c r="CC806" s="239"/>
      <c r="CD806" s="239"/>
      <c r="CE806" s="239"/>
      <c r="CF806" s="239"/>
      <c r="CG806" s="239"/>
    </row>
    <row r="807" spans="1:85" ht="15.75" customHeight="1">
      <c r="A807" s="239"/>
      <c r="B807" s="239"/>
      <c r="C807" s="239"/>
      <c r="D807" s="239"/>
      <c r="E807" s="239"/>
      <c r="F807" s="239"/>
      <c r="G807" s="239"/>
      <c r="H807" s="239"/>
      <c r="I807" s="239"/>
      <c r="J807" s="239"/>
      <c r="K807" s="239"/>
      <c r="L807" s="239"/>
      <c r="M807" s="239"/>
      <c r="N807" s="239"/>
      <c r="O807" s="239"/>
      <c r="P807" s="239"/>
      <c r="Q807" s="239"/>
      <c r="R807" s="239"/>
      <c r="S807" s="239"/>
      <c r="T807" s="239"/>
      <c r="U807" s="239"/>
      <c r="V807" s="239"/>
      <c r="W807" s="239"/>
      <c r="X807" s="239"/>
      <c r="Y807" s="239"/>
      <c r="Z807" s="239"/>
      <c r="AA807" s="239"/>
      <c r="AB807" s="239"/>
      <c r="AC807" s="239"/>
      <c r="AD807" s="239"/>
      <c r="AE807" s="239"/>
      <c r="AF807" s="239"/>
      <c r="AG807" s="239"/>
      <c r="AH807" s="239"/>
      <c r="AI807" s="239"/>
      <c r="AJ807" s="239"/>
      <c r="AK807" s="239"/>
      <c r="AL807" s="239"/>
      <c r="AM807" s="239"/>
      <c r="AN807" s="239"/>
      <c r="AO807" s="239"/>
      <c r="AP807" s="239"/>
      <c r="AQ807" s="239"/>
      <c r="AR807" s="239"/>
      <c r="AS807" s="239"/>
      <c r="AT807" s="239"/>
      <c r="AU807" s="239"/>
      <c r="AV807" s="239"/>
      <c r="AW807" s="239"/>
      <c r="AX807" s="239"/>
      <c r="AY807" s="239"/>
      <c r="AZ807" s="239"/>
      <c r="BA807" s="239"/>
      <c r="BB807" s="239"/>
      <c r="BC807" s="239"/>
      <c r="BD807" s="239"/>
      <c r="BE807" s="239"/>
      <c r="BF807" s="239"/>
      <c r="BG807" s="239"/>
      <c r="BH807" s="239"/>
      <c r="BI807" s="239"/>
      <c r="BJ807" s="239"/>
      <c r="BK807" s="239"/>
      <c r="BL807" s="239"/>
      <c r="BM807" s="239"/>
      <c r="BN807" s="239"/>
      <c r="BO807" s="239"/>
      <c r="BP807" s="239"/>
      <c r="BQ807" s="239"/>
      <c r="BR807" s="239"/>
      <c r="BS807" s="239"/>
      <c r="BT807" s="239"/>
      <c r="BU807" s="239"/>
      <c r="BV807" s="239"/>
      <c r="BW807" s="239"/>
      <c r="BX807" s="239"/>
      <c r="BY807" s="239"/>
      <c r="BZ807" s="239"/>
      <c r="CA807" s="239"/>
      <c r="CB807" s="239"/>
      <c r="CC807" s="239"/>
      <c r="CD807" s="239"/>
      <c r="CE807" s="239"/>
      <c r="CF807" s="239"/>
      <c r="CG807" s="239"/>
    </row>
    <row r="808" spans="1:85" ht="15.75" customHeight="1">
      <c r="A808" s="239"/>
      <c r="B808" s="239"/>
      <c r="C808" s="239"/>
      <c r="D808" s="239"/>
      <c r="E808" s="239"/>
      <c r="F808" s="239"/>
      <c r="G808" s="239"/>
      <c r="H808" s="239"/>
      <c r="I808" s="239"/>
      <c r="J808" s="239"/>
      <c r="K808" s="239"/>
      <c r="L808" s="239"/>
      <c r="M808" s="239"/>
      <c r="N808" s="239"/>
      <c r="O808" s="239"/>
      <c r="P808" s="239"/>
      <c r="Q808" s="239"/>
      <c r="R808" s="239"/>
      <c r="S808" s="239"/>
      <c r="T808" s="239"/>
      <c r="U808" s="239"/>
      <c r="V808" s="239"/>
      <c r="W808" s="239"/>
      <c r="X808" s="239"/>
      <c r="Y808" s="239"/>
      <c r="Z808" s="239"/>
      <c r="AA808" s="239"/>
      <c r="AB808" s="239"/>
      <c r="AC808" s="239"/>
      <c r="AD808" s="239"/>
      <c r="AE808" s="239"/>
      <c r="AF808" s="239"/>
      <c r="AG808" s="239"/>
      <c r="AH808" s="239"/>
      <c r="AI808" s="239"/>
      <c r="AJ808" s="239"/>
      <c r="AK808" s="239"/>
      <c r="AL808" s="239"/>
      <c r="AM808" s="239"/>
      <c r="AN808" s="239"/>
      <c r="AO808" s="239"/>
      <c r="AP808" s="239"/>
      <c r="AQ808" s="239"/>
      <c r="AR808" s="239"/>
      <c r="AS808" s="239"/>
      <c r="AT808" s="239"/>
      <c r="AU808" s="239"/>
      <c r="AV808" s="239"/>
      <c r="AW808" s="239"/>
      <c r="AX808" s="239"/>
      <c r="AY808" s="239"/>
      <c r="AZ808" s="239"/>
      <c r="BA808" s="239"/>
      <c r="BB808" s="239"/>
      <c r="BC808" s="239"/>
      <c r="BD808" s="239"/>
      <c r="BE808" s="239"/>
      <c r="BF808" s="239"/>
      <c r="BG808" s="239"/>
      <c r="BH808" s="239"/>
      <c r="BI808" s="239"/>
      <c r="BJ808" s="239"/>
      <c r="BK808" s="239"/>
      <c r="BL808" s="239"/>
      <c r="BM808" s="239"/>
      <c r="BN808" s="239"/>
      <c r="BO808" s="239"/>
      <c r="BP808" s="239"/>
      <c r="BQ808" s="239"/>
      <c r="BR808" s="239"/>
      <c r="BS808" s="239"/>
      <c r="BT808" s="239"/>
      <c r="BU808" s="239"/>
      <c r="BV808" s="239"/>
      <c r="BW808" s="239"/>
      <c r="BX808" s="239"/>
      <c r="BY808" s="239"/>
      <c r="BZ808" s="239"/>
      <c r="CA808" s="239"/>
      <c r="CB808" s="239"/>
      <c r="CC808" s="239"/>
      <c r="CD808" s="239"/>
      <c r="CE808" s="239"/>
      <c r="CF808" s="239"/>
      <c r="CG808" s="239"/>
    </row>
    <row r="809" spans="1:85" ht="15.75" customHeight="1">
      <c r="A809" s="239"/>
      <c r="B809" s="239"/>
      <c r="C809" s="239"/>
      <c r="D809" s="239"/>
      <c r="E809" s="239"/>
      <c r="F809" s="239"/>
      <c r="G809" s="239"/>
      <c r="H809" s="239"/>
      <c r="I809" s="239"/>
      <c r="J809" s="239"/>
      <c r="K809" s="239"/>
      <c r="L809" s="239"/>
      <c r="M809" s="239"/>
      <c r="N809" s="239"/>
      <c r="O809" s="239"/>
      <c r="P809" s="239"/>
      <c r="Q809" s="239"/>
      <c r="R809" s="239"/>
      <c r="S809" s="239"/>
      <c r="T809" s="239"/>
      <c r="U809" s="239"/>
      <c r="V809" s="239"/>
      <c r="W809" s="239"/>
      <c r="X809" s="239"/>
      <c r="Y809" s="239"/>
      <c r="Z809" s="239"/>
      <c r="AA809" s="239"/>
      <c r="AB809" s="239"/>
      <c r="AC809" s="239"/>
      <c r="AD809" s="239"/>
      <c r="AE809" s="239"/>
      <c r="AF809" s="239"/>
      <c r="AG809" s="239"/>
      <c r="AH809" s="239"/>
      <c r="AI809" s="239"/>
      <c r="AJ809" s="239"/>
      <c r="AK809" s="239"/>
      <c r="AL809" s="239"/>
      <c r="AM809" s="239"/>
      <c r="AN809" s="239"/>
      <c r="AO809" s="239"/>
      <c r="AP809" s="239"/>
      <c r="AQ809" s="239"/>
      <c r="AR809" s="239"/>
      <c r="AS809" s="239"/>
      <c r="AT809" s="239"/>
      <c r="AU809" s="239"/>
      <c r="AV809" s="239"/>
      <c r="AW809" s="239"/>
      <c r="AX809" s="239"/>
      <c r="AY809" s="239"/>
      <c r="AZ809" s="239"/>
      <c r="BA809" s="239"/>
      <c r="BB809" s="239"/>
      <c r="BC809" s="239"/>
      <c r="BD809" s="239"/>
      <c r="BE809" s="239"/>
      <c r="BF809" s="239"/>
      <c r="BG809" s="239"/>
      <c r="BH809" s="239"/>
      <c r="BI809" s="239"/>
      <c r="BJ809" s="239"/>
      <c r="BK809" s="239"/>
      <c r="BL809" s="239"/>
      <c r="BM809" s="239"/>
      <c r="BN809" s="239"/>
      <c r="BO809" s="239"/>
      <c r="BP809" s="239"/>
      <c r="BQ809" s="239"/>
      <c r="BR809" s="239"/>
      <c r="BS809" s="239"/>
      <c r="BT809" s="239"/>
      <c r="BU809" s="239"/>
      <c r="BV809" s="239"/>
      <c r="BW809" s="239"/>
      <c r="BX809" s="239"/>
      <c r="BY809" s="239"/>
      <c r="BZ809" s="239"/>
      <c r="CA809" s="239"/>
      <c r="CB809" s="239"/>
      <c r="CC809" s="239"/>
      <c r="CD809" s="239"/>
      <c r="CE809" s="239"/>
      <c r="CF809" s="239"/>
      <c r="CG809" s="239"/>
    </row>
    <row r="810" spans="1:85" ht="15.75" customHeight="1">
      <c r="A810" s="239"/>
      <c r="B810" s="239"/>
      <c r="C810" s="239"/>
      <c r="D810" s="239"/>
      <c r="E810" s="239"/>
      <c r="F810" s="239"/>
      <c r="G810" s="239"/>
      <c r="H810" s="239"/>
      <c r="I810" s="239"/>
      <c r="J810" s="239"/>
      <c r="K810" s="239"/>
      <c r="L810" s="239"/>
      <c r="M810" s="239"/>
      <c r="N810" s="239"/>
      <c r="O810" s="239"/>
      <c r="P810" s="239"/>
      <c r="Q810" s="239"/>
      <c r="R810" s="239"/>
      <c r="S810" s="239"/>
      <c r="T810" s="239"/>
      <c r="U810" s="239"/>
      <c r="V810" s="239"/>
      <c r="W810" s="239"/>
      <c r="X810" s="239"/>
      <c r="Y810" s="239"/>
      <c r="Z810" s="239"/>
      <c r="AA810" s="239"/>
      <c r="AB810" s="239"/>
      <c r="AC810" s="239"/>
      <c r="AD810" s="239"/>
      <c r="AE810" s="239"/>
      <c r="AF810" s="239"/>
      <c r="AG810" s="239"/>
      <c r="AH810" s="239"/>
      <c r="AI810" s="239"/>
      <c r="AJ810" s="239"/>
      <c r="AK810" s="239"/>
      <c r="AL810" s="239"/>
      <c r="AM810" s="239"/>
      <c r="AN810" s="239"/>
      <c r="AO810" s="239"/>
      <c r="AP810" s="239"/>
      <c r="AQ810" s="239"/>
      <c r="AR810" s="239"/>
      <c r="AS810" s="239"/>
      <c r="AT810" s="239"/>
      <c r="AU810" s="239"/>
      <c r="AV810" s="239"/>
      <c r="AW810" s="239"/>
      <c r="AX810" s="239"/>
      <c r="AY810" s="239"/>
      <c r="AZ810" s="239"/>
      <c r="BA810" s="239"/>
      <c r="BB810" s="239"/>
      <c r="BC810" s="239"/>
      <c r="BD810" s="239"/>
      <c r="BE810" s="239"/>
      <c r="BF810" s="239"/>
      <c r="BG810" s="239"/>
      <c r="BH810" s="239"/>
      <c r="BI810" s="239"/>
      <c r="BJ810" s="239"/>
      <c r="BK810" s="239"/>
      <c r="BL810" s="239"/>
      <c r="BM810" s="239"/>
      <c r="BN810" s="239"/>
      <c r="BO810" s="239"/>
      <c r="BP810" s="239"/>
      <c r="BQ810" s="239"/>
      <c r="BR810" s="239"/>
      <c r="BS810" s="239"/>
      <c r="BT810" s="239"/>
      <c r="BU810" s="239"/>
      <c r="BV810" s="239"/>
      <c r="BW810" s="239"/>
      <c r="BX810" s="239"/>
      <c r="BY810" s="239"/>
      <c r="BZ810" s="239"/>
      <c r="CA810" s="239"/>
      <c r="CB810" s="239"/>
      <c r="CC810" s="239"/>
      <c r="CD810" s="239"/>
      <c r="CE810" s="239"/>
      <c r="CF810" s="239"/>
      <c r="CG810" s="239"/>
    </row>
    <row r="811" spans="1:85" ht="15.75" customHeight="1">
      <c r="A811" s="239"/>
      <c r="B811" s="239"/>
      <c r="C811" s="239"/>
      <c r="D811" s="239"/>
      <c r="E811" s="239"/>
      <c r="F811" s="239"/>
      <c r="G811" s="239"/>
      <c r="H811" s="239"/>
      <c r="I811" s="239"/>
      <c r="J811" s="239"/>
      <c r="K811" s="239"/>
      <c r="L811" s="239"/>
      <c r="M811" s="239"/>
      <c r="N811" s="239"/>
      <c r="O811" s="239"/>
      <c r="P811" s="239"/>
      <c r="Q811" s="239"/>
      <c r="R811" s="239"/>
      <c r="S811" s="239"/>
      <c r="T811" s="239"/>
      <c r="U811" s="239"/>
      <c r="V811" s="239"/>
      <c r="W811" s="239"/>
      <c r="X811" s="239"/>
      <c r="Y811" s="239"/>
      <c r="Z811" s="239"/>
      <c r="AA811" s="239"/>
      <c r="AB811" s="239"/>
      <c r="AC811" s="239"/>
      <c r="AD811" s="239"/>
      <c r="AE811" s="239"/>
      <c r="AF811" s="239"/>
      <c r="AG811" s="239"/>
      <c r="AH811" s="239"/>
      <c r="AI811" s="239"/>
      <c r="AJ811" s="239"/>
      <c r="AK811" s="239"/>
      <c r="AL811" s="239"/>
      <c r="AM811" s="239"/>
      <c r="AN811" s="239"/>
      <c r="AO811" s="239"/>
      <c r="AP811" s="239"/>
      <c r="AQ811" s="239"/>
      <c r="AR811" s="239"/>
      <c r="AS811" s="239"/>
      <c r="AT811" s="239"/>
      <c r="AU811" s="239"/>
      <c r="AV811" s="239"/>
      <c r="AW811" s="239"/>
      <c r="AX811" s="239"/>
      <c r="AY811" s="239"/>
      <c r="AZ811" s="239"/>
      <c r="BA811" s="239"/>
      <c r="BB811" s="239"/>
      <c r="BC811" s="239"/>
      <c r="BD811" s="239"/>
      <c r="BE811" s="239"/>
      <c r="BF811" s="239"/>
      <c r="BG811" s="239"/>
      <c r="BH811" s="239"/>
      <c r="BI811" s="239"/>
      <c r="BJ811" s="239"/>
      <c r="BK811" s="239"/>
      <c r="BL811" s="239"/>
      <c r="BM811" s="239"/>
      <c r="BN811" s="239"/>
      <c r="BO811" s="239"/>
      <c r="BP811" s="239"/>
      <c r="BQ811" s="239"/>
      <c r="BR811" s="239"/>
      <c r="BS811" s="239"/>
      <c r="BT811" s="239"/>
      <c r="BU811" s="239"/>
      <c r="BV811" s="239"/>
      <c r="BW811" s="239"/>
      <c r="BX811" s="239"/>
      <c r="BY811" s="239"/>
      <c r="BZ811" s="239"/>
      <c r="CA811" s="239"/>
      <c r="CB811" s="239"/>
      <c r="CC811" s="239"/>
      <c r="CD811" s="239"/>
      <c r="CE811" s="239"/>
      <c r="CF811" s="239"/>
      <c r="CG811" s="239"/>
    </row>
    <row r="812" spans="1:85" ht="15.75" customHeight="1">
      <c r="A812" s="239"/>
      <c r="B812" s="239"/>
      <c r="C812" s="239"/>
      <c r="D812" s="239"/>
      <c r="E812" s="239"/>
      <c r="F812" s="239"/>
      <c r="G812" s="239"/>
      <c r="H812" s="239"/>
      <c r="I812" s="239"/>
      <c r="J812" s="239"/>
      <c r="K812" s="239"/>
      <c r="L812" s="239"/>
      <c r="M812" s="239"/>
      <c r="N812" s="239"/>
      <c r="O812" s="239"/>
      <c r="P812" s="239"/>
      <c r="Q812" s="239"/>
      <c r="R812" s="239"/>
      <c r="S812" s="239"/>
      <c r="T812" s="239"/>
      <c r="U812" s="239"/>
      <c r="V812" s="239"/>
      <c r="W812" s="239"/>
      <c r="X812" s="239"/>
      <c r="Y812" s="239"/>
      <c r="Z812" s="239"/>
      <c r="AA812" s="239"/>
      <c r="AB812" s="239"/>
      <c r="AC812" s="239"/>
      <c r="AD812" s="239"/>
      <c r="AE812" s="239"/>
      <c r="AF812" s="239"/>
      <c r="AG812" s="239"/>
      <c r="AH812" s="239"/>
      <c r="AI812" s="239"/>
      <c r="AJ812" s="239"/>
      <c r="AK812" s="239"/>
      <c r="AL812" s="239"/>
      <c r="AM812" s="239"/>
      <c r="AN812" s="239"/>
      <c r="AO812" s="239"/>
      <c r="AP812" s="239"/>
      <c r="AQ812" s="239"/>
      <c r="AR812" s="239"/>
      <c r="AS812" s="239"/>
      <c r="AT812" s="239"/>
      <c r="AU812" s="239"/>
      <c r="AV812" s="239"/>
      <c r="AW812" s="239"/>
      <c r="AX812" s="239"/>
      <c r="AY812" s="239"/>
      <c r="AZ812" s="239"/>
      <c r="BA812" s="239"/>
      <c r="BB812" s="239"/>
      <c r="BC812" s="239"/>
      <c r="BD812" s="239"/>
      <c r="BE812" s="239"/>
      <c r="BF812" s="239"/>
      <c r="BG812" s="239"/>
      <c r="BH812" s="239"/>
      <c r="BI812" s="239"/>
      <c r="BJ812" s="239"/>
      <c r="BK812" s="239"/>
      <c r="BL812" s="239"/>
      <c r="BM812" s="239"/>
      <c r="BN812" s="239"/>
      <c r="BO812" s="239"/>
      <c r="BP812" s="239"/>
      <c r="BQ812" s="239"/>
      <c r="BR812" s="239"/>
      <c r="BS812" s="239"/>
      <c r="BT812" s="239"/>
      <c r="BU812" s="239"/>
      <c r="BV812" s="239"/>
      <c r="BW812" s="239"/>
      <c r="BX812" s="239"/>
      <c r="BY812" s="239"/>
      <c r="BZ812" s="239"/>
      <c r="CA812" s="239"/>
      <c r="CB812" s="239"/>
      <c r="CC812" s="239"/>
      <c r="CD812" s="239"/>
      <c r="CE812" s="239"/>
      <c r="CF812" s="239"/>
      <c r="CG812" s="239"/>
    </row>
    <row r="813" spans="1:85" ht="15.75" customHeight="1">
      <c r="A813" s="239"/>
      <c r="B813" s="239"/>
      <c r="C813" s="239"/>
      <c r="D813" s="239"/>
      <c r="E813" s="239"/>
      <c r="F813" s="239"/>
      <c r="G813" s="239"/>
      <c r="H813" s="239"/>
      <c r="I813" s="239"/>
      <c r="J813" s="239"/>
      <c r="K813" s="239"/>
      <c r="L813" s="239"/>
      <c r="M813" s="239"/>
      <c r="N813" s="239"/>
      <c r="O813" s="239"/>
      <c r="P813" s="239"/>
      <c r="Q813" s="239"/>
      <c r="R813" s="239"/>
      <c r="S813" s="239"/>
      <c r="T813" s="239"/>
      <c r="U813" s="239"/>
      <c r="V813" s="239"/>
      <c r="W813" s="239"/>
      <c r="X813" s="239"/>
      <c r="Y813" s="239"/>
      <c r="Z813" s="239"/>
      <c r="AA813" s="239"/>
      <c r="AB813" s="239"/>
      <c r="AC813" s="239"/>
      <c r="AD813" s="239"/>
      <c r="AE813" s="239"/>
      <c r="AF813" s="239"/>
      <c r="AG813" s="239"/>
      <c r="AH813" s="239"/>
      <c r="AI813" s="239"/>
      <c r="AJ813" s="239"/>
      <c r="AK813" s="239"/>
      <c r="AL813" s="239"/>
      <c r="AM813" s="239"/>
      <c r="AN813" s="239"/>
      <c r="AO813" s="239"/>
      <c r="AP813" s="239"/>
      <c r="AQ813" s="239"/>
      <c r="AR813" s="239"/>
      <c r="AS813" s="239"/>
      <c r="AT813" s="239"/>
      <c r="AU813" s="239"/>
      <c r="AV813" s="239"/>
      <c r="AW813" s="239"/>
      <c r="AX813" s="239"/>
      <c r="AY813" s="239"/>
      <c r="AZ813" s="239"/>
      <c r="BA813" s="239"/>
      <c r="BB813" s="239"/>
      <c r="BC813" s="239"/>
      <c r="BD813" s="239"/>
      <c r="BE813" s="239"/>
      <c r="BF813" s="239"/>
      <c r="BG813" s="239"/>
      <c r="BH813" s="239"/>
      <c r="BI813" s="239"/>
      <c r="BJ813" s="239"/>
      <c r="BK813" s="239"/>
      <c r="BL813" s="239"/>
      <c r="BM813" s="239"/>
      <c r="BN813" s="239"/>
      <c r="BO813" s="239"/>
      <c r="BP813" s="239"/>
      <c r="BQ813" s="239"/>
      <c r="BR813" s="239"/>
      <c r="BS813" s="239"/>
      <c r="BT813" s="239"/>
      <c r="BU813" s="239"/>
      <c r="BV813" s="239"/>
      <c r="BW813" s="239"/>
      <c r="BX813" s="239"/>
      <c r="BY813" s="239"/>
      <c r="BZ813" s="239"/>
      <c r="CA813" s="239"/>
      <c r="CB813" s="239"/>
      <c r="CC813" s="239"/>
      <c r="CD813" s="239"/>
      <c r="CE813" s="239"/>
      <c r="CF813" s="239"/>
      <c r="CG813" s="239"/>
    </row>
    <row r="814" spans="1:85" ht="15.75" customHeight="1">
      <c r="A814" s="239"/>
      <c r="B814" s="239"/>
      <c r="C814" s="239"/>
      <c r="D814" s="239"/>
      <c r="E814" s="239"/>
      <c r="F814" s="239"/>
      <c r="G814" s="239"/>
      <c r="H814" s="239"/>
      <c r="I814" s="239"/>
      <c r="J814" s="239"/>
      <c r="K814" s="239"/>
      <c r="L814" s="239"/>
      <c r="M814" s="239"/>
      <c r="N814" s="239"/>
      <c r="O814" s="239"/>
      <c r="P814" s="239"/>
      <c r="Q814" s="239"/>
      <c r="R814" s="239"/>
      <c r="S814" s="239"/>
      <c r="T814" s="239"/>
      <c r="U814" s="239"/>
      <c r="V814" s="239"/>
      <c r="W814" s="239"/>
      <c r="X814" s="239"/>
      <c r="Y814" s="239"/>
      <c r="Z814" s="239"/>
      <c r="AA814" s="239"/>
      <c r="AB814" s="239"/>
      <c r="AC814" s="239"/>
      <c r="AD814" s="239"/>
      <c r="AE814" s="239"/>
      <c r="AF814" s="239"/>
      <c r="AG814" s="239"/>
      <c r="AH814" s="239"/>
      <c r="AI814" s="239"/>
      <c r="AJ814" s="239"/>
      <c r="AK814" s="239"/>
      <c r="AL814" s="239"/>
      <c r="AM814" s="239"/>
      <c r="AN814" s="239"/>
      <c r="AO814" s="239"/>
      <c r="AP814" s="239"/>
      <c r="AQ814" s="239"/>
      <c r="AR814" s="239"/>
      <c r="AS814" s="239"/>
      <c r="AT814" s="239"/>
      <c r="AU814" s="239"/>
      <c r="AV814" s="239"/>
      <c r="AW814" s="239"/>
      <c r="AX814" s="239"/>
      <c r="AY814" s="239"/>
      <c r="AZ814" s="239"/>
      <c r="BA814" s="239"/>
      <c r="BB814" s="239"/>
      <c r="BC814" s="239"/>
      <c r="BD814" s="239"/>
      <c r="BE814" s="239"/>
      <c r="BF814" s="239"/>
      <c r="BG814" s="239"/>
      <c r="BH814" s="239"/>
      <c r="BI814" s="239"/>
      <c r="BJ814" s="239"/>
      <c r="BK814" s="239"/>
      <c r="BL814" s="239"/>
      <c r="BM814" s="239"/>
      <c r="BN814" s="239"/>
      <c r="BO814" s="239"/>
      <c r="BP814" s="239"/>
      <c r="BQ814" s="239"/>
      <c r="BR814" s="239"/>
      <c r="BS814" s="239"/>
      <c r="BT814" s="239"/>
      <c r="BU814" s="239"/>
      <c r="BV814" s="239"/>
      <c r="BW814" s="239"/>
      <c r="BX814" s="239"/>
      <c r="BY814" s="239"/>
      <c r="BZ814" s="239"/>
      <c r="CA814" s="239"/>
      <c r="CB814" s="239"/>
      <c r="CC814" s="239"/>
      <c r="CD814" s="239"/>
      <c r="CE814" s="239"/>
      <c r="CF814" s="239"/>
      <c r="CG814" s="239"/>
    </row>
    <row r="815" spans="1:85" ht="15.75" customHeight="1">
      <c r="A815" s="239"/>
      <c r="B815" s="239"/>
      <c r="C815" s="239"/>
      <c r="D815" s="239"/>
      <c r="E815" s="239"/>
      <c r="F815" s="239"/>
      <c r="G815" s="239"/>
      <c r="H815" s="239"/>
      <c r="I815" s="239"/>
      <c r="J815" s="239"/>
      <c r="K815" s="239"/>
      <c r="L815" s="239"/>
      <c r="M815" s="239"/>
      <c r="N815" s="239"/>
      <c r="O815" s="239"/>
      <c r="P815" s="239"/>
      <c r="Q815" s="239"/>
      <c r="R815" s="239"/>
      <c r="S815" s="239"/>
      <c r="T815" s="239"/>
      <c r="U815" s="239"/>
      <c r="V815" s="239"/>
      <c r="W815" s="239"/>
      <c r="X815" s="239"/>
      <c r="Y815" s="239"/>
      <c r="Z815" s="239"/>
      <c r="AA815" s="239"/>
      <c r="AB815" s="239"/>
      <c r="AC815" s="239"/>
      <c r="AD815" s="239"/>
      <c r="AE815" s="239"/>
      <c r="AF815" s="239"/>
      <c r="AG815" s="239"/>
      <c r="AH815" s="239"/>
      <c r="AI815" s="239"/>
      <c r="AJ815" s="239"/>
      <c r="AK815" s="239"/>
      <c r="AL815" s="239"/>
      <c r="AM815" s="239"/>
      <c r="AN815" s="239"/>
      <c r="AO815" s="239"/>
      <c r="AP815" s="239"/>
      <c r="AQ815" s="239"/>
      <c r="AR815" s="239"/>
      <c r="AS815" s="239"/>
      <c r="AT815" s="239"/>
      <c r="AU815" s="239"/>
      <c r="AV815" s="239"/>
      <c r="AW815" s="239"/>
      <c r="AX815" s="239"/>
      <c r="AY815" s="239"/>
      <c r="AZ815" s="239"/>
      <c r="BA815" s="239"/>
      <c r="BB815" s="239"/>
      <c r="BC815" s="239"/>
      <c r="BD815" s="239"/>
      <c r="BE815" s="239"/>
      <c r="BF815" s="239"/>
      <c r="BG815" s="239"/>
      <c r="BH815" s="239"/>
      <c r="BI815" s="239"/>
      <c r="BJ815" s="239"/>
      <c r="BK815" s="239"/>
      <c r="BL815" s="239"/>
      <c r="BM815" s="239"/>
      <c r="BN815" s="239"/>
      <c r="BO815" s="239"/>
      <c r="BP815" s="239"/>
      <c r="BQ815" s="239"/>
      <c r="BR815" s="239"/>
      <c r="BS815" s="239"/>
      <c r="BT815" s="239"/>
      <c r="BU815" s="239"/>
      <c r="BV815" s="239"/>
      <c r="BW815" s="239"/>
      <c r="BX815" s="239"/>
      <c r="BY815" s="239"/>
      <c r="BZ815" s="239"/>
      <c r="CA815" s="239"/>
      <c r="CB815" s="239"/>
      <c r="CC815" s="239"/>
      <c r="CD815" s="239"/>
      <c r="CE815" s="239"/>
      <c r="CF815" s="239"/>
      <c r="CG815" s="239"/>
    </row>
    <row r="816" spans="1:85" ht="15.75" customHeight="1">
      <c r="A816" s="239"/>
      <c r="B816" s="239"/>
      <c r="C816" s="239"/>
      <c r="D816" s="239"/>
      <c r="E816" s="239"/>
      <c r="F816" s="239"/>
      <c r="G816" s="239"/>
      <c r="H816" s="239"/>
      <c r="I816" s="239"/>
      <c r="J816" s="239"/>
      <c r="K816" s="239"/>
      <c r="L816" s="239"/>
      <c r="M816" s="239"/>
      <c r="N816" s="239"/>
      <c r="O816" s="239"/>
      <c r="P816" s="239"/>
      <c r="Q816" s="239"/>
      <c r="R816" s="239"/>
      <c r="S816" s="239"/>
      <c r="T816" s="239"/>
      <c r="U816" s="239"/>
      <c r="V816" s="239"/>
      <c r="W816" s="239"/>
      <c r="X816" s="239"/>
      <c r="Y816" s="239"/>
      <c r="Z816" s="239"/>
      <c r="AA816" s="239"/>
      <c r="AB816" s="239"/>
      <c r="AC816" s="239"/>
      <c r="AD816" s="239"/>
      <c r="AE816" s="239"/>
      <c r="AF816" s="239"/>
      <c r="AG816" s="239"/>
      <c r="AH816" s="239"/>
      <c r="AI816" s="239"/>
      <c r="AJ816" s="239"/>
      <c r="AK816" s="239"/>
      <c r="AL816" s="239"/>
      <c r="AM816" s="239"/>
      <c r="AN816" s="239"/>
      <c r="AO816" s="239"/>
      <c r="AP816" s="239"/>
      <c r="AQ816" s="239"/>
      <c r="AR816" s="239"/>
      <c r="AS816" s="239"/>
      <c r="AT816" s="239"/>
      <c r="AU816" s="239"/>
      <c r="AV816" s="239"/>
      <c r="AW816" s="239"/>
      <c r="AX816" s="239"/>
      <c r="AY816" s="239"/>
      <c r="AZ816" s="239"/>
      <c r="BA816" s="239"/>
      <c r="BB816" s="239"/>
      <c r="BC816" s="239"/>
      <c r="BD816" s="239"/>
      <c r="BE816" s="239"/>
      <c r="BF816" s="239"/>
      <c r="BG816" s="239"/>
      <c r="BH816" s="239"/>
      <c r="BI816" s="239"/>
      <c r="BJ816" s="239"/>
      <c r="BK816" s="239"/>
      <c r="BL816" s="239"/>
      <c r="BM816" s="239"/>
      <c r="BN816" s="239"/>
      <c r="BO816" s="239"/>
      <c r="BP816" s="239"/>
      <c r="BQ816" s="239"/>
      <c r="BR816" s="239"/>
      <c r="BS816" s="239"/>
      <c r="BT816" s="239"/>
      <c r="BU816" s="239"/>
      <c r="BV816" s="239"/>
      <c r="BW816" s="239"/>
      <c r="BX816" s="239"/>
      <c r="BY816" s="239"/>
      <c r="BZ816" s="239"/>
      <c r="CA816" s="239"/>
      <c r="CB816" s="239"/>
      <c r="CC816" s="239"/>
      <c r="CD816" s="239"/>
      <c r="CE816" s="239"/>
      <c r="CF816" s="239"/>
      <c r="CG816" s="239"/>
    </row>
    <row r="817" spans="1:85" ht="15.75" customHeight="1">
      <c r="A817" s="239"/>
      <c r="B817" s="239"/>
      <c r="C817" s="239"/>
      <c r="D817" s="239"/>
      <c r="E817" s="239"/>
      <c r="F817" s="239"/>
      <c r="G817" s="239"/>
      <c r="H817" s="239"/>
      <c r="I817" s="239"/>
      <c r="J817" s="239"/>
      <c r="K817" s="239"/>
      <c r="L817" s="239"/>
      <c r="M817" s="239"/>
      <c r="N817" s="239"/>
      <c r="O817" s="239"/>
      <c r="P817" s="239"/>
      <c r="Q817" s="239"/>
      <c r="R817" s="239"/>
      <c r="S817" s="239"/>
      <c r="T817" s="239"/>
      <c r="U817" s="239"/>
      <c r="V817" s="239"/>
      <c r="W817" s="239"/>
      <c r="X817" s="239"/>
      <c r="Y817" s="239"/>
      <c r="Z817" s="239"/>
      <c r="AA817" s="239"/>
      <c r="AB817" s="239"/>
      <c r="AC817" s="239"/>
      <c r="AD817" s="239"/>
      <c r="AE817" s="239"/>
      <c r="AF817" s="239"/>
      <c r="AG817" s="239"/>
      <c r="AH817" s="239"/>
      <c r="AI817" s="239"/>
      <c r="AJ817" s="239"/>
      <c r="AK817" s="239"/>
      <c r="AL817" s="239"/>
      <c r="AM817" s="239"/>
      <c r="AN817" s="239"/>
      <c r="AO817" s="239"/>
      <c r="AP817" s="239"/>
      <c r="AQ817" s="239"/>
      <c r="AR817" s="239"/>
      <c r="AS817" s="239"/>
      <c r="AT817" s="239"/>
      <c r="AU817" s="239"/>
      <c r="AV817" s="239"/>
      <c r="AW817" s="239"/>
      <c r="AX817" s="239"/>
      <c r="AY817" s="239"/>
      <c r="AZ817" s="239"/>
      <c r="BA817" s="239"/>
      <c r="BB817" s="239"/>
      <c r="BC817" s="239"/>
      <c r="BD817" s="239"/>
      <c r="BE817" s="239"/>
      <c r="BF817" s="239"/>
      <c r="BG817" s="239"/>
      <c r="BH817" s="239"/>
      <c r="BI817" s="239"/>
      <c r="BJ817" s="239"/>
      <c r="BK817" s="239"/>
      <c r="BL817" s="239"/>
      <c r="BM817" s="239"/>
      <c r="BN817" s="239"/>
      <c r="BO817" s="239"/>
      <c r="BP817" s="239"/>
      <c r="BQ817" s="239"/>
      <c r="BR817" s="239"/>
      <c r="BS817" s="239"/>
      <c r="BT817" s="239"/>
      <c r="BU817" s="239"/>
      <c r="BV817" s="239"/>
      <c r="BW817" s="239"/>
      <c r="BX817" s="239"/>
      <c r="BY817" s="239"/>
      <c r="BZ817" s="239"/>
      <c r="CA817" s="239"/>
      <c r="CB817" s="239"/>
      <c r="CC817" s="239"/>
      <c r="CD817" s="239"/>
      <c r="CE817" s="239"/>
      <c r="CF817" s="239"/>
      <c r="CG817" s="239"/>
    </row>
    <row r="818" spans="1:85" ht="15.75" customHeight="1">
      <c r="A818" s="239"/>
      <c r="B818" s="239"/>
      <c r="C818" s="239"/>
      <c r="D818" s="239"/>
      <c r="E818" s="239"/>
      <c r="F818" s="239"/>
      <c r="G818" s="239"/>
      <c r="H818" s="239"/>
      <c r="I818" s="239"/>
      <c r="J818" s="239"/>
      <c r="K818" s="239"/>
      <c r="L818" s="239"/>
      <c r="M818" s="239"/>
      <c r="N818" s="239"/>
      <c r="O818" s="239"/>
      <c r="P818" s="239"/>
      <c r="Q818" s="239"/>
      <c r="R818" s="239"/>
      <c r="S818" s="239"/>
      <c r="T818" s="239"/>
      <c r="U818" s="239"/>
      <c r="V818" s="239"/>
      <c r="W818" s="239"/>
      <c r="X818" s="239"/>
      <c r="Y818" s="239"/>
      <c r="Z818" s="239"/>
      <c r="AA818" s="239"/>
      <c r="AB818" s="239"/>
      <c r="AC818" s="239"/>
      <c r="AD818" s="239"/>
      <c r="AE818" s="239"/>
      <c r="AF818" s="239"/>
      <c r="AG818" s="239"/>
      <c r="AH818" s="239"/>
      <c r="AI818" s="239"/>
      <c r="AJ818" s="239"/>
      <c r="AK818" s="239"/>
      <c r="AL818" s="239"/>
      <c r="AM818" s="239"/>
      <c r="AN818" s="239"/>
      <c r="AO818" s="239"/>
      <c r="AP818" s="239"/>
      <c r="AQ818" s="239"/>
      <c r="AR818" s="239"/>
      <c r="AS818" s="239"/>
      <c r="AT818" s="239"/>
      <c r="AU818" s="239"/>
      <c r="AV818" s="239"/>
      <c r="AW818" s="239"/>
      <c r="AX818" s="239"/>
      <c r="AY818" s="239"/>
      <c r="AZ818" s="239"/>
      <c r="BA818" s="239"/>
      <c r="BB818" s="239"/>
      <c r="BC818" s="239"/>
      <c r="BD818" s="239"/>
      <c r="BE818" s="239"/>
      <c r="BF818" s="239"/>
      <c r="BG818" s="239"/>
      <c r="BH818" s="239"/>
      <c r="BI818" s="239"/>
      <c r="BJ818" s="239"/>
      <c r="BK818" s="239"/>
      <c r="BL818" s="239"/>
      <c r="BM818" s="239"/>
      <c r="BN818" s="239"/>
      <c r="BO818" s="239"/>
      <c r="BP818" s="239"/>
      <c r="BQ818" s="239"/>
      <c r="BR818" s="239"/>
      <c r="BS818" s="239"/>
      <c r="BT818" s="239"/>
      <c r="BU818" s="239"/>
      <c r="BV818" s="239"/>
      <c r="BW818" s="239"/>
      <c r="BX818" s="239"/>
      <c r="BY818" s="239"/>
      <c r="BZ818" s="239"/>
      <c r="CA818" s="239"/>
      <c r="CB818" s="239"/>
      <c r="CC818" s="239"/>
      <c r="CD818" s="239"/>
      <c r="CE818" s="239"/>
      <c r="CF818" s="239"/>
      <c r="CG818" s="239"/>
    </row>
    <row r="819" spans="1:85" ht="15.75" customHeight="1">
      <c r="A819" s="239"/>
      <c r="B819" s="239"/>
      <c r="C819" s="239"/>
      <c r="D819" s="239"/>
      <c r="E819" s="239"/>
      <c r="F819" s="239"/>
      <c r="G819" s="239"/>
      <c r="H819" s="239"/>
      <c r="I819" s="239"/>
      <c r="J819" s="239"/>
      <c r="K819" s="239"/>
      <c r="L819" s="239"/>
      <c r="M819" s="239"/>
      <c r="N819" s="239"/>
      <c r="O819" s="239"/>
      <c r="P819" s="239"/>
      <c r="Q819" s="239"/>
      <c r="R819" s="239"/>
      <c r="S819" s="239"/>
      <c r="T819" s="239"/>
      <c r="U819" s="239"/>
      <c r="V819" s="239"/>
      <c r="W819" s="239"/>
      <c r="X819" s="239"/>
      <c r="Y819" s="239"/>
      <c r="Z819" s="239"/>
      <c r="AA819" s="239"/>
      <c r="AB819" s="239"/>
      <c r="AC819" s="239"/>
      <c r="AD819" s="239"/>
      <c r="AE819" s="239"/>
      <c r="AF819" s="239"/>
      <c r="AG819" s="239"/>
      <c r="AH819" s="239"/>
      <c r="AI819" s="239"/>
      <c r="AJ819" s="239"/>
      <c r="AK819" s="239"/>
      <c r="AL819" s="239"/>
      <c r="AM819" s="239"/>
      <c r="AN819" s="239"/>
      <c r="AO819" s="239"/>
      <c r="AP819" s="239"/>
      <c r="AQ819" s="239"/>
      <c r="AR819" s="239"/>
      <c r="AS819" s="239"/>
      <c r="AT819" s="239"/>
      <c r="AU819" s="239"/>
      <c r="AV819" s="239"/>
      <c r="AW819" s="239"/>
      <c r="AX819" s="239"/>
      <c r="AY819" s="239"/>
      <c r="AZ819" s="239"/>
      <c r="BA819" s="239"/>
      <c r="BB819" s="239"/>
      <c r="BC819" s="239"/>
      <c r="BD819" s="239"/>
      <c r="BE819" s="239"/>
      <c r="BF819" s="239"/>
      <c r="BG819" s="239"/>
      <c r="BH819" s="239"/>
      <c r="BI819" s="239"/>
      <c r="BJ819" s="239"/>
      <c r="BK819" s="239"/>
      <c r="BL819" s="239"/>
      <c r="BM819" s="239"/>
      <c r="BN819" s="239"/>
      <c r="BO819" s="239"/>
      <c r="BP819" s="239"/>
      <c r="BQ819" s="239"/>
      <c r="BR819" s="239"/>
      <c r="BS819" s="239"/>
      <c r="BT819" s="239"/>
      <c r="BU819" s="239"/>
      <c r="BV819" s="239"/>
      <c r="BW819" s="239"/>
      <c r="BX819" s="239"/>
      <c r="BY819" s="239"/>
      <c r="BZ819" s="239"/>
      <c r="CA819" s="239"/>
      <c r="CB819" s="239"/>
      <c r="CC819" s="239"/>
      <c r="CD819" s="239"/>
      <c r="CE819" s="239"/>
      <c r="CF819" s="239"/>
      <c r="CG819" s="239"/>
    </row>
    <row r="820" spans="1:85" ht="15.75" customHeight="1">
      <c r="A820" s="239"/>
      <c r="B820" s="239"/>
      <c r="C820" s="239"/>
      <c r="D820" s="239"/>
      <c r="E820" s="239"/>
      <c r="F820" s="239"/>
      <c r="G820" s="239"/>
      <c r="H820" s="239"/>
      <c r="I820" s="239"/>
      <c r="J820" s="239"/>
      <c r="K820" s="239"/>
      <c r="L820" s="239"/>
      <c r="M820" s="239"/>
      <c r="N820" s="239"/>
      <c r="O820" s="239"/>
      <c r="P820" s="239"/>
      <c r="Q820" s="239"/>
      <c r="R820" s="239"/>
      <c r="S820" s="239"/>
      <c r="T820" s="239"/>
      <c r="U820" s="239"/>
      <c r="V820" s="239"/>
      <c r="W820" s="239"/>
      <c r="X820" s="239"/>
      <c r="Y820" s="239"/>
      <c r="Z820" s="239"/>
      <c r="AA820" s="239"/>
      <c r="AB820" s="239"/>
      <c r="AC820" s="239"/>
      <c r="AD820" s="239"/>
      <c r="AE820" s="239"/>
      <c r="AF820" s="239"/>
      <c r="AG820" s="239"/>
      <c r="AH820" s="239"/>
      <c r="AI820" s="239"/>
      <c r="AJ820" s="239"/>
      <c r="AK820" s="239"/>
      <c r="AL820" s="239"/>
      <c r="AM820" s="239"/>
      <c r="AN820" s="239"/>
      <c r="AO820" s="239"/>
      <c r="AP820" s="239"/>
      <c r="AQ820" s="239"/>
      <c r="AR820" s="239"/>
      <c r="AS820" s="239"/>
      <c r="AT820" s="239"/>
      <c r="AU820" s="239"/>
      <c r="AV820" s="239"/>
      <c r="AW820" s="239"/>
      <c r="AX820" s="239"/>
      <c r="AY820" s="239"/>
      <c r="AZ820" s="239"/>
      <c r="BA820" s="239"/>
      <c r="BB820" s="239"/>
      <c r="BC820" s="239"/>
      <c r="BD820" s="239"/>
      <c r="BE820" s="239"/>
      <c r="BF820" s="239"/>
      <c r="BG820" s="239"/>
      <c r="BH820" s="239"/>
      <c r="BI820" s="239"/>
      <c r="BJ820" s="239"/>
      <c r="BK820" s="239"/>
      <c r="BL820" s="239"/>
      <c r="BM820" s="239"/>
      <c r="BN820" s="239"/>
      <c r="BO820" s="239"/>
      <c r="BP820" s="239"/>
      <c r="BQ820" s="239"/>
      <c r="BR820" s="239"/>
      <c r="BS820" s="239"/>
      <c r="BT820" s="239"/>
      <c r="BU820" s="239"/>
      <c r="BV820" s="239"/>
      <c r="BW820" s="239"/>
      <c r="BX820" s="239"/>
      <c r="BY820" s="239"/>
      <c r="BZ820" s="239"/>
      <c r="CA820" s="239"/>
      <c r="CB820" s="239"/>
      <c r="CC820" s="239"/>
      <c r="CD820" s="239"/>
      <c r="CE820" s="239"/>
      <c r="CF820" s="239"/>
      <c r="CG820" s="239"/>
    </row>
    <row r="821" spans="1:85" ht="15.75" customHeight="1">
      <c r="A821" s="239"/>
      <c r="B821" s="239"/>
      <c r="C821" s="239"/>
      <c r="D821" s="239"/>
      <c r="E821" s="239"/>
      <c r="F821" s="239"/>
      <c r="G821" s="239"/>
      <c r="H821" s="239"/>
      <c r="I821" s="239"/>
      <c r="J821" s="239"/>
      <c r="K821" s="239"/>
      <c r="L821" s="239"/>
      <c r="M821" s="239"/>
      <c r="N821" s="239"/>
      <c r="O821" s="239"/>
      <c r="P821" s="239"/>
      <c r="Q821" s="239"/>
      <c r="R821" s="239"/>
      <c r="S821" s="239"/>
      <c r="T821" s="239"/>
      <c r="U821" s="239"/>
      <c r="V821" s="239"/>
      <c r="W821" s="239"/>
      <c r="X821" s="239"/>
      <c r="Y821" s="239"/>
      <c r="Z821" s="239"/>
      <c r="AA821" s="239"/>
      <c r="AB821" s="239"/>
      <c r="AC821" s="239"/>
      <c r="AD821" s="239"/>
      <c r="AE821" s="239"/>
      <c r="AF821" s="239"/>
      <c r="AG821" s="239"/>
      <c r="AH821" s="239"/>
      <c r="AI821" s="239"/>
      <c r="AJ821" s="239"/>
      <c r="AK821" s="239"/>
      <c r="AL821" s="239"/>
      <c r="AM821" s="239"/>
      <c r="AN821" s="239"/>
      <c r="AO821" s="239"/>
      <c r="AP821" s="239"/>
      <c r="AQ821" s="239"/>
      <c r="AR821" s="239"/>
      <c r="AS821" s="239"/>
      <c r="AT821" s="239"/>
      <c r="AU821" s="239"/>
      <c r="AV821" s="239"/>
      <c r="AW821" s="239"/>
      <c r="AX821" s="239"/>
      <c r="AY821" s="239"/>
      <c r="AZ821" s="239"/>
      <c r="BA821" s="239"/>
      <c r="BB821" s="239"/>
      <c r="BC821" s="239"/>
      <c r="BD821" s="239"/>
      <c r="BE821" s="239"/>
      <c r="BF821" s="239"/>
      <c r="BG821" s="239"/>
      <c r="BH821" s="239"/>
      <c r="BI821" s="239"/>
      <c r="BJ821" s="239"/>
      <c r="BK821" s="239"/>
      <c r="BL821" s="239"/>
      <c r="BM821" s="239"/>
      <c r="BN821" s="239"/>
      <c r="BO821" s="239"/>
      <c r="BP821" s="239"/>
      <c r="BQ821" s="239"/>
      <c r="BR821" s="239"/>
      <c r="BS821" s="239"/>
      <c r="BT821" s="239"/>
      <c r="BU821" s="239"/>
      <c r="BV821" s="239"/>
      <c r="BW821" s="239"/>
      <c r="BX821" s="239"/>
      <c r="BY821" s="239"/>
      <c r="BZ821" s="239"/>
      <c r="CA821" s="239"/>
      <c r="CB821" s="239"/>
      <c r="CC821" s="239"/>
      <c r="CD821" s="239"/>
      <c r="CE821" s="239"/>
      <c r="CF821" s="239"/>
      <c r="CG821" s="239"/>
    </row>
    <row r="822" spans="1:85" ht="15.75" customHeight="1">
      <c r="A822" s="239"/>
      <c r="B822" s="239"/>
      <c r="C822" s="239"/>
      <c r="D822" s="239"/>
      <c r="E822" s="239"/>
      <c r="F822" s="239"/>
      <c r="G822" s="239"/>
      <c r="H822" s="239"/>
      <c r="I822" s="239"/>
      <c r="J822" s="239"/>
      <c r="K822" s="239"/>
      <c r="L822" s="239"/>
      <c r="M822" s="239"/>
      <c r="N822" s="239"/>
      <c r="O822" s="239"/>
      <c r="P822" s="239"/>
      <c r="Q822" s="239"/>
      <c r="R822" s="239"/>
      <c r="S822" s="239"/>
      <c r="T822" s="239"/>
      <c r="U822" s="239"/>
      <c r="V822" s="239"/>
      <c r="W822" s="239"/>
      <c r="X822" s="239"/>
      <c r="Y822" s="239"/>
      <c r="Z822" s="239"/>
      <c r="AA822" s="239"/>
      <c r="AB822" s="239"/>
      <c r="AC822" s="239"/>
      <c r="AD822" s="239"/>
      <c r="AE822" s="239"/>
      <c r="AF822" s="239"/>
      <c r="AG822" s="239"/>
      <c r="AH822" s="239"/>
      <c r="AI822" s="239"/>
      <c r="AJ822" s="239"/>
      <c r="AK822" s="239"/>
      <c r="AL822" s="239"/>
      <c r="AM822" s="239"/>
      <c r="AN822" s="239"/>
      <c r="AO822" s="239"/>
      <c r="AP822" s="239"/>
      <c r="AQ822" s="239"/>
      <c r="AR822" s="239"/>
      <c r="AS822" s="239"/>
      <c r="AT822" s="239"/>
      <c r="AU822" s="239"/>
      <c r="AV822" s="239"/>
      <c r="AW822" s="239"/>
      <c r="AX822" s="239"/>
      <c r="AY822" s="239"/>
      <c r="AZ822" s="239"/>
      <c r="BA822" s="239"/>
      <c r="BB822" s="239"/>
      <c r="BC822" s="239"/>
      <c r="BD822" s="239"/>
      <c r="BE822" s="239"/>
      <c r="BF822" s="239"/>
      <c r="BG822" s="239"/>
      <c r="BH822" s="239"/>
      <c r="BI822" s="239"/>
      <c r="BJ822" s="239"/>
      <c r="BK822" s="239"/>
      <c r="BL822" s="239"/>
      <c r="BM822" s="239"/>
      <c r="BN822" s="239"/>
      <c r="BO822" s="239"/>
      <c r="BP822" s="239"/>
      <c r="BQ822" s="239"/>
      <c r="BR822" s="239"/>
      <c r="BS822" s="239"/>
      <c r="BT822" s="239"/>
      <c r="BU822" s="239"/>
      <c r="BV822" s="239"/>
      <c r="BW822" s="239"/>
      <c r="BX822" s="239"/>
      <c r="BY822" s="239"/>
      <c r="BZ822" s="239"/>
      <c r="CA822" s="239"/>
      <c r="CB822" s="239"/>
      <c r="CC822" s="239"/>
      <c r="CD822" s="239"/>
      <c r="CE822" s="239"/>
      <c r="CF822" s="239"/>
      <c r="CG822" s="239"/>
    </row>
    <row r="823" spans="1:85" ht="15.75" customHeight="1">
      <c r="A823" s="239"/>
      <c r="B823" s="239"/>
      <c r="C823" s="239"/>
      <c r="D823" s="239"/>
      <c r="E823" s="239"/>
      <c r="F823" s="239"/>
      <c r="G823" s="239"/>
      <c r="H823" s="239"/>
      <c r="I823" s="239"/>
      <c r="J823" s="239"/>
      <c r="K823" s="239"/>
      <c r="L823" s="239"/>
      <c r="M823" s="239"/>
      <c r="N823" s="239"/>
      <c r="O823" s="239"/>
      <c r="P823" s="239"/>
      <c r="Q823" s="239"/>
      <c r="R823" s="239"/>
      <c r="S823" s="239"/>
      <c r="T823" s="239"/>
      <c r="U823" s="239"/>
      <c r="V823" s="239"/>
      <c r="W823" s="239"/>
      <c r="X823" s="239"/>
      <c r="Y823" s="239"/>
      <c r="Z823" s="239"/>
      <c r="AA823" s="239"/>
      <c r="AB823" s="239"/>
      <c r="AC823" s="239"/>
      <c r="AD823" s="239"/>
      <c r="AE823" s="239"/>
      <c r="AF823" s="239"/>
      <c r="AG823" s="239"/>
      <c r="AH823" s="239"/>
      <c r="AI823" s="239"/>
      <c r="AJ823" s="239"/>
      <c r="AK823" s="239"/>
      <c r="AL823" s="239"/>
      <c r="AM823" s="239"/>
      <c r="AN823" s="239"/>
      <c r="AO823" s="239"/>
      <c r="AP823" s="239"/>
      <c r="AQ823" s="239"/>
      <c r="AR823" s="239"/>
      <c r="AS823" s="239"/>
      <c r="AT823" s="239"/>
      <c r="AU823" s="239"/>
      <c r="AV823" s="239"/>
      <c r="AW823" s="239"/>
      <c r="AX823" s="239"/>
      <c r="AY823" s="239"/>
      <c r="AZ823" s="239"/>
      <c r="BA823" s="239"/>
      <c r="BB823" s="239"/>
      <c r="BC823" s="239"/>
      <c r="BD823" s="239"/>
      <c r="BE823" s="239"/>
      <c r="BF823" s="239"/>
      <c r="BG823" s="239"/>
      <c r="BH823" s="239"/>
      <c r="BI823" s="239"/>
      <c r="BJ823" s="239"/>
      <c r="BK823" s="239"/>
      <c r="BL823" s="239"/>
      <c r="BM823" s="239"/>
      <c r="BN823" s="239"/>
      <c r="BO823" s="239"/>
      <c r="BP823" s="239"/>
      <c r="BQ823" s="239"/>
      <c r="BR823" s="239"/>
      <c r="BS823" s="239"/>
      <c r="BT823" s="239"/>
      <c r="BU823" s="239"/>
      <c r="BV823" s="239"/>
      <c r="BW823" s="239"/>
      <c r="BX823" s="239"/>
      <c r="BY823" s="239"/>
      <c r="BZ823" s="239"/>
      <c r="CA823" s="239"/>
      <c r="CB823" s="239"/>
      <c r="CC823" s="239"/>
      <c r="CD823" s="239"/>
      <c r="CE823" s="239"/>
      <c r="CF823" s="239"/>
      <c r="CG823" s="239"/>
    </row>
    <row r="824" spans="1:85" ht="15.75" customHeight="1">
      <c r="A824" s="239"/>
      <c r="B824" s="239"/>
      <c r="C824" s="239"/>
      <c r="D824" s="239"/>
      <c r="E824" s="239"/>
      <c r="F824" s="239"/>
      <c r="G824" s="239"/>
      <c r="H824" s="239"/>
      <c r="I824" s="239"/>
      <c r="J824" s="239"/>
      <c r="K824" s="239"/>
      <c r="L824" s="239"/>
      <c r="M824" s="239"/>
      <c r="N824" s="239"/>
      <c r="O824" s="239"/>
      <c r="P824" s="239"/>
      <c r="Q824" s="239"/>
      <c r="R824" s="239"/>
      <c r="S824" s="239"/>
      <c r="T824" s="239"/>
      <c r="U824" s="239"/>
      <c r="V824" s="239"/>
      <c r="W824" s="239"/>
      <c r="X824" s="239"/>
      <c r="Y824" s="239"/>
      <c r="Z824" s="239"/>
      <c r="AA824" s="239"/>
      <c r="AB824" s="239"/>
      <c r="AC824" s="239"/>
      <c r="AD824" s="239"/>
      <c r="AE824" s="239"/>
      <c r="AF824" s="239"/>
      <c r="AG824" s="239"/>
      <c r="AH824" s="239"/>
      <c r="AI824" s="239"/>
      <c r="AJ824" s="239"/>
      <c r="AK824" s="239"/>
      <c r="AL824" s="239"/>
      <c r="AM824" s="239"/>
      <c r="AN824" s="239"/>
      <c r="AO824" s="239"/>
      <c r="AP824" s="239"/>
      <c r="AQ824" s="239"/>
      <c r="AR824" s="239"/>
      <c r="AS824" s="239"/>
      <c r="AT824" s="239"/>
      <c r="AU824" s="239"/>
      <c r="AV824" s="239"/>
      <c r="AW824" s="239"/>
      <c r="AX824" s="239"/>
      <c r="AY824" s="239"/>
      <c r="AZ824" s="239"/>
      <c r="BA824" s="239"/>
      <c r="BB824" s="239"/>
      <c r="BC824" s="239"/>
      <c r="BD824" s="239"/>
      <c r="BE824" s="239"/>
      <c r="BF824" s="239"/>
      <c r="BG824" s="239"/>
      <c r="BH824" s="239"/>
      <c r="BI824" s="239"/>
      <c r="BJ824" s="239"/>
      <c r="BK824" s="239"/>
      <c r="BL824" s="239"/>
      <c r="BM824" s="239"/>
      <c r="BN824" s="239"/>
      <c r="BO824" s="239"/>
      <c r="BP824" s="239"/>
      <c r="BQ824" s="239"/>
      <c r="BR824" s="239"/>
      <c r="BS824" s="239"/>
      <c r="BT824" s="239"/>
      <c r="BU824" s="239"/>
      <c r="BV824" s="239"/>
      <c r="BW824" s="239"/>
      <c r="BX824" s="239"/>
      <c r="BY824" s="239"/>
      <c r="BZ824" s="239"/>
      <c r="CA824" s="239"/>
      <c r="CB824" s="239"/>
      <c r="CC824" s="239"/>
      <c r="CD824" s="239"/>
      <c r="CE824" s="239"/>
      <c r="CF824" s="239"/>
      <c r="CG824" s="239"/>
    </row>
    <row r="825" spans="1:85" ht="15.75" customHeight="1">
      <c r="A825" s="239"/>
      <c r="B825" s="239"/>
      <c r="C825" s="239"/>
      <c r="D825" s="239"/>
      <c r="E825" s="239"/>
      <c r="F825" s="239"/>
      <c r="G825" s="239"/>
      <c r="H825" s="239"/>
      <c r="I825" s="239"/>
      <c r="J825" s="239"/>
      <c r="K825" s="239"/>
      <c r="L825" s="239"/>
      <c r="M825" s="239"/>
      <c r="N825" s="239"/>
      <c r="O825" s="239"/>
      <c r="P825" s="239"/>
      <c r="Q825" s="239"/>
      <c r="R825" s="239"/>
      <c r="S825" s="239"/>
      <c r="T825" s="239"/>
      <c r="U825" s="239"/>
      <c r="V825" s="239"/>
      <c r="W825" s="239"/>
      <c r="X825" s="239"/>
      <c r="Y825" s="239"/>
      <c r="Z825" s="239"/>
      <c r="AA825" s="239"/>
      <c r="AB825" s="239"/>
      <c r="AC825" s="239"/>
      <c r="AD825" s="239"/>
      <c r="AE825" s="239"/>
      <c r="AF825" s="239"/>
      <c r="AG825" s="239"/>
      <c r="AH825" s="239"/>
      <c r="AI825" s="239"/>
      <c r="AJ825" s="239"/>
      <c r="AK825" s="239"/>
      <c r="AL825" s="239"/>
      <c r="AM825" s="239"/>
      <c r="AN825" s="239"/>
      <c r="AO825" s="239"/>
      <c r="AP825" s="239"/>
      <c r="AQ825" s="239"/>
      <c r="AR825" s="239"/>
      <c r="AS825" s="239"/>
      <c r="AT825" s="239"/>
      <c r="AU825" s="239"/>
      <c r="AV825" s="239"/>
      <c r="AW825" s="239"/>
      <c r="AX825" s="239"/>
      <c r="AY825" s="239"/>
      <c r="AZ825" s="239"/>
      <c r="BA825" s="239"/>
      <c r="BB825" s="239"/>
      <c r="BC825" s="239"/>
      <c r="BD825" s="239"/>
      <c r="BE825" s="239"/>
      <c r="BF825" s="239"/>
      <c r="BG825" s="239"/>
      <c r="BH825" s="239"/>
      <c r="BI825" s="239"/>
      <c r="BJ825" s="239"/>
      <c r="BK825" s="239"/>
      <c r="BL825" s="239"/>
      <c r="BM825" s="239"/>
      <c r="BN825" s="239"/>
      <c r="BO825" s="239"/>
      <c r="BP825" s="239"/>
      <c r="BQ825" s="239"/>
      <c r="BR825" s="239"/>
      <c r="BS825" s="239"/>
      <c r="BT825" s="239"/>
      <c r="BU825" s="239"/>
      <c r="BV825" s="239"/>
      <c r="BW825" s="239"/>
      <c r="BX825" s="239"/>
      <c r="BY825" s="239"/>
      <c r="BZ825" s="239"/>
      <c r="CA825" s="239"/>
      <c r="CB825" s="239"/>
      <c r="CC825" s="239"/>
      <c r="CD825" s="239"/>
      <c r="CE825" s="239"/>
      <c r="CF825" s="239"/>
      <c r="CG825" s="239"/>
    </row>
    <row r="826" spans="1:85" ht="15.75" customHeight="1">
      <c r="A826" s="239"/>
      <c r="B826" s="239"/>
      <c r="C826" s="239"/>
      <c r="D826" s="239"/>
      <c r="E826" s="239"/>
      <c r="F826" s="239"/>
      <c r="G826" s="239"/>
      <c r="H826" s="239"/>
      <c r="I826" s="239"/>
      <c r="J826" s="239"/>
      <c r="K826" s="239"/>
      <c r="L826" s="239"/>
      <c r="M826" s="239"/>
      <c r="N826" s="239"/>
      <c r="O826" s="239"/>
      <c r="P826" s="239"/>
      <c r="Q826" s="239"/>
      <c r="R826" s="239"/>
      <c r="S826" s="239"/>
      <c r="T826" s="239"/>
      <c r="U826" s="239"/>
      <c r="V826" s="239"/>
      <c r="W826" s="239"/>
      <c r="X826" s="239"/>
      <c r="Y826" s="239"/>
      <c r="Z826" s="239"/>
      <c r="AA826" s="239"/>
      <c r="AB826" s="239"/>
      <c r="AC826" s="239"/>
      <c r="AD826" s="239"/>
      <c r="AE826" s="239"/>
      <c r="AF826" s="239"/>
      <c r="AG826" s="239"/>
      <c r="AH826" s="239"/>
      <c r="AI826" s="239"/>
      <c r="AJ826" s="239"/>
      <c r="AK826" s="239"/>
      <c r="AL826" s="239"/>
      <c r="AM826" s="239"/>
      <c r="AN826" s="239"/>
      <c r="AO826" s="239"/>
      <c r="AP826" s="239"/>
      <c r="AQ826" s="239"/>
      <c r="AR826" s="239"/>
      <c r="AS826" s="239"/>
      <c r="AT826" s="239"/>
      <c r="AU826" s="239"/>
      <c r="AV826" s="239"/>
      <c r="AW826" s="239"/>
      <c r="AX826" s="239"/>
      <c r="AY826" s="239"/>
      <c r="AZ826" s="239"/>
      <c r="BA826" s="239"/>
      <c r="BB826" s="239"/>
      <c r="BC826" s="239"/>
      <c r="BD826" s="239"/>
      <c r="BE826" s="239"/>
      <c r="BF826" s="239"/>
      <c r="BG826" s="239"/>
      <c r="BH826" s="239"/>
      <c r="BI826" s="239"/>
      <c r="BJ826" s="239"/>
      <c r="BK826" s="239"/>
      <c r="BL826" s="239"/>
      <c r="BM826" s="239"/>
      <c r="BN826" s="239"/>
      <c r="BO826" s="239"/>
      <c r="BP826" s="239"/>
      <c r="BQ826" s="239"/>
      <c r="BR826" s="239"/>
      <c r="BS826" s="239"/>
      <c r="BT826" s="239"/>
      <c r="BU826" s="239"/>
      <c r="BV826" s="239"/>
      <c r="BW826" s="239"/>
      <c r="BX826" s="239"/>
      <c r="BY826" s="239"/>
      <c r="BZ826" s="239"/>
      <c r="CA826" s="239"/>
      <c r="CB826" s="239"/>
      <c r="CC826" s="239"/>
      <c r="CD826" s="239"/>
      <c r="CE826" s="239"/>
      <c r="CF826" s="239"/>
      <c r="CG826" s="239"/>
    </row>
    <row r="827" spans="1:85" ht="15.75" customHeight="1">
      <c r="A827" s="239"/>
      <c r="B827" s="239"/>
      <c r="C827" s="239"/>
      <c r="D827" s="239"/>
      <c r="E827" s="239"/>
      <c r="F827" s="239"/>
      <c r="G827" s="239"/>
      <c r="H827" s="239"/>
      <c r="I827" s="239"/>
      <c r="J827" s="239"/>
      <c r="K827" s="239"/>
      <c r="L827" s="239"/>
      <c r="M827" s="239"/>
      <c r="N827" s="239"/>
      <c r="O827" s="239"/>
      <c r="P827" s="239"/>
      <c r="Q827" s="239"/>
      <c r="R827" s="239"/>
      <c r="S827" s="239"/>
      <c r="T827" s="239"/>
      <c r="U827" s="239"/>
      <c r="V827" s="239"/>
      <c r="W827" s="239"/>
      <c r="X827" s="239"/>
      <c r="Y827" s="239"/>
      <c r="Z827" s="239"/>
      <c r="AA827" s="239"/>
      <c r="AB827" s="239"/>
      <c r="AC827" s="239"/>
      <c r="AD827" s="239"/>
      <c r="AE827" s="239"/>
      <c r="AF827" s="239"/>
      <c r="AG827" s="239"/>
      <c r="AH827" s="239"/>
      <c r="AI827" s="239"/>
      <c r="AJ827" s="239"/>
      <c r="AK827" s="239"/>
      <c r="AL827" s="239"/>
      <c r="AM827" s="239"/>
      <c r="AN827" s="239"/>
      <c r="AO827" s="239"/>
      <c r="AP827" s="239"/>
      <c r="AQ827" s="239"/>
      <c r="AR827" s="239"/>
      <c r="AS827" s="239"/>
      <c r="AT827" s="239"/>
      <c r="AU827" s="239"/>
      <c r="AV827" s="239"/>
      <c r="AW827" s="239"/>
      <c r="AX827" s="239"/>
      <c r="AY827" s="239"/>
      <c r="AZ827" s="239"/>
      <c r="BA827" s="239"/>
      <c r="BB827" s="239"/>
      <c r="BC827" s="239"/>
      <c r="BD827" s="239"/>
      <c r="BE827" s="239"/>
      <c r="BF827" s="239"/>
      <c r="BG827" s="239"/>
      <c r="BH827" s="239"/>
      <c r="BI827" s="239"/>
      <c r="BJ827" s="239"/>
      <c r="BK827" s="239"/>
      <c r="BL827" s="239"/>
      <c r="BM827" s="239"/>
      <c r="BN827" s="239"/>
      <c r="BO827" s="239"/>
      <c r="BP827" s="239"/>
      <c r="BQ827" s="239"/>
      <c r="BR827" s="239"/>
      <c r="BS827" s="239"/>
      <c r="BT827" s="239"/>
      <c r="BU827" s="239"/>
      <c r="BV827" s="239"/>
      <c r="BW827" s="239"/>
      <c r="BX827" s="239"/>
      <c r="BY827" s="239"/>
      <c r="BZ827" s="239"/>
      <c r="CA827" s="239"/>
      <c r="CB827" s="239"/>
      <c r="CC827" s="239"/>
      <c r="CD827" s="239"/>
      <c r="CE827" s="239"/>
      <c r="CF827" s="239"/>
      <c r="CG827" s="239"/>
    </row>
    <row r="828" spans="1:85" ht="15.75" customHeight="1">
      <c r="A828" s="239"/>
      <c r="B828" s="239"/>
      <c r="C828" s="239"/>
      <c r="D828" s="239"/>
      <c r="E828" s="239"/>
      <c r="F828" s="239"/>
      <c r="G828" s="239"/>
      <c r="H828" s="239"/>
      <c r="I828" s="239"/>
      <c r="J828" s="239"/>
      <c r="K828" s="239"/>
      <c r="L828" s="239"/>
      <c r="M828" s="239"/>
      <c r="N828" s="239"/>
      <c r="O828" s="239"/>
      <c r="P828" s="239"/>
      <c r="Q828" s="239"/>
      <c r="R828" s="239"/>
      <c r="S828" s="239"/>
      <c r="T828" s="239"/>
      <c r="U828" s="239"/>
      <c r="V828" s="239"/>
      <c r="W828" s="239"/>
      <c r="X828" s="239"/>
      <c r="Y828" s="239"/>
      <c r="Z828" s="239"/>
      <c r="AA828" s="239"/>
      <c r="AB828" s="239"/>
      <c r="AC828" s="239"/>
      <c r="AD828" s="239"/>
      <c r="AE828" s="239"/>
      <c r="AF828" s="239"/>
      <c r="AG828" s="239"/>
      <c r="AH828" s="239"/>
      <c r="AI828" s="239"/>
      <c r="AJ828" s="239"/>
      <c r="AK828" s="239"/>
      <c r="AL828" s="239"/>
      <c r="AM828" s="239"/>
      <c r="AN828" s="239"/>
      <c r="AO828" s="239"/>
      <c r="AP828" s="239"/>
      <c r="AQ828" s="239"/>
      <c r="AR828" s="239"/>
      <c r="AS828" s="239"/>
      <c r="AT828" s="239"/>
      <c r="AU828" s="239"/>
      <c r="AV828" s="239"/>
      <c r="AW828" s="239"/>
      <c r="AX828" s="239"/>
      <c r="AY828" s="239"/>
      <c r="AZ828" s="239"/>
      <c r="BA828" s="239"/>
      <c r="BB828" s="239"/>
      <c r="BC828" s="239"/>
      <c r="BD828" s="239"/>
      <c r="BE828" s="239"/>
      <c r="BF828" s="239"/>
      <c r="BG828" s="239"/>
      <c r="BH828" s="239"/>
      <c r="BI828" s="239"/>
      <c r="BJ828" s="239"/>
      <c r="BK828" s="239"/>
      <c r="BL828" s="239"/>
      <c r="BM828" s="239"/>
      <c r="BN828" s="239"/>
      <c r="BO828" s="239"/>
      <c r="BP828" s="239"/>
      <c r="BQ828" s="239"/>
      <c r="BR828" s="239"/>
      <c r="BS828" s="239"/>
      <c r="BT828" s="239"/>
      <c r="BU828" s="239"/>
      <c r="BV828" s="239"/>
      <c r="BW828" s="239"/>
      <c r="BX828" s="239"/>
      <c r="BY828" s="239"/>
      <c r="BZ828" s="239"/>
      <c r="CA828" s="239"/>
      <c r="CB828" s="239"/>
      <c r="CC828" s="239"/>
      <c r="CD828" s="239"/>
      <c r="CE828" s="239"/>
      <c r="CF828" s="239"/>
      <c r="CG828" s="239"/>
    </row>
    <row r="829" spans="1:85" ht="15.75" customHeight="1">
      <c r="A829" s="239"/>
      <c r="B829" s="239"/>
      <c r="C829" s="239"/>
      <c r="D829" s="239"/>
      <c r="E829" s="239"/>
      <c r="F829" s="239"/>
      <c r="G829" s="239"/>
      <c r="H829" s="239"/>
      <c r="I829" s="239"/>
      <c r="J829" s="239"/>
      <c r="K829" s="239"/>
      <c r="L829" s="239"/>
      <c r="M829" s="239"/>
      <c r="N829" s="239"/>
      <c r="O829" s="239"/>
      <c r="P829" s="239"/>
      <c r="Q829" s="239"/>
      <c r="R829" s="239"/>
      <c r="S829" s="239"/>
      <c r="T829" s="239"/>
      <c r="U829" s="239"/>
      <c r="V829" s="239"/>
      <c r="W829" s="239"/>
      <c r="X829" s="239"/>
      <c r="Y829" s="239"/>
      <c r="Z829" s="239"/>
      <c r="AA829" s="239"/>
      <c r="AB829" s="239"/>
      <c r="AC829" s="239"/>
      <c r="AD829" s="239"/>
      <c r="AE829" s="239"/>
      <c r="AF829" s="239"/>
      <c r="AG829" s="239"/>
      <c r="AH829" s="239"/>
      <c r="AI829" s="239"/>
      <c r="AJ829" s="239"/>
      <c r="AK829" s="239"/>
      <c r="AL829" s="239"/>
      <c r="AM829" s="239"/>
      <c r="AN829" s="239"/>
      <c r="AO829" s="239"/>
      <c r="AP829" s="239"/>
      <c r="AQ829" s="239"/>
      <c r="AR829" s="239"/>
      <c r="AS829" s="239"/>
      <c r="AT829" s="239"/>
      <c r="AU829" s="239"/>
      <c r="AV829" s="239"/>
      <c r="AW829" s="239"/>
      <c r="AX829" s="239"/>
      <c r="AY829" s="239"/>
      <c r="AZ829" s="239"/>
      <c r="BA829" s="239"/>
      <c r="BB829" s="239"/>
      <c r="BC829" s="239"/>
      <c r="BD829" s="239"/>
      <c r="BE829" s="239"/>
      <c r="BF829" s="239"/>
      <c r="BG829" s="239"/>
      <c r="BH829" s="239"/>
      <c r="BI829" s="239"/>
      <c r="BJ829" s="239"/>
      <c r="BK829" s="239"/>
      <c r="BL829" s="239"/>
      <c r="BM829" s="239"/>
      <c r="BN829" s="239"/>
      <c r="BO829" s="239"/>
      <c r="BP829" s="239"/>
      <c r="BQ829" s="239"/>
      <c r="BR829" s="239"/>
      <c r="BS829" s="239"/>
      <c r="BT829" s="239"/>
      <c r="BU829" s="239"/>
      <c r="BV829" s="239"/>
      <c r="BW829" s="239"/>
      <c r="BX829" s="239"/>
      <c r="BY829" s="239"/>
      <c r="BZ829" s="239"/>
      <c r="CA829" s="239"/>
      <c r="CB829" s="239"/>
      <c r="CC829" s="239"/>
      <c r="CD829" s="239"/>
      <c r="CE829" s="239"/>
      <c r="CF829" s="239"/>
      <c r="CG829" s="239"/>
    </row>
    <row r="830" spans="1:85" ht="15.75" customHeight="1">
      <c r="A830" s="239"/>
      <c r="B830" s="239"/>
      <c r="C830" s="239"/>
      <c r="D830" s="239"/>
      <c r="E830" s="239"/>
      <c r="F830" s="239"/>
      <c r="G830" s="239"/>
      <c r="H830" s="239"/>
      <c r="I830" s="239"/>
      <c r="J830" s="239"/>
      <c r="K830" s="239"/>
      <c r="L830" s="239"/>
      <c r="M830" s="239"/>
      <c r="N830" s="239"/>
      <c r="O830" s="239"/>
      <c r="P830" s="239"/>
      <c r="Q830" s="239"/>
      <c r="R830" s="239"/>
      <c r="S830" s="239"/>
      <c r="T830" s="239"/>
      <c r="U830" s="239"/>
      <c r="V830" s="239"/>
      <c r="W830" s="239"/>
      <c r="X830" s="239"/>
      <c r="Y830" s="239"/>
      <c r="Z830" s="239"/>
      <c r="AA830" s="239"/>
      <c r="AB830" s="239"/>
      <c r="AC830" s="239"/>
      <c r="AD830" s="239"/>
      <c r="AE830" s="239"/>
      <c r="AF830" s="239"/>
      <c r="AG830" s="239"/>
      <c r="AH830" s="239"/>
      <c r="AI830" s="239"/>
      <c r="AJ830" s="239"/>
      <c r="AK830" s="239"/>
      <c r="AL830" s="239"/>
      <c r="AM830" s="239"/>
      <c r="AN830" s="239"/>
      <c r="AO830" s="239"/>
      <c r="AP830" s="239"/>
      <c r="AQ830" s="239"/>
      <c r="AR830" s="239"/>
      <c r="AS830" s="239"/>
      <c r="AT830" s="239"/>
      <c r="AU830" s="239"/>
      <c r="AV830" s="239"/>
      <c r="AW830" s="239"/>
      <c r="AX830" s="239"/>
      <c r="AY830" s="239"/>
      <c r="AZ830" s="239"/>
      <c r="BA830" s="239"/>
      <c r="BB830" s="239"/>
      <c r="BC830" s="239"/>
      <c r="BD830" s="239"/>
      <c r="BE830" s="239"/>
      <c r="BF830" s="239"/>
      <c r="BG830" s="239"/>
      <c r="BH830" s="239"/>
      <c r="BI830" s="239"/>
      <c r="BJ830" s="239"/>
      <c r="BK830" s="239"/>
      <c r="BL830" s="239"/>
      <c r="BM830" s="239"/>
      <c r="BN830" s="239"/>
      <c r="BO830" s="239"/>
      <c r="BP830" s="239"/>
      <c r="BQ830" s="239"/>
      <c r="BR830" s="239"/>
      <c r="BS830" s="239"/>
      <c r="BT830" s="239"/>
      <c r="BU830" s="239"/>
      <c r="BV830" s="239"/>
      <c r="BW830" s="239"/>
      <c r="BX830" s="239"/>
      <c r="BY830" s="239"/>
      <c r="BZ830" s="239"/>
      <c r="CA830" s="239"/>
      <c r="CB830" s="239"/>
      <c r="CC830" s="239"/>
      <c r="CD830" s="239"/>
      <c r="CE830" s="239"/>
      <c r="CF830" s="239"/>
      <c r="CG830" s="239"/>
    </row>
    <row r="831" spans="1:85" ht="15.75" customHeight="1">
      <c r="A831" s="239"/>
      <c r="B831" s="239"/>
      <c r="C831" s="239"/>
      <c r="D831" s="239"/>
      <c r="E831" s="239"/>
      <c r="F831" s="239"/>
      <c r="G831" s="239"/>
      <c r="H831" s="239"/>
      <c r="I831" s="239"/>
      <c r="J831" s="239"/>
      <c r="K831" s="239"/>
      <c r="L831" s="239"/>
      <c r="M831" s="239"/>
      <c r="N831" s="239"/>
      <c r="O831" s="239"/>
      <c r="P831" s="239"/>
      <c r="Q831" s="239"/>
      <c r="R831" s="239"/>
      <c r="S831" s="239"/>
      <c r="T831" s="239"/>
      <c r="U831" s="239"/>
      <c r="V831" s="239"/>
      <c r="W831" s="239"/>
      <c r="X831" s="239"/>
      <c r="Y831" s="239"/>
      <c r="Z831" s="239"/>
      <c r="AA831" s="239"/>
      <c r="AB831" s="239"/>
      <c r="AC831" s="239"/>
      <c r="AD831" s="239"/>
      <c r="AE831" s="239"/>
      <c r="AF831" s="239"/>
      <c r="AG831" s="239"/>
      <c r="AH831" s="239"/>
      <c r="AI831" s="239"/>
      <c r="AJ831" s="239"/>
      <c r="AK831" s="239"/>
      <c r="AL831" s="239"/>
      <c r="AM831" s="239"/>
      <c r="AN831" s="239"/>
      <c r="AO831" s="239"/>
      <c r="AP831" s="239"/>
      <c r="AQ831" s="239"/>
      <c r="AR831" s="239"/>
      <c r="AS831" s="239"/>
      <c r="AT831" s="239"/>
      <c r="AU831" s="239"/>
      <c r="AV831" s="239"/>
      <c r="AW831" s="239"/>
      <c r="AX831" s="239"/>
      <c r="AY831" s="239"/>
      <c r="AZ831" s="239"/>
      <c r="BA831" s="239"/>
      <c r="BB831" s="239"/>
      <c r="BC831" s="239"/>
      <c r="BD831" s="239"/>
      <c r="BE831" s="239"/>
      <c r="BF831" s="239"/>
      <c r="BG831" s="239"/>
      <c r="BH831" s="239"/>
      <c r="BI831" s="239"/>
      <c r="BJ831" s="239"/>
      <c r="BK831" s="239"/>
      <c r="BL831" s="239"/>
      <c r="BM831" s="239"/>
      <c r="BN831" s="239"/>
      <c r="BO831" s="239"/>
      <c r="BP831" s="239"/>
      <c r="BQ831" s="239"/>
      <c r="BR831" s="239"/>
      <c r="BS831" s="239"/>
      <c r="BT831" s="239"/>
      <c r="BU831" s="239"/>
      <c r="BV831" s="239"/>
      <c r="BW831" s="239"/>
      <c r="BX831" s="239"/>
      <c r="BY831" s="239"/>
      <c r="BZ831" s="239"/>
      <c r="CA831" s="239"/>
      <c r="CB831" s="239"/>
      <c r="CC831" s="239"/>
      <c r="CD831" s="239"/>
      <c r="CE831" s="239"/>
      <c r="CF831" s="239"/>
      <c r="CG831" s="239"/>
    </row>
    <row r="832" spans="1:85" ht="15.75" customHeight="1">
      <c r="A832" s="239"/>
      <c r="B832" s="239"/>
      <c r="C832" s="239"/>
      <c r="D832" s="239"/>
      <c r="E832" s="239"/>
      <c r="F832" s="239"/>
      <c r="G832" s="239"/>
      <c r="H832" s="239"/>
      <c r="I832" s="239"/>
      <c r="J832" s="239"/>
      <c r="K832" s="239"/>
      <c r="L832" s="239"/>
      <c r="M832" s="239"/>
      <c r="N832" s="239"/>
      <c r="O832" s="239"/>
      <c r="P832" s="239"/>
      <c r="Q832" s="239"/>
      <c r="R832" s="239"/>
      <c r="S832" s="239"/>
      <c r="T832" s="239"/>
      <c r="U832" s="239"/>
      <c r="V832" s="239"/>
      <c r="W832" s="239"/>
      <c r="X832" s="239"/>
      <c r="Y832" s="239"/>
      <c r="Z832" s="239"/>
      <c r="AA832" s="239"/>
      <c r="AB832" s="239"/>
      <c r="AC832" s="239"/>
      <c r="AD832" s="239"/>
      <c r="AE832" s="239"/>
      <c r="AF832" s="239"/>
      <c r="AG832" s="239"/>
      <c r="AH832" s="239"/>
      <c r="AI832" s="239"/>
      <c r="AJ832" s="239"/>
      <c r="AK832" s="239"/>
      <c r="AL832" s="239"/>
      <c r="AM832" s="239"/>
      <c r="AN832" s="239"/>
      <c r="AO832" s="239"/>
      <c r="AP832" s="239"/>
      <c r="AQ832" s="239"/>
      <c r="AR832" s="239"/>
      <c r="AS832" s="239"/>
      <c r="AT832" s="239"/>
      <c r="AU832" s="239"/>
      <c r="AV832" s="239"/>
      <c r="AW832" s="239"/>
      <c r="AX832" s="239"/>
      <c r="AY832" s="239"/>
      <c r="AZ832" s="239"/>
      <c r="BA832" s="239"/>
      <c r="BB832" s="239"/>
      <c r="BC832" s="239"/>
      <c r="BD832" s="239"/>
      <c r="BE832" s="239"/>
      <c r="BF832" s="239"/>
      <c r="BG832" s="239"/>
      <c r="BH832" s="239"/>
      <c r="BI832" s="239"/>
      <c r="BJ832" s="239"/>
      <c r="BK832" s="239"/>
      <c r="BL832" s="239"/>
      <c r="BM832" s="239"/>
      <c r="BN832" s="239"/>
      <c r="BO832" s="239"/>
      <c r="BP832" s="239"/>
      <c r="BQ832" s="239"/>
      <c r="BR832" s="239"/>
      <c r="BS832" s="239"/>
      <c r="BT832" s="239"/>
      <c r="BU832" s="239"/>
      <c r="BV832" s="239"/>
      <c r="BW832" s="239"/>
      <c r="BX832" s="239"/>
      <c r="BY832" s="239"/>
      <c r="BZ832" s="239"/>
      <c r="CA832" s="239"/>
      <c r="CB832" s="239"/>
      <c r="CC832" s="239"/>
      <c r="CD832" s="239"/>
      <c r="CE832" s="239"/>
      <c r="CF832" s="239"/>
      <c r="CG832" s="239"/>
    </row>
    <row r="833" spans="1:85" ht="15.75" customHeight="1">
      <c r="A833" s="239"/>
      <c r="B833" s="239"/>
      <c r="C833" s="239"/>
      <c r="D833" s="239"/>
      <c r="E833" s="239"/>
      <c r="F833" s="239"/>
      <c r="G833" s="239"/>
      <c r="H833" s="239"/>
      <c r="I833" s="239"/>
      <c r="J833" s="239"/>
      <c r="K833" s="239"/>
      <c r="L833" s="239"/>
      <c r="M833" s="239"/>
      <c r="N833" s="239"/>
      <c r="O833" s="239"/>
      <c r="P833" s="239"/>
      <c r="Q833" s="239"/>
      <c r="R833" s="239"/>
      <c r="S833" s="239"/>
      <c r="T833" s="239"/>
      <c r="U833" s="239"/>
      <c r="V833" s="239"/>
      <c r="W833" s="239"/>
      <c r="X833" s="239"/>
      <c r="Y833" s="239"/>
      <c r="Z833" s="239"/>
      <c r="AA833" s="239"/>
      <c r="AB833" s="239"/>
      <c r="AC833" s="239"/>
      <c r="AD833" s="239"/>
      <c r="AE833" s="239"/>
      <c r="AF833" s="239"/>
      <c r="AG833" s="239"/>
      <c r="AH833" s="239"/>
      <c r="AI833" s="239"/>
      <c r="AJ833" s="239"/>
      <c r="AK833" s="239"/>
      <c r="AL833" s="239"/>
      <c r="AM833" s="239"/>
      <c r="AN833" s="239"/>
      <c r="AO833" s="239"/>
      <c r="AP833" s="239"/>
      <c r="AQ833" s="239"/>
      <c r="AR833" s="239"/>
      <c r="AS833" s="239"/>
      <c r="AT833" s="239"/>
      <c r="AU833" s="239"/>
      <c r="AV833" s="239"/>
      <c r="AW833" s="239"/>
      <c r="AX833" s="239"/>
      <c r="AY833" s="239"/>
      <c r="AZ833" s="239"/>
      <c r="BA833" s="239"/>
      <c r="BB833" s="239"/>
      <c r="BC833" s="239"/>
      <c r="BD833" s="239"/>
      <c r="BE833" s="239"/>
      <c r="BF833" s="239"/>
      <c r="BG833" s="239"/>
      <c r="BH833" s="239"/>
      <c r="BI833" s="239"/>
      <c r="BJ833" s="239"/>
      <c r="BK833" s="239"/>
      <c r="BL833" s="239"/>
      <c r="BM833" s="239"/>
      <c r="BN833" s="239"/>
      <c r="BO833" s="239"/>
      <c r="BP833" s="239"/>
      <c r="BQ833" s="239"/>
      <c r="BR833" s="239"/>
      <c r="BS833" s="239"/>
      <c r="BT833" s="239"/>
      <c r="BU833" s="239"/>
      <c r="BV833" s="239"/>
      <c r="BW833" s="239"/>
      <c r="BX833" s="239"/>
      <c r="BY833" s="239"/>
      <c r="BZ833" s="239"/>
      <c r="CA833" s="239"/>
      <c r="CB833" s="239"/>
      <c r="CC833" s="239"/>
      <c r="CD833" s="239"/>
      <c r="CE833" s="239"/>
      <c r="CF833" s="239"/>
      <c r="CG833" s="239"/>
    </row>
    <row r="834" spans="1:85" ht="15.75" customHeight="1">
      <c r="A834" s="239"/>
      <c r="B834" s="239"/>
      <c r="C834" s="239"/>
      <c r="D834" s="239"/>
      <c r="E834" s="239"/>
      <c r="F834" s="239"/>
      <c r="G834" s="239"/>
      <c r="H834" s="239"/>
      <c r="I834" s="239"/>
      <c r="J834" s="239"/>
      <c r="K834" s="239"/>
      <c r="L834" s="239"/>
      <c r="M834" s="239"/>
      <c r="N834" s="239"/>
      <c r="O834" s="239"/>
      <c r="P834" s="239"/>
      <c r="Q834" s="239"/>
      <c r="R834" s="239"/>
      <c r="S834" s="239"/>
      <c r="T834" s="239"/>
      <c r="U834" s="239"/>
      <c r="V834" s="239"/>
      <c r="W834" s="239"/>
      <c r="X834" s="239"/>
      <c r="Y834" s="239"/>
      <c r="Z834" s="239"/>
      <c r="AA834" s="239"/>
      <c r="AB834" s="239"/>
      <c r="AC834" s="239"/>
      <c r="AD834" s="239"/>
      <c r="AE834" s="239"/>
      <c r="AF834" s="239"/>
      <c r="AG834" s="239"/>
      <c r="AH834" s="239"/>
      <c r="AI834" s="239"/>
      <c r="AJ834" s="239"/>
      <c r="AK834" s="239"/>
      <c r="AL834" s="239"/>
      <c r="AM834" s="239"/>
      <c r="AN834" s="239"/>
      <c r="AO834" s="239"/>
      <c r="AP834" s="239"/>
      <c r="AQ834" s="239"/>
      <c r="AR834" s="239"/>
      <c r="AS834" s="239"/>
      <c r="AT834" s="239"/>
      <c r="AU834" s="239"/>
      <c r="AV834" s="239"/>
      <c r="AW834" s="239"/>
      <c r="AX834" s="239"/>
      <c r="AY834" s="239"/>
      <c r="AZ834" s="239"/>
      <c r="BA834" s="239"/>
      <c r="BB834" s="239"/>
      <c r="BC834" s="239"/>
      <c r="BD834" s="239"/>
      <c r="BE834" s="239"/>
      <c r="BF834" s="239"/>
      <c r="BG834" s="239"/>
      <c r="BH834" s="239"/>
      <c r="BI834" s="239"/>
      <c r="BJ834" s="239"/>
      <c r="BK834" s="239"/>
      <c r="BL834" s="239"/>
      <c r="BM834" s="239"/>
      <c r="BN834" s="239"/>
      <c r="BO834" s="239"/>
      <c r="BP834" s="239"/>
      <c r="BQ834" s="239"/>
      <c r="BR834" s="239"/>
      <c r="BS834" s="239"/>
      <c r="BT834" s="239"/>
      <c r="BU834" s="239"/>
      <c r="BV834" s="239"/>
      <c r="BW834" s="239"/>
      <c r="BX834" s="239"/>
      <c r="BY834" s="239"/>
      <c r="BZ834" s="239"/>
      <c r="CA834" s="239"/>
      <c r="CB834" s="239"/>
      <c r="CC834" s="239"/>
      <c r="CD834" s="239"/>
      <c r="CE834" s="239"/>
      <c r="CF834" s="239"/>
      <c r="CG834" s="239"/>
    </row>
    <row r="835" spans="1:85" ht="15.75" customHeight="1">
      <c r="A835" s="239"/>
      <c r="B835" s="239"/>
      <c r="C835" s="239"/>
      <c r="D835" s="239"/>
      <c r="E835" s="239"/>
      <c r="F835" s="239"/>
      <c r="G835" s="239"/>
      <c r="H835" s="239"/>
      <c r="I835" s="239"/>
      <c r="J835" s="239"/>
      <c r="K835" s="239"/>
      <c r="L835" s="239"/>
      <c r="M835" s="239"/>
      <c r="N835" s="239"/>
      <c r="O835" s="239"/>
      <c r="P835" s="239"/>
      <c r="Q835" s="239"/>
      <c r="R835" s="239"/>
      <c r="S835" s="239"/>
      <c r="T835" s="239"/>
      <c r="U835" s="239"/>
      <c r="V835" s="239"/>
      <c r="W835" s="239"/>
      <c r="X835" s="239"/>
      <c r="Y835" s="239"/>
      <c r="Z835" s="239"/>
      <c r="AA835" s="239"/>
      <c r="AB835" s="239"/>
      <c r="AC835" s="239"/>
      <c r="AD835" s="239"/>
      <c r="AE835" s="239"/>
      <c r="AF835" s="239"/>
      <c r="AG835" s="239"/>
      <c r="AH835" s="239"/>
      <c r="AI835" s="239"/>
      <c r="AJ835" s="239"/>
      <c r="AK835" s="239"/>
      <c r="AL835" s="239"/>
      <c r="AM835" s="239"/>
      <c r="AN835" s="239"/>
      <c r="AO835" s="239"/>
      <c r="AP835" s="239"/>
      <c r="AQ835" s="239"/>
      <c r="AR835" s="239"/>
      <c r="AS835" s="239"/>
      <c r="AT835" s="239"/>
      <c r="AU835" s="239"/>
      <c r="AV835" s="239"/>
      <c r="AW835" s="239"/>
      <c r="AX835" s="239"/>
      <c r="AY835" s="239"/>
      <c r="AZ835" s="239"/>
      <c r="BA835" s="239"/>
      <c r="BB835" s="239"/>
      <c r="BC835" s="239"/>
      <c r="BD835" s="239"/>
      <c r="BE835" s="239"/>
      <c r="BF835" s="239"/>
      <c r="BG835" s="239"/>
      <c r="BH835" s="239"/>
      <c r="BI835" s="239"/>
      <c r="BJ835" s="239"/>
      <c r="BK835" s="239"/>
      <c r="BL835" s="239"/>
      <c r="BM835" s="239"/>
      <c r="BN835" s="239"/>
      <c r="BO835" s="239"/>
      <c r="BP835" s="239"/>
      <c r="BQ835" s="239"/>
      <c r="BR835" s="239"/>
      <c r="BS835" s="239"/>
      <c r="BT835" s="239"/>
      <c r="BU835" s="239"/>
      <c r="BV835" s="239"/>
      <c r="BW835" s="239"/>
      <c r="BX835" s="239"/>
      <c r="BY835" s="239"/>
      <c r="BZ835" s="239"/>
      <c r="CA835" s="239"/>
      <c r="CB835" s="239"/>
      <c r="CC835" s="239"/>
      <c r="CD835" s="239"/>
      <c r="CE835" s="239"/>
      <c r="CF835" s="239"/>
      <c r="CG835" s="239"/>
    </row>
    <row r="836" spans="1:85" ht="15.75" customHeight="1">
      <c r="A836" s="239"/>
      <c r="B836" s="239"/>
      <c r="C836" s="239"/>
      <c r="D836" s="239"/>
      <c r="E836" s="239"/>
      <c r="F836" s="239"/>
      <c r="G836" s="239"/>
      <c r="H836" s="239"/>
      <c r="I836" s="239"/>
      <c r="J836" s="239"/>
      <c r="K836" s="239"/>
      <c r="L836" s="239"/>
      <c r="M836" s="239"/>
      <c r="N836" s="239"/>
      <c r="O836" s="239"/>
      <c r="P836" s="239"/>
      <c r="Q836" s="239"/>
      <c r="R836" s="239"/>
      <c r="S836" s="239"/>
      <c r="T836" s="239"/>
      <c r="U836" s="239"/>
      <c r="V836" s="239"/>
      <c r="W836" s="239"/>
      <c r="X836" s="239"/>
      <c r="Y836" s="239"/>
      <c r="Z836" s="239"/>
      <c r="AA836" s="239"/>
      <c r="AB836" s="239"/>
      <c r="AC836" s="239"/>
      <c r="AD836" s="239"/>
      <c r="AE836" s="239"/>
      <c r="AF836" s="239"/>
      <c r="AG836" s="239"/>
      <c r="AH836" s="239"/>
      <c r="AI836" s="239"/>
      <c r="AJ836" s="239"/>
      <c r="AK836" s="239"/>
      <c r="AL836" s="239"/>
      <c r="AM836" s="239"/>
      <c r="AN836" s="239"/>
      <c r="AO836" s="239"/>
      <c r="AP836" s="239"/>
      <c r="AQ836" s="239"/>
      <c r="AR836" s="239"/>
      <c r="AS836" s="239"/>
      <c r="AT836" s="239"/>
      <c r="AU836" s="239"/>
      <c r="AV836" s="239"/>
      <c r="AW836" s="239"/>
      <c r="AX836" s="239"/>
      <c r="AY836" s="239"/>
      <c r="AZ836" s="239"/>
      <c r="BA836" s="239"/>
      <c r="BB836" s="239"/>
      <c r="BC836" s="239"/>
      <c r="BD836" s="239"/>
      <c r="BE836" s="239"/>
      <c r="BF836" s="239"/>
      <c r="BG836" s="239"/>
      <c r="BH836" s="239"/>
      <c r="BI836" s="239"/>
      <c r="BJ836" s="239"/>
      <c r="BK836" s="239"/>
      <c r="BL836" s="239"/>
      <c r="BM836" s="239"/>
      <c r="BN836" s="239"/>
      <c r="BO836" s="239"/>
      <c r="BP836" s="239"/>
      <c r="BQ836" s="239"/>
      <c r="BR836" s="239"/>
      <c r="BS836" s="239"/>
      <c r="BT836" s="239"/>
      <c r="BU836" s="239"/>
      <c r="BV836" s="239"/>
      <c r="BW836" s="239"/>
      <c r="BX836" s="239"/>
      <c r="BY836" s="239"/>
      <c r="BZ836" s="239"/>
      <c r="CA836" s="239"/>
      <c r="CB836" s="239"/>
      <c r="CC836" s="239"/>
      <c r="CD836" s="239"/>
      <c r="CE836" s="239"/>
      <c r="CF836" s="239"/>
      <c r="CG836" s="239"/>
    </row>
    <row r="837" spans="1:85" ht="15.75" customHeight="1">
      <c r="A837" s="239"/>
      <c r="B837" s="239"/>
      <c r="C837" s="239"/>
      <c r="D837" s="239"/>
      <c r="E837" s="239"/>
      <c r="F837" s="239"/>
      <c r="G837" s="239"/>
      <c r="H837" s="239"/>
      <c r="I837" s="239"/>
      <c r="J837" s="239"/>
      <c r="K837" s="239"/>
      <c r="L837" s="239"/>
      <c r="M837" s="239"/>
      <c r="N837" s="239"/>
      <c r="O837" s="239"/>
      <c r="P837" s="239"/>
      <c r="Q837" s="239"/>
      <c r="R837" s="239"/>
      <c r="S837" s="239"/>
      <c r="T837" s="239"/>
      <c r="U837" s="239"/>
      <c r="V837" s="239"/>
      <c r="W837" s="239"/>
      <c r="X837" s="239"/>
      <c r="Y837" s="239"/>
      <c r="Z837" s="239"/>
      <c r="AA837" s="239"/>
      <c r="AB837" s="239"/>
      <c r="AC837" s="239"/>
      <c r="AD837" s="239"/>
      <c r="AE837" s="239"/>
      <c r="AF837" s="239"/>
      <c r="AG837" s="239"/>
      <c r="AH837" s="239"/>
      <c r="AI837" s="239"/>
      <c r="AJ837" s="239"/>
      <c r="AK837" s="239"/>
      <c r="AL837" s="239"/>
      <c r="AM837" s="239"/>
      <c r="AN837" s="239"/>
      <c r="AO837" s="239"/>
      <c r="AP837" s="239"/>
      <c r="AQ837" s="239"/>
      <c r="AR837" s="239"/>
      <c r="AS837" s="239"/>
      <c r="AT837" s="239"/>
      <c r="AU837" s="239"/>
      <c r="AV837" s="239"/>
      <c r="AW837" s="239"/>
      <c r="AX837" s="239"/>
      <c r="AY837" s="239"/>
      <c r="AZ837" s="239"/>
      <c r="BA837" s="239"/>
      <c r="BB837" s="239"/>
      <c r="BC837" s="239"/>
      <c r="BD837" s="239"/>
      <c r="BE837" s="239"/>
      <c r="BF837" s="239"/>
      <c r="BG837" s="239"/>
      <c r="BH837" s="239"/>
      <c r="BI837" s="239"/>
      <c r="BJ837" s="239"/>
      <c r="BK837" s="239"/>
      <c r="BL837" s="239"/>
      <c r="BM837" s="239"/>
      <c r="BN837" s="239"/>
      <c r="BO837" s="239"/>
      <c r="BP837" s="239"/>
      <c r="BQ837" s="239"/>
      <c r="BR837" s="239"/>
      <c r="BS837" s="239"/>
      <c r="BT837" s="239"/>
      <c r="BU837" s="239"/>
      <c r="BV837" s="239"/>
      <c r="BW837" s="239"/>
      <c r="BX837" s="239"/>
      <c r="BY837" s="239"/>
      <c r="BZ837" s="239"/>
      <c r="CA837" s="239"/>
      <c r="CB837" s="239"/>
      <c r="CC837" s="239"/>
      <c r="CD837" s="239"/>
      <c r="CE837" s="239"/>
      <c r="CF837" s="239"/>
      <c r="CG837" s="239"/>
    </row>
    <row r="838" spans="1:85" ht="15.75" customHeight="1">
      <c r="A838" s="239"/>
      <c r="B838" s="239"/>
      <c r="C838" s="239"/>
      <c r="D838" s="239"/>
      <c r="E838" s="239"/>
      <c r="F838" s="239"/>
      <c r="G838" s="239"/>
      <c r="H838" s="239"/>
      <c r="I838" s="239"/>
      <c r="J838" s="239"/>
      <c r="K838" s="239"/>
      <c r="L838" s="239"/>
      <c r="M838" s="239"/>
      <c r="N838" s="239"/>
      <c r="O838" s="239"/>
      <c r="P838" s="239"/>
      <c r="Q838" s="239"/>
      <c r="R838" s="239"/>
      <c r="S838" s="239"/>
      <c r="T838" s="239"/>
      <c r="U838" s="239"/>
      <c r="V838" s="239"/>
      <c r="W838" s="239"/>
      <c r="X838" s="239"/>
      <c r="Y838" s="239"/>
      <c r="Z838" s="239"/>
      <c r="AA838" s="239"/>
      <c r="AB838" s="239"/>
      <c r="AC838" s="239"/>
      <c r="AD838" s="239"/>
      <c r="AE838" s="239"/>
      <c r="AF838" s="239"/>
      <c r="AG838" s="239"/>
      <c r="AH838" s="239"/>
      <c r="AI838" s="239"/>
      <c r="AJ838" s="239"/>
      <c r="AK838" s="239"/>
      <c r="AL838" s="239"/>
      <c r="AM838" s="239"/>
      <c r="AN838" s="239"/>
      <c r="AO838" s="239"/>
      <c r="AP838" s="239"/>
      <c r="AQ838" s="239"/>
      <c r="AR838" s="239"/>
      <c r="AS838" s="239"/>
      <c r="AT838" s="239"/>
      <c r="AU838" s="239"/>
      <c r="AV838" s="239"/>
      <c r="AW838" s="239"/>
      <c r="AX838" s="239"/>
      <c r="AY838" s="239"/>
      <c r="AZ838" s="239"/>
      <c r="BA838" s="239"/>
      <c r="BB838" s="239"/>
      <c r="BC838" s="239"/>
      <c r="BD838" s="239"/>
      <c r="BE838" s="239"/>
      <c r="BF838" s="239"/>
      <c r="BG838" s="239"/>
      <c r="BH838" s="239"/>
      <c r="BI838" s="239"/>
      <c r="BJ838" s="239"/>
      <c r="BK838" s="239"/>
      <c r="BL838" s="239"/>
      <c r="BM838" s="239"/>
      <c r="BN838" s="239"/>
      <c r="BO838" s="239"/>
      <c r="BP838" s="239"/>
      <c r="BQ838" s="239"/>
      <c r="BR838" s="239"/>
      <c r="BS838" s="239"/>
      <c r="BT838" s="239"/>
      <c r="BU838" s="239"/>
      <c r="BV838" s="239"/>
      <c r="BW838" s="239"/>
      <c r="BX838" s="239"/>
      <c r="BY838" s="239"/>
      <c r="BZ838" s="239"/>
      <c r="CA838" s="239"/>
      <c r="CB838" s="239"/>
      <c r="CC838" s="239"/>
      <c r="CD838" s="239"/>
      <c r="CE838" s="239"/>
      <c r="CF838" s="239"/>
      <c r="CG838" s="239"/>
    </row>
    <row r="839" spans="1:85" ht="15.75" customHeight="1">
      <c r="A839" s="239"/>
      <c r="B839" s="239"/>
      <c r="C839" s="239"/>
      <c r="D839" s="239"/>
      <c r="E839" s="239"/>
      <c r="F839" s="239"/>
      <c r="G839" s="239"/>
      <c r="H839" s="239"/>
      <c r="I839" s="239"/>
      <c r="J839" s="239"/>
      <c r="K839" s="239"/>
      <c r="L839" s="239"/>
      <c r="M839" s="239"/>
      <c r="N839" s="239"/>
      <c r="O839" s="239"/>
      <c r="P839" s="239"/>
      <c r="Q839" s="239"/>
      <c r="R839" s="239"/>
      <c r="S839" s="239"/>
      <c r="T839" s="239"/>
      <c r="U839" s="239"/>
      <c r="V839" s="239"/>
      <c r="W839" s="239"/>
      <c r="X839" s="239"/>
      <c r="Y839" s="239"/>
      <c r="Z839" s="239"/>
      <c r="AA839" s="239"/>
      <c r="AB839" s="239"/>
      <c r="AC839" s="239"/>
      <c r="AD839" s="239"/>
      <c r="AE839" s="239"/>
      <c r="AF839" s="239"/>
      <c r="AG839" s="239"/>
      <c r="AH839" s="239"/>
      <c r="AI839" s="239"/>
      <c r="AJ839" s="239"/>
      <c r="AK839" s="239"/>
      <c r="AL839" s="239"/>
      <c r="AM839" s="239"/>
      <c r="AN839" s="239"/>
      <c r="AO839" s="239"/>
      <c r="AP839" s="239"/>
      <c r="AQ839" s="239"/>
      <c r="AR839" s="239"/>
      <c r="AS839" s="239"/>
      <c r="AT839" s="239"/>
      <c r="AU839" s="239"/>
      <c r="AV839" s="239"/>
      <c r="AW839" s="239"/>
      <c r="AX839" s="239"/>
      <c r="AY839" s="239"/>
      <c r="AZ839" s="239"/>
      <c r="BA839" s="239"/>
      <c r="BB839" s="239"/>
      <c r="BC839" s="239"/>
      <c r="BD839" s="239"/>
      <c r="BE839" s="239"/>
      <c r="BF839" s="239"/>
      <c r="BG839" s="239"/>
      <c r="BH839" s="239"/>
      <c r="BI839" s="239"/>
      <c r="BJ839" s="239"/>
      <c r="BK839" s="239"/>
      <c r="BL839" s="239"/>
      <c r="BM839" s="239"/>
      <c r="BN839" s="239"/>
      <c r="BO839" s="239"/>
      <c r="BP839" s="239"/>
      <c r="BQ839" s="239"/>
      <c r="BR839" s="239"/>
      <c r="BS839" s="239"/>
      <c r="BT839" s="239"/>
      <c r="BU839" s="239"/>
      <c r="BV839" s="239"/>
      <c r="BW839" s="239"/>
      <c r="BX839" s="239"/>
      <c r="BY839" s="239"/>
      <c r="BZ839" s="239"/>
      <c r="CA839" s="239"/>
      <c r="CB839" s="239"/>
      <c r="CC839" s="239"/>
      <c r="CD839" s="239"/>
      <c r="CE839" s="239"/>
      <c r="CF839" s="239"/>
      <c r="CG839" s="239"/>
    </row>
    <row r="840" spans="1:85" ht="15.75" customHeight="1">
      <c r="A840" s="239"/>
      <c r="B840" s="239"/>
      <c r="C840" s="239"/>
      <c r="D840" s="239"/>
      <c r="E840" s="239"/>
      <c r="F840" s="239"/>
      <c r="G840" s="239"/>
      <c r="H840" s="239"/>
      <c r="I840" s="239"/>
      <c r="J840" s="239"/>
      <c r="K840" s="239"/>
      <c r="L840" s="239"/>
      <c r="M840" s="239"/>
      <c r="N840" s="239"/>
      <c r="O840" s="239"/>
      <c r="P840" s="239"/>
      <c r="Q840" s="239"/>
      <c r="R840" s="239"/>
      <c r="S840" s="239"/>
      <c r="T840" s="239"/>
      <c r="U840" s="239"/>
      <c r="V840" s="239"/>
      <c r="W840" s="239"/>
      <c r="X840" s="239"/>
      <c r="Y840" s="239"/>
      <c r="Z840" s="239"/>
      <c r="AA840" s="239"/>
      <c r="AB840" s="239"/>
      <c r="AC840" s="239"/>
      <c r="AD840" s="239"/>
      <c r="AE840" s="239"/>
      <c r="AF840" s="239"/>
      <c r="AG840" s="239"/>
      <c r="AH840" s="239"/>
      <c r="AI840" s="239"/>
      <c r="AJ840" s="239"/>
      <c r="AK840" s="239"/>
      <c r="AL840" s="239"/>
      <c r="AM840" s="239"/>
      <c r="AN840" s="239"/>
      <c r="AO840" s="239"/>
      <c r="AP840" s="239"/>
      <c r="AQ840" s="239"/>
      <c r="AR840" s="239"/>
      <c r="AS840" s="239"/>
      <c r="AT840" s="239"/>
      <c r="AU840" s="239"/>
      <c r="AV840" s="239"/>
      <c r="AW840" s="239"/>
      <c r="AX840" s="239"/>
      <c r="AY840" s="239"/>
      <c r="AZ840" s="239"/>
      <c r="BA840" s="239"/>
      <c r="BB840" s="239"/>
      <c r="BC840" s="239"/>
      <c r="BD840" s="239"/>
      <c r="BE840" s="239"/>
      <c r="BF840" s="239"/>
      <c r="BG840" s="239"/>
      <c r="BH840" s="239"/>
      <c r="BI840" s="239"/>
      <c r="BJ840" s="239"/>
      <c r="BK840" s="239"/>
      <c r="BL840" s="239"/>
      <c r="BM840" s="239"/>
      <c r="BN840" s="239"/>
      <c r="BO840" s="239"/>
      <c r="BP840" s="239"/>
      <c r="BQ840" s="239"/>
      <c r="BR840" s="239"/>
      <c r="BS840" s="239"/>
      <c r="BT840" s="239"/>
      <c r="BU840" s="239"/>
      <c r="BV840" s="239"/>
      <c r="BW840" s="239"/>
      <c r="BX840" s="239"/>
      <c r="BY840" s="239"/>
      <c r="BZ840" s="239"/>
      <c r="CA840" s="239"/>
      <c r="CB840" s="239"/>
      <c r="CC840" s="239"/>
      <c r="CD840" s="239"/>
      <c r="CE840" s="239"/>
      <c r="CF840" s="239"/>
      <c r="CG840" s="239"/>
    </row>
    <row r="841" spans="1:85" ht="15.75" customHeight="1">
      <c r="A841" s="239"/>
      <c r="B841" s="239"/>
      <c r="C841" s="239"/>
      <c r="D841" s="239"/>
      <c r="E841" s="239"/>
      <c r="F841" s="239"/>
      <c r="G841" s="239"/>
      <c r="H841" s="239"/>
      <c r="I841" s="239"/>
      <c r="J841" s="239"/>
      <c r="K841" s="239"/>
      <c r="L841" s="239"/>
      <c r="M841" s="239"/>
      <c r="N841" s="239"/>
      <c r="O841" s="239"/>
      <c r="P841" s="239"/>
      <c r="Q841" s="239"/>
      <c r="R841" s="239"/>
      <c r="S841" s="239"/>
      <c r="T841" s="239"/>
      <c r="U841" s="239"/>
      <c r="V841" s="239"/>
      <c r="W841" s="239"/>
      <c r="X841" s="239"/>
      <c r="Y841" s="239"/>
      <c r="Z841" s="239"/>
      <c r="AA841" s="239"/>
      <c r="AB841" s="239"/>
      <c r="AC841" s="239"/>
      <c r="AD841" s="239"/>
      <c r="AE841" s="239"/>
      <c r="AF841" s="239"/>
      <c r="AG841" s="239"/>
      <c r="AH841" s="239"/>
      <c r="AI841" s="239"/>
      <c r="AJ841" s="239"/>
      <c r="AK841" s="239"/>
      <c r="AL841" s="239"/>
      <c r="AM841" s="239"/>
      <c r="AN841" s="239"/>
      <c r="AO841" s="239"/>
      <c r="AP841" s="239"/>
      <c r="AQ841" s="239"/>
      <c r="AR841" s="239"/>
      <c r="AS841" s="239"/>
      <c r="AT841" s="239"/>
      <c r="AU841" s="239"/>
      <c r="AV841" s="239"/>
      <c r="AW841" s="239"/>
      <c r="AX841" s="239"/>
      <c r="AY841" s="239"/>
      <c r="AZ841" s="239"/>
      <c r="BA841" s="239"/>
      <c r="BB841" s="239"/>
      <c r="BC841" s="239"/>
      <c r="BD841" s="239"/>
      <c r="BE841" s="239"/>
      <c r="BF841" s="239"/>
      <c r="BG841" s="239"/>
      <c r="BH841" s="239"/>
      <c r="BI841" s="239"/>
      <c r="BJ841" s="239"/>
      <c r="BK841" s="239"/>
      <c r="BL841" s="239"/>
      <c r="BM841" s="239"/>
      <c r="BN841" s="239"/>
      <c r="BO841" s="239"/>
      <c r="BP841" s="239"/>
      <c r="BQ841" s="239"/>
      <c r="BR841" s="239"/>
      <c r="BS841" s="239"/>
      <c r="BT841" s="239"/>
      <c r="BU841" s="239"/>
      <c r="BV841" s="239"/>
      <c r="BW841" s="239"/>
      <c r="BX841" s="239"/>
      <c r="BY841" s="239"/>
      <c r="BZ841" s="239"/>
      <c r="CA841" s="239"/>
      <c r="CB841" s="239"/>
      <c r="CC841" s="239"/>
      <c r="CD841" s="239"/>
      <c r="CE841" s="239"/>
      <c r="CF841" s="239"/>
      <c r="CG841" s="239"/>
    </row>
    <row r="842" spans="1:85" ht="15.75" customHeight="1">
      <c r="A842" s="239"/>
      <c r="B842" s="239"/>
      <c r="C842" s="239"/>
      <c r="D842" s="239"/>
      <c r="E842" s="239"/>
      <c r="F842" s="239"/>
      <c r="G842" s="239"/>
      <c r="H842" s="239"/>
      <c r="I842" s="239"/>
      <c r="J842" s="239"/>
      <c r="K842" s="239"/>
      <c r="L842" s="239"/>
      <c r="M842" s="239"/>
      <c r="N842" s="239"/>
      <c r="O842" s="239"/>
      <c r="P842" s="239"/>
      <c r="Q842" s="239"/>
      <c r="R842" s="239"/>
      <c r="S842" s="239"/>
      <c r="T842" s="239"/>
      <c r="U842" s="239"/>
      <c r="V842" s="239"/>
      <c r="W842" s="239"/>
      <c r="X842" s="239"/>
      <c r="Y842" s="239"/>
      <c r="Z842" s="239"/>
      <c r="AA842" s="239"/>
      <c r="AB842" s="239"/>
      <c r="AC842" s="239"/>
      <c r="AD842" s="239"/>
      <c r="AE842" s="239"/>
      <c r="AF842" s="239"/>
      <c r="AG842" s="239"/>
      <c r="AH842" s="239"/>
      <c r="AI842" s="239"/>
      <c r="AJ842" s="239"/>
      <c r="AK842" s="239"/>
      <c r="AL842" s="239"/>
      <c r="AM842" s="239"/>
      <c r="AN842" s="239"/>
      <c r="AO842" s="239"/>
      <c r="AP842" s="239"/>
      <c r="AQ842" s="239"/>
      <c r="AR842" s="239"/>
      <c r="AS842" s="239"/>
      <c r="AT842" s="239"/>
      <c r="AU842" s="239"/>
      <c r="AV842" s="239"/>
      <c r="AW842" s="239"/>
      <c r="AX842" s="239"/>
      <c r="AY842" s="239"/>
      <c r="AZ842" s="239"/>
      <c r="BA842" s="239"/>
      <c r="BB842" s="239"/>
      <c r="BC842" s="239"/>
      <c r="BD842" s="239"/>
      <c r="BE842" s="239"/>
      <c r="BF842" s="239"/>
      <c r="BG842" s="239"/>
      <c r="BH842" s="239"/>
      <c r="BI842" s="239"/>
      <c r="BJ842" s="239"/>
      <c r="BK842" s="239"/>
      <c r="BL842" s="239"/>
      <c r="BM842" s="239"/>
      <c r="BN842" s="239"/>
      <c r="BO842" s="239"/>
      <c r="BP842" s="239"/>
      <c r="BQ842" s="239"/>
      <c r="BR842" s="239"/>
      <c r="BS842" s="239"/>
      <c r="BT842" s="239"/>
      <c r="BU842" s="239"/>
      <c r="BV842" s="239"/>
      <c r="BW842" s="239"/>
      <c r="BX842" s="239"/>
      <c r="BY842" s="239"/>
      <c r="BZ842" s="239"/>
      <c r="CA842" s="239"/>
      <c r="CB842" s="239"/>
      <c r="CC842" s="239"/>
      <c r="CD842" s="239"/>
      <c r="CE842" s="239"/>
      <c r="CF842" s="239"/>
      <c r="CG842" s="239"/>
    </row>
    <row r="843" spans="1:85" ht="15.75" customHeight="1">
      <c r="A843" s="239"/>
      <c r="B843" s="239"/>
      <c r="C843" s="239"/>
      <c r="D843" s="239"/>
      <c r="E843" s="239"/>
      <c r="F843" s="239"/>
      <c r="G843" s="239"/>
      <c r="H843" s="239"/>
      <c r="I843" s="239"/>
      <c r="J843" s="239"/>
      <c r="K843" s="239"/>
      <c r="L843" s="239"/>
      <c r="M843" s="239"/>
      <c r="N843" s="239"/>
      <c r="O843" s="239"/>
      <c r="P843" s="239"/>
      <c r="Q843" s="239"/>
      <c r="R843" s="239"/>
      <c r="S843" s="239"/>
      <c r="T843" s="239"/>
      <c r="U843" s="239"/>
      <c r="V843" s="239"/>
      <c r="W843" s="239"/>
      <c r="X843" s="239"/>
      <c r="Y843" s="239"/>
      <c r="Z843" s="239"/>
      <c r="AA843" s="239"/>
      <c r="AB843" s="239"/>
      <c r="AC843" s="239"/>
      <c r="AD843" s="239"/>
      <c r="AE843" s="239"/>
      <c r="AF843" s="239"/>
      <c r="AG843" s="239"/>
      <c r="AH843" s="239"/>
      <c r="AI843" s="239"/>
      <c r="AJ843" s="239"/>
      <c r="AK843" s="239"/>
      <c r="AL843" s="239"/>
      <c r="AM843" s="239"/>
      <c r="AN843" s="239"/>
      <c r="AO843" s="239"/>
      <c r="AP843" s="239"/>
      <c r="AQ843" s="239"/>
      <c r="AR843" s="239"/>
      <c r="AS843" s="239"/>
      <c r="AT843" s="239"/>
      <c r="AU843" s="239"/>
      <c r="AV843" s="239"/>
      <c r="AW843" s="239"/>
      <c r="AX843" s="239"/>
      <c r="AY843" s="239"/>
      <c r="AZ843" s="239"/>
      <c r="BA843" s="239"/>
      <c r="BB843" s="239"/>
      <c r="BC843" s="239"/>
      <c r="BD843" s="239"/>
      <c r="BE843" s="239"/>
      <c r="BF843" s="239"/>
      <c r="BG843" s="239"/>
      <c r="BH843" s="239"/>
      <c r="BI843" s="239"/>
      <c r="BJ843" s="239"/>
      <c r="BK843" s="239"/>
      <c r="BL843" s="239"/>
      <c r="BM843" s="239"/>
      <c r="BN843" s="239"/>
      <c r="BO843" s="239"/>
      <c r="BP843" s="239"/>
      <c r="BQ843" s="239"/>
      <c r="BR843" s="239"/>
      <c r="BS843" s="239"/>
      <c r="BT843" s="239"/>
      <c r="BU843" s="239"/>
      <c r="BV843" s="239"/>
      <c r="BW843" s="239"/>
      <c r="BX843" s="239"/>
      <c r="BY843" s="239"/>
      <c r="BZ843" s="239"/>
      <c r="CA843" s="239"/>
      <c r="CB843" s="239"/>
      <c r="CC843" s="239"/>
      <c r="CD843" s="239"/>
      <c r="CE843" s="239"/>
      <c r="CF843" s="239"/>
      <c r="CG843" s="239"/>
    </row>
    <row r="844" spans="1:85" ht="15.75" customHeight="1">
      <c r="A844" s="239"/>
      <c r="B844" s="239"/>
      <c r="C844" s="239"/>
      <c r="D844" s="239"/>
      <c r="E844" s="239"/>
      <c r="F844" s="239"/>
      <c r="G844" s="239"/>
      <c r="H844" s="239"/>
      <c r="I844" s="239"/>
      <c r="J844" s="239"/>
      <c r="K844" s="239"/>
      <c r="L844" s="239"/>
      <c r="M844" s="239"/>
      <c r="N844" s="239"/>
      <c r="O844" s="239"/>
      <c r="P844" s="239"/>
      <c r="Q844" s="239"/>
      <c r="R844" s="239"/>
      <c r="S844" s="239"/>
      <c r="T844" s="239"/>
      <c r="U844" s="239"/>
      <c r="V844" s="239"/>
      <c r="W844" s="239"/>
      <c r="X844" s="239"/>
      <c r="Y844" s="239"/>
      <c r="Z844" s="239"/>
      <c r="AA844" s="239"/>
      <c r="AB844" s="239"/>
      <c r="AC844" s="239"/>
      <c r="AD844" s="239"/>
      <c r="AE844" s="239"/>
      <c r="AF844" s="239"/>
      <c r="AG844" s="239"/>
      <c r="AH844" s="239"/>
      <c r="AI844" s="239"/>
      <c r="AJ844" s="239"/>
      <c r="AK844" s="239"/>
      <c r="AL844" s="239"/>
      <c r="AM844" s="239"/>
      <c r="AN844" s="239"/>
      <c r="AO844" s="239"/>
      <c r="AP844" s="239"/>
      <c r="AQ844" s="239"/>
      <c r="AR844" s="239"/>
      <c r="AS844" s="239"/>
      <c r="AT844" s="239"/>
      <c r="AU844" s="239"/>
      <c r="AV844" s="239"/>
      <c r="AW844" s="239"/>
      <c r="AX844" s="239"/>
      <c r="AY844" s="239"/>
      <c r="AZ844" s="239"/>
      <c r="BA844" s="239"/>
      <c r="BB844" s="239"/>
      <c r="BC844" s="239"/>
      <c r="BD844" s="239"/>
      <c r="BE844" s="239"/>
      <c r="BF844" s="239"/>
      <c r="BG844" s="239"/>
      <c r="BH844" s="239"/>
      <c r="BI844" s="239"/>
      <c r="BJ844" s="239"/>
      <c r="BK844" s="239"/>
      <c r="BL844" s="239"/>
      <c r="BM844" s="239"/>
      <c r="BN844" s="239"/>
      <c r="BO844" s="239"/>
      <c r="BP844" s="239"/>
      <c r="BQ844" s="239"/>
      <c r="BR844" s="239"/>
      <c r="BS844" s="239"/>
      <c r="BT844" s="239"/>
      <c r="BU844" s="239"/>
      <c r="BV844" s="239"/>
      <c r="BW844" s="239"/>
      <c r="BX844" s="239"/>
      <c r="BY844" s="239"/>
      <c r="BZ844" s="239"/>
      <c r="CA844" s="239"/>
      <c r="CB844" s="239"/>
      <c r="CC844" s="239"/>
      <c r="CD844" s="239"/>
      <c r="CE844" s="239"/>
      <c r="CF844" s="239"/>
      <c r="CG844" s="239"/>
    </row>
    <row r="845" spans="1:85" ht="15.75" customHeight="1">
      <c r="A845" s="239"/>
      <c r="B845" s="239"/>
      <c r="C845" s="239"/>
      <c r="D845" s="239"/>
      <c r="E845" s="239"/>
      <c r="F845" s="239"/>
      <c r="G845" s="239"/>
      <c r="H845" s="239"/>
      <c r="I845" s="239"/>
      <c r="J845" s="239"/>
      <c r="K845" s="239"/>
      <c r="L845" s="239"/>
      <c r="M845" s="239"/>
      <c r="N845" s="239"/>
      <c r="O845" s="239"/>
      <c r="P845" s="239"/>
      <c r="Q845" s="239"/>
      <c r="R845" s="239"/>
      <c r="S845" s="239"/>
      <c r="T845" s="239"/>
      <c r="U845" s="239"/>
      <c r="V845" s="239"/>
      <c r="W845" s="239"/>
      <c r="X845" s="239"/>
      <c r="Y845" s="239"/>
      <c r="Z845" s="239"/>
      <c r="AA845" s="239"/>
      <c r="AB845" s="239"/>
      <c r="AC845" s="239"/>
      <c r="AD845" s="239"/>
      <c r="AE845" s="239"/>
      <c r="AF845" s="239"/>
      <c r="AG845" s="239"/>
      <c r="AH845" s="239"/>
      <c r="AI845" s="239"/>
      <c r="AJ845" s="239"/>
      <c r="AK845" s="239"/>
      <c r="AL845" s="239"/>
      <c r="AM845" s="239"/>
      <c r="AN845" s="239"/>
      <c r="AO845" s="239"/>
      <c r="AP845" s="239"/>
      <c r="AQ845" s="239"/>
      <c r="AR845" s="239"/>
      <c r="AS845" s="239"/>
      <c r="AT845" s="239"/>
      <c r="AU845" s="239"/>
      <c r="AV845" s="239"/>
      <c r="AW845" s="239"/>
      <c r="AX845" s="239"/>
      <c r="AY845" s="239"/>
      <c r="AZ845" s="239"/>
      <c r="BA845" s="239"/>
      <c r="BB845" s="239"/>
      <c r="BC845" s="239"/>
      <c r="BD845" s="239"/>
      <c r="BE845" s="239"/>
      <c r="BF845" s="239"/>
      <c r="BG845" s="239"/>
      <c r="BH845" s="239"/>
      <c r="BI845" s="239"/>
      <c r="BJ845" s="239"/>
      <c r="BK845" s="239"/>
      <c r="BL845" s="239"/>
      <c r="BM845" s="239"/>
      <c r="BN845" s="239"/>
      <c r="BO845" s="239"/>
      <c r="BP845" s="239"/>
      <c r="BQ845" s="239"/>
      <c r="BR845" s="239"/>
      <c r="BS845" s="239"/>
      <c r="BT845" s="239"/>
      <c r="BU845" s="239"/>
      <c r="BV845" s="239"/>
      <c r="BW845" s="239"/>
      <c r="BX845" s="239"/>
      <c r="BY845" s="239"/>
      <c r="BZ845" s="239"/>
      <c r="CA845" s="239"/>
      <c r="CB845" s="239"/>
      <c r="CC845" s="239"/>
      <c r="CD845" s="239"/>
      <c r="CE845" s="239"/>
      <c r="CF845" s="239"/>
      <c r="CG845" s="239"/>
    </row>
    <row r="846" spans="1:85" ht="15.75" customHeight="1">
      <c r="A846" s="239"/>
      <c r="B846" s="239"/>
      <c r="C846" s="239"/>
      <c r="D846" s="239"/>
      <c r="E846" s="239"/>
      <c r="F846" s="239"/>
      <c r="G846" s="239"/>
      <c r="H846" s="239"/>
      <c r="I846" s="239"/>
      <c r="J846" s="239"/>
      <c r="K846" s="239"/>
      <c r="L846" s="239"/>
      <c r="M846" s="239"/>
      <c r="N846" s="239"/>
      <c r="O846" s="239"/>
      <c r="P846" s="239"/>
      <c r="Q846" s="239"/>
      <c r="R846" s="239"/>
      <c r="S846" s="239"/>
      <c r="T846" s="239"/>
      <c r="U846" s="239"/>
      <c r="V846" s="239"/>
      <c r="W846" s="239"/>
      <c r="X846" s="239"/>
      <c r="Y846" s="239"/>
      <c r="Z846" s="239"/>
      <c r="AA846" s="239"/>
      <c r="AB846" s="239"/>
      <c r="AC846" s="239"/>
      <c r="AD846" s="239"/>
      <c r="AE846" s="239"/>
      <c r="AF846" s="239"/>
      <c r="AG846" s="239"/>
      <c r="AH846" s="239"/>
      <c r="AI846" s="239"/>
      <c r="AJ846" s="239"/>
      <c r="AK846" s="239"/>
      <c r="AL846" s="239"/>
      <c r="AM846" s="239"/>
      <c r="AN846" s="239"/>
      <c r="AO846" s="239"/>
      <c r="AP846" s="239"/>
      <c r="AQ846" s="239"/>
      <c r="AR846" s="239"/>
      <c r="AS846" s="239"/>
      <c r="AT846" s="239"/>
      <c r="AU846" s="239"/>
      <c r="AV846" s="239"/>
      <c r="AW846" s="239"/>
      <c r="AX846" s="239"/>
      <c r="AY846" s="239"/>
      <c r="AZ846" s="239"/>
      <c r="BA846" s="239"/>
      <c r="BB846" s="239"/>
      <c r="BC846" s="239"/>
      <c r="BD846" s="239"/>
      <c r="BE846" s="239"/>
      <c r="BF846" s="239"/>
      <c r="BG846" s="239"/>
      <c r="BH846" s="239"/>
      <c r="BI846" s="239"/>
      <c r="BJ846" s="239"/>
      <c r="BK846" s="239"/>
      <c r="BL846" s="239"/>
      <c r="BM846" s="239"/>
      <c r="BN846" s="239"/>
      <c r="BO846" s="239"/>
      <c r="BP846" s="239"/>
      <c r="BQ846" s="239"/>
      <c r="BR846" s="239"/>
      <c r="BS846" s="239"/>
      <c r="BT846" s="239"/>
      <c r="BU846" s="239"/>
      <c r="BV846" s="239"/>
      <c r="BW846" s="239"/>
      <c r="BX846" s="239"/>
      <c r="BY846" s="239"/>
      <c r="BZ846" s="239"/>
      <c r="CA846" s="239"/>
      <c r="CB846" s="239"/>
      <c r="CC846" s="239"/>
      <c r="CD846" s="239"/>
      <c r="CE846" s="239"/>
      <c r="CF846" s="239"/>
      <c r="CG846" s="239"/>
    </row>
    <row r="847" spans="1:85" ht="15.75" customHeight="1">
      <c r="A847" s="239"/>
      <c r="B847" s="239"/>
      <c r="C847" s="239"/>
      <c r="D847" s="239"/>
      <c r="E847" s="239"/>
      <c r="F847" s="239"/>
      <c r="G847" s="239"/>
      <c r="H847" s="239"/>
      <c r="I847" s="239"/>
      <c r="J847" s="239"/>
      <c r="K847" s="239"/>
      <c r="L847" s="239"/>
      <c r="M847" s="239"/>
      <c r="N847" s="239"/>
      <c r="O847" s="239"/>
      <c r="P847" s="239"/>
      <c r="Q847" s="239"/>
      <c r="R847" s="239"/>
      <c r="S847" s="239"/>
      <c r="T847" s="239"/>
      <c r="U847" s="239"/>
      <c r="V847" s="239"/>
      <c r="W847" s="239"/>
      <c r="X847" s="239"/>
      <c r="Y847" s="239"/>
      <c r="Z847" s="239"/>
      <c r="AA847" s="239"/>
      <c r="AB847" s="239"/>
      <c r="AC847" s="239"/>
      <c r="AD847" s="239"/>
      <c r="AE847" s="239"/>
      <c r="AF847" s="239"/>
      <c r="AG847" s="239"/>
      <c r="AH847" s="239"/>
      <c r="AI847" s="239"/>
      <c r="AJ847" s="239"/>
      <c r="AK847" s="239"/>
      <c r="AL847" s="239"/>
      <c r="AM847" s="239"/>
      <c r="AN847" s="239"/>
      <c r="AO847" s="239"/>
      <c r="AP847" s="239"/>
      <c r="AQ847" s="239"/>
      <c r="AR847" s="239"/>
      <c r="AS847" s="239"/>
      <c r="AT847" s="239"/>
      <c r="AU847" s="239"/>
      <c r="AV847" s="239"/>
      <c r="AW847" s="239"/>
      <c r="AX847" s="239"/>
      <c r="AY847" s="239"/>
      <c r="AZ847" s="239"/>
      <c r="BA847" s="239"/>
      <c r="BB847" s="239"/>
      <c r="BC847" s="239"/>
      <c r="BD847" s="239"/>
      <c r="BE847" s="239"/>
      <c r="BF847" s="239"/>
      <c r="BG847" s="239"/>
      <c r="BH847" s="239"/>
      <c r="BI847" s="239"/>
      <c r="BJ847" s="239"/>
      <c r="BK847" s="239"/>
      <c r="BL847" s="239"/>
      <c r="BM847" s="239"/>
      <c r="BN847" s="239"/>
      <c r="BO847" s="239"/>
      <c r="BP847" s="239"/>
      <c r="BQ847" s="239"/>
      <c r="BR847" s="239"/>
      <c r="BS847" s="239"/>
      <c r="BT847" s="239"/>
      <c r="BU847" s="239"/>
      <c r="BV847" s="239"/>
      <c r="BW847" s="239"/>
      <c r="BX847" s="239"/>
      <c r="BY847" s="239"/>
      <c r="BZ847" s="239"/>
      <c r="CA847" s="239"/>
      <c r="CB847" s="239"/>
      <c r="CC847" s="239"/>
      <c r="CD847" s="239"/>
      <c r="CE847" s="239"/>
      <c r="CF847" s="239"/>
      <c r="CG847" s="239"/>
    </row>
    <row r="848" spans="1:85" ht="15.75" customHeight="1">
      <c r="A848" s="239"/>
      <c r="B848" s="239"/>
      <c r="C848" s="239"/>
      <c r="D848" s="239"/>
      <c r="E848" s="239"/>
      <c r="F848" s="239"/>
      <c r="G848" s="239"/>
      <c r="H848" s="239"/>
      <c r="I848" s="239"/>
      <c r="J848" s="239"/>
      <c r="K848" s="239"/>
      <c r="L848" s="239"/>
      <c r="M848" s="239"/>
      <c r="N848" s="239"/>
      <c r="O848" s="239"/>
      <c r="P848" s="239"/>
      <c r="Q848" s="239"/>
      <c r="R848" s="239"/>
      <c r="S848" s="239"/>
      <c r="T848" s="239"/>
      <c r="U848" s="239"/>
      <c r="V848" s="239"/>
      <c r="W848" s="239"/>
      <c r="X848" s="239"/>
      <c r="Y848" s="239"/>
      <c r="Z848" s="239"/>
      <c r="AA848" s="239"/>
      <c r="AB848" s="239"/>
      <c r="AC848" s="239"/>
      <c r="AD848" s="239"/>
      <c r="AE848" s="239"/>
      <c r="AF848" s="239"/>
      <c r="AG848" s="239"/>
      <c r="AH848" s="239"/>
      <c r="AI848" s="239"/>
      <c r="AJ848" s="239"/>
      <c r="AK848" s="239"/>
      <c r="AL848" s="239"/>
      <c r="AM848" s="239"/>
      <c r="AN848" s="239"/>
      <c r="AO848" s="239"/>
      <c r="AP848" s="239"/>
      <c r="AQ848" s="239"/>
      <c r="AR848" s="239"/>
      <c r="AS848" s="239"/>
      <c r="AT848" s="239"/>
      <c r="AU848" s="239"/>
      <c r="AV848" s="239"/>
      <c r="AW848" s="239"/>
      <c r="AX848" s="239"/>
      <c r="AY848" s="239"/>
      <c r="AZ848" s="239"/>
      <c r="BA848" s="239"/>
      <c r="BB848" s="239"/>
      <c r="BC848" s="239"/>
      <c r="BD848" s="239"/>
      <c r="BE848" s="239"/>
      <c r="BF848" s="239"/>
      <c r="BG848" s="239"/>
      <c r="BH848" s="239"/>
      <c r="BI848" s="239"/>
      <c r="BJ848" s="239"/>
      <c r="BK848" s="239"/>
      <c r="BL848" s="239"/>
      <c r="BM848" s="239"/>
      <c r="BN848" s="239"/>
      <c r="BO848" s="239"/>
      <c r="BP848" s="239"/>
      <c r="BQ848" s="239"/>
      <c r="BR848" s="239"/>
      <c r="BS848" s="239"/>
      <c r="BT848" s="239"/>
      <c r="BU848" s="239"/>
      <c r="BV848" s="239"/>
      <c r="BW848" s="239"/>
      <c r="BX848" s="239"/>
      <c r="BY848" s="239"/>
      <c r="BZ848" s="239"/>
      <c r="CA848" s="239"/>
      <c r="CB848" s="239"/>
      <c r="CC848" s="239"/>
      <c r="CD848" s="239"/>
      <c r="CE848" s="239"/>
      <c r="CF848" s="239"/>
      <c r="CG848" s="239"/>
    </row>
    <row r="849" spans="1:85" ht="15.75" customHeight="1">
      <c r="A849" s="239"/>
      <c r="B849" s="239"/>
      <c r="C849" s="239"/>
      <c r="D849" s="239"/>
      <c r="E849" s="239"/>
      <c r="F849" s="239"/>
      <c r="G849" s="239"/>
      <c r="H849" s="239"/>
      <c r="I849" s="239"/>
      <c r="J849" s="239"/>
      <c r="K849" s="239"/>
      <c r="L849" s="239"/>
      <c r="M849" s="239"/>
      <c r="N849" s="239"/>
      <c r="O849" s="239"/>
      <c r="P849" s="239"/>
      <c r="Q849" s="239"/>
      <c r="R849" s="239"/>
      <c r="S849" s="239"/>
      <c r="T849" s="239"/>
      <c r="U849" s="239"/>
      <c r="V849" s="239"/>
      <c r="W849" s="239"/>
      <c r="X849" s="239"/>
      <c r="Y849" s="239"/>
      <c r="Z849" s="239"/>
      <c r="AA849" s="239"/>
      <c r="AB849" s="239"/>
      <c r="AC849" s="239"/>
      <c r="AD849" s="239"/>
      <c r="AE849" s="239"/>
      <c r="AF849" s="239"/>
      <c r="AG849" s="239"/>
      <c r="AH849" s="239"/>
      <c r="AI849" s="239"/>
      <c r="AJ849" s="239"/>
      <c r="AK849" s="239"/>
      <c r="AL849" s="239"/>
      <c r="AM849" s="239"/>
      <c r="AN849" s="239"/>
      <c r="AO849" s="239"/>
      <c r="AP849" s="239"/>
      <c r="AQ849" s="239"/>
      <c r="AR849" s="239"/>
      <c r="AS849" s="239"/>
      <c r="AT849" s="239"/>
      <c r="AU849" s="239"/>
      <c r="AV849" s="239"/>
      <c r="AW849" s="239"/>
      <c r="AX849" s="239"/>
      <c r="AY849" s="239"/>
      <c r="AZ849" s="239"/>
      <c r="BA849" s="239"/>
      <c r="BB849" s="239"/>
      <c r="BC849" s="239"/>
      <c r="BD849" s="239"/>
      <c r="BE849" s="239"/>
      <c r="BF849" s="239"/>
      <c r="BG849" s="239"/>
      <c r="BH849" s="239"/>
      <c r="BI849" s="239"/>
      <c r="BJ849" s="239"/>
      <c r="BK849" s="239"/>
      <c r="BL849" s="239"/>
      <c r="BM849" s="239"/>
      <c r="BN849" s="239"/>
      <c r="BO849" s="239"/>
      <c r="BP849" s="239"/>
      <c r="BQ849" s="239"/>
      <c r="BR849" s="239"/>
      <c r="BS849" s="239"/>
      <c r="BT849" s="239"/>
      <c r="BU849" s="239"/>
      <c r="BV849" s="239"/>
      <c r="BW849" s="239"/>
      <c r="BX849" s="239"/>
      <c r="BY849" s="239"/>
      <c r="BZ849" s="239"/>
      <c r="CA849" s="239"/>
      <c r="CB849" s="239"/>
      <c r="CC849" s="239"/>
      <c r="CD849" s="239"/>
      <c r="CE849" s="239"/>
      <c r="CF849" s="239"/>
      <c r="CG849" s="239"/>
    </row>
    <row r="850" spans="1:85" ht="15.75" customHeight="1">
      <c r="A850" s="239"/>
      <c r="B850" s="239"/>
      <c r="C850" s="239"/>
      <c r="D850" s="239"/>
      <c r="E850" s="239"/>
      <c r="F850" s="239"/>
      <c r="G850" s="239"/>
      <c r="H850" s="239"/>
      <c r="I850" s="239"/>
      <c r="J850" s="239"/>
      <c r="K850" s="239"/>
      <c r="L850" s="239"/>
      <c r="M850" s="239"/>
      <c r="N850" s="239"/>
      <c r="O850" s="239"/>
      <c r="P850" s="239"/>
      <c r="Q850" s="239"/>
      <c r="R850" s="239"/>
      <c r="S850" s="239"/>
      <c r="T850" s="239"/>
      <c r="U850" s="239"/>
      <c r="V850" s="239"/>
      <c r="W850" s="239"/>
      <c r="X850" s="239"/>
      <c r="Y850" s="239"/>
      <c r="Z850" s="239"/>
      <c r="AA850" s="239"/>
      <c r="AB850" s="239"/>
      <c r="AC850" s="239"/>
      <c r="AD850" s="239"/>
      <c r="AE850" s="239"/>
      <c r="AF850" s="239"/>
      <c r="AG850" s="239"/>
      <c r="AH850" s="239"/>
      <c r="AI850" s="239"/>
      <c r="AJ850" s="239"/>
      <c r="AK850" s="239"/>
      <c r="AL850" s="239"/>
      <c r="AM850" s="239"/>
      <c r="AN850" s="239"/>
      <c r="AO850" s="239"/>
      <c r="AP850" s="239"/>
      <c r="AQ850" s="239"/>
      <c r="AR850" s="239"/>
      <c r="AS850" s="239"/>
      <c r="AT850" s="239"/>
      <c r="AU850" s="239"/>
      <c r="AV850" s="239"/>
      <c r="AW850" s="239"/>
      <c r="AX850" s="239"/>
      <c r="AY850" s="239"/>
      <c r="AZ850" s="239"/>
      <c r="BA850" s="239"/>
      <c r="BB850" s="239"/>
      <c r="BC850" s="239"/>
      <c r="BD850" s="239"/>
      <c r="BE850" s="239"/>
      <c r="BF850" s="239"/>
      <c r="BG850" s="239"/>
      <c r="BH850" s="239"/>
      <c r="BI850" s="239"/>
      <c r="BJ850" s="239"/>
      <c r="BK850" s="239"/>
      <c r="BL850" s="239"/>
      <c r="BM850" s="239"/>
      <c r="BN850" s="239"/>
      <c r="BO850" s="239"/>
      <c r="BP850" s="239"/>
      <c r="BQ850" s="239"/>
      <c r="BR850" s="239"/>
      <c r="BS850" s="239"/>
      <c r="BT850" s="239"/>
      <c r="BU850" s="239"/>
      <c r="BV850" s="239"/>
      <c r="BW850" s="239"/>
      <c r="BX850" s="239"/>
      <c r="BY850" s="239"/>
      <c r="BZ850" s="239"/>
      <c r="CA850" s="239"/>
      <c r="CB850" s="239"/>
      <c r="CC850" s="239"/>
      <c r="CD850" s="239"/>
      <c r="CE850" s="239"/>
      <c r="CF850" s="239"/>
      <c r="CG850" s="239"/>
    </row>
    <row r="851" spans="1:85" ht="15.75" customHeight="1">
      <c r="A851" s="239"/>
      <c r="B851" s="239"/>
      <c r="C851" s="239"/>
      <c r="D851" s="239"/>
      <c r="E851" s="239"/>
      <c r="F851" s="239"/>
      <c r="G851" s="239"/>
      <c r="H851" s="239"/>
      <c r="I851" s="239"/>
      <c r="J851" s="239"/>
      <c r="K851" s="239"/>
      <c r="L851" s="239"/>
      <c r="M851" s="239"/>
      <c r="N851" s="239"/>
      <c r="O851" s="239"/>
      <c r="P851" s="239"/>
      <c r="Q851" s="239"/>
      <c r="R851" s="239"/>
      <c r="S851" s="239"/>
      <c r="T851" s="239"/>
      <c r="U851" s="239"/>
      <c r="V851" s="239"/>
      <c r="W851" s="239"/>
      <c r="X851" s="239"/>
      <c r="Y851" s="239"/>
      <c r="Z851" s="239"/>
      <c r="AA851" s="239"/>
      <c r="AB851" s="239"/>
      <c r="AC851" s="239"/>
      <c r="AD851" s="239"/>
      <c r="AE851" s="239"/>
      <c r="AF851" s="239"/>
      <c r="AG851" s="239"/>
      <c r="AH851" s="239"/>
      <c r="AI851" s="239"/>
      <c r="AJ851" s="239"/>
      <c r="AK851" s="239"/>
      <c r="AL851" s="239"/>
      <c r="AM851" s="239"/>
      <c r="AN851" s="239"/>
      <c r="AO851" s="239"/>
      <c r="AP851" s="239"/>
      <c r="AQ851" s="239"/>
      <c r="AR851" s="239"/>
      <c r="AS851" s="239"/>
      <c r="AT851" s="239"/>
      <c r="AU851" s="239"/>
      <c r="AV851" s="239"/>
      <c r="AW851" s="239"/>
      <c r="AX851" s="239"/>
      <c r="AY851" s="239"/>
      <c r="AZ851" s="239"/>
      <c r="BA851" s="239"/>
      <c r="BB851" s="239"/>
      <c r="BC851" s="239"/>
      <c r="BD851" s="239"/>
      <c r="BE851" s="239"/>
      <c r="BF851" s="239"/>
      <c r="BG851" s="239"/>
      <c r="BH851" s="239"/>
      <c r="BI851" s="239"/>
      <c r="BJ851" s="239"/>
      <c r="BK851" s="239"/>
      <c r="BL851" s="239"/>
      <c r="BM851" s="239"/>
      <c r="BN851" s="239"/>
      <c r="BO851" s="239"/>
      <c r="BP851" s="239"/>
      <c r="BQ851" s="239"/>
      <c r="BR851" s="239"/>
      <c r="BS851" s="239"/>
      <c r="BT851" s="239"/>
      <c r="BU851" s="239"/>
      <c r="BV851" s="239"/>
      <c r="BW851" s="239"/>
      <c r="BX851" s="239"/>
      <c r="BY851" s="239"/>
      <c r="BZ851" s="239"/>
      <c r="CA851" s="239"/>
      <c r="CB851" s="239"/>
      <c r="CC851" s="239"/>
      <c r="CD851" s="239"/>
      <c r="CE851" s="239"/>
      <c r="CF851" s="239"/>
      <c r="CG851" s="239"/>
    </row>
    <row r="852" spans="1:85" ht="15.75" customHeight="1">
      <c r="A852" s="239"/>
      <c r="B852" s="239"/>
      <c r="C852" s="239"/>
      <c r="D852" s="239"/>
      <c r="E852" s="239"/>
      <c r="F852" s="239"/>
      <c r="G852" s="239"/>
      <c r="H852" s="239"/>
      <c r="I852" s="239"/>
      <c r="J852" s="239"/>
      <c r="K852" s="239"/>
      <c r="L852" s="239"/>
      <c r="M852" s="239"/>
      <c r="N852" s="239"/>
      <c r="O852" s="239"/>
      <c r="P852" s="239"/>
      <c r="Q852" s="239"/>
      <c r="R852" s="239"/>
      <c r="S852" s="239"/>
      <c r="T852" s="239"/>
      <c r="U852" s="239"/>
      <c r="V852" s="239"/>
      <c r="W852" s="239"/>
      <c r="X852" s="239"/>
      <c r="Y852" s="239"/>
      <c r="Z852" s="239"/>
      <c r="AA852" s="239"/>
      <c r="AB852" s="239"/>
      <c r="AC852" s="239"/>
      <c r="AD852" s="239"/>
      <c r="AE852" s="239"/>
      <c r="AF852" s="239"/>
      <c r="AG852" s="239"/>
      <c r="AH852" s="239"/>
      <c r="AI852" s="239"/>
      <c r="AJ852" s="239"/>
      <c r="AK852" s="239"/>
      <c r="AL852" s="239"/>
      <c r="AM852" s="239"/>
      <c r="AN852" s="239"/>
      <c r="AO852" s="239"/>
      <c r="AP852" s="239"/>
      <c r="AQ852" s="239"/>
      <c r="AR852" s="239"/>
      <c r="AS852" s="239"/>
      <c r="AT852" s="239"/>
      <c r="AU852" s="239"/>
      <c r="AV852" s="239"/>
      <c r="AW852" s="239"/>
      <c r="AX852" s="239"/>
      <c r="AY852" s="239"/>
      <c r="AZ852" s="239"/>
      <c r="BA852" s="239"/>
      <c r="BB852" s="239"/>
      <c r="BC852" s="239"/>
      <c r="BD852" s="239"/>
      <c r="BE852" s="239"/>
      <c r="BF852" s="239"/>
      <c r="BG852" s="239"/>
      <c r="BH852" s="239"/>
      <c r="BI852" s="239"/>
      <c r="BJ852" s="239"/>
      <c r="BK852" s="239"/>
      <c r="BL852" s="239"/>
      <c r="BM852" s="239"/>
      <c r="BN852" s="239"/>
      <c r="BO852" s="239"/>
      <c r="BP852" s="239"/>
      <c r="BQ852" s="239"/>
      <c r="BR852" s="239"/>
      <c r="BS852" s="239"/>
      <c r="BT852" s="239"/>
      <c r="BU852" s="239"/>
      <c r="BV852" s="239"/>
      <c r="BW852" s="239"/>
      <c r="BX852" s="239"/>
      <c r="BY852" s="239"/>
      <c r="BZ852" s="239"/>
      <c r="CA852" s="239"/>
      <c r="CB852" s="239"/>
      <c r="CC852" s="239"/>
      <c r="CD852" s="239"/>
      <c r="CE852" s="239"/>
      <c r="CF852" s="239"/>
      <c r="CG852" s="239"/>
    </row>
    <row r="853" spans="1:85" ht="15.75" customHeight="1">
      <c r="A853" s="239"/>
      <c r="B853" s="239"/>
      <c r="C853" s="239"/>
      <c r="D853" s="239"/>
      <c r="E853" s="239"/>
      <c r="F853" s="239"/>
      <c r="G853" s="239"/>
      <c r="H853" s="239"/>
      <c r="I853" s="239"/>
      <c r="J853" s="239"/>
      <c r="K853" s="239"/>
      <c r="L853" s="239"/>
      <c r="M853" s="239"/>
      <c r="N853" s="239"/>
      <c r="O853" s="239"/>
      <c r="P853" s="239"/>
      <c r="Q853" s="239"/>
      <c r="R853" s="239"/>
      <c r="S853" s="239"/>
      <c r="T853" s="239"/>
      <c r="U853" s="239"/>
      <c r="V853" s="239"/>
      <c r="W853" s="239"/>
      <c r="X853" s="239"/>
      <c r="Y853" s="239"/>
      <c r="Z853" s="239"/>
      <c r="AA853" s="239"/>
      <c r="AB853" s="239"/>
      <c r="AC853" s="239"/>
      <c r="AD853" s="239"/>
      <c r="AE853" s="239"/>
      <c r="AF853" s="239"/>
      <c r="AG853" s="239"/>
      <c r="AH853" s="239"/>
      <c r="AI853" s="239"/>
      <c r="AJ853" s="239"/>
      <c r="AK853" s="239"/>
      <c r="AL853" s="239"/>
      <c r="AM853" s="239"/>
      <c r="AN853" s="239"/>
      <c r="AO853" s="239"/>
      <c r="AP853" s="239"/>
      <c r="AQ853" s="239"/>
      <c r="AR853" s="239"/>
      <c r="AS853" s="239"/>
      <c r="AT853" s="239"/>
      <c r="AU853" s="239"/>
      <c r="AV853" s="239"/>
      <c r="AW853" s="239"/>
      <c r="AX853" s="239"/>
      <c r="AY853" s="239"/>
      <c r="AZ853" s="239"/>
      <c r="BA853" s="239"/>
      <c r="BB853" s="239"/>
      <c r="BC853" s="239"/>
      <c r="BD853" s="239"/>
      <c r="BE853" s="239"/>
      <c r="BF853" s="239"/>
      <c r="BG853" s="239"/>
      <c r="BH853" s="239"/>
      <c r="BI853" s="239"/>
      <c r="BJ853" s="239"/>
      <c r="BK853" s="239"/>
      <c r="BL853" s="239"/>
      <c r="BM853" s="239"/>
      <c r="BN853" s="239"/>
      <c r="BO853" s="239"/>
      <c r="BP853" s="239"/>
      <c r="BQ853" s="239"/>
      <c r="BR853" s="239"/>
      <c r="BS853" s="239"/>
      <c r="BT853" s="239"/>
      <c r="BU853" s="239"/>
      <c r="BV853" s="239"/>
      <c r="BW853" s="239"/>
      <c r="BX853" s="239"/>
      <c r="BY853" s="239"/>
      <c r="BZ853" s="239"/>
      <c r="CA853" s="239"/>
      <c r="CB853" s="239"/>
      <c r="CC853" s="239"/>
      <c r="CD853" s="239"/>
      <c r="CE853" s="239"/>
      <c r="CF853" s="239"/>
      <c r="CG853" s="239"/>
    </row>
    <row r="854" spans="1:85" ht="15.75" customHeight="1">
      <c r="A854" s="239"/>
      <c r="B854" s="239"/>
      <c r="C854" s="239"/>
      <c r="D854" s="239"/>
      <c r="E854" s="239"/>
      <c r="F854" s="239"/>
      <c r="G854" s="239"/>
      <c r="H854" s="239"/>
      <c r="I854" s="239"/>
      <c r="J854" s="239"/>
      <c r="K854" s="239"/>
      <c r="L854" s="239"/>
      <c r="M854" s="239"/>
      <c r="N854" s="239"/>
      <c r="O854" s="239"/>
      <c r="P854" s="239"/>
      <c r="Q854" s="239"/>
      <c r="R854" s="239"/>
      <c r="S854" s="239"/>
      <c r="T854" s="239"/>
      <c r="U854" s="239"/>
      <c r="V854" s="239"/>
      <c r="W854" s="239"/>
      <c r="X854" s="239"/>
      <c r="Y854" s="239"/>
      <c r="Z854" s="239"/>
      <c r="AA854" s="239"/>
      <c r="AB854" s="239"/>
      <c r="AC854" s="239"/>
      <c r="AD854" s="239"/>
      <c r="AE854" s="239"/>
      <c r="AF854" s="239"/>
      <c r="AG854" s="239"/>
      <c r="AH854" s="239"/>
      <c r="AI854" s="239"/>
      <c r="AJ854" s="239"/>
      <c r="AK854" s="239"/>
      <c r="AL854" s="239"/>
      <c r="AM854" s="239"/>
      <c r="AN854" s="239"/>
      <c r="AO854" s="239"/>
      <c r="AP854" s="239"/>
      <c r="AQ854" s="239"/>
      <c r="AR854" s="239"/>
      <c r="AS854" s="239"/>
      <c r="AT854" s="239"/>
      <c r="AU854" s="239"/>
      <c r="AV854" s="239"/>
      <c r="AW854" s="239"/>
      <c r="AX854" s="239"/>
      <c r="AY854" s="239"/>
      <c r="AZ854" s="239"/>
      <c r="BA854" s="239"/>
      <c r="BB854" s="239"/>
      <c r="BC854" s="239"/>
      <c r="BD854" s="239"/>
      <c r="BE854" s="239"/>
      <c r="BF854" s="239"/>
      <c r="BG854" s="239"/>
      <c r="BH854" s="239"/>
      <c r="BI854" s="239"/>
      <c r="BJ854" s="239"/>
      <c r="BK854" s="239"/>
      <c r="BL854" s="239"/>
      <c r="BM854" s="239"/>
      <c r="BN854" s="239"/>
      <c r="BO854" s="239"/>
      <c r="BP854" s="239"/>
      <c r="BQ854" s="239"/>
      <c r="BR854" s="239"/>
      <c r="BS854" s="239"/>
      <c r="BT854" s="239"/>
      <c r="BU854" s="239"/>
      <c r="BV854" s="239"/>
      <c r="BW854" s="239"/>
      <c r="BX854" s="239"/>
      <c r="BY854" s="239"/>
      <c r="BZ854" s="239"/>
      <c r="CA854" s="239"/>
      <c r="CB854" s="239"/>
      <c r="CC854" s="239"/>
      <c r="CD854" s="239"/>
      <c r="CE854" s="239"/>
      <c r="CF854" s="239"/>
      <c r="CG854" s="239"/>
    </row>
    <row r="855" spans="1:85" ht="15.75" customHeight="1">
      <c r="A855" s="239"/>
      <c r="B855" s="239"/>
      <c r="C855" s="239"/>
      <c r="D855" s="239"/>
      <c r="E855" s="239"/>
      <c r="F855" s="239"/>
      <c r="G855" s="239"/>
      <c r="H855" s="239"/>
      <c r="I855" s="239"/>
      <c r="J855" s="239"/>
      <c r="K855" s="239"/>
      <c r="L855" s="239"/>
      <c r="M855" s="239"/>
      <c r="N855" s="239"/>
      <c r="O855" s="239"/>
      <c r="P855" s="239"/>
      <c r="Q855" s="239"/>
      <c r="R855" s="239"/>
      <c r="S855" s="239"/>
      <c r="T855" s="239"/>
      <c r="U855" s="239"/>
      <c r="V855" s="239"/>
      <c r="W855" s="239"/>
      <c r="X855" s="239"/>
      <c r="Y855" s="239"/>
      <c r="Z855" s="239"/>
      <c r="AA855" s="239"/>
      <c r="AB855" s="239"/>
      <c r="AC855" s="239"/>
      <c r="AD855" s="239"/>
      <c r="AE855" s="239"/>
      <c r="AF855" s="239"/>
      <c r="AG855" s="239"/>
      <c r="AH855" s="239"/>
      <c r="AI855" s="239"/>
      <c r="AJ855" s="239"/>
      <c r="AK855" s="239"/>
      <c r="AL855" s="239"/>
      <c r="AM855" s="239"/>
      <c r="AN855" s="239"/>
      <c r="AO855" s="239"/>
      <c r="AP855" s="239"/>
      <c r="AQ855" s="239"/>
      <c r="AR855" s="239"/>
      <c r="AS855" s="239"/>
      <c r="AT855" s="239"/>
      <c r="AU855" s="239"/>
      <c r="AV855" s="239"/>
      <c r="AW855" s="239"/>
      <c r="AX855" s="239"/>
      <c r="AY855" s="239"/>
      <c r="AZ855" s="239"/>
      <c r="BA855" s="239"/>
      <c r="BB855" s="239"/>
      <c r="BC855" s="239"/>
      <c r="BD855" s="239"/>
      <c r="BE855" s="239"/>
      <c r="BF855" s="239"/>
      <c r="BG855" s="239"/>
      <c r="BH855" s="239"/>
      <c r="BI855" s="239"/>
      <c r="BJ855" s="239"/>
      <c r="BK855" s="239"/>
      <c r="BL855" s="239"/>
      <c r="BM855" s="239"/>
      <c r="BN855" s="239"/>
      <c r="BO855" s="239"/>
      <c r="BP855" s="239"/>
      <c r="BQ855" s="239"/>
      <c r="BR855" s="239"/>
      <c r="BS855" s="239"/>
      <c r="BT855" s="239"/>
      <c r="BU855" s="239"/>
      <c r="BV855" s="239"/>
      <c r="BW855" s="239"/>
      <c r="BX855" s="239"/>
      <c r="BY855" s="239"/>
      <c r="BZ855" s="239"/>
      <c r="CA855" s="239"/>
      <c r="CB855" s="239"/>
      <c r="CC855" s="239"/>
      <c r="CD855" s="239"/>
      <c r="CE855" s="239"/>
      <c r="CF855" s="239"/>
      <c r="CG855" s="239"/>
    </row>
    <row r="856" spans="1:85" ht="15.75" customHeight="1">
      <c r="A856" s="239"/>
      <c r="B856" s="239"/>
      <c r="C856" s="239"/>
      <c r="D856" s="239"/>
      <c r="E856" s="239"/>
      <c r="F856" s="239"/>
      <c r="G856" s="239"/>
      <c r="H856" s="239"/>
      <c r="I856" s="239"/>
      <c r="J856" s="239"/>
      <c r="K856" s="239"/>
      <c r="L856" s="239"/>
      <c r="M856" s="239"/>
      <c r="N856" s="239"/>
      <c r="O856" s="239"/>
      <c r="P856" s="239"/>
      <c r="Q856" s="239"/>
      <c r="R856" s="239"/>
      <c r="S856" s="239"/>
      <c r="T856" s="239"/>
      <c r="U856" s="239"/>
      <c r="V856" s="239"/>
      <c r="W856" s="239"/>
      <c r="X856" s="239"/>
      <c r="Y856" s="239"/>
      <c r="Z856" s="239"/>
      <c r="AA856" s="239"/>
      <c r="AB856" s="239"/>
      <c r="AC856" s="239"/>
      <c r="AD856" s="239"/>
      <c r="AE856" s="239"/>
      <c r="AF856" s="239"/>
      <c r="AG856" s="239"/>
      <c r="AH856" s="239"/>
      <c r="AI856" s="239"/>
      <c r="AJ856" s="239"/>
      <c r="AK856" s="239"/>
      <c r="AL856" s="239"/>
      <c r="AM856" s="239"/>
      <c r="AN856" s="239"/>
      <c r="AO856" s="239"/>
      <c r="AP856" s="239"/>
      <c r="AQ856" s="239"/>
      <c r="AR856" s="239"/>
      <c r="AS856" s="239"/>
      <c r="AT856" s="239"/>
      <c r="AU856" s="239"/>
      <c r="AV856" s="239"/>
      <c r="AW856" s="239"/>
      <c r="AX856" s="239"/>
      <c r="AY856" s="239"/>
      <c r="AZ856" s="239"/>
      <c r="BA856" s="239"/>
      <c r="BB856" s="239"/>
      <c r="BC856" s="239"/>
      <c r="BD856" s="239"/>
      <c r="BE856" s="239"/>
      <c r="BF856" s="239"/>
      <c r="BG856" s="239"/>
      <c r="BH856" s="239"/>
      <c r="BI856" s="239"/>
      <c r="BJ856" s="239"/>
      <c r="BK856" s="239"/>
      <c r="BL856" s="239"/>
      <c r="BM856" s="239"/>
      <c r="BN856" s="239"/>
      <c r="BO856" s="239"/>
      <c r="BP856" s="239"/>
      <c r="BQ856" s="239"/>
      <c r="BR856" s="239"/>
      <c r="BS856" s="239"/>
      <c r="BT856" s="239"/>
      <c r="BU856" s="239"/>
      <c r="BV856" s="239"/>
      <c r="BW856" s="239"/>
      <c r="BX856" s="239"/>
      <c r="BY856" s="239"/>
      <c r="BZ856" s="239"/>
      <c r="CA856" s="239"/>
      <c r="CB856" s="239"/>
      <c r="CC856" s="239"/>
      <c r="CD856" s="239"/>
      <c r="CE856" s="239"/>
      <c r="CF856" s="239"/>
      <c r="CG856" s="239"/>
    </row>
    <row r="857" spans="1:85" ht="15.75" customHeight="1">
      <c r="A857" s="239"/>
      <c r="B857" s="239"/>
      <c r="C857" s="239"/>
      <c r="D857" s="239"/>
      <c r="E857" s="239"/>
      <c r="F857" s="239"/>
      <c r="G857" s="239"/>
      <c r="H857" s="239"/>
      <c r="I857" s="239"/>
      <c r="J857" s="239"/>
      <c r="K857" s="239"/>
      <c r="L857" s="239"/>
      <c r="M857" s="239"/>
      <c r="N857" s="239"/>
      <c r="O857" s="239"/>
      <c r="P857" s="239"/>
      <c r="Q857" s="239"/>
      <c r="R857" s="239"/>
      <c r="S857" s="239"/>
      <c r="T857" s="239"/>
      <c r="U857" s="239"/>
      <c r="V857" s="239"/>
      <c r="W857" s="239"/>
      <c r="X857" s="239"/>
      <c r="Y857" s="239"/>
      <c r="Z857" s="239"/>
      <c r="AA857" s="239"/>
      <c r="AB857" s="239"/>
      <c r="AC857" s="239"/>
      <c r="AD857" s="239"/>
      <c r="AE857" s="239"/>
      <c r="AF857" s="239"/>
      <c r="AG857" s="239"/>
      <c r="AH857" s="239"/>
      <c r="AI857" s="239"/>
      <c r="AJ857" s="239"/>
      <c r="AK857" s="239"/>
      <c r="AL857" s="239"/>
      <c r="AM857" s="239"/>
      <c r="AN857" s="239"/>
      <c r="AO857" s="239"/>
      <c r="AP857" s="239"/>
      <c r="AQ857" s="239"/>
      <c r="AR857" s="239"/>
      <c r="AS857" s="239"/>
      <c r="AT857" s="239"/>
      <c r="AU857" s="239"/>
      <c r="AV857" s="239"/>
      <c r="AW857" s="239"/>
      <c r="AX857" s="239"/>
      <c r="AY857" s="239"/>
      <c r="AZ857" s="239"/>
      <c r="BA857" s="239"/>
      <c r="BB857" s="239"/>
      <c r="BC857" s="239"/>
      <c r="BD857" s="239"/>
      <c r="BE857" s="239"/>
      <c r="BF857" s="239"/>
      <c r="BG857" s="239"/>
      <c r="BH857" s="239"/>
      <c r="BI857" s="239"/>
      <c r="BJ857" s="239"/>
      <c r="BK857" s="239"/>
      <c r="BL857" s="239"/>
      <c r="BM857" s="239"/>
      <c r="BN857" s="239"/>
      <c r="BO857" s="239"/>
      <c r="BP857" s="239"/>
      <c r="BQ857" s="239"/>
      <c r="BR857" s="239"/>
      <c r="BS857" s="239"/>
      <c r="BT857" s="239"/>
      <c r="BU857" s="239"/>
      <c r="BV857" s="239"/>
      <c r="BW857" s="239"/>
      <c r="BX857" s="239"/>
      <c r="BY857" s="239"/>
      <c r="BZ857" s="239"/>
      <c r="CA857" s="239"/>
      <c r="CB857" s="239"/>
      <c r="CC857" s="239"/>
      <c r="CD857" s="239"/>
      <c r="CE857" s="239"/>
      <c r="CF857" s="239"/>
      <c r="CG857" s="239"/>
    </row>
    <row r="858" spans="1:85" ht="15.75" customHeight="1">
      <c r="A858" s="239"/>
      <c r="B858" s="239"/>
      <c r="C858" s="239"/>
      <c r="D858" s="239"/>
      <c r="E858" s="239"/>
      <c r="F858" s="239"/>
      <c r="G858" s="239"/>
      <c r="H858" s="239"/>
      <c r="I858" s="239"/>
      <c r="J858" s="239"/>
      <c r="K858" s="239"/>
      <c r="L858" s="239"/>
      <c r="M858" s="239"/>
      <c r="N858" s="239"/>
      <c r="O858" s="239"/>
      <c r="P858" s="239"/>
      <c r="Q858" s="239"/>
      <c r="R858" s="239"/>
      <c r="S858" s="239"/>
      <c r="T858" s="239"/>
      <c r="U858" s="239"/>
      <c r="V858" s="239"/>
      <c r="W858" s="239"/>
      <c r="X858" s="239"/>
      <c r="Y858" s="239"/>
      <c r="Z858" s="239"/>
      <c r="AA858" s="239"/>
      <c r="AB858" s="239"/>
      <c r="AC858" s="239"/>
      <c r="AD858" s="239"/>
      <c r="AE858" s="239"/>
      <c r="AF858" s="239"/>
      <c r="AG858" s="239"/>
      <c r="AH858" s="239"/>
      <c r="AI858" s="239"/>
      <c r="AJ858" s="239"/>
      <c r="AK858" s="239"/>
      <c r="AL858" s="239"/>
      <c r="AM858" s="239"/>
      <c r="AN858" s="239"/>
      <c r="AO858" s="239"/>
      <c r="AP858" s="239"/>
      <c r="AQ858" s="239"/>
      <c r="AR858" s="239"/>
      <c r="AS858" s="239"/>
      <c r="AT858" s="239"/>
      <c r="AU858" s="239"/>
      <c r="AV858" s="239"/>
      <c r="AW858" s="239"/>
      <c r="AX858" s="239"/>
      <c r="AY858" s="239"/>
      <c r="AZ858" s="239"/>
      <c r="BA858" s="239"/>
      <c r="BB858" s="239"/>
      <c r="BC858" s="239"/>
      <c r="BD858" s="239"/>
      <c r="BE858" s="239"/>
      <c r="BF858" s="239"/>
      <c r="BG858" s="239"/>
      <c r="BH858" s="239"/>
      <c r="BI858" s="239"/>
      <c r="BJ858" s="239"/>
      <c r="BK858" s="239"/>
      <c r="BL858" s="239"/>
      <c r="BM858" s="239"/>
      <c r="BN858" s="239"/>
      <c r="BO858" s="239"/>
      <c r="BP858" s="239"/>
      <c r="BQ858" s="239"/>
      <c r="BR858" s="239"/>
      <c r="BS858" s="239"/>
      <c r="BT858" s="239"/>
      <c r="BU858" s="239"/>
      <c r="BV858" s="239"/>
      <c r="BW858" s="239"/>
      <c r="BX858" s="239"/>
      <c r="BY858" s="239"/>
      <c r="BZ858" s="239"/>
      <c r="CA858" s="239"/>
      <c r="CB858" s="239"/>
      <c r="CC858" s="239"/>
      <c r="CD858" s="239"/>
      <c r="CE858" s="239"/>
      <c r="CF858" s="239"/>
      <c r="CG858" s="239"/>
    </row>
    <row r="859" spans="1:85" ht="15.75" customHeight="1">
      <c r="A859" s="239"/>
      <c r="B859" s="239"/>
      <c r="C859" s="239"/>
      <c r="D859" s="239"/>
      <c r="E859" s="239"/>
      <c r="F859" s="239"/>
      <c r="G859" s="239"/>
      <c r="H859" s="239"/>
      <c r="I859" s="239"/>
      <c r="J859" s="239"/>
      <c r="K859" s="239"/>
      <c r="L859" s="239"/>
      <c r="M859" s="239"/>
      <c r="N859" s="239"/>
      <c r="O859" s="239"/>
      <c r="P859" s="239"/>
      <c r="Q859" s="239"/>
      <c r="R859" s="239"/>
      <c r="S859" s="239"/>
      <c r="T859" s="239"/>
      <c r="U859" s="239"/>
      <c r="V859" s="239"/>
      <c r="W859" s="239"/>
      <c r="X859" s="239"/>
      <c r="Y859" s="239"/>
      <c r="Z859" s="239"/>
      <c r="AA859" s="239"/>
      <c r="AB859" s="239"/>
      <c r="AC859" s="239"/>
      <c r="AD859" s="239"/>
      <c r="AE859" s="239"/>
      <c r="AF859" s="239"/>
      <c r="AG859" s="239"/>
      <c r="AH859" s="239"/>
      <c r="AI859" s="239"/>
      <c r="AJ859" s="239"/>
      <c r="AK859" s="239"/>
      <c r="AL859" s="239"/>
      <c r="AM859" s="239"/>
      <c r="AN859" s="239"/>
      <c r="AO859" s="239"/>
      <c r="AP859" s="239"/>
      <c r="AQ859" s="239"/>
      <c r="AR859" s="239"/>
      <c r="AS859" s="239"/>
      <c r="AT859" s="239"/>
      <c r="AU859" s="239"/>
      <c r="AV859" s="239"/>
      <c r="AW859" s="239"/>
      <c r="AX859" s="239"/>
      <c r="AY859" s="239"/>
      <c r="AZ859" s="239"/>
      <c r="BA859" s="239"/>
      <c r="BB859" s="239"/>
      <c r="BC859" s="239"/>
      <c r="BD859" s="239"/>
      <c r="BE859" s="239"/>
      <c r="BF859" s="239"/>
      <c r="BG859" s="239"/>
      <c r="BH859" s="239"/>
      <c r="BI859" s="239"/>
      <c r="BJ859" s="239"/>
      <c r="BK859" s="239"/>
      <c r="BL859" s="239"/>
      <c r="BM859" s="239"/>
      <c r="BN859" s="239"/>
      <c r="BO859" s="239"/>
      <c r="BP859" s="239"/>
      <c r="BQ859" s="239"/>
      <c r="BR859" s="239"/>
      <c r="BS859" s="239"/>
      <c r="BT859" s="239"/>
      <c r="BU859" s="239"/>
      <c r="BV859" s="239"/>
      <c r="BW859" s="239"/>
      <c r="BX859" s="239"/>
      <c r="BY859" s="239"/>
      <c r="BZ859" s="239"/>
      <c r="CA859" s="239"/>
      <c r="CB859" s="239"/>
      <c r="CC859" s="239"/>
      <c r="CD859" s="239"/>
      <c r="CE859" s="239"/>
      <c r="CF859" s="239"/>
      <c r="CG859" s="239"/>
    </row>
    <row r="860" spans="1:85" ht="15.75" customHeight="1">
      <c r="A860" s="239"/>
      <c r="B860" s="239"/>
      <c r="C860" s="239"/>
      <c r="D860" s="239"/>
      <c r="E860" s="239"/>
      <c r="F860" s="239"/>
      <c r="G860" s="239"/>
      <c r="H860" s="239"/>
      <c r="I860" s="239"/>
      <c r="J860" s="239"/>
      <c r="K860" s="239"/>
      <c r="L860" s="239"/>
      <c r="M860" s="239"/>
      <c r="N860" s="239"/>
      <c r="O860" s="239"/>
      <c r="P860" s="239"/>
      <c r="Q860" s="239"/>
      <c r="R860" s="239"/>
      <c r="S860" s="239"/>
      <c r="T860" s="239"/>
      <c r="U860" s="239"/>
      <c r="V860" s="239"/>
      <c r="W860" s="239"/>
      <c r="X860" s="239"/>
      <c r="Y860" s="239"/>
      <c r="Z860" s="239"/>
      <c r="AA860" s="239"/>
      <c r="AB860" s="239"/>
      <c r="AC860" s="239"/>
      <c r="AD860" s="239"/>
      <c r="AE860" s="239"/>
      <c r="AF860" s="239"/>
      <c r="AG860" s="239"/>
      <c r="AH860" s="239"/>
      <c r="AI860" s="239"/>
      <c r="AJ860" s="239"/>
      <c r="AK860" s="239"/>
      <c r="AL860" s="239"/>
      <c r="AM860" s="239"/>
      <c r="AN860" s="239"/>
      <c r="AO860" s="239"/>
      <c r="AP860" s="239"/>
      <c r="AQ860" s="239"/>
      <c r="AR860" s="239"/>
      <c r="AS860" s="239"/>
      <c r="AT860" s="239"/>
      <c r="AU860" s="239"/>
      <c r="AV860" s="239"/>
      <c r="AW860" s="239"/>
      <c r="AX860" s="239"/>
      <c r="AY860" s="239"/>
      <c r="AZ860" s="239"/>
      <c r="BA860" s="239"/>
      <c r="BB860" s="239"/>
      <c r="BC860" s="239"/>
      <c r="BD860" s="239"/>
      <c r="BE860" s="239"/>
      <c r="BF860" s="239"/>
      <c r="BG860" s="239"/>
      <c r="BH860" s="239"/>
      <c r="BI860" s="239"/>
      <c r="BJ860" s="239"/>
      <c r="BK860" s="239"/>
      <c r="BL860" s="239"/>
      <c r="BM860" s="239"/>
      <c r="BN860" s="239"/>
      <c r="BO860" s="239"/>
      <c r="BP860" s="239"/>
      <c r="BQ860" s="239"/>
      <c r="BR860" s="239"/>
      <c r="BS860" s="239"/>
      <c r="BT860" s="239"/>
      <c r="BU860" s="239"/>
      <c r="BV860" s="239"/>
      <c r="BW860" s="239"/>
      <c r="BX860" s="239"/>
      <c r="BY860" s="239"/>
      <c r="BZ860" s="239"/>
      <c r="CA860" s="239"/>
      <c r="CB860" s="239"/>
      <c r="CC860" s="239"/>
      <c r="CD860" s="239"/>
      <c r="CE860" s="239"/>
      <c r="CF860" s="239"/>
      <c r="CG860" s="239"/>
    </row>
    <row r="861" spans="1:85" ht="15.75" customHeight="1">
      <c r="A861" s="239"/>
      <c r="B861" s="239"/>
      <c r="C861" s="239"/>
      <c r="D861" s="239"/>
      <c r="E861" s="239"/>
      <c r="F861" s="239"/>
      <c r="G861" s="239"/>
      <c r="H861" s="239"/>
      <c r="I861" s="239"/>
      <c r="J861" s="239"/>
      <c r="K861" s="239"/>
      <c r="L861" s="239"/>
      <c r="M861" s="239"/>
      <c r="N861" s="239"/>
      <c r="O861" s="239"/>
      <c r="P861" s="239"/>
      <c r="Q861" s="239"/>
      <c r="R861" s="239"/>
      <c r="S861" s="239"/>
      <c r="T861" s="239"/>
      <c r="U861" s="239"/>
      <c r="V861" s="239"/>
      <c r="W861" s="239"/>
      <c r="X861" s="239"/>
      <c r="Y861" s="239"/>
      <c r="Z861" s="239"/>
      <c r="AA861" s="239"/>
      <c r="AB861" s="239"/>
      <c r="AC861" s="239"/>
      <c r="AD861" s="239"/>
      <c r="AE861" s="239"/>
      <c r="AF861" s="239"/>
      <c r="AG861" s="239"/>
      <c r="AH861" s="239"/>
      <c r="AI861" s="239"/>
      <c r="AJ861" s="239"/>
      <c r="AK861" s="239"/>
      <c r="AL861" s="239"/>
      <c r="AM861" s="239"/>
      <c r="AN861" s="239"/>
      <c r="AO861" s="239"/>
      <c r="AP861" s="239"/>
      <c r="AQ861" s="239"/>
      <c r="AR861" s="239"/>
      <c r="AS861" s="239"/>
      <c r="AT861" s="239"/>
      <c r="AU861" s="239"/>
      <c r="AV861" s="239"/>
      <c r="AW861" s="239"/>
      <c r="AX861" s="239"/>
      <c r="AY861" s="239"/>
      <c r="AZ861" s="239"/>
      <c r="BA861" s="239"/>
      <c r="BB861" s="239"/>
      <c r="BC861" s="239"/>
      <c r="BD861" s="239"/>
      <c r="BE861" s="239"/>
      <c r="BF861" s="239"/>
      <c r="BG861" s="239"/>
      <c r="BH861" s="239"/>
      <c r="BI861" s="239"/>
      <c r="BJ861" s="239"/>
      <c r="BK861" s="239"/>
      <c r="BL861" s="239"/>
      <c r="BM861" s="239"/>
      <c r="BN861" s="239"/>
      <c r="BO861" s="239"/>
      <c r="BP861" s="239"/>
      <c r="BQ861" s="239"/>
      <c r="BR861" s="239"/>
      <c r="BS861" s="239"/>
      <c r="BT861" s="239"/>
      <c r="BU861" s="239"/>
      <c r="BV861" s="239"/>
      <c r="BW861" s="239"/>
      <c r="BX861" s="239"/>
      <c r="BY861" s="239"/>
      <c r="BZ861" s="239"/>
      <c r="CA861" s="239"/>
      <c r="CB861" s="239"/>
      <c r="CC861" s="239"/>
      <c r="CD861" s="239"/>
      <c r="CE861" s="239"/>
      <c r="CF861" s="239"/>
      <c r="CG861" s="239"/>
    </row>
    <row r="862" spans="1:85" ht="15.75" customHeight="1">
      <c r="A862" s="239"/>
      <c r="B862" s="239"/>
      <c r="C862" s="239"/>
      <c r="D862" s="239"/>
      <c r="E862" s="239"/>
      <c r="F862" s="239"/>
      <c r="G862" s="239"/>
      <c r="H862" s="239"/>
      <c r="I862" s="239"/>
      <c r="J862" s="239"/>
      <c r="K862" s="239"/>
      <c r="L862" s="239"/>
      <c r="M862" s="239"/>
      <c r="N862" s="239"/>
      <c r="O862" s="239"/>
      <c r="P862" s="239"/>
      <c r="Q862" s="239"/>
      <c r="R862" s="239"/>
      <c r="S862" s="239"/>
      <c r="T862" s="239"/>
      <c r="U862" s="239"/>
      <c r="V862" s="239"/>
      <c r="W862" s="239"/>
      <c r="X862" s="239"/>
      <c r="Y862" s="239"/>
      <c r="Z862" s="239"/>
      <c r="AA862" s="239"/>
      <c r="AB862" s="239"/>
      <c r="AC862" s="239"/>
      <c r="AD862" s="239"/>
      <c r="AE862" s="239"/>
      <c r="AF862" s="239"/>
      <c r="AG862" s="239"/>
      <c r="AH862" s="239"/>
      <c r="AI862" s="239"/>
      <c r="AJ862" s="239"/>
      <c r="AK862" s="239"/>
      <c r="AL862" s="239"/>
      <c r="AM862" s="239"/>
      <c r="AN862" s="239"/>
      <c r="AO862" s="239"/>
      <c r="AP862" s="239"/>
      <c r="AQ862" s="239"/>
      <c r="AR862" s="239"/>
      <c r="AS862" s="239"/>
      <c r="AT862" s="239"/>
      <c r="AU862" s="239"/>
      <c r="AV862" s="239"/>
      <c r="AW862" s="239"/>
      <c r="AX862" s="239"/>
      <c r="AY862" s="239"/>
      <c r="AZ862" s="239"/>
      <c r="BA862" s="239"/>
      <c r="BB862" s="239"/>
      <c r="BC862" s="239"/>
      <c r="BD862" s="239"/>
      <c r="BE862" s="239"/>
      <c r="BF862" s="239"/>
      <c r="BG862" s="239"/>
      <c r="BH862" s="239"/>
      <c r="BI862" s="239"/>
      <c r="BJ862" s="239"/>
      <c r="BK862" s="239"/>
      <c r="BL862" s="239"/>
      <c r="BM862" s="239"/>
      <c r="BN862" s="239"/>
      <c r="BO862" s="239"/>
      <c r="BP862" s="239"/>
      <c r="BQ862" s="239"/>
      <c r="BR862" s="239"/>
      <c r="BS862" s="239"/>
      <c r="BT862" s="239"/>
      <c r="BU862" s="239"/>
      <c r="BV862" s="239"/>
      <c r="BW862" s="239"/>
      <c r="BX862" s="239"/>
      <c r="BY862" s="239"/>
      <c r="BZ862" s="239"/>
      <c r="CA862" s="239"/>
      <c r="CB862" s="239"/>
      <c r="CC862" s="239"/>
      <c r="CD862" s="239"/>
      <c r="CE862" s="239"/>
      <c r="CF862" s="239"/>
      <c r="CG862" s="239"/>
    </row>
    <row r="863" spans="1:85" ht="15.75" customHeight="1">
      <c r="A863" s="239"/>
      <c r="B863" s="239"/>
      <c r="C863" s="239"/>
      <c r="D863" s="239"/>
      <c r="E863" s="239"/>
      <c r="F863" s="239"/>
      <c r="G863" s="239"/>
      <c r="H863" s="239"/>
      <c r="I863" s="239"/>
      <c r="J863" s="239"/>
      <c r="K863" s="239"/>
      <c r="L863" s="239"/>
      <c r="M863" s="239"/>
      <c r="N863" s="239"/>
      <c r="O863" s="239"/>
      <c r="P863" s="239"/>
      <c r="Q863" s="239"/>
      <c r="R863" s="239"/>
      <c r="S863" s="239"/>
      <c r="T863" s="239"/>
      <c r="U863" s="239"/>
      <c r="V863" s="239"/>
      <c r="W863" s="239"/>
      <c r="X863" s="239"/>
      <c r="Y863" s="239"/>
      <c r="Z863" s="239"/>
      <c r="AA863" s="239"/>
      <c r="AB863" s="239"/>
      <c r="AC863" s="239"/>
      <c r="AD863" s="239"/>
      <c r="AE863" s="239"/>
      <c r="AF863" s="239"/>
      <c r="AG863" s="239"/>
      <c r="AH863" s="239"/>
      <c r="AI863" s="239"/>
      <c r="AJ863" s="239"/>
      <c r="AK863" s="239"/>
      <c r="AL863" s="239"/>
      <c r="AM863" s="239"/>
      <c r="AN863" s="239"/>
      <c r="AO863" s="239"/>
      <c r="AP863" s="239"/>
      <c r="AQ863" s="239"/>
      <c r="AR863" s="239"/>
      <c r="AS863" s="239"/>
      <c r="AT863" s="239"/>
      <c r="AU863" s="239"/>
      <c r="AV863" s="239"/>
      <c r="AW863" s="239"/>
      <c r="AX863" s="239"/>
      <c r="AY863" s="239"/>
      <c r="AZ863" s="239"/>
      <c r="BA863" s="239"/>
      <c r="BB863" s="239"/>
      <c r="BC863" s="239"/>
      <c r="BD863" s="239"/>
      <c r="BE863" s="239"/>
      <c r="BF863" s="239"/>
      <c r="BG863" s="239"/>
      <c r="BH863" s="239"/>
      <c r="BI863" s="239"/>
      <c r="BJ863" s="239"/>
      <c r="BK863" s="239"/>
      <c r="BL863" s="239"/>
      <c r="BM863" s="239"/>
      <c r="BN863" s="239"/>
      <c r="BO863" s="239"/>
      <c r="BP863" s="239"/>
      <c r="BQ863" s="239"/>
      <c r="BR863" s="239"/>
      <c r="BS863" s="239"/>
      <c r="BT863" s="239"/>
      <c r="BU863" s="239"/>
      <c r="BV863" s="239"/>
      <c r="BW863" s="239"/>
      <c r="BX863" s="239"/>
      <c r="BY863" s="239"/>
      <c r="BZ863" s="239"/>
      <c r="CA863" s="239"/>
      <c r="CB863" s="239"/>
      <c r="CC863" s="239"/>
      <c r="CD863" s="239"/>
      <c r="CE863" s="239"/>
      <c r="CF863" s="239"/>
      <c r="CG863" s="239"/>
    </row>
    <row r="864" spans="1:85" ht="15.75" customHeight="1">
      <c r="A864" s="239"/>
      <c r="B864" s="239"/>
      <c r="C864" s="239"/>
      <c r="D864" s="239"/>
      <c r="E864" s="239"/>
      <c r="F864" s="239"/>
      <c r="G864" s="239"/>
      <c r="H864" s="239"/>
      <c r="I864" s="239"/>
      <c r="J864" s="239"/>
      <c r="K864" s="239"/>
      <c r="L864" s="239"/>
      <c r="M864" s="239"/>
      <c r="N864" s="239"/>
      <c r="O864" s="239"/>
      <c r="P864" s="239"/>
      <c r="Q864" s="239"/>
      <c r="R864" s="239"/>
      <c r="S864" s="239"/>
      <c r="T864" s="239"/>
      <c r="U864" s="239"/>
      <c r="V864" s="239"/>
      <c r="W864" s="239"/>
      <c r="X864" s="239"/>
      <c r="Y864" s="239"/>
      <c r="Z864" s="239"/>
      <c r="AA864" s="239"/>
      <c r="AB864" s="239"/>
      <c r="AC864" s="239"/>
      <c r="AD864" s="239"/>
      <c r="AE864" s="239"/>
      <c r="AF864" s="239"/>
      <c r="AG864" s="239"/>
      <c r="AH864" s="239"/>
      <c r="AI864" s="239"/>
      <c r="AJ864" s="239"/>
      <c r="AK864" s="239"/>
      <c r="AL864" s="239"/>
      <c r="AM864" s="239"/>
      <c r="AN864" s="239"/>
      <c r="AO864" s="239"/>
      <c r="AP864" s="239"/>
      <c r="AQ864" s="239"/>
      <c r="AR864" s="239"/>
      <c r="AS864" s="239"/>
      <c r="AT864" s="239"/>
      <c r="AU864" s="239"/>
      <c r="AV864" s="239"/>
      <c r="AW864" s="239"/>
      <c r="AX864" s="239"/>
      <c r="AY864" s="239"/>
      <c r="AZ864" s="239"/>
      <c r="BA864" s="239"/>
      <c r="BB864" s="239"/>
      <c r="BC864" s="239"/>
      <c r="BD864" s="239"/>
      <c r="BE864" s="239"/>
      <c r="BF864" s="239"/>
      <c r="BG864" s="239"/>
      <c r="BH864" s="239"/>
      <c r="BI864" s="239"/>
      <c r="BJ864" s="239"/>
      <c r="BK864" s="239"/>
      <c r="BL864" s="239"/>
      <c r="BM864" s="239"/>
      <c r="BN864" s="239"/>
      <c r="BO864" s="239"/>
      <c r="BP864" s="239"/>
      <c r="BQ864" s="239"/>
      <c r="BR864" s="239"/>
      <c r="BS864" s="239"/>
      <c r="BT864" s="239"/>
      <c r="BU864" s="239"/>
      <c r="BV864" s="239"/>
      <c r="BW864" s="239"/>
      <c r="BX864" s="239"/>
      <c r="BY864" s="239"/>
      <c r="BZ864" s="239"/>
      <c r="CA864" s="239"/>
      <c r="CB864" s="239"/>
      <c r="CC864" s="239"/>
      <c r="CD864" s="239"/>
      <c r="CE864" s="239"/>
      <c r="CF864" s="239"/>
      <c r="CG864" s="239"/>
    </row>
    <row r="865" spans="1:85" ht="15.75" customHeight="1">
      <c r="A865" s="239"/>
      <c r="B865" s="239"/>
      <c r="C865" s="239"/>
      <c r="D865" s="239"/>
      <c r="E865" s="239"/>
      <c r="F865" s="239"/>
      <c r="G865" s="239"/>
      <c r="H865" s="239"/>
      <c r="I865" s="239"/>
      <c r="J865" s="239"/>
      <c r="K865" s="239"/>
      <c r="L865" s="239"/>
      <c r="M865" s="239"/>
      <c r="N865" s="239"/>
      <c r="O865" s="239"/>
      <c r="P865" s="239"/>
      <c r="Q865" s="239"/>
      <c r="R865" s="239"/>
      <c r="S865" s="239"/>
      <c r="T865" s="239"/>
      <c r="U865" s="239"/>
      <c r="V865" s="239"/>
      <c r="W865" s="239"/>
      <c r="X865" s="239"/>
      <c r="Y865" s="239"/>
      <c r="Z865" s="239"/>
      <c r="AA865" s="239"/>
      <c r="AB865" s="239"/>
      <c r="AC865" s="239"/>
      <c r="AD865" s="239"/>
      <c r="AE865" s="239"/>
      <c r="AF865" s="239"/>
      <c r="AG865" s="239"/>
      <c r="AH865" s="239"/>
      <c r="AI865" s="239"/>
      <c r="AJ865" s="239"/>
      <c r="AK865" s="239"/>
      <c r="AL865" s="239"/>
      <c r="AM865" s="239"/>
      <c r="AN865" s="239"/>
      <c r="AO865" s="239"/>
      <c r="AP865" s="239"/>
      <c r="AQ865" s="239"/>
      <c r="AR865" s="239"/>
      <c r="AS865" s="239"/>
      <c r="AT865" s="239"/>
      <c r="AU865" s="239"/>
      <c r="AV865" s="239"/>
      <c r="AW865" s="239"/>
      <c r="AX865" s="239"/>
      <c r="AY865" s="239"/>
      <c r="AZ865" s="239"/>
      <c r="BA865" s="239"/>
      <c r="BB865" s="239"/>
      <c r="BC865" s="239"/>
      <c r="BD865" s="239"/>
      <c r="BE865" s="239"/>
      <c r="BF865" s="239"/>
      <c r="BG865" s="239"/>
      <c r="BH865" s="239"/>
      <c r="BI865" s="239"/>
      <c r="BJ865" s="239"/>
      <c r="BK865" s="239"/>
      <c r="BL865" s="239"/>
      <c r="BM865" s="239"/>
      <c r="BN865" s="239"/>
      <c r="BO865" s="239"/>
      <c r="BP865" s="239"/>
      <c r="BQ865" s="239"/>
      <c r="BR865" s="239"/>
      <c r="BS865" s="239"/>
      <c r="BT865" s="239"/>
      <c r="BU865" s="239"/>
      <c r="BV865" s="239"/>
      <c r="BW865" s="239"/>
      <c r="BX865" s="239"/>
      <c r="BY865" s="239"/>
      <c r="BZ865" s="239"/>
      <c r="CA865" s="239"/>
      <c r="CB865" s="239"/>
      <c r="CC865" s="239"/>
      <c r="CD865" s="239"/>
      <c r="CE865" s="239"/>
      <c r="CF865" s="239"/>
      <c r="CG865" s="239"/>
    </row>
    <row r="866" spans="1:85" ht="15.75" customHeight="1">
      <c r="A866" s="239"/>
      <c r="B866" s="239"/>
      <c r="C866" s="239"/>
      <c r="D866" s="239"/>
      <c r="E866" s="239"/>
      <c r="F866" s="239"/>
      <c r="G866" s="239"/>
      <c r="H866" s="239"/>
      <c r="I866" s="239"/>
      <c r="J866" s="239"/>
      <c r="K866" s="239"/>
      <c r="L866" s="239"/>
      <c r="M866" s="239"/>
      <c r="N866" s="239"/>
      <c r="O866" s="239"/>
      <c r="P866" s="239"/>
      <c r="Q866" s="239"/>
      <c r="R866" s="239"/>
      <c r="S866" s="239"/>
      <c r="T866" s="239"/>
      <c r="U866" s="239"/>
      <c r="V866" s="239"/>
      <c r="W866" s="239"/>
      <c r="X866" s="239"/>
      <c r="Y866" s="239"/>
      <c r="Z866" s="239"/>
      <c r="AA866" s="239"/>
      <c r="AB866" s="239"/>
      <c r="AC866" s="239"/>
      <c r="AD866" s="239"/>
      <c r="AE866" s="239"/>
      <c r="AF866" s="239"/>
      <c r="AG866" s="239"/>
      <c r="AH866" s="239"/>
      <c r="AI866" s="239"/>
      <c r="AJ866" s="239"/>
      <c r="AK866" s="239"/>
      <c r="AL866" s="239"/>
      <c r="AM866" s="239"/>
      <c r="AN866" s="239"/>
      <c r="AO866" s="239"/>
      <c r="AP866" s="239"/>
      <c r="AQ866" s="239"/>
      <c r="AR866" s="239"/>
      <c r="AS866" s="239"/>
      <c r="AT866" s="239"/>
      <c r="AU866" s="239"/>
      <c r="AV866" s="239"/>
      <c r="AW866" s="239"/>
      <c r="AX866" s="239"/>
      <c r="AY866" s="239"/>
      <c r="AZ866" s="239"/>
      <c r="BA866" s="239"/>
      <c r="BB866" s="239"/>
      <c r="BC866" s="239"/>
      <c r="BD866" s="239"/>
      <c r="BE866" s="239"/>
      <c r="BF866" s="239"/>
      <c r="BG866" s="239"/>
      <c r="BH866" s="239"/>
      <c r="BI866" s="239"/>
      <c r="BJ866" s="239"/>
      <c r="BK866" s="239"/>
      <c r="BL866" s="239"/>
      <c r="BM866" s="239"/>
      <c r="BN866" s="239"/>
      <c r="BO866" s="239"/>
      <c r="BP866" s="239"/>
      <c r="BQ866" s="239"/>
      <c r="BR866" s="239"/>
      <c r="BS866" s="239"/>
      <c r="BT866" s="239"/>
      <c r="BU866" s="239"/>
      <c r="BV866" s="239"/>
      <c r="BW866" s="239"/>
      <c r="BX866" s="239"/>
      <c r="BY866" s="239"/>
      <c r="BZ866" s="239"/>
      <c r="CA866" s="239"/>
      <c r="CB866" s="239"/>
      <c r="CC866" s="239"/>
      <c r="CD866" s="239"/>
      <c r="CE866" s="239"/>
      <c r="CF866" s="239"/>
      <c r="CG866" s="239"/>
    </row>
    <row r="867" spans="1:85" ht="15.75" customHeight="1">
      <c r="A867" s="239"/>
      <c r="B867" s="239"/>
      <c r="C867" s="239"/>
      <c r="D867" s="239"/>
      <c r="E867" s="239"/>
      <c r="F867" s="239"/>
      <c r="G867" s="239"/>
      <c r="H867" s="239"/>
      <c r="I867" s="239"/>
      <c r="J867" s="239"/>
      <c r="K867" s="239"/>
      <c r="L867" s="239"/>
      <c r="M867" s="239"/>
      <c r="N867" s="239"/>
      <c r="O867" s="239"/>
      <c r="P867" s="239"/>
      <c r="Q867" s="239"/>
      <c r="R867" s="239"/>
      <c r="S867" s="239"/>
      <c r="T867" s="239"/>
      <c r="U867" s="239"/>
      <c r="V867" s="239"/>
      <c r="W867" s="239"/>
      <c r="X867" s="239"/>
      <c r="Y867" s="239"/>
      <c r="Z867" s="239"/>
      <c r="AA867" s="239"/>
      <c r="AB867" s="239"/>
      <c r="AC867" s="239"/>
      <c r="AD867" s="239"/>
      <c r="AE867" s="239"/>
      <c r="AF867" s="239"/>
      <c r="AG867" s="239"/>
      <c r="AH867" s="239"/>
      <c r="AI867" s="239"/>
      <c r="AJ867" s="239"/>
      <c r="AK867" s="239"/>
      <c r="AL867" s="239"/>
      <c r="AM867" s="239"/>
      <c r="AN867" s="239"/>
      <c r="AO867" s="239"/>
      <c r="AP867" s="239"/>
      <c r="AQ867" s="239"/>
      <c r="AR867" s="239"/>
      <c r="AS867" s="239"/>
      <c r="AT867" s="239"/>
      <c r="AU867" s="239"/>
      <c r="AV867" s="239"/>
      <c r="AW867" s="239"/>
      <c r="AX867" s="239"/>
      <c r="AY867" s="239"/>
      <c r="AZ867" s="239"/>
      <c r="BA867" s="239"/>
      <c r="BB867" s="239"/>
      <c r="BC867" s="239"/>
      <c r="BD867" s="239"/>
      <c r="BE867" s="239"/>
      <c r="BF867" s="239"/>
      <c r="BG867" s="239"/>
      <c r="BH867" s="239"/>
      <c r="BI867" s="239"/>
      <c r="BJ867" s="239"/>
      <c r="BK867" s="239"/>
      <c r="BL867" s="239"/>
      <c r="BM867" s="239"/>
      <c r="BN867" s="239"/>
      <c r="BO867" s="239"/>
      <c r="BP867" s="239"/>
      <c r="BQ867" s="239"/>
      <c r="BR867" s="239"/>
      <c r="BS867" s="239"/>
      <c r="BT867" s="239"/>
      <c r="BU867" s="239"/>
      <c r="BV867" s="239"/>
      <c r="BW867" s="239"/>
      <c r="BX867" s="239"/>
      <c r="BY867" s="239"/>
      <c r="BZ867" s="239"/>
      <c r="CA867" s="239"/>
      <c r="CB867" s="239"/>
      <c r="CC867" s="239"/>
      <c r="CD867" s="239"/>
      <c r="CE867" s="239"/>
      <c r="CF867" s="239"/>
      <c r="CG867" s="239"/>
    </row>
    <row r="868" spans="1:85" ht="15.75" customHeight="1">
      <c r="A868" s="239"/>
      <c r="B868" s="239"/>
      <c r="C868" s="239"/>
      <c r="D868" s="239"/>
      <c r="E868" s="239"/>
      <c r="F868" s="239"/>
      <c r="G868" s="239"/>
      <c r="H868" s="239"/>
      <c r="I868" s="239"/>
      <c r="J868" s="239"/>
      <c r="K868" s="239"/>
      <c r="L868" s="239"/>
      <c r="M868" s="239"/>
      <c r="N868" s="239"/>
      <c r="O868" s="239"/>
      <c r="P868" s="239"/>
      <c r="Q868" s="239"/>
      <c r="R868" s="239"/>
      <c r="S868" s="239"/>
      <c r="T868" s="239"/>
      <c r="U868" s="239"/>
      <c r="V868" s="239"/>
      <c r="W868" s="239"/>
      <c r="X868" s="239"/>
      <c r="Y868" s="239"/>
      <c r="Z868" s="239"/>
      <c r="AA868" s="239"/>
      <c r="AB868" s="239"/>
      <c r="AC868" s="239"/>
      <c r="AD868" s="239"/>
      <c r="AE868" s="239"/>
      <c r="AF868" s="239"/>
      <c r="AG868" s="239"/>
      <c r="AH868" s="239"/>
      <c r="AI868" s="239"/>
      <c r="AJ868" s="239"/>
      <c r="AK868" s="239"/>
      <c r="AL868" s="239"/>
      <c r="AM868" s="239"/>
      <c r="AN868" s="239"/>
      <c r="AO868" s="239"/>
      <c r="AP868" s="239"/>
      <c r="AQ868" s="239"/>
      <c r="AR868" s="239"/>
      <c r="AS868" s="239"/>
      <c r="AT868" s="239"/>
      <c r="AU868" s="239"/>
      <c r="AV868" s="239"/>
      <c r="AW868" s="239"/>
      <c r="AX868" s="239"/>
      <c r="AY868" s="239"/>
      <c r="AZ868" s="239"/>
      <c r="BA868" s="239"/>
      <c r="BB868" s="239"/>
      <c r="BC868" s="239"/>
      <c r="BD868" s="239"/>
      <c r="BE868" s="239"/>
      <c r="BF868" s="239"/>
      <c r="BG868" s="239"/>
      <c r="BH868" s="239"/>
      <c r="BI868" s="239"/>
      <c r="BJ868" s="239"/>
      <c r="BK868" s="239"/>
      <c r="BL868" s="239"/>
      <c r="BM868" s="239"/>
      <c r="BN868" s="239"/>
      <c r="BO868" s="239"/>
      <c r="BP868" s="239"/>
      <c r="BQ868" s="239"/>
      <c r="BR868" s="239"/>
      <c r="BS868" s="239"/>
      <c r="BT868" s="239"/>
      <c r="BU868" s="239"/>
      <c r="BV868" s="239"/>
      <c r="BW868" s="239"/>
      <c r="BX868" s="239"/>
      <c r="BY868" s="239"/>
      <c r="BZ868" s="239"/>
      <c r="CA868" s="239"/>
      <c r="CB868" s="239"/>
      <c r="CC868" s="239"/>
      <c r="CD868" s="239"/>
      <c r="CE868" s="239"/>
      <c r="CF868" s="239"/>
      <c r="CG868" s="239"/>
    </row>
    <row r="869" spans="1:85" ht="15.75" customHeight="1">
      <c r="A869" s="239"/>
      <c r="B869" s="239"/>
      <c r="C869" s="239"/>
      <c r="D869" s="239"/>
      <c r="E869" s="239"/>
      <c r="F869" s="239"/>
      <c r="G869" s="239"/>
      <c r="H869" s="239"/>
      <c r="I869" s="239"/>
      <c r="J869" s="239"/>
      <c r="K869" s="239"/>
      <c r="L869" s="239"/>
      <c r="M869" s="239"/>
      <c r="N869" s="239"/>
      <c r="O869" s="239"/>
      <c r="P869" s="239"/>
      <c r="Q869" s="239"/>
      <c r="R869" s="239"/>
      <c r="S869" s="239"/>
      <c r="T869" s="239"/>
      <c r="U869" s="239"/>
      <c r="V869" s="239"/>
      <c r="W869" s="239"/>
      <c r="X869" s="239"/>
      <c r="Y869" s="239"/>
      <c r="Z869" s="239"/>
      <c r="AA869" s="239"/>
      <c r="AB869" s="239"/>
      <c r="AC869" s="239"/>
      <c r="AD869" s="239"/>
      <c r="AE869" s="239"/>
      <c r="AF869" s="239"/>
      <c r="AG869" s="239"/>
      <c r="AH869" s="239"/>
      <c r="AI869" s="239"/>
      <c r="AJ869" s="239"/>
      <c r="AK869" s="239"/>
      <c r="AL869" s="239"/>
      <c r="AM869" s="239"/>
      <c r="AN869" s="239"/>
      <c r="AO869" s="239"/>
      <c r="AP869" s="239"/>
      <c r="AQ869" s="239"/>
      <c r="AR869" s="239"/>
      <c r="AS869" s="239"/>
      <c r="AT869" s="239"/>
      <c r="AU869" s="239"/>
      <c r="AV869" s="239"/>
      <c r="AW869" s="239"/>
      <c r="AX869" s="239"/>
      <c r="AY869" s="239"/>
      <c r="AZ869" s="239"/>
      <c r="BA869" s="239"/>
      <c r="BB869" s="239"/>
      <c r="BC869" s="239"/>
      <c r="BD869" s="239"/>
      <c r="BE869" s="239"/>
      <c r="BF869" s="239"/>
      <c r="BG869" s="239"/>
      <c r="BH869" s="239"/>
      <c r="BI869" s="239"/>
      <c r="BJ869" s="239"/>
      <c r="BK869" s="239"/>
      <c r="BL869" s="239"/>
      <c r="BM869" s="239"/>
      <c r="BN869" s="239"/>
      <c r="BO869" s="239"/>
      <c r="BP869" s="239"/>
      <c r="BQ869" s="239"/>
      <c r="BR869" s="239"/>
      <c r="BS869" s="239"/>
      <c r="BT869" s="239"/>
      <c r="BU869" s="239"/>
      <c r="BV869" s="239"/>
      <c r="BW869" s="239"/>
      <c r="BX869" s="239"/>
      <c r="BY869" s="239"/>
      <c r="BZ869" s="239"/>
      <c r="CA869" s="239"/>
      <c r="CB869" s="239"/>
      <c r="CC869" s="239"/>
      <c r="CD869" s="239"/>
      <c r="CE869" s="239"/>
      <c r="CF869" s="239"/>
      <c r="CG869" s="239"/>
    </row>
    <row r="870" spans="1:85" ht="15.75" customHeight="1">
      <c r="A870" s="239"/>
      <c r="B870" s="239"/>
      <c r="C870" s="239"/>
      <c r="D870" s="239"/>
      <c r="E870" s="239"/>
      <c r="F870" s="239"/>
      <c r="G870" s="239"/>
      <c r="H870" s="239"/>
      <c r="I870" s="239"/>
      <c r="J870" s="239"/>
      <c r="K870" s="239"/>
      <c r="L870" s="239"/>
      <c r="M870" s="239"/>
      <c r="N870" s="239"/>
      <c r="O870" s="239"/>
      <c r="P870" s="239"/>
      <c r="Q870" s="239"/>
      <c r="R870" s="239"/>
      <c r="S870" s="239"/>
      <c r="T870" s="239"/>
      <c r="U870" s="239"/>
      <c r="V870" s="239"/>
      <c r="W870" s="239"/>
      <c r="X870" s="239"/>
      <c r="Y870" s="239"/>
      <c r="Z870" s="239"/>
      <c r="AA870" s="239"/>
      <c r="AB870" s="239"/>
      <c r="AC870" s="239"/>
      <c r="AD870" s="239"/>
      <c r="AE870" s="239"/>
      <c r="AF870" s="239"/>
      <c r="AG870" s="239"/>
      <c r="AH870" s="239"/>
      <c r="AI870" s="239"/>
      <c r="AJ870" s="239"/>
      <c r="AK870" s="239"/>
      <c r="AL870" s="239"/>
      <c r="AM870" s="239"/>
      <c r="AN870" s="239"/>
      <c r="AO870" s="239"/>
      <c r="AP870" s="239"/>
      <c r="AQ870" s="239"/>
      <c r="AR870" s="239"/>
      <c r="AS870" s="239"/>
      <c r="AT870" s="239"/>
      <c r="AU870" s="239"/>
      <c r="AV870" s="239"/>
      <c r="AW870" s="239"/>
      <c r="AX870" s="239"/>
      <c r="AY870" s="239"/>
      <c r="AZ870" s="239"/>
      <c r="BA870" s="239"/>
      <c r="BB870" s="239"/>
      <c r="BC870" s="239"/>
      <c r="BD870" s="239"/>
      <c r="BE870" s="239"/>
      <c r="BF870" s="239"/>
      <c r="BG870" s="239"/>
      <c r="BH870" s="239"/>
      <c r="BI870" s="239"/>
      <c r="BJ870" s="239"/>
      <c r="BK870" s="239"/>
      <c r="BL870" s="239"/>
      <c r="BM870" s="239"/>
      <c r="BN870" s="239"/>
      <c r="BO870" s="239"/>
      <c r="BP870" s="239"/>
      <c r="BQ870" s="239"/>
      <c r="BR870" s="239"/>
      <c r="BS870" s="239"/>
      <c r="BT870" s="239"/>
      <c r="BU870" s="239"/>
      <c r="BV870" s="239"/>
      <c r="BW870" s="239"/>
      <c r="BX870" s="239"/>
      <c r="BY870" s="239"/>
      <c r="BZ870" s="239"/>
      <c r="CA870" s="239"/>
      <c r="CB870" s="239"/>
      <c r="CC870" s="239"/>
      <c r="CD870" s="239"/>
      <c r="CE870" s="239"/>
      <c r="CF870" s="239"/>
      <c r="CG870" s="239"/>
    </row>
    <row r="871" spans="1:85" ht="15.75" customHeight="1">
      <c r="A871" s="239"/>
      <c r="B871" s="239"/>
      <c r="C871" s="239"/>
      <c r="D871" s="239"/>
      <c r="E871" s="239"/>
      <c r="F871" s="239"/>
      <c r="G871" s="239"/>
      <c r="H871" s="239"/>
      <c r="I871" s="239"/>
      <c r="J871" s="239"/>
      <c r="K871" s="239"/>
      <c r="L871" s="239"/>
      <c r="M871" s="239"/>
      <c r="N871" s="239"/>
      <c r="O871" s="239"/>
      <c r="P871" s="239"/>
      <c r="Q871" s="239"/>
      <c r="R871" s="239"/>
      <c r="S871" s="239"/>
      <c r="T871" s="239"/>
      <c r="U871" s="239"/>
      <c r="V871" s="239"/>
      <c r="W871" s="239"/>
      <c r="X871" s="239"/>
      <c r="Y871" s="239"/>
      <c r="Z871" s="239"/>
      <c r="AA871" s="239"/>
      <c r="AB871" s="239"/>
      <c r="AC871" s="239"/>
      <c r="AD871" s="239"/>
      <c r="AE871" s="239"/>
      <c r="AF871" s="239"/>
      <c r="AG871" s="239"/>
      <c r="AH871" s="239"/>
      <c r="AI871" s="239"/>
      <c r="AJ871" s="239"/>
      <c r="AK871" s="239"/>
      <c r="AL871" s="239"/>
      <c r="AM871" s="239"/>
      <c r="AN871" s="239"/>
      <c r="AO871" s="239"/>
      <c r="AP871" s="239"/>
      <c r="AQ871" s="239"/>
      <c r="AR871" s="239"/>
      <c r="AS871" s="239"/>
      <c r="AT871" s="239"/>
      <c r="AU871" s="239"/>
      <c r="AV871" s="239"/>
      <c r="AW871" s="239"/>
      <c r="AX871" s="239"/>
      <c r="AY871" s="239"/>
      <c r="AZ871" s="239"/>
      <c r="BA871" s="239"/>
      <c r="BB871" s="239"/>
      <c r="BC871" s="239"/>
      <c r="BD871" s="239"/>
      <c r="BE871" s="239"/>
      <c r="BF871" s="239"/>
      <c r="BG871" s="239"/>
      <c r="BH871" s="239"/>
      <c r="BI871" s="239"/>
      <c r="BJ871" s="239"/>
      <c r="BK871" s="239"/>
      <c r="BL871" s="239"/>
      <c r="BM871" s="239"/>
      <c r="BN871" s="239"/>
      <c r="BO871" s="239"/>
      <c r="BP871" s="239"/>
      <c r="BQ871" s="239"/>
      <c r="BR871" s="239"/>
      <c r="BS871" s="239"/>
      <c r="BT871" s="239"/>
      <c r="BU871" s="239"/>
      <c r="BV871" s="239"/>
      <c r="BW871" s="239"/>
      <c r="BX871" s="239"/>
      <c r="BY871" s="239"/>
      <c r="BZ871" s="239"/>
      <c r="CA871" s="239"/>
      <c r="CB871" s="239"/>
      <c r="CC871" s="239"/>
      <c r="CD871" s="239"/>
      <c r="CE871" s="239"/>
      <c r="CF871" s="239"/>
      <c r="CG871" s="239"/>
    </row>
    <row r="872" spans="1:85" ht="15.75" customHeight="1">
      <c r="A872" s="239"/>
      <c r="B872" s="239"/>
      <c r="C872" s="239"/>
      <c r="D872" s="239"/>
      <c r="E872" s="239"/>
      <c r="F872" s="239"/>
      <c r="G872" s="239"/>
      <c r="H872" s="239"/>
      <c r="I872" s="239"/>
      <c r="J872" s="239"/>
      <c r="K872" s="239"/>
      <c r="L872" s="239"/>
      <c r="M872" s="239"/>
      <c r="N872" s="239"/>
      <c r="O872" s="239"/>
      <c r="P872" s="239"/>
      <c r="Q872" s="239"/>
      <c r="R872" s="239"/>
      <c r="S872" s="239"/>
      <c r="T872" s="239"/>
      <c r="U872" s="239"/>
      <c r="V872" s="239"/>
      <c r="W872" s="239"/>
      <c r="X872" s="239"/>
      <c r="Y872" s="239"/>
      <c r="Z872" s="239"/>
      <c r="AA872" s="239"/>
      <c r="AB872" s="239"/>
      <c r="AC872" s="239"/>
      <c r="AD872" s="239"/>
      <c r="AE872" s="239"/>
      <c r="AF872" s="239"/>
      <c r="AG872" s="239"/>
      <c r="AH872" s="239"/>
      <c r="AI872" s="239"/>
      <c r="AJ872" s="239"/>
      <c r="AK872" s="239"/>
      <c r="AL872" s="239"/>
      <c r="AM872" s="239"/>
      <c r="AN872" s="239"/>
      <c r="AO872" s="239"/>
      <c r="AP872" s="239"/>
      <c r="AQ872" s="239"/>
      <c r="AR872" s="239"/>
      <c r="AS872" s="239"/>
      <c r="AT872" s="239"/>
      <c r="AU872" s="239"/>
      <c r="AV872" s="239"/>
      <c r="AW872" s="239"/>
      <c r="AX872" s="239"/>
      <c r="AY872" s="239"/>
      <c r="AZ872" s="239"/>
      <c r="BA872" s="239"/>
      <c r="BB872" s="239"/>
      <c r="BC872" s="239"/>
      <c r="BD872" s="239"/>
      <c r="BE872" s="239"/>
      <c r="BF872" s="239"/>
      <c r="BG872" s="239"/>
      <c r="BH872" s="239"/>
      <c r="BI872" s="239"/>
      <c r="BJ872" s="239"/>
      <c r="BK872" s="239"/>
      <c r="BL872" s="239"/>
      <c r="BM872" s="239"/>
      <c r="BN872" s="239"/>
      <c r="BO872" s="239"/>
      <c r="BP872" s="239"/>
      <c r="BQ872" s="239"/>
      <c r="BR872" s="239"/>
      <c r="BS872" s="239"/>
      <c r="BT872" s="239"/>
      <c r="BU872" s="239"/>
      <c r="BV872" s="239"/>
      <c r="BW872" s="239"/>
      <c r="BX872" s="239"/>
      <c r="BY872" s="239"/>
      <c r="BZ872" s="239"/>
      <c r="CA872" s="239"/>
      <c r="CB872" s="239"/>
      <c r="CC872" s="239"/>
      <c r="CD872" s="239"/>
      <c r="CE872" s="239"/>
      <c r="CF872" s="239"/>
      <c r="CG872" s="239"/>
    </row>
    <row r="873" spans="1:85" ht="15.75" customHeight="1">
      <c r="A873" s="239"/>
      <c r="B873" s="239"/>
      <c r="C873" s="239"/>
      <c r="D873" s="239"/>
      <c r="E873" s="239"/>
      <c r="F873" s="239"/>
      <c r="G873" s="239"/>
      <c r="H873" s="239"/>
      <c r="I873" s="239"/>
      <c r="J873" s="239"/>
      <c r="K873" s="239"/>
      <c r="L873" s="239"/>
      <c r="M873" s="239"/>
      <c r="N873" s="239"/>
      <c r="O873" s="239"/>
      <c r="P873" s="239"/>
      <c r="Q873" s="239"/>
      <c r="R873" s="239"/>
      <c r="S873" s="239"/>
      <c r="T873" s="239"/>
      <c r="U873" s="239"/>
      <c r="V873" s="239"/>
      <c r="W873" s="239"/>
      <c r="X873" s="239"/>
      <c r="Y873" s="239"/>
      <c r="Z873" s="239"/>
      <c r="AA873" s="239"/>
      <c r="AB873" s="239"/>
      <c r="AC873" s="239"/>
      <c r="AD873" s="239"/>
      <c r="AE873" s="239"/>
      <c r="AF873" s="239"/>
      <c r="AG873" s="239"/>
      <c r="AH873" s="239"/>
      <c r="AI873" s="239"/>
      <c r="AJ873" s="239"/>
      <c r="AK873" s="239"/>
      <c r="AL873" s="239"/>
      <c r="AM873" s="239"/>
      <c r="AN873" s="239"/>
      <c r="AO873" s="239"/>
      <c r="AP873" s="239"/>
      <c r="AQ873" s="239"/>
      <c r="AR873" s="239"/>
      <c r="AS873" s="239"/>
      <c r="AT873" s="239"/>
      <c r="AU873" s="239"/>
      <c r="AV873" s="239"/>
      <c r="AW873" s="239"/>
      <c r="AX873" s="239"/>
      <c r="AY873" s="239"/>
      <c r="AZ873" s="239"/>
      <c r="BA873" s="239"/>
      <c r="BB873" s="239"/>
      <c r="BC873" s="239"/>
      <c r="BD873" s="239"/>
      <c r="BE873" s="239"/>
      <c r="BF873" s="239"/>
      <c r="BG873" s="239"/>
      <c r="BH873" s="239"/>
      <c r="BI873" s="239"/>
      <c r="BJ873" s="239"/>
      <c r="BK873" s="239"/>
      <c r="BL873" s="239"/>
      <c r="BM873" s="239"/>
      <c r="BN873" s="239"/>
      <c r="BO873" s="239"/>
      <c r="BP873" s="239"/>
      <c r="BQ873" s="239"/>
      <c r="BR873" s="239"/>
      <c r="BS873" s="239"/>
      <c r="BT873" s="239"/>
      <c r="BU873" s="239"/>
      <c r="BV873" s="239"/>
      <c r="BW873" s="239"/>
      <c r="BX873" s="239"/>
      <c r="BY873" s="239"/>
      <c r="BZ873" s="239"/>
      <c r="CA873" s="239"/>
      <c r="CB873" s="239"/>
      <c r="CC873" s="239"/>
      <c r="CD873" s="239"/>
      <c r="CE873" s="239"/>
      <c r="CF873" s="239"/>
      <c r="CG873" s="239"/>
    </row>
    <row r="874" spans="1:85" ht="15.75" customHeight="1">
      <c r="A874" s="239"/>
      <c r="B874" s="239"/>
      <c r="C874" s="239"/>
      <c r="D874" s="239"/>
      <c r="E874" s="239"/>
      <c r="F874" s="239"/>
      <c r="G874" s="239"/>
      <c r="H874" s="239"/>
      <c r="I874" s="239"/>
      <c r="J874" s="239"/>
      <c r="K874" s="239"/>
      <c r="L874" s="239"/>
      <c r="M874" s="239"/>
      <c r="N874" s="239"/>
      <c r="O874" s="239"/>
      <c r="P874" s="239"/>
      <c r="Q874" s="239"/>
      <c r="R874" s="239"/>
      <c r="S874" s="239"/>
      <c r="T874" s="239"/>
      <c r="U874" s="239"/>
      <c r="V874" s="239"/>
      <c r="W874" s="239"/>
      <c r="X874" s="239"/>
      <c r="Y874" s="239"/>
      <c r="Z874" s="239"/>
      <c r="AA874" s="239"/>
      <c r="AB874" s="239"/>
      <c r="AC874" s="239"/>
      <c r="AD874" s="239"/>
      <c r="AE874" s="239"/>
      <c r="AF874" s="239"/>
      <c r="AG874" s="239"/>
      <c r="AH874" s="239"/>
      <c r="AI874" s="239"/>
      <c r="AJ874" s="239"/>
      <c r="AK874" s="239"/>
      <c r="AL874" s="239"/>
      <c r="AM874" s="239"/>
      <c r="AN874" s="239"/>
      <c r="AO874" s="239"/>
      <c r="AP874" s="239"/>
      <c r="AQ874" s="239"/>
      <c r="AR874" s="239"/>
      <c r="AS874" s="239"/>
      <c r="AT874" s="239"/>
      <c r="AU874" s="239"/>
      <c r="AV874" s="239"/>
      <c r="AW874" s="239"/>
      <c r="AX874" s="239"/>
      <c r="AY874" s="239"/>
      <c r="AZ874" s="239"/>
      <c r="BA874" s="239"/>
      <c r="BB874" s="239"/>
      <c r="BC874" s="239"/>
      <c r="BD874" s="239"/>
      <c r="BE874" s="239"/>
      <c r="BF874" s="239"/>
      <c r="BG874" s="239"/>
      <c r="BH874" s="239"/>
      <c r="BI874" s="239"/>
      <c r="BJ874" s="239"/>
      <c r="BK874" s="239"/>
      <c r="BL874" s="239"/>
      <c r="BM874" s="239"/>
      <c r="BN874" s="239"/>
      <c r="BO874" s="239"/>
      <c r="BP874" s="239"/>
      <c r="BQ874" s="239"/>
      <c r="BR874" s="239"/>
      <c r="BS874" s="239"/>
      <c r="BT874" s="239"/>
      <c r="BU874" s="239"/>
      <c r="BV874" s="239"/>
      <c r="BW874" s="239"/>
      <c r="BX874" s="239"/>
      <c r="BY874" s="239"/>
      <c r="BZ874" s="239"/>
      <c r="CA874" s="239"/>
      <c r="CB874" s="239"/>
      <c r="CC874" s="239"/>
      <c r="CD874" s="239"/>
      <c r="CE874" s="239"/>
      <c r="CF874" s="239"/>
      <c r="CG874" s="239"/>
    </row>
    <row r="875" spans="1:85" ht="15.75" customHeight="1">
      <c r="A875" s="239"/>
      <c r="B875" s="239"/>
      <c r="C875" s="239"/>
      <c r="D875" s="239"/>
      <c r="E875" s="239"/>
      <c r="F875" s="239"/>
      <c r="G875" s="239"/>
      <c r="H875" s="239"/>
      <c r="I875" s="239"/>
      <c r="J875" s="239"/>
      <c r="K875" s="239"/>
      <c r="L875" s="239"/>
      <c r="M875" s="239"/>
      <c r="N875" s="239"/>
      <c r="O875" s="239"/>
      <c r="P875" s="239"/>
      <c r="Q875" s="239"/>
      <c r="R875" s="239"/>
      <c r="S875" s="239"/>
      <c r="T875" s="239"/>
      <c r="U875" s="239"/>
      <c r="V875" s="239"/>
      <c r="W875" s="239"/>
      <c r="X875" s="239"/>
      <c r="Y875" s="239"/>
      <c r="Z875" s="239"/>
      <c r="AA875" s="239"/>
      <c r="AB875" s="239"/>
      <c r="AC875" s="239"/>
      <c r="AD875" s="239"/>
      <c r="AE875" s="239"/>
      <c r="AF875" s="239"/>
      <c r="AG875" s="239"/>
      <c r="AH875" s="239"/>
      <c r="AI875" s="239"/>
      <c r="AJ875" s="239"/>
      <c r="AK875" s="239"/>
      <c r="AL875" s="239"/>
      <c r="AM875" s="239"/>
      <c r="AN875" s="239"/>
      <c r="AO875" s="239"/>
      <c r="AP875" s="239"/>
      <c r="AQ875" s="239"/>
      <c r="AR875" s="239"/>
      <c r="AS875" s="239"/>
      <c r="AT875" s="239"/>
      <c r="AU875" s="239"/>
      <c r="AV875" s="239"/>
      <c r="AW875" s="239"/>
      <c r="AX875" s="239"/>
      <c r="AY875" s="239"/>
      <c r="AZ875" s="239"/>
      <c r="BA875" s="239"/>
      <c r="BB875" s="239"/>
      <c r="BC875" s="239"/>
      <c r="BD875" s="239"/>
      <c r="BE875" s="239"/>
      <c r="BF875" s="239"/>
      <c r="BG875" s="239"/>
      <c r="BH875" s="239"/>
      <c r="BI875" s="239"/>
      <c r="BJ875" s="239"/>
      <c r="BK875" s="239"/>
      <c r="BL875" s="239"/>
      <c r="BM875" s="239"/>
      <c r="BN875" s="239"/>
      <c r="BO875" s="239"/>
      <c r="BP875" s="239"/>
      <c r="BQ875" s="239"/>
      <c r="BR875" s="239"/>
      <c r="BS875" s="239"/>
      <c r="BT875" s="239"/>
      <c r="BU875" s="239"/>
      <c r="BV875" s="239"/>
      <c r="BW875" s="239"/>
      <c r="BX875" s="239"/>
      <c r="BY875" s="239"/>
      <c r="BZ875" s="239"/>
      <c r="CA875" s="239"/>
      <c r="CB875" s="239"/>
      <c r="CC875" s="239"/>
      <c r="CD875" s="239"/>
      <c r="CE875" s="239"/>
      <c r="CF875" s="239"/>
      <c r="CG875" s="239"/>
    </row>
    <row r="876" spans="1:85" ht="15.75" customHeight="1">
      <c r="A876" s="239"/>
      <c r="B876" s="239"/>
      <c r="C876" s="239"/>
      <c r="D876" s="239"/>
      <c r="E876" s="239"/>
      <c r="F876" s="239"/>
      <c r="G876" s="239"/>
      <c r="H876" s="239"/>
      <c r="I876" s="239"/>
      <c r="J876" s="239"/>
      <c r="K876" s="239"/>
      <c r="L876" s="239"/>
      <c r="M876" s="239"/>
      <c r="N876" s="239"/>
      <c r="O876" s="239"/>
      <c r="P876" s="239"/>
      <c r="Q876" s="239"/>
      <c r="R876" s="239"/>
      <c r="S876" s="239"/>
      <c r="T876" s="239"/>
      <c r="U876" s="239"/>
      <c r="V876" s="239"/>
      <c r="W876" s="239"/>
      <c r="X876" s="239"/>
      <c r="Y876" s="239"/>
      <c r="Z876" s="239"/>
      <c r="AA876" s="239"/>
      <c r="AB876" s="239"/>
      <c r="AC876" s="239"/>
      <c r="AD876" s="239"/>
      <c r="AE876" s="239"/>
      <c r="AF876" s="239"/>
      <c r="AG876" s="239"/>
      <c r="AH876" s="239"/>
      <c r="AI876" s="239"/>
      <c r="AJ876" s="239"/>
      <c r="AK876" s="239"/>
      <c r="AL876" s="239"/>
      <c r="AM876" s="239"/>
      <c r="AN876" s="239"/>
      <c r="AO876" s="239"/>
      <c r="AP876" s="239"/>
      <c r="AQ876" s="239"/>
      <c r="AR876" s="239"/>
      <c r="AS876" s="239"/>
      <c r="AT876" s="239"/>
      <c r="AU876" s="239"/>
      <c r="AV876" s="239"/>
      <c r="AW876" s="239"/>
      <c r="AX876" s="239"/>
      <c r="AY876" s="239"/>
      <c r="AZ876" s="239"/>
      <c r="BA876" s="239"/>
      <c r="BB876" s="239"/>
      <c r="BC876" s="239"/>
      <c r="BD876" s="239"/>
      <c r="BE876" s="239"/>
      <c r="BF876" s="239"/>
      <c r="BG876" s="239"/>
      <c r="BH876" s="239"/>
      <c r="BI876" s="239"/>
      <c r="BJ876" s="239"/>
      <c r="BK876" s="239"/>
      <c r="BL876" s="239"/>
      <c r="BM876" s="239"/>
      <c r="BN876" s="239"/>
      <c r="BO876" s="239"/>
      <c r="BP876" s="239"/>
      <c r="BQ876" s="239"/>
      <c r="BR876" s="239"/>
      <c r="BS876" s="239"/>
      <c r="BT876" s="239"/>
      <c r="BU876" s="239"/>
      <c r="BV876" s="239"/>
      <c r="BW876" s="239"/>
      <c r="BX876" s="239"/>
      <c r="BY876" s="239"/>
      <c r="BZ876" s="239"/>
      <c r="CA876" s="239"/>
      <c r="CB876" s="239"/>
      <c r="CC876" s="239"/>
      <c r="CD876" s="239"/>
      <c r="CE876" s="239"/>
      <c r="CF876" s="239"/>
      <c r="CG876" s="239"/>
    </row>
    <row r="877" spans="1:85" ht="15.75" customHeight="1">
      <c r="A877" s="239"/>
      <c r="B877" s="239"/>
      <c r="C877" s="239"/>
      <c r="D877" s="239"/>
      <c r="E877" s="239"/>
      <c r="F877" s="239"/>
      <c r="G877" s="239"/>
      <c r="H877" s="239"/>
      <c r="I877" s="239"/>
      <c r="J877" s="239"/>
      <c r="K877" s="239"/>
      <c r="L877" s="239"/>
      <c r="M877" s="239"/>
      <c r="N877" s="239"/>
      <c r="O877" s="239"/>
      <c r="P877" s="239"/>
      <c r="Q877" s="239"/>
      <c r="R877" s="239"/>
      <c r="S877" s="239"/>
      <c r="T877" s="239"/>
      <c r="U877" s="239"/>
      <c r="V877" s="239"/>
      <c r="W877" s="239"/>
      <c r="X877" s="239"/>
      <c r="Y877" s="239"/>
      <c r="Z877" s="239"/>
      <c r="AA877" s="239"/>
      <c r="AB877" s="239"/>
      <c r="AC877" s="239"/>
      <c r="AD877" s="239"/>
      <c r="AE877" s="239"/>
      <c r="AF877" s="239"/>
      <c r="AG877" s="239"/>
      <c r="AH877" s="239"/>
      <c r="AI877" s="239"/>
      <c r="AJ877" s="239"/>
      <c r="AK877" s="239"/>
      <c r="AL877" s="239"/>
      <c r="AM877" s="239"/>
      <c r="AN877" s="239"/>
      <c r="AO877" s="239"/>
      <c r="AP877" s="239"/>
      <c r="AQ877" s="239"/>
      <c r="AR877" s="239"/>
      <c r="AS877" s="239"/>
      <c r="AT877" s="239"/>
      <c r="AU877" s="239"/>
      <c r="AV877" s="239"/>
      <c r="AW877" s="239"/>
      <c r="AX877" s="239"/>
      <c r="AY877" s="239"/>
      <c r="AZ877" s="239"/>
      <c r="BA877" s="239"/>
      <c r="BB877" s="239"/>
      <c r="BC877" s="239"/>
      <c r="BD877" s="239"/>
      <c r="BE877" s="239"/>
      <c r="BF877" s="239"/>
      <c r="BG877" s="239"/>
      <c r="BH877" s="239"/>
      <c r="BI877" s="239"/>
      <c r="BJ877" s="239"/>
      <c r="BK877" s="239"/>
      <c r="BL877" s="239"/>
      <c r="BM877" s="239"/>
      <c r="BN877" s="239"/>
      <c r="BO877" s="239"/>
      <c r="BP877" s="239"/>
      <c r="BQ877" s="239"/>
      <c r="BR877" s="239"/>
      <c r="BS877" s="239"/>
      <c r="BT877" s="239"/>
      <c r="BU877" s="239"/>
      <c r="BV877" s="239"/>
      <c r="BW877" s="239"/>
      <c r="BX877" s="239"/>
      <c r="BY877" s="239"/>
      <c r="BZ877" s="239"/>
      <c r="CA877" s="239"/>
      <c r="CB877" s="239"/>
      <c r="CC877" s="239"/>
      <c r="CD877" s="239"/>
      <c r="CE877" s="239"/>
      <c r="CF877" s="239"/>
      <c r="CG877" s="239"/>
    </row>
    <row r="878" spans="1:85" ht="15.75" customHeight="1">
      <c r="A878" s="239"/>
      <c r="B878" s="239"/>
      <c r="C878" s="239"/>
      <c r="D878" s="239"/>
      <c r="E878" s="239"/>
      <c r="F878" s="239"/>
      <c r="G878" s="239"/>
      <c r="H878" s="239"/>
      <c r="I878" s="239"/>
      <c r="J878" s="239"/>
      <c r="K878" s="239"/>
      <c r="L878" s="239"/>
      <c r="M878" s="239"/>
      <c r="N878" s="239"/>
      <c r="O878" s="239"/>
      <c r="P878" s="239"/>
      <c r="Q878" s="239"/>
      <c r="R878" s="239"/>
      <c r="S878" s="239"/>
      <c r="T878" s="239"/>
      <c r="U878" s="239"/>
      <c r="V878" s="239"/>
      <c r="W878" s="239"/>
      <c r="X878" s="239"/>
      <c r="Y878" s="239"/>
      <c r="Z878" s="239"/>
      <c r="AA878" s="239"/>
      <c r="AB878" s="239"/>
      <c r="AC878" s="239"/>
      <c r="AD878" s="239"/>
      <c r="AE878" s="239"/>
      <c r="AF878" s="239"/>
      <c r="AG878" s="239"/>
      <c r="AH878" s="239"/>
      <c r="AI878" s="239"/>
      <c r="AJ878" s="239"/>
      <c r="AK878" s="239"/>
      <c r="AL878" s="239"/>
      <c r="AM878" s="239"/>
      <c r="AN878" s="239"/>
      <c r="AO878" s="239"/>
      <c r="AP878" s="239"/>
      <c r="AQ878" s="239"/>
      <c r="AR878" s="239"/>
      <c r="AS878" s="239"/>
      <c r="AT878" s="239"/>
      <c r="AU878" s="239"/>
      <c r="AV878" s="239"/>
      <c r="AW878" s="239"/>
      <c r="AX878" s="239"/>
      <c r="AY878" s="239"/>
      <c r="AZ878" s="239"/>
      <c r="BA878" s="239"/>
      <c r="BB878" s="239"/>
      <c r="BC878" s="239"/>
      <c r="BD878" s="239"/>
      <c r="BE878" s="239"/>
      <c r="BF878" s="239"/>
      <c r="BG878" s="239"/>
      <c r="BH878" s="239"/>
      <c r="BI878" s="239"/>
      <c r="BJ878" s="239"/>
      <c r="BK878" s="239"/>
      <c r="BL878" s="239"/>
      <c r="BM878" s="239"/>
      <c r="BN878" s="239"/>
      <c r="BO878" s="239"/>
      <c r="BP878" s="239"/>
      <c r="BQ878" s="239"/>
      <c r="BR878" s="239"/>
      <c r="BS878" s="239"/>
      <c r="BT878" s="239"/>
      <c r="BU878" s="239"/>
      <c r="BV878" s="239"/>
      <c r="BW878" s="239"/>
      <c r="BX878" s="239"/>
      <c r="BY878" s="239"/>
      <c r="BZ878" s="239"/>
      <c r="CA878" s="239"/>
      <c r="CB878" s="239"/>
      <c r="CC878" s="239"/>
      <c r="CD878" s="239"/>
      <c r="CE878" s="239"/>
      <c r="CF878" s="239"/>
      <c r="CG878" s="239"/>
    </row>
    <row r="879" spans="1:85" ht="15.75" customHeight="1">
      <c r="A879" s="239"/>
      <c r="B879" s="239"/>
      <c r="C879" s="239"/>
      <c r="D879" s="239"/>
      <c r="E879" s="239"/>
      <c r="F879" s="239"/>
      <c r="G879" s="239"/>
      <c r="H879" s="239"/>
      <c r="I879" s="239"/>
      <c r="J879" s="239"/>
      <c r="K879" s="239"/>
      <c r="L879" s="239"/>
      <c r="M879" s="239"/>
      <c r="N879" s="239"/>
      <c r="O879" s="239"/>
      <c r="P879" s="239"/>
      <c r="Q879" s="239"/>
      <c r="R879" s="239"/>
      <c r="S879" s="239"/>
      <c r="T879" s="239"/>
      <c r="U879" s="239"/>
      <c r="V879" s="239"/>
      <c r="W879" s="239"/>
      <c r="X879" s="239"/>
      <c r="Y879" s="239"/>
      <c r="Z879" s="239"/>
      <c r="AA879" s="239"/>
      <c r="AB879" s="239"/>
      <c r="AC879" s="239"/>
      <c r="AD879" s="239"/>
      <c r="AE879" s="239"/>
      <c r="AF879" s="239"/>
      <c r="AG879" s="239"/>
      <c r="AH879" s="239"/>
      <c r="AI879" s="239"/>
      <c r="AJ879" s="239"/>
      <c r="AK879" s="239"/>
      <c r="AL879" s="239"/>
      <c r="AM879" s="239"/>
      <c r="AN879" s="239"/>
      <c r="AO879" s="239"/>
      <c r="AP879" s="239"/>
      <c r="AQ879" s="239"/>
      <c r="AR879" s="239"/>
      <c r="AS879" s="239"/>
      <c r="AT879" s="239"/>
      <c r="AU879" s="239"/>
      <c r="AV879" s="239"/>
      <c r="AW879" s="239"/>
      <c r="AX879" s="239"/>
      <c r="AY879" s="239"/>
      <c r="AZ879" s="239"/>
      <c r="BA879" s="239"/>
      <c r="BB879" s="239"/>
      <c r="BC879" s="239"/>
      <c r="BD879" s="239"/>
      <c r="BE879" s="239"/>
      <c r="BF879" s="239"/>
      <c r="BG879" s="239"/>
      <c r="BH879" s="239"/>
      <c r="BI879" s="239"/>
      <c r="BJ879" s="239"/>
      <c r="BK879" s="239"/>
      <c r="BL879" s="239"/>
      <c r="BM879" s="239"/>
      <c r="BN879" s="239"/>
      <c r="BO879" s="239"/>
      <c r="BP879" s="239"/>
      <c r="BQ879" s="239"/>
      <c r="BR879" s="239"/>
      <c r="BS879" s="239"/>
      <c r="BT879" s="239"/>
      <c r="BU879" s="239"/>
      <c r="BV879" s="239"/>
      <c r="BW879" s="239"/>
      <c r="BX879" s="239"/>
      <c r="BY879" s="239"/>
      <c r="BZ879" s="239"/>
      <c r="CA879" s="239"/>
      <c r="CB879" s="239"/>
      <c r="CC879" s="239"/>
      <c r="CD879" s="239"/>
      <c r="CE879" s="239"/>
      <c r="CF879" s="239"/>
      <c r="CG879" s="239"/>
    </row>
    <row r="880" spans="1:85" ht="15.75" customHeight="1">
      <c r="A880" s="239"/>
      <c r="B880" s="239"/>
      <c r="C880" s="239"/>
      <c r="D880" s="239"/>
      <c r="E880" s="239"/>
      <c r="F880" s="239"/>
      <c r="G880" s="239"/>
      <c r="H880" s="239"/>
      <c r="I880" s="239"/>
      <c r="J880" s="239"/>
      <c r="K880" s="239"/>
      <c r="L880" s="239"/>
      <c r="M880" s="239"/>
      <c r="N880" s="239"/>
      <c r="O880" s="239"/>
      <c r="P880" s="239"/>
      <c r="Q880" s="239"/>
      <c r="R880" s="239"/>
      <c r="S880" s="239"/>
      <c r="T880" s="239"/>
      <c r="U880" s="239"/>
      <c r="V880" s="239"/>
      <c r="W880" s="239"/>
      <c r="X880" s="239"/>
      <c r="Y880" s="239"/>
      <c r="Z880" s="239"/>
      <c r="AA880" s="239"/>
      <c r="AB880" s="239"/>
      <c r="AC880" s="239"/>
      <c r="AD880" s="239"/>
      <c r="AE880" s="239"/>
      <c r="AF880" s="239"/>
      <c r="AG880" s="239"/>
      <c r="AH880" s="239"/>
      <c r="AI880" s="239"/>
      <c r="AJ880" s="239"/>
      <c r="AK880" s="239"/>
      <c r="AL880" s="239"/>
      <c r="AM880" s="239"/>
      <c r="AN880" s="239"/>
      <c r="AO880" s="239"/>
      <c r="AP880" s="239"/>
      <c r="AQ880" s="239"/>
      <c r="AR880" s="239"/>
      <c r="AS880" s="239"/>
      <c r="AT880" s="239"/>
      <c r="AU880" s="239"/>
      <c r="AV880" s="239"/>
      <c r="AW880" s="239"/>
      <c r="AX880" s="239"/>
      <c r="AY880" s="239"/>
      <c r="AZ880" s="239"/>
      <c r="BA880" s="239"/>
      <c r="BB880" s="239"/>
      <c r="BC880" s="239"/>
      <c r="BD880" s="239"/>
      <c r="BE880" s="239"/>
      <c r="BF880" s="239"/>
      <c r="BG880" s="239"/>
      <c r="BH880" s="239"/>
      <c r="BI880" s="239"/>
      <c r="BJ880" s="239"/>
      <c r="BK880" s="239"/>
      <c r="BL880" s="239"/>
      <c r="BM880" s="239"/>
      <c r="BN880" s="239"/>
      <c r="BO880" s="239"/>
      <c r="BP880" s="239"/>
      <c r="BQ880" s="239"/>
      <c r="BR880" s="239"/>
      <c r="BS880" s="239"/>
      <c r="BT880" s="239"/>
      <c r="BU880" s="239"/>
      <c r="BV880" s="239"/>
      <c r="BW880" s="239"/>
      <c r="BX880" s="239"/>
      <c r="BY880" s="239"/>
      <c r="BZ880" s="239"/>
      <c r="CA880" s="239"/>
      <c r="CB880" s="239"/>
      <c r="CC880" s="239"/>
      <c r="CD880" s="239"/>
      <c r="CE880" s="239"/>
      <c r="CF880" s="239"/>
      <c r="CG880" s="239"/>
    </row>
    <row r="881" spans="1:85" ht="15.75" customHeight="1">
      <c r="A881" s="239"/>
      <c r="B881" s="239"/>
      <c r="C881" s="239"/>
      <c r="D881" s="239"/>
      <c r="E881" s="239"/>
      <c r="F881" s="239"/>
      <c r="G881" s="239"/>
      <c r="H881" s="239"/>
      <c r="I881" s="239"/>
      <c r="J881" s="239"/>
      <c r="K881" s="239"/>
      <c r="L881" s="239"/>
      <c r="M881" s="239"/>
      <c r="N881" s="239"/>
      <c r="O881" s="239"/>
      <c r="P881" s="239"/>
      <c r="Q881" s="239"/>
      <c r="R881" s="239"/>
      <c r="S881" s="239"/>
      <c r="T881" s="239"/>
      <c r="U881" s="239"/>
      <c r="V881" s="239"/>
      <c r="W881" s="239"/>
      <c r="X881" s="239"/>
      <c r="Y881" s="239"/>
      <c r="Z881" s="239"/>
      <c r="AA881" s="239"/>
      <c r="AB881" s="239"/>
      <c r="AC881" s="239"/>
      <c r="AD881" s="239"/>
      <c r="AE881" s="239"/>
      <c r="AF881" s="239"/>
      <c r="AG881" s="239"/>
      <c r="AH881" s="239"/>
      <c r="AI881" s="239"/>
      <c r="AJ881" s="239"/>
      <c r="AK881" s="239"/>
      <c r="AL881" s="239"/>
      <c r="AM881" s="239"/>
      <c r="AN881" s="239"/>
      <c r="AO881" s="239"/>
      <c r="AP881" s="239"/>
      <c r="AQ881" s="239"/>
      <c r="AR881" s="239"/>
      <c r="AS881" s="239"/>
      <c r="AT881" s="239"/>
      <c r="AU881" s="239"/>
      <c r="AV881" s="239"/>
      <c r="AW881" s="239"/>
      <c r="AX881" s="239"/>
      <c r="AY881" s="239"/>
      <c r="AZ881" s="239"/>
      <c r="BA881" s="239"/>
      <c r="BB881" s="239"/>
      <c r="BC881" s="239"/>
      <c r="BD881" s="239"/>
      <c r="BE881" s="239"/>
      <c r="BF881" s="239"/>
      <c r="BG881" s="239"/>
      <c r="BH881" s="239"/>
      <c r="BI881" s="239"/>
      <c r="BJ881" s="239"/>
      <c r="BK881" s="239"/>
      <c r="BL881" s="239"/>
      <c r="BM881" s="239"/>
      <c r="BN881" s="239"/>
      <c r="BO881" s="239"/>
      <c r="BP881" s="239"/>
      <c r="BQ881" s="239"/>
      <c r="BR881" s="239"/>
      <c r="BS881" s="239"/>
      <c r="BT881" s="239"/>
      <c r="BU881" s="239"/>
      <c r="BV881" s="239"/>
      <c r="BW881" s="239"/>
      <c r="BX881" s="239"/>
      <c r="BY881" s="239"/>
      <c r="BZ881" s="239"/>
      <c r="CA881" s="239"/>
      <c r="CB881" s="239"/>
      <c r="CC881" s="239"/>
      <c r="CD881" s="239"/>
      <c r="CE881" s="239"/>
      <c r="CF881" s="239"/>
      <c r="CG881" s="239"/>
    </row>
    <row r="882" spans="1:85" ht="15.75" customHeight="1">
      <c r="A882" s="239"/>
      <c r="B882" s="239"/>
      <c r="C882" s="239"/>
      <c r="D882" s="239"/>
      <c r="E882" s="239"/>
      <c r="F882" s="239"/>
      <c r="G882" s="239"/>
      <c r="H882" s="239"/>
      <c r="I882" s="239"/>
      <c r="J882" s="239"/>
      <c r="K882" s="239"/>
      <c r="L882" s="239"/>
      <c r="M882" s="239"/>
      <c r="N882" s="239"/>
      <c r="O882" s="239"/>
      <c r="P882" s="239"/>
      <c r="Q882" s="239"/>
      <c r="R882" s="239"/>
      <c r="S882" s="239"/>
      <c r="T882" s="239"/>
      <c r="U882" s="239"/>
      <c r="V882" s="239"/>
      <c r="W882" s="239"/>
      <c r="X882" s="239"/>
      <c r="Y882" s="239"/>
      <c r="Z882" s="239"/>
      <c r="AA882" s="239"/>
      <c r="AB882" s="239"/>
      <c r="AC882" s="239"/>
      <c r="AD882" s="239"/>
      <c r="AE882" s="239"/>
      <c r="AF882" s="239"/>
      <c r="AG882" s="239"/>
      <c r="AH882" s="239"/>
      <c r="AI882" s="239"/>
      <c r="AJ882" s="239"/>
      <c r="AK882" s="239"/>
      <c r="AL882" s="239"/>
      <c r="AM882" s="239"/>
      <c r="AN882" s="239"/>
      <c r="AO882" s="239"/>
      <c r="AP882" s="239"/>
      <c r="AQ882" s="239"/>
      <c r="AR882" s="239"/>
      <c r="AS882" s="239"/>
      <c r="AT882" s="239"/>
      <c r="AU882" s="239"/>
      <c r="AV882" s="239"/>
      <c r="AW882" s="239"/>
      <c r="AX882" s="239"/>
      <c r="AY882" s="239"/>
      <c r="AZ882" s="239"/>
      <c r="BA882" s="239"/>
      <c r="BB882" s="239"/>
      <c r="BC882" s="239"/>
      <c r="BD882" s="239"/>
      <c r="BE882" s="239"/>
      <c r="BF882" s="239"/>
      <c r="BG882" s="239"/>
      <c r="BH882" s="239"/>
      <c r="BI882" s="239"/>
      <c r="BJ882" s="239"/>
      <c r="BK882" s="239"/>
      <c r="BL882" s="239"/>
      <c r="BM882" s="239"/>
      <c r="BN882" s="239"/>
      <c r="BO882" s="239"/>
      <c r="BP882" s="239"/>
      <c r="BQ882" s="239"/>
      <c r="BR882" s="239"/>
      <c r="BS882" s="239"/>
      <c r="BT882" s="239"/>
      <c r="BU882" s="239"/>
      <c r="BV882" s="239"/>
      <c r="BW882" s="239"/>
      <c r="BX882" s="239"/>
      <c r="BY882" s="239"/>
      <c r="BZ882" s="239"/>
      <c r="CA882" s="239"/>
      <c r="CB882" s="239"/>
      <c r="CC882" s="239"/>
      <c r="CD882" s="239"/>
      <c r="CE882" s="239"/>
      <c r="CF882" s="239"/>
      <c r="CG882" s="239"/>
    </row>
    <row r="883" spans="1:85" ht="15.75" customHeight="1">
      <c r="A883" s="239"/>
      <c r="B883" s="239"/>
      <c r="C883" s="239"/>
      <c r="D883" s="239"/>
      <c r="E883" s="239"/>
      <c r="F883" s="239"/>
      <c r="G883" s="239"/>
      <c r="H883" s="239"/>
      <c r="I883" s="239"/>
      <c r="J883" s="239"/>
      <c r="K883" s="239"/>
      <c r="L883" s="239"/>
      <c r="M883" s="239"/>
      <c r="N883" s="239"/>
      <c r="O883" s="239"/>
      <c r="P883" s="239"/>
      <c r="Q883" s="239"/>
      <c r="R883" s="239"/>
      <c r="S883" s="239"/>
      <c r="T883" s="239"/>
      <c r="U883" s="239"/>
      <c r="V883" s="239"/>
      <c r="W883" s="239"/>
      <c r="X883" s="239"/>
      <c r="Y883" s="239"/>
      <c r="Z883" s="239"/>
      <c r="AA883" s="239"/>
      <c r="AB883" s="239"/>
      <c r="AC883" s="239"/>
      <c r="AD883" s="239"/>
      <c r="AE883" s="239"/>
      <c r="AF883" s="239"/>
      <c r="AG883" s="239"/>
      <c r="AH883" s="239"/>
      <c r="AI883" s="239"/>
      <c r="AJ883" s="239"/>
      <c r="AK883" s="239"/>
      <c r="AL883" s="239"/>
      <c r="AM883" s="239"/>
      <c r="AN883" s="239"/>
      <c r="AO883" s="239"/>
      <c r="AP883" s="239"/>
      <c r="AQ883" s="239"/>
      <c r="AR883" s="239"/>
      <c r="AS883" s="239"/>
      <c r="AT883" s="239"/>
      <c r="AU883" s="239"/>
      <c r="AV883" s="239"/>
      <c r="AW883" s="239"/>
      <c r="AX883" s="239"/>
      <c r="AY883" s="239"/>
      <c r="AZ883" s="239"/>
      <c r="BA883" s="239"/>
      <c r="BB883" s="239"/>
      <c r="BC883" s="239"/>
      <c r="BD883" s="239"/>
      <c r="BE883" s="239"/>
      <c r="BF883" s="239"/>
      <c r="BG883" s="239"/>
      <c r="BH883" s="239"/>
      <c r="BI883" s="239"/>
      <c r="BJ883" s="239"/>
      <c r="BK883" s="239"/>
      <c r="BL883" s="239"/>
      <c r="BM883" s="239"/>
      <c r="BN883" s="239"/>
      <c r="BO883" s="239"/>
      <c r="BP883" s="239"/>
      <c r="BQ883" s="239"/>
      <c r="BR883" s="239"/>
      <c r="BS883" s="239"/>
      <c r="BT883" s="239"/>
      <c r="BU883" s="239"/>
      <c r="BV883" s="239"/>
      <c r="BW883" s="239"/>
      <c r="BX883" s="239"/>
      <c r="BY883" s="239"/>
      <c r="BZ883" s="239"/>
      <c r="CA883" s="239"/>
      <c r="CB883" s="239"/>
      <c r="CC883" s="239"/>
      <c r="CD883" s="239"/>
      <c r="CE883" s="239"/>
      <c r="CF883" s="239"/>
      <c r="CG883" s="239"/>
    </row>
    <row r="884" spans="1:85" ht="15.75" customHeight="1">
      <c r="A884" s="239"/>
      <c r="B884" s="239"/>
      <c r="C884" s="239"/>
      <c r="D884" s="239"/>
      <c r="E884" s="239"/>
      <c r="F884" s="239"/>
      <c r="G884" s="239"/>
      <c r="H884" s="239"/>
      <c r="I884" s="239"/>
      <c r="J884" s="239"/>
      <c r="K884" s="239"/>
      <c r="L884" s="239"/>
      <c r="M884" s="239"/>
      <c r="N884" s="239"/>
      <c r="O884" s="239"/>
      <c r="P884" s="239"/>
      <c r="Q884" s="239"/>
      <c r="R884" s="239"/>
      <c r="S884" s="239"/>
      <c r="T884" s="239"/>
      <c r="U884" s="239"/>
      <c r="V884" s="239"/>
      <c r="W884" s="239"/>
      <c r="X884" s="239"/>
      <c r="Y884" s="239"/>
      <c r="Z884" s="239"/>
      <c r="AA884" s="239"/>
      <c r="AB884" s="239"/>
      <c r="AC884" s="239"/>
      <c r="AD884" s="239"/>
      <c r="AE884" s="239"/>
      <c r="AF884" s="239"/>
      <c r="AG884" s="239"/>
      <c r="AH884" s="239"/>
      <c r="AI884" s="239"/>
      <c r="AJ884" s="239"/>
      <c r="AK884" s="239"/>
      <c r="AL884" s="239"/>
      <c r="AM884" s="239"/>
      <c r="AN884" s="239"/>
      <c r="AO884" s="239"/>
      <c r="AP884" s="239"/>
      <c r="AQ884" s="239"/>
      <c r="AR884" s="239"/>
      <c r="AS884" s="239"/>
      <c r="AT884" s="239"/>
      <c r="AU884" s="239"/>
      <c r="AV884" s="239"/>
      <c r="AW884" s="239"/>
      <c r="AX884" s="239"/>
      <c r="AY884" s="239"/>
      <c r="AZ884" s="239"/>
      <c r="BA884" s="239"/>
      <c r="BB884" s="239"/>
      <c r="BC884" s="239"/>
      <c r="BD884" s="239"/>
      <c r="BE884" s="239"/>
      <c r="BF884" s="239"/>
      <c r="BG884" s="239"/>
      <c r="BH884" s="239"/>
      <c r="BI884" s="239"/>
      <c r="BJ884" s="239"/>
      <c r="BK884" s="239"/>
      <c r="BL884" s="239"/>
      <c r="BM884" s="239"/>
      <c r="BN884" s="239"/>
      <c r="BO884" s="239"/>
      <c r="BP884" s="239"/>
      <c r="BQ884" s="239"/>
      <c r="BR884" s="239"/>
      <c r="BS884" s="239"/>
      <c r="BT884" s="239"/>
      <c r="BU884" s="239"/>
      <c r="BV884" s="239"/>
      <c r="BW884" s="239"/>
      <c r="BX884" s="239"/>
      <c r="BY884" s="239"/>
      <c r="BZ884" s="239"/>
      <c r="CA884" s="239"/>
      <c r="CB884" s="239"/>
      <c r="CC884" s="239"/>
      <c r="CD884" s="239"/>
      <c r="CE884" s="239"/>
      <c r="CF884" s="239"/>
      <c r="CG884" s="239"/>
    </row>
    <row r="885" spans="1:85" ht="15.75" customHeight="1">
      <c r="A885" s="239"/>
      <c r="B885" s="239"/>
      <c r="C885" s="239"/>
      <c r="D885" s="239"/>
      <c r="E885" s="239"/>
      <c r="F885" s="239"/>
      <c r="G885" s="239"/>
      <c r="H885" s="239"/>
      <c r="I885" s="239"/>
      <c r="J885" s="239"/>
      <c r="K885" s="239"/>
      <c r="L885" s="239"/>
      <c r="M885" s="239"/>
      <c r="N885" s="239"/>
      <c r="O885" s="239"/>
      <c r="P885" s="239"/>
      <c r="Q885" s="239"/>
      <c r="R885" s="239"/>
      <c r="S885" s="239"/>
      <c r="T885" s="239"/>
      <c r="U885" s="239"/>
      <c r="V885" s="239"/>
      <c r="W885" s="239"/>
      <c r="X885" s="239"/>
      <c r="Y885" s="239"/>
      <c r="Z885" s="239"/>
      <c r="AA885" s="239"/>
      <c r="AB885" s="239"/>
      <c r="AC885" s="239"/>
      <c r="AD885" s="239"/>
      <c r="AE885" s="239"/>
      <c r="AF885" s="239"/>
      <c r="AG885" s="239"/>
      <c r="AH885" s="239"/>
      <c r="AI885" s="239"/>
      <c r="AJ885" s="239"/>
      <c r="AK885" s="239"/>
      <c r="AL885" s="239"/>
      <c r="AM885" s="239"/>
      <c r="AN885" s="239"/>
      <c r="AO885" s="239"/>
      <c r="AP885" s="239"/>
      <c r="AQ885" s="239"/>
      <c r="AR885" s="239"/>
      <c r="AS885" s="239"/>
      <c r="AT885" s="239"/>
      <c r="AU885" s="239"/>
      <c r="AV885" s="239"/>
      <c r="AW885" s="239"/>
      <c r="AX885" s="239"/>
      <c r="AY885" s="239"/>
      <c r="AZ885" s="239"/>
      <c r="BA885" s="239"/>
      <c r="BB885" s="239"/>
      <c r="BC885" s="239"/>
      <c r="BD885" s="239"/>
      <c r="BE885" s="239"/>
      <c r="BF885" s="239"/>
      <c r="BG885" s="239"/>
      <c r="BH885" s="239"/>
      <c r="BI885" s="239"/>
      <c r="BJ885" s="239"/>
      <c r="BK885" s="239"/>
      <c r="BL885" s="239"/>
      <c r="BM885" s="239"/>
      <c r="BN885" s="239"/>
      <c r="BO885" s="239"/>
      <c r="BP885" s="239"/>
      <c r="BQ885" s="239"/>
      <c r="BR885" s="239"/>
      <c r="BS885" s="239"/>
      <c r="BT885" s="239"/>
      <c r="BU885" s="239"/>
      <c r="BV885" s="239"/>
      <c r="BW885" s="239"/>
      <c r="BX885" s="239"/>
      <c r="BY885" s="239"/>
      <c r="BZ885" s="239"/>
      <c r="CA885" s="239"/>
      <c r="CB885" s="239"/>
      <c r="CC885" s="239"/>
      <c r="CD885" s="239"/>
      <c r="CE885" s="239"/>
      <c r="CF885" s="239"/>
      <c r="CG885" s="239"/>
    </row>
    <row r="886" spans="1:85" ht="15.75" customHeight="1">
      <c r="A886" s="239"/>
      <c r="B886" s="239"/>
      <c r="C886" s="239"/>
      <c r="D886" s="239"/>
      <c r="E886" s="239"/>
      <c r="F886" s="239"/>
      <c r="G886" s="239"/>
      <c r="H886" s="239"/>
      <c r="I886" s="239"/>
      <c r="J886" s="239"/>
      <c r="K886" s="239"/>
      <c r="L886" s="239"/>
      <c r="M886" s="239"/>
      <c r="N886" s="239"/>
      <c r="O886" s="239"/>
      <c r="P886" s="239"/>
      <c r="Q886" s="239"/>
      <c r="R886" s="239"/>
      <c r="S886" s="239"/>
      <c r="T886" s="239"/>
      <c r="U886" s="239"/>
      <c r="V886" s="239"/>
      <c r="W886" s="239"/>
      <c r="X886" s="239"/>
      <c r="Y886" s="239"/>
      <c r="Z886" s="239"/>
      <c r="AA886" s="239"/>
      <c r="AB886" s="239"/>
      <c r="AC886" s="239"/>
      <c r="AD886" s="239"/>
      <c r="AE886" s="239"/>
      <c r="AF886" s="239"/>
      <c r="AG886" s="239"/>
      <c r="AH886" s="239"/>
      <c r="AI886" s="239"/>
      <c r="AJ886" s="239"/>
      <c r="AK886" s="239"/>
      <c r="AL886" s="239"/>
      <c r="AM886" s="239"/>
      <c r="AN886" s="239"/>
      <c r="AO886" s="239"/>
      <c r="AP886" s="239"/>
      <c r="AQ886" s="239"/>
      <c r="AR886" s="239"/>
      <c r="AS886" s="239"/>
      <c r="AT886" s="239"/>
      <c r="AU886" s="239"/>
      <c r="AV886" s="239"/>
      <c r="AW886" s="239"/>
      <c r="AX886" s="239"/>
      <c r="AY886" s="239"/>
      <c r="AZ886" s="239"/>
      <c r="BA886" s="239"/>
      <c r="BB886" s="239"/>
      <c r="BC886" s="239"/>
      <c r="BD886" s="239"/>
      <c r="BE886" s="239"/>
      <c r="BF886" s="239"/>
      <c r="BG886" s="239"/>
      <c r="BH886" s="239"/>
      <c r="BI886" s="239"/>
      <c r="BJ886" s="239"/>
      <c r="BK886" s="239"/>
      <c r="BL886" s="239"/>
      <c r="BM886" s="239"/>
      <c r="BN886" s="239"/>
      <c r="BO886" s="239"/>
      <c r="BP886" s="239"/>
      <c r="BQ886" s="239"/>
      <c r="BR886" s="239"/>
      <c r="BS886" s="239"/>
      <c r="BT886" s="239"/>
      <c r="BU886" s="239"/>
      <c r="BV886" s="239"/>
      <c r="BW886" s="239"/>
      <c r="BX886" s="239"/>
      <c r="BY886" s="239"/>
      <c r="BZ886" s="239"/>
      <c r="CA886" s="239"/>
      <c r="CB886" s="239"/>
      <c r="CC886" s="239"/>
      <c r="CD886" s="239"/>
      <c r="CE886" s="239"/>
      <c r="CF886" s="239"/>
      <c r="CG886" s="239"/>
    </row>
    <row r="887" spans="1:85" ht="15.75" customHeight="1">
      <c r="A887" s="239"/>
      <c r="B887" s="239"/>
      <c r="C887" s="239"/>
      <c r="D887" s="239"/>
      <c r="E887" s="239"/>
      <c r="F887" s="239"/>
      <c r="G887" s="239"/>
      <c r="H887" s="239"/>
      <c r="I887" s="239"/>
      <c r="J887" s="239"/>
      <c r="K887" s="239"/>
      <c r="L887" s="239"/>
      <c r="M887" s="239"/>
      <c r="N887" s="239"/>
      <c r="O887" s="239"/>
      <c r="P887" s="239"/>
      <c r="Q887" s="239"/>
      <c r="R887" s="239"/>
      <c r="S887" s="239"/>
      <c r="T887" s="239"/>
      <c r="U887" s="239"/>
      <c r="V887" s="239"/>
      <c r="W887" s="239"/>
      <c r="X887" s="239"/>
      <c r="Y887" s="239"/>
      <c r="Z887" s="239"/>
      <c r="AA887" s="239"/>
      <c r="AB887" s="239"/>
      <c r="AC887" s="239"/>
      <c r="AD887" s="239"/>
      <c r="AE887" s="239"/>
      <c r="AF887" s="239"/>
      <c r="AG887" s="239"/>
      <c r="AH887" s="239"/>
      <c r="AI887" s="239"/>
      <c r="AJ887" s="239"/>
      <c r="AK887" s="239"/>
      <c r="AL887" s="239"/>
      <c r="AM887" s="239"/>
      <c r="AN887" s="239"/>
      <c r="AO887" s="239"/>
      <c r="AP887" s="239"/>
      <c r="AQ887" s="239"/>
      <c r="AR887" s="239"/>
      <c r="AS887" s="239"/>
      <c r="AT887" s="239"/>
      <c r="AU887" s="239"/>
      <c r="AV887" s="239"/>
      <c r="AW887" s="239"/>
      <c r="AX887" s="239"/>
      <c r="AY887" s="239"/>
      <c r="AZ887" s="239"/>
      <c r="BA887" s="239"/>
      <c r="BB887" s="239"/>
      <c r="BC887" s="239"/>
      <c r="BD887" s="239"/>
      <c r="BE887" s="239"/>
      <c r="BF887" s="239"/>
      <c r="BG887" s="239"/>
      <c r="BH887" s="239"/>
      <c r="BI887" s="239"/>
      <c r="BJ887" s="239"/>
      <c r="BK887" s="239"/>
      <c r="BL887" s="239"/>
      <c r="BM887" s="239"/>
      <c r="BN887" s="239"/>
      <c r="BO887" s="239"/>
      <c r="BP887" s="239"/>
      <c r="BQ887" s="239"/>
      <c r="BR887" s="239"/>
      <c r="BS887" s="239"/>
      <c r="BT887" s="239"/>
      <c r="BU887" s="239"/>
      <c r="BV887" s="239"/>
      <c r="BW887" s="239"/>
      <c r="BX887" s="239"/>
      <c r="BY887" s="239"/>
      <c r="BZ887" s="239"/>
      <c r="CA887" s="239"/>
      <c r="CB887" s="239"/>
      <c r="CC887" s="239"/>
      <c r="CD887" s="239"/>
      <c r="CE887" s="239"/>
      <c r="CF887" s="239"/>
      <c r="CG887" s="239"/>
    </row>
    <row r="888" spans="1:85" ht="15.75" customHeight="1">
      <c r="A888" s="239"/>
      <c r="B888" s="239"/>
      <c r="C888" s="239"/>
      <c r="D888" s="239"/>
      <c r="E888" s="239"/>
      <c r="F888" s="239"/>
      <c r="G888" s="239"/>
      <c r="H888" s="239"/>
      <c r="I888" s="239"/>
      <c r="J888" s="239"/>
      <c r="K888" s="239"/>
      <c r="L888" s="239"/>
      <c r="M888" s="239"/>
      <c r="N888" s="239"/>
      <c r="O888" s="239"/>
      <c r="P888" s="239"/>
      <c r="Q888" s="239"/>
      <c r="R888" s="239"/>
      <c r="S888" s="239"/>
      <c r="T888" s="239"/>
      <c r="U888" s="239"/>
      <c r="V888" s="239"/>
      <c r="W888" s="239"/>
      <c r="X888" s="239"/>
      <c r="Y888" s="239"/>
      <c r="Z888" s="239"/>
      <c r="AA888" s="239"/>
      <c r="AB888" s="239"/>
      <c r="AC888" s="239"/>
      <c r="AD888" s="239"/>
      <c r="AE888" s="239"/>
      <c r="AF888" s="239"/>
      <c r="AG888" s="239"/>
      <c r="AH888" s="239"/>
      <c r="AI888" s="239"/>
      <c r="AJ888" s="239"/>
      <c r="AK888" s="239"/>
      <c r="AL888" s="239"/>
      <c r="AM888" s="239"/>
      <c r="AN888" s="239"/>
      <c r="AO888" s="239"/>
      <c r="AP888" s="239"/>
      <c r="AQ888" s="239"/>
      <c r="AR888" s="239"/>
      <c r="AS888" s="239"/>
      <c r="AT888" s="239"/>
      <c r="AU888" s="239"/>
      <c r="AV888" s="239"/>
      <c r="AW888" s="239"/>
      <c r="AX888" s="239"/>
      <c r="AY888" s="239"/>
      <c r="AZ888" s="239"/>
      <c r="BA888" s="239"/>
      <c r="BB888" s="239"/>
      <c r="BC888" s="239"/>
      <c r="BD888" s="239"/>
      <c r="BE888" s="239"/>
      <c r="BF888" s="239"/>
      <c r="BG888" s="239"/>
      <c r="BH888" s="239"/>
      <c r="BI888" s="239"/>
      <c r="BJ888" s="239"/>
      <c r="BK888" s="239"/>
      <c r="BL888" s="239"/>
      <c r="BM888" s="239"/>
      <c r="BN888" s="239"/>
      <c r="BO888" s="239"/>
      <c r="BP888" s="239"/>
      <c r="BQ888" s="239"/>
      <c r="BR888" s="239"/>
      <c r="BS888" s="239"/>
      <c r="BT888" s="239"/>
      <c r="BU888" s="239"/>
      <c r="BV888" s="239"/>
      <c r="BW888" s="239"/>
      <c r="BX888" s="239"/>
      <c r="BY888" s="239"/>
      <c r="BZ888" s="239"/>
      <c r="CA888" s="239"/>
      <c r="CB888" s="239"/>
      <c r="CC888" s="239"/>
      <c r="CD888" s="239"/>
      <c r="CE888" s="239"/>
      <c r="CF888" s="239"/>
      <c r="CG888" s="239"/>
    </row>
    <row r="889" spans="1:85" ht="15.75" customHeight="1">
      <c r="A889" s="239"/>
      <c r="B889" s="239"/>
      <c r="C889" s="239"/>
      <c r="D889" s="239"/>
      <c r="E889" s="239"/>
      <c r="F889" s="239"/>
      <c r="G889" s="239"/>
      <c r="H889" s="239"/>
      <c r="I889" s="239"/>
      <c r="J889" s="239"/>
      <c r="K889" s="239"/>
      <c r="L889" s="239"/>
      <c r="M889" s="239"/>
      <c r="N889" s="239"/>
      <c r="O889" s="239"/>
      <c r="P889" s="239"/>
      <c r="Q889" s="239"/>
      <c r="R889" s="239"/>
      <c r="S889" s="239"/>
      <c r="T889" s="239"/>
      <c r="U889" s="239"/>
      <c r="V889" s="239"/>
      <c r="W889" s="239"/>
      <c r="X889" s="239"/>
      <c r="Y889" s="239"/>
      <c r="Z889" s="239"/>
      <c r="AA889" s="239"/>
      <c r="AB889" s="239"/>
      <c r="AC889" s="239"/>
      <c r="AD889" s="239"/>
      <c r="AE889" s="239"/>
      <c r="AF889" s="239"/>
      <c r="AG889" s="239"/>
      <c r="AH889" s="239"/>
      <c r="AI889" s="239"/>
      <c r="AJ889" s="239"/>
      <c r="AK889" s="239"/>
      <c r="AL889" s="239"/>
      <c r="AM889" s="239"/>
      <c r="AN889" s="239"/>
      <c r="AO889" s="239"/>
      <c r="AP889" s="239"/>
      <c r="AQ889" s="239"/>
      <c r="AR889" s="239"/>
      <c r="AS889" s="239"/>
      <c r="AT889" s="239"/>
      <c r="AU889" s="239"/>
      <c r="AV889" s="239"/>
      <c r="AW889" s="239"/>
      <c r="AX889" s="239"/>
      <c r="AY889" s="239"/>
      <c r="AZ889" s="239"/>
      <c r="BA889" s="239"/>
      <c r="BB889" s="239"/>
      <c r="BC889" s="239"/>
      <c r="BD889" s="239"/>
      <c r="BE889" s="239"/>
      <c r="BF889" s="239"/>
      <c r="BG889" s="239"/>
      <c r="BH889" s="239"/>
      <c r="BI889" s="239"/>
      <c r="BJ889" s="239"/>
      <c r="BK889" s="239"/>
      <c r="BL889" s="239"/>
      <c r="BM889" s="239"/>
      <c r="BN889" s="239"/>
      <c r="BO889" s="239"/>
      <c r="BP889" s="239"/>
      <c r="BQ889" s="239"/>
      <c r="BR889" s="239"/>
      <c r="BS889" s="239"/>
      <c r="BT889" s="239"/>
      <c r="BU889" s="239"/>
      <c r="BV889" s="239"/>
      <c r="BW889" s="239"/>
      <c r="BX889" s="239"/>
      <c r="BY889" s="239"/>
      <c r="BZ889" s="239"/>
      <c r="CA889" s="239"/>
      <c r="CB889" s="239"/>
      <c r="CC889" s="239"/>
      <c r="CD889" s="239"/>
      <c r="CE889" s="239"/>
      <c r="CF889" s="239"/>
      <c r="CG889" s="239"/>
    </row>
    <row r="890" spans="1:85" ht="15.75" customHeight="1">
      <c r="A890" s="239"/>
      <c r="B890" s="239"/>
      <c r="C890" s="239"/>
      <c r="D890" s="239"/>
      <c r="E890" s="239"/>
      <c r="F890" s="239"/>
      <c r="G890" s="239"/>
      <c r="H890" s="239"/>
      <c r="I890" s="239"/>
      <c r="J890" s="239"/>
      <c r="K890" s="239"/>
      <c r="L890" s="239"/>
      <c r="M890" s="239"/>
      <c r="N890" s="239"/>
      <c r="O890" s="239"/>
      <c r="P890" s="239"/>
      <c r="Q890" s="239"/>
      <c r="R890" s="239"/>
      <c r="S890" s="239"/>
      <c r="T890" s="239"/>
      <c r="U890" s="239"/>
      <c r="V890" s="239"/>
      <c r="W890" s="239"/>
      <c r="X890" s="239"/>
      <c r="Y890" s="239"/>
      <c r="Z890" s="239"/>
      <c r="AA890" s="239"/>
      <c r="AB890" s="239"/>
      <c r="AC890" s="239"/>
      <c r="AD890" s="239"/>
      <c r="AE890" s="239"/>
      <c r="AF890" s="239"/>
      <c r="AG890" s="239"/>
      <c r="AH890" s="239"/>
      <c r="AI890" s="239"/>
      <c r="AJ890" s="239"/>
      <c r="AK890" s="239"/>
      <c r="AL890" s="239"/>
      <c r="AM890" s="239"/>
      <c r="AN890" s="239"/>
      <c r="AO890" s="239"/>
      <c r="AP890" s="239"/>
      <c r="AQ890" s="239"/>
      <c r="AR890" s="239"/>
      <c r="AS890" s="239"/>
      <c r="AT890" s="239"/>
      <c r="AU890" s="239"/>
      <c r="AV890" s="239"/>
      <c r="AW890" s="239"/>
      <c r="AX890" s="239"/>
      <c r="AY890" s="239"/>
      <c r="AZ890" s="239"/>
      <c r="BA890" s="239"/>
      <c r="BB890" s="239"/>
      <c r="BC890" s="239"/>
      <c r="BD890" s="239"/>
      <c r="BE890" s="239"/>
      <c r="BF890" s="239"/>
      <c r="BG890" s="239"/>
      <c r="BH890" s="239"/>
      <c r="BI890" s="239"/>
      <c r="BJ890" s="239"/>
      <c r="BK890" s="239"/>
      <c r="BL890" s="239"/>
      <c r="BM890" s="239"/>
      <c r="BN890" s="239"/>
      <c r="BO890" s="239"/>
      <c r="BP890" s="239"/>
      <c r="BQ890" s="239"/>
      <c r="BR890" s="239"/>
      <c r="BS890" s="239"/>
      <c r="BT890" s="239"/>
      <c r="BU890" s="239"/>
      <c r="BV890" s="239"/>
      <c r="BW890" s="239"/>
      <c r="BX890" s="239"/>
      <c r="BY890" s="239"/>
      <c r="BZ890" s="239"/>
      <c r="CA890" s="239"/>
      <c r="CB890" s="239"/>
      <c r="CC890" s="239"/>
      <c r="CD890" s="239"/>
      <c r="CE890" s="239"/>
      <c r="CF890" s="239"/>
      <c r="CG890" s="239"/>
    </row>
    <row r="891" spans="1:85" ht="15.75" customHeight="1">
      <c r="A891" s="239"/>
      <c r="B891" s="239"/>
      <c r="C891" s="239"/>
      <c r="D891" s="239"/>
      <c r="E891" s="239"/>
      <c r="F891" s="239"/>
      <c r="G891" s="239"/>
      <c r="H891" s="239"/>
      <c r="I891" s="239"/>
      <c r="J891" s="239"/>
      <c r="K891" s="239"/>
      <c r="L891" s="239"/>
      <c r="M891" s="239"/>
      <c r="N891" s="239"/>
      <c r="O891" s="239"/>
      <c r="P891" s="239"/>
      <c r="Q891" s="239"/>
      <c r="R891" s="239"/>
      <c r="S891" s="239"/>
      <c r="T891" s="239"/>
      <c r="U891" s="239"/>
      <c r="V891" s="239"/>
      <c r="W891" s="239"/>
      <c r="X891" s="239"/>
      <c r="Y891" s="239"/>
      <c r="Z891" s="239"/>
      <c r="AA891" s="239"/>
      <c r="AB891" s="239"/>
      <c r="AC891" s="239"/>
      <c r="AD891" s="239"/>
      <c r="AE891" s="239"/>
      <c r="AF891" s="239"/>
      <c r="AG891" s="239"/>
      <c r="AH891" s="239"/>
      <c r="AI891" s="239"/>
      <c r="AJ891" s="239"/>
      <c r="AK891" s="239"/>
      <c r="AL891" s="239"/>
      <c r="AM891" s="239"/>
      <c r="AN891" s="239"/>
      <c r="AO891" s="239"/>
      <c r="AP891" s="239"/>
      <c r="AQ891" s="239"/>
      <c r="AR891" s="239"/>
      <c r="AS891" s="239"/>
      <c r="AT891" s="239"/>
      <c r="AU891" s="239"/>
      <c r="AV891" s="239"/>
      <c r="AW891" s="239"/>
      <c r="AX891" s="239"/>
      <c r="AY891" s="239"/>
      <c r="AZ891" s="239"/>
      <c r="BA891" s="239"/>
      <c r="BB891" s="239"/>
      <c r="BC891" s="239"/>
      <c r="BD891" s="239"/>
      <c r="BE891" s="239"/>
      <c r="BF891" s="239"/>
      <c r="BG891" s="239"/>
      <c r="BH891" s="239"/>
      <c r="BI891" s="239"/>
      <c r="BJ891" s="239"/>
      <c r="BK891" s="239"/>
      <c r="BL891" s="239"/>
      <c r="BM891" s="239"/>
      <c r="BN891" s="239"/>
      <c r="BO891" s="239"/>
      <c r="BP891" s="239"/>
      <c r="BQ891" s="239"/>
      <c r="BR891" s="239"/>
      <c r="BS891" s="239"/>
      <c r="BT891" s="239"/>
      <c r="BU891" s="239"/>
      <c r="BV891" s="239"/>
      <c r="BW891" s="239"/>
      <c r="BX891" s="239"/>
      <c r="BY891" s="239"/>
      <c r="BZ891" s="239"/>
      <c r="CA891" s="239"/>
      <c r="CB891" s="239"/>
      <c r="CC891" s="239"/>
      <c r="CD891" s="239"/>
      <c r="CE891" s="239"/>
      <c r="CF891" s="239"/>
      <c r="CG891" s="239"/>
    </row>
    <row r="892" spans="1:85" ht="15.75" customHeight="1">
      <c r="A892" s="239"/>
      <c r="B892" s="239"/>
      <c r="C892" s="239"/>
      <c r="D892" s="239"/>
      <c r="E892" s="239"/>
      <c r="F892" s="239"/>
      <c r="G892" s="239"/>
      <c r="H892" s="239"/>
      <c r="I892" s="239"/>
      <c r="J892" s="239"/>
      <c r="K892" s="239"/>
      <c r="L892" s="239"/>
      <c r="M892" s="239"/>
      <c r="N892" s="239"/>
      <c r="O892" s="239"/>
      <c r="P892" s="239"/>
      <c r="Q892" s="239"/>
      <c r="R892" s="239"/>
      <c r="S892" s="239"/>
      <c r="T892" s="239"/>
      <c r="U892" s="239"/>
      <c r="V892" s="239"/>
      <c r="W892" s="239"/>
      <c r="X892" s="239"/>
      <c r="Y892" s="239"/>
      <c r="Z892" s="239"/>
      <c r="AA892" s="239"/>
      <c r="AB892" s="239"/>
      <c r="AC892" s="239"/>
      <c r="AD892" s="239"/>
      <c r="AE892" s="239"/>
      <c r="AF892" s="239"/>
      <c r="AG892" s="239"/>
      <c r="AH892" s="239"/>
      <c r="AI892" s="239"/>
      <c r="AJ892" s="239"/>
      <c r="AK892" s="239"/>
      <c r="AL892" s="239"/>
      <c r="AM892" s="239"/>
      <c r="AN892" s="239"/>
      <c r="AO892" s="239"/>
      <c r="AP892" s="239"/>
      <c r="AQ892" s="239"/>
      <c r="AR892" s="239"/>
      <c r="AS892" s="239"/>
      <c r="AT892" s="239"/>
      <c r="AU892" s="239"/>
      <c r="AV892" s="239"/>
      <c r="AW892" s="239"/>
      <c r="AX892" s="239"/>
      <c r="AY892" s="239"/>
      <c r="AZ892" s="239"/>
      <c r="BA892" s="239"/>
      <c r="BB892" s="239"/>
      <c r="BC892" s="239"/>
      <c r="BD892" s="239"/>
      <c r="BE892" s="239"/>
      <c r="BF892" s="239"/>
      <c r="BG892" s="239"/>
      <c r="BH892" s="239"/>
      <c r="BI892" s="239"/>
      <c r="BJ892" s="239"/>
      <c r="BK892" s="239"/>
      <c r="BL892" s="239"/>
      <c r="BM892" s="239"/>
      <c r="BN892" s="239"/>
      <c r="BO892" s="239"/>
      <c r="BP892" s="239"/>
      <c r="BQ892" s="239"/>
      <c r="BR892" s="239"/>
      <c r="BS892" s="239"/>
      <c r="BT892" s="239"/>
      <c r="BU892" s="239"/>
      <c r="BV892" s="239"/>
      <c r="BW892" s="239"/>
      <c r="BX892" s="239"/>
      <c r="BY892" s="239"/>
      <c r="BZ892" s="239"/>
      <c r="CA892" s="239"/>
      <c r="CB892" s="239"/>
      <c r="CC892" s="239"/>
      <c r="CD892" s="239"/>
      <c r="CE892" s="239"/>
      <c r="CF892" s="239"/>
      <c r="CG892" s="239"/>
    </row>
    <row r="893" spans="1:85" ht="15.75" customHeight="1">
      <c r="A893" s="239"/>
      <c r="B893" s="239"/>
      <c r="C893" s="239"/>
      <c r="D893" s="239"/>
      <c r="E893" s="239"/>
      <c r="F893" s="239"/>
      <c r="G893" s="239"/>
      <c r="H893" s="239"/>
      <c r="I893" s="239"/>
      <c r="J893" s="239"/>
      <c r="K893" s="239"/>
      <c r="L893" s="239"/>
      <c r="M893" s="239"/>
      <c r="N893" s="239"/>
      <c r="O893" s="239"/>
      <c r="P893" s="239"/>
      <c r="Q893" s="239"/>
      <c r="R893" s="239"/>
      <c r="S893" s="239"/>
      <c r="T893" s="239"/>
      <c r="U893" s="239"/>
      <c r="V893" s="239"/>
      <c r="W893" s="239"/>
      <c r="X893" s="239"/>
      <c r="Y893" s="239"/>
      <c r="Z893" s="239"/>
      <c r="AA893" s="239"/>
      <c r="AB893" s="239"/>
      <c r="AC893" s="239"/>
      <c r="AD893" s="239"/>
      <c r="AE893" s="239"/>
      <c r="AF893" s="239"/>
      <c r="AG893" s="239"/>
      <c r="AH893" s="239"/>
      <c r="AI893" s="239"/>
      <c r="AJ893" s="239"/>
      <c r="AK893" s="239"/>
      <c r="AL893" s="239"/>
      <c r="AM893" s="239"/>
      <c r="AN893" s="239"/>
      <c r="AO893" s="239"/>
      <c r="AP893" s="239"/>
      <c r="AQ893" s="239"/>
      <c r="AR893" s="239"/>
      <c r="AS893" s="239"/>
      <c r="AT893" s="239"/>
      <c r="AU893" s="239"/>
      <c r="AV893" s="239"/>
      <c r="AW893" s="239"/>
      <c r="AX893" s="239"/>
      <c r="AY893" s="239"/>
      <c r="AZ893" s="239"/>
      <c r="BA893" s="239"/>
      <c r="BB893" s="239"/>
      <c r="BC893" s="239"/>
      <c r="BD893" s="239"/>
      <c r="BE893" s="239"/>
      <c r="BF893" s="239"/>
      <c r="BG893" s="239"/>
      <c r="BH893" s="239"/>
      <c r="BI893" s="239"/>
      <c r="BJ893" s="239"/>
      <c r="BK893" s="239"/>
      <c r="BL893" s="239"/>
      <c r="BM893" s="239"/>
      <c r="BN893" s="239"/>
      <c r="BO893" s="239"/>
      <c r="BP893" s="239"/>
      <c r="BQ893" s="239"/>
      <c r="BR893" s="239"/>
      <c r="BS893" s="239"/>
      <c r="BT893" s="239"/>
      <c r="BU893" s="239"/>
      <c r="BV893" s="239"/>
      <c r="BW893" s="239"/>
      <c r="BX893" s="239"/>
      <c r="BY893" s="239"/>
      <c r="BZ893" s="239"/>
      <c r="CA893" s="239"/>
      <c r="CB893" s="239"/>
      <c r="CC893" s="239"/>
      <c r="CD893" s="239"/>
      <c r="CE893" s="239"/>
      <c r="CF893" s="239"/>
      <c r="CG893" s="239"/>
    </row>
    <row r="894" spans="1:85" ht="15.75" customHeight="1">
      <c r="A894" s="239"/>
      <c r="B894" s="239"/>
      <c r="C894" s="239"/>
      <c r="D894" s="239"/>
      <c r="E894" s="239"/>
      <c r="F894" s="239"/>
      <c r="G894" s="239"/>
      <c r="H894" s="239"/>
      <c r="I894" s="239"/>
      <c r="J894" s="239"/>
      <c r="K894" s="239"/>
      <c r="L894" s="239"/>
      <c r="M894" s="239"/>
      <c r="N894" s="239"/>
      <c r="O894" s="239"/>
      <c r="P894" s="239"/>
      <c r="Q894" s="239"/>
      <c r="R894" s="239"/>
      <c r="S894" s="239"/>
      <c r="T894" s="239"/>
      <c r="U894" s="239"/>
      <c r="V894" s="239"/>
      <c r="W894" s="239"/>
      <c r="X894" s="239"/>
      <c r="Y894" s="239"/>
      <c r="Z894" s="239"/>
      <c r="AA894" s="239"/>
      <c r="AB894" s="239"/>
      <c r="AC894" s="239"/>
      <c r="AD894" s="239"/>
      <c r="AE894" s="239"/>
      <c r="AF894" s="239"/>
      <c r="AG894" s="239"/>
      <c r="AH894" s="239"/>
      <c r="AI894" s="239"/>
      <c r="AJ894" s="239"/>
      <c r="AK894" s="239"/>
      <c r="AL894" s="239"/>
      <c r="AM894" s="239"/>
      <c r="AN894" s="239"/>
      <c r="AO894" s="239"/>
      <c r="AP894" s="239"/>
      <c r="AQ894" s="239"/>
      <c r="AR894" s="239"/>
      <c r="AS894" s="239"/>
      <c r="AT894" s="239"/>
      <c r="AU894" s="239"/>
      <c r="AV894" s="239"/>
      <c r="AW894" s="239"/>
      <c r="AX894" s="239"/>
      <c r="AY894" s="239"/>
      <c r="AZ894" s="239"/>
      <c r="BA894" s="239"/>
      <c r="BB894" s="239"/>
      <c r="BC894" s="239"/>
      <c r="BD894" s="239"/>
      <c r="BE894" s="239"/>
      <c r="BF894" s="239"/>
      <c r="BG894" s="239"/>
      <c r="BH894" s="239"/>
      <c r="BI894" s="239"/>
      <c r="BJ894" s="239"/>
      <c r="BK894" s="239"/>
      <c r="BL894" s="239"/>
      <c r="BM894" s="239"/>
      <c r="BN894" s="239"/>
      <c r="BO894" s="239"/>
      <c r="BP894" s="239"/>
      <c r="BQ894" s="239"/>
      <c r="BR894" s="239"/>
      <c r="BS894" s="239"/>
      <c r="BT894" s="239"/>
      <c r="BU894" s="239"/>
      <c r="BV894" s="239"/>
      <c r="BW894" s="239"/>
      <c r="BX894" s="239"/>
      <c r="BY894" s="239"/>
      <c r="BZ894" s="239"/>
      <c r="CA894" s="239"/>
      <c r="CB894" s="239"/>
      <c r="CC894" s="239"/>
      <c r="CD894" s="239"/>
      <c r="CE894" s="239"/>
      <c r="CF894" s="239"/>
      <c r="CG894" s="239"/>
    </row>
    <row r="895" spans="1:85" ht="15.75" customHeight="1">
      <c r="A895" s="239"/>
      <c r="B895" s="239"/>
      <c r="C895" s="239"/>
      <c r="D895" s="239"/>
      <c r="E895" s="239"/>
      <c r="F895" s="239"/>
      <c r="G895" s="239"/>
      <c r="H895" s="239"/>
      <c r="I895" s="239"/>
      <c r="J895" s="239"/>
      <c r="K895" s="239"/>
      <c r="L895" s="239"/>
      <c r="M895" s="239"/>
      <c r="N895" s="239"/>
      <c r="O895" s="239"/>
      <c r="P895" s="239"/>
      <c r="Q895" s="239"/>
      <c r="R895" s="239"/>
      <c r="S895" s="239"/>
      <c r="T895" s="239"/>
      <c r="U895" s="239"/>
      <c r="V895" s="239"/>
      <c r="W895" s="239"/>
      <c r="X895" s="239"/>
      <c r="Y895" s="239"/>
      <c r="Z895" s="239"/>
      <c r="AA895" s="239"/>
      <c r="AB895" s="239"/>
      <c r="AC895" s="239"/>
      <c r="AD895" s="239"/>
      <c r="AE895" s="239"/>
      <c r="AF895" s="239"/>
      <c r="AG895" s="239"/>
      <c r="AH895" s="239"/>
      <c r="AI895" s="239"/>
      <c r="AJ895" s="239"/>
      <c r="AK895" s="239"/>
      <c r="AL895" s="239"/>
      <c r="AM895" s="239"/>
      <c r="AN895" s="239"/>
      <c r="AO895" s="239"/>
      <c r="AP895" s="239"/>
      <c r="AQ895" s="239"/>
      <c r="AR895" s="239"/>
      <c r="AS895" s="239"/>
      <c r="AT895" s="239"/>
      <c r="AU895" s="239"/>
      <c r="AV895" s="239"/>
      <c r="AW895" s="239"/>
      <c r="AX895" s="239"/>
      <c r="AY895" s="239"/>
      <c r="AZ895" s="239"/>
      <c r="BA895" s="239"/>
      <c r="BB895" s="239"/>
      <c r="BC895" s="239"/>
      <c r="BD895" s="239"/>
      <c r="BE895" s="239"/>
      <c r="BF895" s="239"/>
      <c r="BG895" s="239"/>
      <c r="BH895" s="239"/>
      <c r="BI895" s="239"/>
      <c r="BJ895" s="239"/>
      <c r="BK895" s="239"/>
      <c r="BL895" s="239"/>
      <c r="BM895" s="239"/>
      <c r="BN895" s="239"/>
      <c r="BO895" s="239"/>
      <c r="BP895" s="239"/>
      <c r="BQ895" s="239"/>
      <c r="BR895" s="239"/>
      <c r="BS895" s="239"/>
      <c r="BT895" s="239"/>
      <c r="BU895" s="239"/>
      <c r="BV895" s="239"/>
      <c r="BW895" s="239"/>
      <c r="BX895" s="239"/>
      <c r="BY895" s="239"/>
      <c r="BZ895" s="239"/>
      <c r="CA895" s="239"/>
      <c r="CB895" s="239"/>
      <c r="CC895" s="239"/>
      <c r="CD895" s="239"/>
      <c r="CE895" s="239"/>
      <c r="CF895" s="239"/>
      <c r="CG895" s="239"/>
    </row>
    <row r="896" spans="1:85" ht="15.75" customHeight="1">
      <c r="A896" s="239"/>
      <c r="B896" s="239"/>
      <c r="C896" s="239"/>
      <c r="D896" s="239"/>
      <c r="E896" s="239"/>
      <c r="F896" s="239"/>
      <c r="G896" s="239"/>
      <c r="H896" s="239"/>
      <c r="I896" s="239"/>
      <c r="J896" s="239"/>
      <c r="K896" s="239"/>
      <c r="L896" s="239"/>
      <c r="M896" s="239"/>
      <c r="N896" s="239"/>
      <c r="O896" s="239"/>
      <c r="P896" s="239"/>
      <c r="Q896" s="239"/>
      <c r="R896" s="239"/>
      <c r="S896" s="239"/>
      <c r="T896" s="239"/>
      <c r="U896" s="239"/>
      <c r="V896" s="239"/>
      <c r="W896" s="239"/>
      <c r="X896" s="239"/>
      <c r="Y896" s="239"/>
      <c r="Z896" s="239"/>
      <c r="AA896" s="239"/>
      <c r="AB896" s="239"/>
      <c r="AC896" s="239"/>
      <c r="AD896" s="239"/>
      <c r="AE896" s="239"/>
      <c r="AF896" s="239"/>
      <c r="AG896" s="239"/>
      <c r="AH896" s="239"/>
      <c r="AI896" s="239"/>
      <c r="AJ896" s="239"/>
      <c r="AK896" s="239"/>
      <c r="AL896" s="239"/>
      <c r="AM896" s="239"/>
      <c r="AN896" s="239"/>
      <c r="AO896" s="239"/>
      <c r="AP896" s="239"/>
      <c r="AQ896" s="239"/>
      <c r="AR896" s="239"/>
      <c r="AS896" s="239"/>
      <c r="AT896" s="239"/>
      <c r="AU896" s="239"/>
      <c r="AV896" s="239"/>
      <c r="AW896" s="239"/>
      <c r="AX896" s="239"/>
      <c r="AY896" s="239"/>
      <c r="AZ896" s="239"/>
      <c r="BA896" s="239"/>
      <c r="BB896" s="239"/>
      <c r="BC896" s="239"/>
      <c r="BD896" s="239"/>
      <c r="BE896" s="239"/>
      <c r="BF896" s="239"/>
      <c r="BG896" s="239"/>
      <c r="BH896" s="239"/>
      <c r="BI896" s="239"/>
      <c r="BJ896" s="239"/>
      <c r="BK896" s="239"/>
      <c r="BL896" s="239"/>
      <c r="BM896" s="239"/>
      <c r="BN896" s="239"/>
      <c r="BO896" s="239"/>
      <c r="BP896" s="239"/>
      <c r="BQ896" s="239"/>
      <c r="BR896" s="239"/>
      <c r="BS896" s="239"/>
      <c r="BT896" s="239"/>
      <c r="BU896" s="239"/>
      <c r="BV896" s="239"/>
      <c r="BW896" s="239"/>
      <c r="BX896" s="239"/>
      <c r="BY896" s="239"/>
      <c r="BZ896" s="239"/>
      <c r="CA896" s="239"/>
      <c r="CB896" s="239"/>
      <c r="CC896" s="239"/>
      <c r="CD896" s="239"/>
      <c r="CE896" s="239"/>
      <c r="CF896" s="239"/>
      <c r="CG896" s="239"/>
    </row>
    <row r="897" spans="1:85" ht="15.75" customHeight="1">
      <c r="A897" s="239"/>
      <c r="B897" s="239"/>
      <c r="C897" s="239"/>
      <c r="D897" s="239"/>
      <c r="E897" s="239"/>
      <c r="F897" s="239"/>
      <c r="G897" s="239"/>
      <c r="H897" s="239"/>
      <c r="I897" s="239"/>
      <c r="J897" s="239"/>
      <c r="K897" s="239"/>
      <c r="L897" s="239"/>
      <c r="M897" s="239"/>
      <c r="N897" s="239"/>
      <c r="O897" s="239"/>
      <c r="P897" s="239"/>
      <c r="Q897" s="239"/>
      <c r="R897" s="239"/>
      <c r="S897" s="239"/>
      <c r="T897" s="239"/>
      <c r="U897" s="239"/>
      <c r="V897" s="239"/>
      <c r="W897" s="239"/>
      <c r="X897" s="239"/>
      <c r="Y897" s="239"/>
      <c r="Z897" s="239"/>
      <c r="AA897" s="239"/>
      <c r="AB897" s="239"/>
      <c r="AC897" s="239"/>
      <c r="AD897" s="239"/>
      <c r="AE897" s="239"/>
      <c r="AF897" s="239"/>
      <c r="AG897" s="239"/>
      <c r="AH897" s="239"/>
      <c r="AI897" s="239"/>
      <c r="AJ897" s="239"/>
      <c r="AK897" s="239"/>
      <c r="AL897" s="239"/>
      <c r="AM897" s="239"/>
      <c r="AN897" s="239"/>
      <c r="AO897" s="239"/>
      <c r="AP897" s="239"/>
      <c r="AQ897" s="239"/>
      <c r="AR897" s="239"/>
      <c r="AS897" s="239"/>
      <c r="AT897" s="239"/>
      <c r="AU897" s="239"/>
      <c r="AV897" s="239"/>
      <c r="AW897" s="239"/>
      <c r="AX897" s="239"/>
      <c r="AY897" s="239"/>
      <c r="AZ897" s="239"/>
      <c r="BA897" s="239"/>
      <c r="BB897" s="239"/>
      <c r="BC897" s="239"/>
      <c r="BD897" s="239"/>
      <c r="BE897" s="239"/>
      <c r="BF897" s="239"/>
      <c r="BG897" s="239"/>
      <c r="BH897" s="239"/>
      <c r="BI897" s="239"/>
      <c r="BJ897" s="239"/>
      <c r="BK897" s="239"/>
      <c r="BL897" s="239"/>
      <c r="BM897" s="239"/>
      <c r="BN897" s="239"/>
      <c r="BO897" s="239"/>
      <c r="BP897" s="239"/>
      <c r="BQ897" s="239"/>
      <c r="BR897" s="239"/>
      <c r="BS897" s="239"/>
      <c r="BT897" s="239"/>
      <c r="BU897" s="239"/>
      <c r="BV897" s="239"/>
      <c r="BW897" s="239"/>
      <c r="BX897" s="239"/>
      <c r="BY897" s="239"/>
      <c r="BZ897" s="239"/>
      <c r="CA897" s="239"/>
      <c r="CB897" s="239"/>
      <c r="CC897" s="239"/>
      <c r="CD897" s="239"/>
      <c r="CE897" s="239"/>
      <c r="CF897" s="239"/>
      <c r="CG897" s="239"/>
    </row>
    <row r="898" spans="1:85" ht="15.75" customHeight="1">
      <c r="A898" s="239"/>
      <c r="B898" s="239"/>
      <c r="C898" s="239"/>
      <c r="D898" s="239"/>
      <c r="E898" s="239"/>
      <c r="F898" s="239"/>
      <c r="G898" s="239"/>
      <c r="H898" s="239"/>
      <c r="I898" s="239"/>
      <c r="J898" s="239"/>
      <c r="K898" s="239"/>
      <c r="L898" s="239"/>
      <c r="M898" s="239"/>
      <c r="N898" s="239"/>
      <c r="O898" s="239"/>
      <c r="P898" s="239"/>
      <c r="Q898" s="239"/>
      <c r="R898" s="239"/>
      <c r="S898" s="239"/>
      <c r="T898" s="239"/>
      <c r="U898" s="239"/>
      <c r="V898" s="239"/>
      <c r="W898" s="239"/>
      <c r="X898" s="239"/>
      <c r="Y898" s="239"/>
      <c r="Z898" s="239"/>
      <c r="AA898" s="239"/>
      <c r="AB898" s="239"/>
      <c r="AC898" s="239"/>
      <c r="AD898" s="239"/>
      <c r="AE898" s="239"/>
      <c r="AF898" s="239"/>
      <c r="AG898" s="239"/>
      <c r="AH898" s="239"/>
      <c r="AI898" s="239"/>
      <c r="AJ898" s="239"/>
      <c r="AK898" s="239"/>
      <c r="AL898" s="239"/>
      <c r="AM898" s="239"/>
      <c r="AN898" s="239"/>
      <c r="AO898" s="239"/>
      <c r="AP898" s="239"/>
      <c r="AQ898" s="239"/>
      <c r="AR898" s="239"/>
      <c r="AS898" s="239"/>
      <c r="AT898" s="239"/>
      <c r="AU898" s="239"/>
      <c r="AV898" s="239"/>
      <c r="AW898" s="239"/>
      <c r="AX898" s="239"/>
      <c r="AY898" s="239"/>
      <c r="AZ898" s="239"/>
      <c r="BA898" s="239"/>
      <c r="BB898" s="239"/>
      <c r="BC898" s="239"/>
      <c r="BD898" s="239"/>
      <c r="BE898" s="239"/>
      <c r="BF898" s="239"/>
      <c r="BG898" s="239"/>
      <c r="BH898" s="239"/>
      <c r="BI898" s="239"/>
      <c r="BJ898" s="239"/>
      <c r="BK898" s="239"/>
      <c r="BL898" s="239"/>
      <c r="BM898" s="239"/>
      <c r="BN898" s="239"/>
      <c r="BO898" s="239"/>
      <c r="BP898" s="239"/>
      <c r="BQ898" s="239"/>
      <c r="BR898" s="239"/>
      <c r="BS898" s="239"/>
      <c r="BT898" s="239"/>
      <c r="BU898" s="239"/>
      <c r="BV898" s="239"/>
      <c r="BW898" s="239"/>
      <c r="BX898" s="239"/>
      <c r="BY898" s="239"/>
      <c r="BZ898" s="239"/>
      <c r="CA898" s="239"/>
      <c r="CB898" s="239"/>
      <c r="CC898" s="239"/>
      <c r="CD898" s="239"/>
      <c r="CE898" s="239"/>
      <c r="CF898" s="239"/>
      <c r="CG898" s="239"/>
    </row>
    <row r="899" spans="1:85" ht="15.75" customHeight="1">
      <c r="A899" s="239"/>
      <c r="B899" s="239"/>
      <c r="C899" s="239"/>
      <c r="D899" s="239"/>
      <c r="E899" s="239"/>
      <c r="F899" s="239"/>
      <c r="G899" s="239"/>
      <c r="H899" s="239"/>
      <c r="I899" s="239"/>
      <c r="J899" s="239"/>
      <c r="K899" s="239"/>
      <c r="L899" s="239"/>
      <c r="M899" s="239"/>
      <c r="N899" s="239"/>
      <c r="O899" s="239"/>
      <c r="P899" s="239"/>
      <c r="Q899" s="239"/>
      <c r="R899" s="239"/>
      <c r="S899" s="239"/>
      <c r="T899" s="239"/>
      <c r="U899" s="239"/>
      <c r="V899" s="239"/>
      <c r="W899" s="239"/>
      <c r="X899" s="239"/>
      <c r="Y899" s="239"/>
      <c r="Z899" s="239"/>
      <c r="AA899" s="239"/>
      <c r="AB899" s="239"/>
      <c r="AC899" s="239"/>
      <c r="AD899" s="239"/>
      <c r="AE899" s="239"/>
      <c r="AF899" s="239"/>
      <c r="AG899" s="239"/>
      <c r="AH899" s="239"/>
      <c r="AI899" s="239"/>
      <c r="AJ899" s="239"/>
      <c r="AK899" s="239"/>
      <c r="AL899" s="239"/>
      <c r="AM899" s="239"/>
      <c r="AN899" s="239"/>
      <c r="AO899" s="239"/>
      <c r="AP899" s="239"/>
      <c r="AQ899" s="239"/>
      <c r="AR899" s="239"/>
      <c r="AS899" s="239"/>
      <c r="AT899" s="239"/>
      <c r="AU899" s="239"/>
      <c r="AV899" s="239"/>
      <c r="AW899" s="239"/>
      <c r="AX899" s="239"/>
      <c r="AY899" s="239"/>
      <c r="AZ899" s="239"/>
      <c r="BA899" s="239"/>
      <c r="BB899" s="239"/>
      <c r="BC899" s="239"/>
      <c r="BD899" s="239"/>
      <c r="BE899" s="239"/>
      <c r="BF899" s="239"/>
      <c r="BG899" s="239"/>
      <c r="BH899" s="239"/>
      <c r="BI899" s="239"/>
      <c r="BJ899" s="239"/>
      <c r="BK899" s="239"/>
      <c r="BL899" s="239"/>
      <c r="BM899" s="239"/>
      <c r="BN899" s="239"/>
      <c r="BO899" s="239"/>
      <c r="BP899" s="239"/>
      <c r="BQ899" s="239"/>
      <c r="BR899" s="239"/>
      <c r="BS899" s="239"/>
      <c r="BT899" s="239"/>
      <c r="BU899" s="239"/>
      <c r="BV899" s="239"/>
      <c r="BW899" s="239"/>
      <c r="BX899" s="239"/>
      <c r="BY899" s="239"/>
      <c r="BZ899" s="239"/>
      <c r="CA899" s="239"/>
      <c r="CB899" s="239"/>
      <c r="CC899" s="239"/>
      <c r="CD899" s="239"/>
      <c r="CE899" s="239"/>
      <c r="CF899" s="239"/>
      <c r="CG899" s="239"/>
    </row>
    <row r="900" spans="1:85" ht="15.75" customHeight="1">
      <c r="A900" s="239"/>
      <c r="B900" s="239"/>
      <c r="C900" s="239"/>
      <c r="D900" s="239"/>
      <c r="E900" s="239"/>
      <c r="F900" s="239"/>
      <c r="G900" s="239"/>
      <c r="H900" s="239"/>
      <c r="I900" s="239"/>
      <c r="J900" s="239"/>
      <c r="K900" s="239"/>
      <c r="L900" s="239"/>
      <c r="M900" s="239"/>
      <c r="N900" s="239"/>
      <c r="O900" s="239"/>
      <c r="P900" s="239"/>
      <c r="Q900" s="239"/>
      <c r="R900" s="239"/>
      <c r="S900" s="239"/>
      <c r="T900" s="239"/>
      <c r="U900" s="239"/>
      <c r="V900" s="239"/>
      <c r="W900" s="239"/>
      <c r="X900" s="239"/>
      <c r="Y900" s="239"/>
      <c r="Z900" s="239"/>
      <c r="AA900" s="239"/>
      <c r="AB900" s="239"/>
      <c r="AC900" s="239"/>
      <c r="AD900" s="239"/>
      <c r="AE900" s="239"/>
      <c r="AF900" s="239"/>
      <c r="AG900" s="239"/>
      <c r="AH900" s="239"/>
      <c r="AI900" s="239"/>
      <c r="AJ900" s="239"/>
      <c r="AK900" s="239"/>
      <c r="AL900" s="239"/>
      <c r="AM900" s="239"/>
      <c r="AN900" s="239"/>
      <c r="AO900" s="239"/>
      <c r="AP900" s="239"/>
      <c r="AQ900" s="239"/>
      <c r="AR900" s="239"/>
      <c r="AS900" s="239"/>
      <c r="AT900" s="239"/>
      <c r="AU900" s="239"/>
      <c r="AV900" s="239"/>
      <c r="AW900" s="239"/>
      <c r="AX900" s="239"/>
      <c r="AY900" s="239"/>
      <c r="AZ900" s="239"/>
      <c r="BA900" s="239"/>
      <c r="BB900" s="239"/>
      <c r="BC900" s="239"/>
      <c r="BD900" s="239"/>
      <c r="BE900" s="239"/>
      <c r="BF900" s="239"/>
      <c r="BG900" s="239"/>
      <c r="BH900" s="239"/>
      <c r="BI900" s="239"/>
      <c r="BJ900" s="239"/>
      <c r="BK900" s="239"/>
      <c r="BL900" s="239"/>
      <c r="BM900" s="239"/>
      <c r="BN900" s="239"/>
      <c r="BO900" s="239"/>
      <c r="BP900" s="239"/>
      <c r="BQ900" s="239"/>
      <c r="BR900" s="239"/>
      <c r="BS900" s="239"/>
      <c r="BT900" s="239"/>
      <c r="BU900" s="239"/>
      <c r="BV900" s="239"/>
      <c r="BW900" s="239"/>
      <c r="BX900" s="239"/>
      <c r="BY900" s="239"/>
      <c r="BZ900" s="239"/>
      <c r="CA900" s="239"/>
      <c r="CB900" s="239"/>
      <c r="CC900" s="239"/>
      <c r="CD900" s="239"/>
      <c r="CE900" s="239"/>
      <c r="CF900" s="239"/>
      <c r="CG900" s="239"/>
    </row>
    <row r="901" spans="1:85" ht="15.75" customHeight="1">
      <c r="A901" s="239"/>
      <c r="B901" s="239"/>
      <c r="C901" s="239"/>
      <c r="D901" s="239"/>
      <c r="E901" s="239"/>
      <c r="F901" s="239"/>
      <c r="G901" s="239"/>
      <c r="H901" s="239"/>
      <c r="I901" s="239"/>
      <c r="J901" s="239"/>
      <c r="K901" s="239"/>
      <c r="L901" s="239"/>
      <c r="M901" s="239"/>
      <c r="N901" s="239"/>
      <c r="O901" s="239"/>
      <c r="P901" s="239"/>
      <c r="Q901" s="239"/>
      <c r="R901" s="239"/>
      <c r="S901" s="239"/>
      <c r="T901" s="239"/>
      <c r="U901" s="239"/>
      <c r="V901" s="239"/>
      <c r="W901" s="239"/>
      <c r="X901" s="239"/>
      <c r="Y901" s="239"/>
      <c r="Z901" s="239"/>
      <c r="AA901" s="239"/>
      <c r="AB901" s="239"/>
      <c r="AC901" s="239"/>
      <c r="AD901" s="239"/>
      <c r="AE901" s="239"/>
      <c r="AF901" s="239"/>
      <c r="AG901" s="239"/>
      <c r="AH901" s="239"/>
      <c r="AI901" s="239"/>
      <c r="AJ901" s="239"/>
      <c r="AK901" s="239"/>
      <c r="AL901" s="239"/>
      <c r="AM901" s="239"/>
      <c r="AN901" s="239"/>
      <c r="AO901" s="239"/>
      <c r="AP901" s="239"/>
      <c r="AQ901" s="239"/>
      <c r="AR901" s="239"/>
      <c r="AS901" s="239"/>
      <c r="AT901" s="239"/>
      <c r="AU901" s="239"/>
      <c r="AV901" s="239"/>
      <c r="AW901" s="239"/>
      <c r="AX901" s="239"/>
      <c r="AY901" s="239"/>
      <c r="AZ901" s="239"/>
      <c r="BA901" s="239"/>
      <c r="BB901" s="239"/>
      <c r="BC901" s="239"/>
      <c r="BD901" s="239"/>
      <c r="BE901" s="239"/>
      <c r="BF901" s="239"/>
      <c r="BG901" s="239"/>
      <c r="BH901" s="239"/>
      <c r="BI901" s="239"/>
      <c r="BJ901" s="239"/>
      <c r="BK901" s="239"/>
      <c r="BL901" s="239"/>
      <c r="BM901" s="239"/>
      <c r="BN901" s="239"/>
      <c r="BO901" s="239"/>
      <c r="BP901" s="239"/>
      <c r="BQ901" s="239"/>
      <c r="BR901" s="239"/>
      <c r="BS901" s="239"/>
      <c r="BT901" s="239"/>
      <c r="BU901" s="239"/>
      <c r="BV901" s="239"/>
      <c r="BW901" s="239"/>
      <c r="BX901" s="239"/>
      <c r="BY901" s="239"/>
      <c r="BZ901" s="239"/>
      <c r="CA901" s="239"/>
      <c r="CB901" s="239"/>
      <c r="CC901" s="239"/>
      <c r="CD901" s="239"/>
      <c r="CE901" s="239"/>
      <c r="CF901" s="239"/>
      <c r="CG901" s="239"/>
    </row>
    <row r="902" spans="1:85" ht="15.75" customHeight="1">
      <c r="A902" s="239"/>
      <c r="B902" s="239"/>
      <c r="C902" s="239"/>
      <c r="D902" s="239"/>
      <c r="E902" s="239"/>
      <c r="F902" s="239"/>
      <c r="G902" s="239"/>
      <c r="H902" s="239"/>
      <c r="I902" s="239"/>
      <c r="J902" s="239"/>
      <c r="K902" s="239"/>
      <c r="L902" s="239"/>
      <c r="M902" s="239"/>
      <c r="N902" s="239"/>
      <c r="O902" s="239"/>
      <c r="P902" s="239"/>
      <c r="Q902" s="239"/>
      <c r="R902" s="239"/>
      <c r="S902" s="239"/>
      <c r="T902" s="239"/>
      <c r="U902" s="239"/>
      <c r="V902" s="239"/>
      <c r="W902" s="239"/>
      <c r="X902" s="239"/>
      <c r="Y902" s="239"/>
      <c r="Z902" s="239"/>
      <c r="AA902" s="239"/>
      <c r="AB902" s="239"/>
      <c r="AC902" s="239"/>
      <c r="AD902" s="239"/>
      <c r="AE902" s="239"/>
      <c r="AF902" s="239"/>
      <c r="AG902" s="239"/>
      <c r="AH902" s="239"/>
      <c r="AI902" s="239"/>
      <c r="AJ902" s="239"/>
      <c r="AK902" s="239"/>
      <c r="AL902" s="239"/>
      <c r="AM902" s="239"/>
      <c r="AN902" s="239"/>
      <c r="AO902" s="239"/>
      <c r="AP902" s="239"/>
      <c r="AQ902" s="239"/>
      <c r="AR902" s="239"/>
      <c r="AS902" s="239"/>
      <c r="AT902" s="239"/>
      <c r="AU902" s="239"/>
      <c r="AV902" s="239"/>
      <c r="AW902" s="239"/>
      <c r="AX902" s="239"/>
      <c r="AY902" s="239"/>
      <c r="AZ902" s="239"/>
      <c r="BA902" s="239"/>
      <c r="BB902" s="239"/>
      <c r="BC902" s="239"/>
      <c r="BD902" s="239"/>
      <c r="BE902" s="239"/>
      <c r="BF902" s="239"/>
      <c r="BG902" s="239"/>
      <c r="BH902" s="239"/>
      <c r="BI902" s="239"/>
      <c r="BJ902" s="239"/>
      <c r="BK902" s="239"/>
      <c r="BL902" s="239"/>
      <c r="BM902" s="239"/>
      <c r="BN902" s="239"/>
      <c r="BO902" s="239"/>
      <c r="BP902" s="239"/>
      <c r="BQ902" s="239"/>
      <c r="BR902" s="239"/>
      <c r="BS902" s="239"/>
      <c r="BT902" s="239"/>
      <c r="BU902" s="239"/>
      <c r="BV902" s="239"/>
      <c r="BW902" s="239"/>
      <c r="BX902" s="239"/>
      <c r="BY902" s="239"/>
      <c r="BZ902" s="239"/>
      <c r="CA902" s="239"/>
      <c r="CB902" s="239"/>
      <c r="CC902" s="239"/>
      <c r="CD902" s="239"/>
      <c r="CE902" s="239"/>
      <c r="CF902" s="239"/>
      <c r="CG902" s="239"/>
    </row>
    <row r="903" spans="1:85" ht="15.75" customHeight="1">
      <c r="A903" s="239"/>
      <c r="B903" s="239"/>
      <c r="C903" s="239"/>
      <c r="D903" s="239"/>
      <c r="E903" s="239"/>
      <c r="F903" s="239"/>
      <c r="G903" s="239"/>
      <c r="H903" s="239"/>
      <c r="I903" s="239"/>
      <c r="J903" s="239"/>
      <c r="K903" s="239"/>
      <c r="L903" s="239"/>
      <c r="M903" s="239"/>
      <c r="N903" s="239"/>
      <c r="O903" s="239"/>
      <c r="P903" s="239"/>
      <c r="Q903" s="239"/>
      <c r="R903" s="239"/>
      <c r="S903" s="239"/>
      <c r="T903" s="239"/>
      <c r="U903" s="239"/>
      <c r="V903" s="239"/>
      <c r="W903" s="239"/>
      <c r="X903" s="239"/>
      <c r="Y903" s="239"/>
      <c r="Z903" s="239"/>
      <c r="AA903" s="239"/>
      <c r="AB903" s="239"/>
      <c r="AC903" s="239"/>
      <c r="AD903" s="239"/>
      <c r="AE903" s="239"/>
      <c r="AF903" s="239"/>
      <c r="AG903" s="239"/>
      <c r="AH903" s="239"/>
      <c r="AI903" s="239"/>
      <c r="AJ903" s="239"/>
      <c r="AK903" s="239"/>
      <c r="AL903" s="239"/>
      <c r="AM903" s="239"/>
      <c r="AN903" s="239"/>
      <c r="AO903" s="239"/>
      <c r="AP903" s="239"/>
      <c r="AQ903" s="239"/>
      <c r="AR903" s="239"/>
      <c r="AS903" s="239"/>
      <c r="AT903" s="239"/>
      <c r="AU903" s="239"/>
      <c r="AV903" s="239"/>
      <c r="AW903" s="239"/>
      <c r="AX903" s="239"/>
      <c r="AY903" s="239"/>
      <c r="AZ903" s="239"/>
      <c r="BA903" s="239"/>
      <c r="BB903" s="239"/>
      <c r="BC903" s="239"/>
      <c r="BD903" s="239"/>
      <c r="BE903" s="239"/>
      <c r="BF903" s="239"/>
      <c r="BG903" s="239"/>
      <c r="BH903" s="239"/>
      <c r="BI903" s="239"/>
      <c r="BJ903" s="239"/>
      <c r="BK903" s="239"/>
      <c r="BL903" s="239"/>
      <c r="BM903" s="239"/>
      <c r="BN903" s="239"/>
      <c r="BO903" s="239"/>
      <c r="BP903" s="239"/>
      <c r="BQ903" s="239"/>
      <c r="BR903" s="239"/>
      <c r="BS903" s="239"/>
      <c r="BT903" s="239"/>
      <c r="BU903" s="239"/>
      <c r="BV903" s="239"/>
      <c r="BW903" s="239"/>
      <c r="BX903" s="239"/>
      <c r="BY903" s="239"/>
      <c r="BZ903" s="239"/>
      <c r="CA903" s="239"/>
      <c r="CB903" s="239"/>
      <c r="CC903" s="239"/>
      <c r="CD903" s="239"/>
      <c r="CE903" s="239"/>
      <c r="CF903" s="239"/>
      <c r="CG903" s="239"/>
    </row>
    <row r="904" spans="1:85" ht="15.75" customHeight="1">
      <c r="A904" s="239"/>
      <c r="B904" s="239"/>
      <c r="C904" s="239"/>
      <c r="D904" s="239"/>
      <c r="E904" s="239"/>
      <c r="F904" s="239"/>
      <c r="G904" s="239"/>
      <c r="H904" s="239"/>
      <c r="I904" s="239"/>
      <c r="J904" s="239"/>
      <c r="K904" s="239"/>
      <c r="L904" s="239"/>
      <c r="M904" s="239"/>
      <c r="N904" s="239"/>
      <c r="O904" s="239"/>
      <c r="P904" s="239"/>
      <c r="Q904" s="239"/>
      <c r="R904" s="239"/>
      <c r="S904" s="239"/>
      <c r="T904" s="239"/>
      <c r="U904" s="239"/>
      <c r="V904" s="239"/>
      <c r="W904" s="239"/>
      <c r="X904" s="239"/>
      <c r="Y904" s="239"/>
      <c r="Z904" s="239"/>
      <c r="AA904" s="239"/>
      <c r="AB904" s="239"/>
      <c r="AC904" s="239"/>
      <c r="AD904" s="239"/>
      <c r="AE904" s="239"/>
      <c r="AF904" s="239"/>
      <c r="AG904" s="239"/>
      <c r="AH904" s="239"/>
      <c r="AI904" s="239"/>
      <c r="AJ904" s="239"/>
      <c r="AK904" s="239"/>
      <c r="AL904" s="239"/>
      <c r="AM904" s="239"/>
      <c r="AN904" s="239"/>
      <c r="AO904" s="239"/>
      <c r="AP904" s="239"/>
      <c r="AQ904" s="239"/>
      <c r="AR904" s="239"/>
      <c r="AS904" s="239"/>
      <c r="AT904" s="239"/>
      <c r="AU904" s="239"/>
      <c r="AV904" s="239"/>
      <c r="AW904" s="239"/>
      <c r="AX904" s="239"/>
      <c r="AY904" s="239"/>
      <c r="AZ904" s="239"/>
      <c r="BA904" s="239"/>
      <c r="BB904" s="239"/>
      <c r="BC904" s="239"/>
      <c r="BD904" s="239"/>
      <c r="BE904" s="239"/>
      <c r="BF904" s="239"/>
      <c r="BG904" s="239"/>
      <c r="BH904" s="239"/>
      <c r="BI904" s="239"/>
      <c r="BJ904" s="239"/>
      <c r="BK904" s="239"/>
      <c r="BL904" s="239"/>
      <c r="BM904" s="239"/>
      <c r="BN904" s="239"/>
      <c r="BO904" s="239"/>
      <c r="BP904" s="239"/>
      <c r="BQ904" s="239"/>
      <c r="BR904" s="239"/>
      <c r="BS904" s="239"/>
      <c r="BT904" s="239"/>
      <c r="BU904" s="239"/>
      <c r="BV904" s="239"/>
      <c r="BW904" s="239"/>
      <c r="BX904" s="239"/>
      <c r="BY904" s="239"/>
      <c r="BZ904" s="239"/>
      <c r="CA904" s="239"/>
      <c r="CB904" s="239"/>
      <c r="CC904" s="239"/>
      <c r="CD904" s="239"/>
      <c r="CE904" s="239"/>
      <c r="CF904" s="239"/>
      <c r="CG904" s="239"/>
    </row>
    <row r="905" spans="1:85" ht="15.75" customHeight="1">
      <c r="A905" s="239"/>
      <c r="B905" s="239"/>
      <c r="C905" s="239"/>
      <c r="D905" s="239"/>
      <c r="E905" s="239"/>
      <c r="F905" s="239"/>
      <c r="G905" s="239"/>
      <c r="H905" s="239"/>
      <c r="I905" s="239"/>
      <c r="J905" s="239"/>
      <c r="K905" s="239"/>
      <c r="L905" s="239"/>
      <c r="M905" s="239"/>
      <c r="N905" s="239"/>
      <c r="O905" s="239"/>
      <c r="P905" s="239"/>
      <c r="Q905" s="239"/>
      <c r="R905" s="239"/>
      <c r="S905" s="239"/>
      <c r="T905" s="239"/>
      <c r="U905" s="239"/>
      <c r="V905" s="239"/>
      <c r="W905" s="239"/>
      <c r="X905" s="239"/>
      <c r="Y905" s="239"/>
      <c r="Z905" s="239"/>
      <c r="AA905" s="239"/>
      <c r="AB905" s="239"/>
      <c r="AC905" s="239"/>
      <c r="AD905" s="239"/>
      <c r="AE905" s="239"/>
      <c r="AF905" s="239"/>
      <c r="AG905" s="239"/>
      <c r="AH905" s="239"/>
      <c r="AI905" s="239"/>
      <c r="AJ905" s="239"/>
      <c r="AK905" s="239"/>
      <c r="AL905" s="239"/>
      <c r="AM905" s="239"/>
      <c r="AN905" s="239"/>
      <c r="AO905" s="239"/>
      <c r="AP905" s="239"/>
      <c r="AQ905" s="239"/>
      <c r="AR905" s="239"/>
      <c r="AS905" s="239"/>
      <c r="AT905" s="239"/>
      <c r="AU905" s="239"/>
      <c r="AV905" s="239"/>
      <c r="AW905" s="239"/>
      <c r="AX905" s="239"/>
      <c r="AY905" s="239"/>
      <c r="AZ905" s="239"/>
      <c r="BA905" s="239"/>
      <c r="BB905" s="239"/>
      <c r="BC905" s="239"/>
      <c r="BD905" s="239"/>
      <c r="BE905" s="239"/>
      <c r="BF905" s="239"/>
      <c r="BG905" s="239"/>
      <c r="BH905" s="239"/>
      <c r="BI905" s="239"/>
      <c r="BJ905" s="239"/>
      <c r="BK905" s="239"/>
      <c r="BL905" s="239"/>
      <c r="BM905" s="239"/>
      <c r="BN905" s="239"/>
      <c r="BO905" s="239"/>
      <c r="BP905" s="239"/>
      <c r="BQ905" s="239"/>
      <c r="BR905" s="239"/>
      <c r="BS905" s="239"/>
      <c r="BT905" s="239"/>
      <c r="BU905" s="239"/>
      <c r="BV905" s="239"/>
      <c r="BW905" s="239"/>
      <c r="BX905" s="239"/>
      <c r="BY905" s="239"/>
      <c r="BZ905" s="239"/>
      <c r="CA905" s="239"/>
      <c r="CB905" s="239"/>
      <c r="CC905" s="239"/>
      <c r="CD905" s="239"/>
      <c r="CE905" s="239"/>
      <c r="CF905" s="239"/>
      <c r="CG905" s="239"/>
    </row>
    <row r="906" spans="1:85" ht="15.75" customHeight="1">
      <c r="A906" s="239"/>
      <c r="B906" s="239"/>
      <c r="C906" s="239"/>
      <c r="D906" s="239"/>
      <c r="E906" s="239"/>
      <c r="F906" s="239"/>
      <c r="G906" s="239"/>
      <c r="H906" s="239"/>
      <c r="I906" s="239"/>
      <c r="J906" s="239"/>
      <c r="K906" s="239"/>
      <c r="L906" s="239"/>
      <c r="M906" s="239"/>
      <c r="N906" s="239"/>
      <c r="O906" s="239"/>
      <c r="P906" s="239"/>
      <c r="Q906" s="239"/>
      <c r="R906" s="239"/>
      <c r="S906" s="239"/>
      <c r="T906" s="239"/>
      <c r="U906" s="239"/>
      <c r="V906" s="239"/>
      <c r="W906" s="239"/>
      <c r="X906" s="239"/>
      <c r="Y906" s="239"/>
      <c r="Z906" s="239"/>
      <c r="AA906" s="239"/>
      <c r="AB906" s="239"/>
      <c r="AC906" s="239"/>
      <c r="AD906" s="239"/>
      <c r="AE906" s="239"/>
      <c r="AF906" s="239"/>
      <c r="AG906" s="239"/>
      <c r="AH906" s="239"/>
      <c r="AI906" s="239"/>
      <c r="AJ906" s="239"/>
      <c r="AK906" s="239"/>
      <c r="AL906" s="239"/>
      <c r="AM906" s="239"/>
      <c r="AN906" s="239"/>
      <c r="AO906" s="239"/>
      <c r="AP906" s="239"/>
      <c r="AQ906" s="239"/>
      <c r="AR906" s="239"/>
      <c r="AS906" s="239"/>
      <c r="AT906" s="239"/>
      <c r="AU906" s="239"/>
      <c r="AV906" s="239"/>
      <c r="AW906" s="239"/>
      <c r="AX906" s="239"/>
      <c r="AY906" s="239"/>
      <c r="AZ906" s="239"/>
      <c r="BA906" s="239"/>
      <c r="BB906" s="239"/>
      <c r="BC906" s="239"/>
      <c r="BD906" s="239"/>
      <c r="BE906" s="239"/>
      <c r="BF906" s="239"/>
      <c r="BG906" s="239"/>
      <c r="BH906" s="239"/>
      <c r="BI906" s="239"/>
      <c r="BJ906" s="239"/>
      <c r="BK906" s="239"/>
      <c r="BL906" s="239"/>
      <c r="BM906" s="239"/>
      <c r="BN906" s="239"/>
      <c r="BO906" s="239"/>
      <c r="BP906" s="239"/>
      <c r="BQ906" s="239"/>
      <c r="BR906" s="239"/>
      <c r="BS906" s="239"/>
      <c r="BT906" s="239"/>
      <c r="BU906" s="239"/>
      <c r="BV906" s="239"/>
      <c r="BW906" s="239"/>
      <c r="BX906" s="239"/>
      <c r="BY906" s="239"/>
      <c r="BZ906" s="239"/>
      <c r="CA906" s="239"/>
      <c r="CB906" s="239"/>
      <c r="CC906" s="239"/>
      <c r="CD906" s="239"/>
      <c r="CE906" s="239"/>
      <c r="CF906" s="239"/>
      <c r="CG906" s="239"/>
    </row>
    <row r="907" spans="1:85" ht="15.75" customHeight="1">
      <c r="A907" s="239"/>
      <c r="B907" s="239"/>
      <c r="C907" s="239"/>
      <c r="D907" s="239"/>
      <c r="E907" s="239"/>
      <c r="F907" s="239"/>
      <c r="G907" s="239"/>
      <c r="H907" s="239"/>
      <c r="I907" s="239"/>
      <c r="J907" s="239"/>
      <c r="K907" s="239"/>
      <c r="L907" s="239"/>
      <c r="M907" s="239"/>
      <c r="N907" s="239"/>
      <c r="O907" s="239"/>
      <c r="P907" s="239"/>
      <c r="Q907" s="239"/>
      <c r="R907" s="239"/>
      <c r="S907" s="239"/>
      <c r="T907" s="239"/>
      <c r="U907" s="239"/>
      <c r="V907" s="239"/>
      <c r="W907" s="239"/>
      <c r="X907" s="239"/>
      <c r="Y907" s="239"/>
      <c r="Z907" s="239"/>
      <c r="AA907" s="239"/>
      <c r="AB907" s="239"/>
      <c r="AC907" s="239"/>
      <c r="AD907" s="239"/>
      <c r="AE907" s="239"/>
      <c r="AF907" s="239"/>
      <c r="AG907" s="239"/>
      <c r="AH907" s="239"/>
      <c r="AI907" s="239"/>
      <c r="AJ907" s="239"/>
      <c r="AK907" s="239"/>
      <c r="AL907" s="239"/>
      <c r="AM907" s="239"/>
      <c r="AN907" s="239"/>
      <c r="AO907" s="239"/>
      <c r="AP907" s="239"/>
      <c r="AQ907" s="239"/>
      <c r="AR907" s="239"/>
      <c r="AS907" s="239"/>
      <c r="AT907" s="239"/>
      <c r="AU907" s="239"/>
      <c r="AV907" s="239"/>
      <c r="AW907" s="239"/>
      <c r="AX907" s="239"/>
      <c r="AY907" s="239"/>
      <c r="AZ907" s="239"/>
      <c r="BA907" s="239"/>
      <c r="BB907" s="239"/>
      <c r="BC907" s="239"/>
      <c r="BD907" s="239"/>
      <c r="BE907" s="239"/>
      <c r="BF907" s="239"/>
      <c r="BG907" s="239"/>
      <c r="BH907" s="239"/>
      <c r="BI907" s="239"/>
      <c r="BJ907" s="239"/>
      <c r="BK907" s="239"/>
      <c r="BL907" s="239"/>
      <c r="BM907" s="239"/>
      <c r="BN907" s="239"/>
      <c r="BO907" s="239"/>
      <c r="BP907" s="239"/>
      <c r="BQ907" s="239"/>
      <c r="BR907" s="239"/>
      <c r="BS907" s="239"/>
      <c r="BT907" s="239"/>
      <c r="BU907" s="239"/>
      <c r="BV907" s="239"/>
      <c r="BW907" s="239"/>
      <c r="BX907" s="239"/>
      <c r="BY907" s="239"/>
      <c r="BZ907" s="239"/>
      <c r="CA907" s="239"/>
      <c r="CB907" s="239"/>
      <c r="CC907" s="239"/>
      <c r="CD907" s="239"/>
      <c r="CE907" s="239"/>
      <c r="CF907" s="239"/>
      <c r="CG907" s="239"/>
    </row>
    <row r="908" spans="1:85" ht="15.75" customHeight="1">
      <c r="A908" s="239"/>
      <c r="B908" s="239"/>
      <c r="C908" s="239"/>
      <c r="D908" s="239"/>
      <c r="E908" s="239"/>
      <c r="F908" s="239"/>
      <c r="G908" s="239"/>
      <c r="H908" s="239"/>
      <c r="I908" s="239"/>
      <c r="J908" s="239"/>
      <c r="K908" s="239"/>
      <c r="L908" s="239"/>
      <c r="M908" s="239"/>
      <c r="N908" s="239"/>
      <c r="O908" s="239"/>
      <c r="P908" s="239"/>
      <c r="Q908" s="239"/>
      <c r="R908" s="239"/>
      <c r="S908" s="239"/>
      <c r="T908" s="239"/>
      <c r="U908" s="239"/>
      <c r="V908" s="239"/>
      <c r="W908" s="239"/>
      <c r="X908" s="239"/>
      <c r="Y908" s="239"/>
      <c r="Z908" s="239"/>
      <c r="AA908" s="239"/>
      <c r="AB908" s="239"/>
      <c r="AC908" s="239"/>
      <c r="AD908" s="239"/>
      <c r="AE908" s="239"/>
      <c r="AF908" s="239"/>
      <c r="AG908" s="239"/>
      <c r="AH908" s="239"/>
      <c r="AI908" s="239"/>
      <c r="AJ908" s="239"/>
      <c r="AK908" s="239"/>
      <c r="AL908" s="239"/>
      <c r="AM908" s="239"/>
      <c r="AN908" s="239"/>
      <c r="AO908" s="239"/>
      <c r="AP908" s="239"/>
      <c r="AQ908" s="239"/>
      <c r="AR908" s="239"/>
      <c r="AS908" s="239"/>
      <c r="AT908" s="239"/>
      <c r="AU908" s="239"/>
      <c r="AV908" s="239"/>
      <c r="AW908" s="239"/>
      <c r="AX908" s="239"/>
      <c r="AY908" s="239"/>
      <c r="AZ908" s="239"/>
      <c r="BA908" s="239"/>
      <c r="BB908" s="239"/>
      <c r="BC908" s="239"/>
      <c r="BD908" s="239"/>
      <c r="BE908" s="239"/>
      <c r="BF908" s="239"/>
      <c r="BG908" s="239"/>
      <c r="BH908" s="239"/>
      <c r="BI908" s="239"/>
      <c r="BJ908" s="239"/>
      <c r="BK908" s="239"/>
      <c r="BL908" s="239"/>
      <c r="BM908" s="239"/>
      <c r="BN908" s="239"/>
      <c r="BO908" s="239"/>
      <c r="BP908" s="239"/>
      <c r="BQ908" s="239"/>
      <c r="BR908" s="239"/>
      <c r="BS908" s="239"/>
      <c r="BT908" s="239"/>
      <c r="BU908" s="239"/>
      <c r="BV908" s="239"/>
      <c r="BW908" s="239"/>
      <c r="BX908" s="239"/>
      <c r="BY908" s="239"/>
      <c r="BZ908" s="239"/>
      <c r="CA908" s="239"/>
      <c r="CB908" s="239"/>
      <c r="CC908" s="239"/>
      <c r="CD908" s="239"/>
      <c r="CE908" s="239"/>
      <c r="CF908" s="239"/>
      <c r="CG908" s="239"/>
    </row>
    <row r="909" spans="1:85" ht="15.75" customHeight="1">
      <c r="A909" s="239"/>
      <c r="B909" s="239"/>
      <c r="C909" s="239"/>
      <c r="D909" s="239"/>
      <c r="E909" s="239"/>
      <c r="F909" s="239"/>
      <c r="G909" s="239"/>
      <c r="H909" s="239"/>
      <c r="I909" s="239"/>
      <c r="J909" s="239"/>
      <c r="K909" s="239"/>
      <c r="L909" s="239"/>
      <c r="M909" s="239"/>
      <c r="N909" s="239"/>
      <c r="O909" s="239"/>
      <c r="P909" s="239"/>
      <c r="Q909" s="239"/>
      <c r="R909" s="239"/>
      <c r="S909" s="239"/>
      <c r="T909" s="239"/>
      <c r="U909" s="239"/>
      <c r="V909" s="239"/>
      <c r="W909" s="239"/>
      <c r="X909" s="239"/>
      <c r="Y909" s="239"/>
      <c r="Z909" s="239"/>
      <c r="AA909" s="239"/>
      <c r="AB909" s="239"/>
      <c r="AC909" s="239"/>
      <c r="AD909" s="239"/>
      <c r="AE909" s="239"/>
      <c r="AF909" s="239"/>
      <c r="AG909" s="239"/>
      <c r="AH909" s="239"/>
      <c r="AI909" s="239"/>
      <c r="AJ909" s="239"/>
      <c r="AK909" s="239"/>
      <c r="AL909" s="239"/>
      <c r="AM909" s="239"/>
      <c r="AN909" s="239"/>
      <c r="AO909" s="239"/>
      <c r="AP909" s="239"/>
      <c r="AQ909" s="239"/>
      <c r="AR909" s="239"/>
      <c r="AS909" s="239"/>
      <c r="AT909" s="239"/>
      <c r="AU909" s="239"/>
      <c r="AV909" s="239"/>
      <c r="AW909" s="239"/>
      <c r="AX909" s="239"/>
      <c r="AY909" s="239"/>
      <c r="AZ909" s="239"/>
      <c r="BA909" s="239"/>
      <c r="BB909" s="239"/>
      <c r="BC909" s="239"/>
      <c r="BD909" s="239"/>
      <c r="BE909" s="239"/>
      <c r="BF909" s="239"/>
      <c r="BG909" s="239"/>
      <c r="BH909" s="239"/>
      <c r="BI909" s="239"/>
      <c r="BJ909" s="239"/>
      <c r="BK909" s="239"/>
      <c r="BL909" s="239"/>
      <c r="BM909" s="239"/>
      <c r="BN909" s="239"/>
      <c r="BO909" s="239"/>
      <c r="BP909" s="239"/>
      <c r="BQ909" s="239"/>
      <c r="BR909" s="239"/>
      <c r="BS909" s="239"/>
      <c r="BT909" s="239"/>
      <c r="BU909" s="239"/>
      <c r="BV909" s="239"/>
      <c r="BW909" s="239"/>
      <c r="BX909" s="239"/>
      <c r="BY909" s="239"/>
      <c r="BZ909" s="239"/>
      <c r="CA909" s="239"/>
      <c r="CB909" s="239"/>
      <c r="CC909" s="239"/>
      <c r="CD909" s="239"/>
      <c r="CE909" s="239"/>
      <c r="CF909" s="239"/>
      <c r="CG909" s="239"/>
    </row>
    <row r="910" spans="1:85" ht="15.75" customHeight="1">
      <c r="A910" s="239"/>
      <c r="B910" s="239"/>
      <c r="C910" s="239"/>
      <c r="D910" s="239"/>
      <c r="E910" s="239"/>
      <c r="F910" s="239"/>
      <c r="G910" s="239"/>
      <c r="H910" s="239"/>
      <c r="I910" s="239"/>
      <c r="J910" s="239"/>
      <c r="K910" s="239"/>
      <c r="L910" s="239"/>
      <c r="M910" s="239"/>
      <c r="N910" s="239"/>
      <c r="O910" s="239"/>
      <c r="P910" s="239"/>
      <c r="Q910" s="239"/>
      <c r="R910" s="239"/>
      <c r="S910" s="239"/>
      <c r="T910" s="239"/>
      <c r="U910" s="239"/>
      <c r="V910" s="239"/>
      <c r="W910" s="239"/>
      <c r="X910" s="239"/>
      <c r="Y910" s="239"/>
      <c r="Z910" s="239"/>
      <c r="AA910" s="239"/>
      <c r="AB910" s="239"/>
      <c r="AC910" s="239"/>
      <c r="AD910" s="239"/>
      <c r="AE910" s="239"/>
      <c r="AF910" s="239"/>
      <c r="AG910" s="239"/>
      <c r="AH910" s="239"/>
      <c r="AI910" s="239"/>
      <c r="AJ910" s="239"/>
      <c r="AK910" s="239"/>
      <c r="AL910" s="239"/>
      <c r="AM910" s="239"/>
      <c r="AN910" s="239"/>
      <c r="AO910" s="239"/>
      <c r="AP910" s="239"/>
      <c r="AQ910" s="239"/>
      <c r="AR910" s="239"/>
      <c r="AS910" s="239"/>
      <c r="AT910" s="239"/>
      <c r="AU910" s="239"/>
      <c r="AV910" s="239"/>
      <c r="AW910" s="239"/>
      <c r="AX910" s="239"/>
      <c r="AY910" s="239"/>
      <c r="AZ910" s="239"/>
      <c r="BA910" s="239"/>
      <c r="BB910" s="239"/>
      <c r="BC910" s="239"/>
      <c r="BD910" s="239"/>
      <c r="BE910" s="239"/>
      <c r="BF910" s="239"/>
      <c r="BG910" s="239"/>
      <c r="BH910" s="239"/>
      <c r="BI910" s="239"/>
      <c r="BJ910" s="239"/>
      <c r="BK910" s="239"/>
      <c r="BL910" s="239"/>
      <c r="BM910" s="239"/>
      <c r="BN910" s="239"/>
      <c r="BO910" s="239"/>
      <c r="BP910" s="239"/>
      <c r="BQ910" s="239"/>
      <c r="BR910" s="239"/>
      <c r="BS910" s="239"/>
      <c r="BT910" s="239"/>
      <c r="BU910" s="239"/>
      <c r="BV910" s="239"/>
      <c r="BW910" s="239"/>
      <c r="BX910" s="239"/>
      <c r="BY910" s="239"/>
      <c r="BZ910" s="239"/>
      <c r="CA910" s="239"/>
      <c r="CB910" s="239"/>
      <c r="CC910" s="239"/>
      <c r="CD910" s="239"/>
      <c r="CE910" s="239"/>
      <c r="CF910" s="239"/>
      <c r="CG910" s="239"/>
    </row>
    <row r="911" spans="1:85" ht="15.75" customHeight="1">
      <c r="A911" s="239"/>
      <c r="B911" s="239"/>
      <c r="C911" s="239"/>
      <c r="D911" s="239"/>
      <c r="E911" s="239"/>
      <c r="F911" s="239"/>
      <c r="G911" s="239"/>
      <c r="H911" s="239"/>
      <c r="I911" s="239"/>
      <c r="J911" s="239"/>
      <c r="K911" s="239"/>
      <c r="L911" s="239"/>
      <c r="M911" s="239"/>
      <c r="N911" s="239"/>
      <c r="O911" s="239"/>
      <c r="P911" s="239"/>
      <c r="Q911" s="239"/>
      <c r="R911" s="239"/>
      <c r="S911" s="239"/>
      <c r="T911" s="239"/>
      <c r="U911" s="239"/>
      <c r="V911" s="239"/>
      <c r="W911" s="239"/>
      <c r="X911" s="239"/>
      <c r="Y911" s="239"/>
      <c r="Z911" s="239"/>
      <c r="AA911" s="239"/>
      <c r="AB911" s="239"/>
      <c r="AC911" s="239"/>
      <c r="AD911" s="239"/>
      <c r="AE911" s="239"/>
      <c r="AF911" s="239"/>
      <c r="AG911" s="239"/>
      <c r="AH911" s="239"/>
      <c r="AI911" s="239"/>
      <c r="AJ911" s="239"/>
      <c r="AK911" s="239"/>
      <c r="AL911" s="239"/>
      <c r="AM911" s="239"/>
      <c r="AN911" s="239"/>
      <c r="AO911" s="239"/>
      <c r="AP911" s="239"/>
      <c r="AQ911" s="239"/>
      <c r="AR911" s="239"/>
      <c r="AS911" s="239"/>
      <c r="AT911" s="239"/>
      <c r="AU911" s="239"/>
      <c r="AV911" s="239"/>
      <c r="AW911" s="239"/>
      <c r="AX911" s="239"/>
      <c r="AY911" s="239"/>
      <c r="AZ911" s="239"/>
      <c r="BA911" s="239"/>
      <c r="BB911" s="239"/>
      <c r="BC911" s="239"/>
      <c r="BD911" s="239"/>
      <c r="BE911" s="239"/>
      <c r="BF911" s="239"/>
      <c r="BG911" s="239"/>
      <c r="BH911" s="239"/>
      <c r="BI911" s="239"/>
      <c r="BJ911" s="239"/>
      <c r="BK911" s="239"/>
      <c r="BL911" s="239"/>
      <c r="BM911" s="239"/>
      <c r="BN911" s="239"/>
      <c r="BO911" s="239"/>
      <c r="BP911" s="239"/>
      <c r="BQ911" s="239"/>
      <c r="BR911" s="239"/>
      <c r="BS911" s="239"/>
      <c r="BT911" s="239"/>
      <c r="BU911" s="239"/>
      <c r="BV911" s="239"/>
      <c r="BW911" s="239"/>
      <c r="BX911" s="239"/>
      <c r="BY911" s="239"/>
      <c r="BZ911" s="239"/>
      <c r="CA911" s="239"/>
      <c r="CB911" s="239"/>
      <c r="CC911" s="239"/>
      <c r="CD911" s="239"/>
      <c r="CE911" s="239"/>
      <c r="CF911" s="239"/>
      <c r="CG911" s="239"/>
    </row>
    <row r="912" spans="1:85" ht="15.75" customHeight="1">
      <c r="A912" s="239"/>
      <c r="B912" s="239"/>
      <c r="C912" s="239"/>
      <c r="D912" s="239"/>
      <c r="E912" s="239"/>
      <c r="F912" s="239"/>
      <c r="G912" s="239"/>
      <c r="H912" s="239"/>
      <c r="I912" s="239"/>
      <c r="J912" s="239"/>
      <c r="K912" s="239"/>
      <c r="L912" s="239"/>
      <c r="M912" s="239"/>
      <c r="N912" s="239"/>
      <c r="O912" s="239"/>
      <c r="P912" s="239"/>
      <c r="Q912" s="239"/>
      <c r="R912" s="239"/>
      <c r="S912" s="239"/>
      <c r="T912" s="239"/>
      <c r="U912" s="239"/>
      <c r="V912" s="239"/>
      <c r="W912" s="239"/>
      <c r="X912" s="239"/>
      <c r="Y912" s="239"/>
      <c r="Z912" s="239"/>
      <c r="AA912" s="239"/>
      <c r="AB912" s="239"/>
      <c r="AC912" s="239"/>
      <c r="AD912" s="239"/>
      <c r="AE912" s="239"/>
      <c r="AF912" s="239"/>
      <c r="AG912" s="239"/>
      <c r="AH912" s="239"/>
      <c r="AI912" s="239"/>
      <c r="AJ912" s="239"/>
      <c r="AK912" s="239"/>
      <c r="AL912" s="239"/>
      <c r="AM912" s="239"/>
      <c r="AN912" s="239"/>
      <c r="AO912" s="239"/>
      <c r="AP912" s="239"/>
      <c r="AQ912" s="239"/>
      <c r="AR912" s="239"/>
      <c r="AS912" s="239"/>
      <c r="AT912" s="239"/>
      <c r="AU912" s="239"/>
      <c r="AV912" s="239"/>
      <c r="AW912" s="239"/>
      <c r="AX912" s="239"/>
      <c r="AY912" s="239"/>
      <c r="AZ912" s="239"/>
      <c r="BA912" s="239"/>
      <c r="BB912" s="239"/>
      <c r="BC912" s="239"/>
      <c r="BD912" s="239"/>
      <c r="BE912" s="239"/>
      <c r="BF912" s="239"/>
      <c r="BG912" s="239"/>
      <c r="BH912" s="239"/>
      <c r="BI912" s="239"/>
      <c r="BJ912" s="239"/>
      <c r="BK912" s="239"/>
      <c r="BL912" s="239"/>
      <c r="BM912" s="239"/>
      <c r="BN912" s="239"/>
      <c r="BO912" s="239"/>
      <c r="BP912" s="239"/>
      <c r="BQ912" s="239"/>
      <c r="BR912" s="239"/>
      <c r="BS912" s="239"/>
      <c r="BT912" s="239"/>
      <c r="BU912" s="239"/>
      <c r="BV912" s="239"/>
      <c r="BW912" s="239"/>
      <c r="BX912" s="239"/>
      <c r="BY912" s="239"/>
      <c r="BZ912" s="239"/>
      <c r="CA912" s="239"/>
      <c r="CB912" s="239"/>
      <c r="CC912" s="239"/>
      <c r="CD912" s="239"/>
      <c r="CE912" s="239"/>
      <c r="CF912" s="239"/>
      <c r="CG912" s="239"/>
    </row>
    <row r="913" spans="1:85" ht="15.75" customHeight="1">
      <c r="A913" s="239"/>
      <c r="B913" s="239"/>
      <c r="C913" s="239"/>
      <c r="D913" s="239"/>
      <c r="E913" s="239"/>
      <c r="F913" s="239"/>
      <c r="G913" s="239"/>
      <c r="H913" s="239"/>
      <c r="I913" s="239"/>
      <c r="J913" s="239"/>
      <c r="K913" s="239"/>
      <c r="L913" s="239"/>
      <c r="M913" s="239"/>
      <c r="N913" s="239"/>
      <c r="O913" s="239"/>
      <c r="P913" s="239"/>
      <c r="Q913" s="239"/>
      <c r="R913" s="239"/>
      <c r="S913" s="239"/>
      <c r="T913" s="239"/>
      <c r="U913" s="239"/>
      <c r="V913" s="239"/>
      <c r="W913" s="239"/>
      <c r="X913" s="239"/>
      <c r="Y913" s="239"/>
      <c r="Z913" s="239"/>
      <c r="AA913" s="239"/>
      <c r="AB913" s="239"/>
      <c r="AC913" s="239"/>
      <c r="AD913" s="239"/>
      <c r="AE913" s="239"/>
      <c r="AF913" s="239"/>
      <c r="AG913" s="239"/>
      <c r="AH913" s="239"/>
      <c r="AI913" s="239"/>
      <c r="AJ913" s="239"/>
      <c r="AK913" s="239"/>
      <c r="AL913" s="239"/>
      <c r="AM913" s="239"/>
      <c r="AN913" s="239"/>
      <c r="AO913" s="239"/>
      <c r="AP913" s="239"/>
      <c r="AQ913" s="239"/>
      <c r="AR913" s="239"/>
      <c r="AS913" s="239"/>
      <c r="AT913" s="239"/>
      <c r="AU913" s="239"/>
      <c r="AV913" s="239"/>
      <c r="AW913" s="239"/>
      <c r="AX913" s="239"/>
      <c r="AY913" s="239"/>
      <c r="AZ913" s="239"/>
      <c r="BA913" s="239"/>
      <c r="BB913" s="239"/>
      <c r="BC913" s="239"/>
      <c r="BD913" s="239"/>
      <c r="BE913" s="239"/>
      <c r="BF913" s="239"/>
      <c r="BG913" s="239"/>
      <c r="BH913" s="239"/>
      <c r="BI913" s="239"/>
      <c r="BJ913" s="239"/>
      <c r="BK913" s="239"/>
      <c r="BL913" s="239"/>
      <c r="BM913" s="239"/>
      <c r="BN913" s="239"/>
      <c r="BO913" s="239"/>
      <c r="BP913" s="239"/>
      <c r="BQ913" s="239"/>
      <c r="BR913" s="239"/>
      <c r="BS913" s="239"/>
      <c r="BT913" s="239"/>
      <c r="BU913" s="239"/>
      <c r="BV913" s="239"/>
      <c r="BW913" s="239"/>
      <c r="BX913" s="239"/>
      <c r="BY913" s="239"/>
      <c r="BZ913" s="239"/>
      <c r="CA913" s="239"/>
      <c r="CB913" s="239"/>
      <c r="CC913" s="239"/>
      <c r="CD913" s="239"/>
      <c r="CE913" s="239"/>
      <c r="CF913" s="239"/>
      <c r="CG913" s="239"/>
    </row>
    <row r="914" spans="1:85" ht="15.75" customHeight="1">
      <c r="A914" s="239"/>
      <c r="B914" s="239"/>
      <c r="C914" s="239"/>
      <c r="D914" s="239"/>
      <c r="E914" s="239"/>
      <c r="F914" s="239"/>
      <c r="G914" s="239"/>
      <c r="H914" s="239"/>
      <c r="I914" s="239"/>
      <c r="J914" s="239"/>
      <c r="K914" s="239"/>
      <c r="L914" s="239"/>
      <c r="M914" s="239"/>
      <c r="N914" s="239"/>
      <c r="O914" s="239"/>
      <c r="P914" s="239"/>
      <c r="Q914" s="239"/>
      <c r="R914" s="239"/>
      <c r="S914" s="239"/>
      <c r="T914" s="239"/>
      <c r="U914" s="239"/>
      <c r="V914" s="239"/>
      <c r="W914" s="239"/>
      <c r="X914" s="239"/>
      <c r="Y914" s="239"/>
      <c r="Z914" s="239"/>
      <c r="AA914" s="239"/>
      <c r="AB914" s="239"/>
      <c r="AC914" s="239"/>
      <c r="AD914" s="239"/>
      <c r="AE914" s="239"/>
      <c r="AF914" s="239"/>
      <c r="AG914" s="239"/>
      <c r="AH914" s="239"/>
      <c r="AI914" s="239"/>
      <c r="AJ914" s="239"/>
      <c r="AK914" s="239"/>
      <c r="AL914" s="239"/>
      <c r="AM914" s="239"/>
      <c r="AN914" s="239"/>
      <c r="AO914" s="239"/>
      <c r="AP914" s="239"/>
      <c r="AQ914" s="239"/>
      <c r="AR914" s="239"/>
      <c r="AS914" s="239"/>
      <c r="AT914" s="239"/>
      <c r="AU914" s="239"/>
      <c r="AV914" s="239"/>
      <c r="AW914" s="239"/>
      <c r="AX914" s="239"/>
      <c r="AY914" s="239"/>
      <c r="AZ914" s="239"/>
      <c r="BA914" s="239"/>
      <c r="BB914" s="239"/>
      <c r="BC914" s="239"/>
      <c r="BD914" s="239"/>
      <c r="BE914" s="239"/>
      <c r="BF914" s="239"/>
      <c r="BG914" s="239"/>
      <c r="BH914" s="239"/>
      <c r="BI914" s="239"/>
      <c r="BJ914" s="239"/>
      <c r="BK914" s="239"/>
      <c r="BL914" s="239"/>
      <c r="BM914" s="239"/>
      <c r="BN914" s="239"/>
      <c r="BO914" s="239"/>
      <c r="BP914" s="239"/>
      <c r="BQ914" s="239"/>
      <c r="BR914" s="239"/>
      <c r="BS914" s="239"/>
      <c r="BT914" s="239"/>
      <c r="BU914" s="239"/>
      <c r="BV914" s="239"/>
      <c r="BW914" s="239"/>
      <c r="BX914" s="239"/>
      <c r="BY914" s="239"/>
      <c r="BZ914" s="239"/>
      <c r="CA914" s="239"/>
      <c r="CB914" s="239"/>
      <c r="CC914" s="239"/>
      <c r="CD914" s="239"/>
      <c r="CE914" s="239"/>
      <c r="CF914" s="239"/>
      <c r="CG914" s="239"/>
    </row>
    <row r="915" spans="1:85" ht="15.75" customHeight="1">
      <c r="A915" s="239"/>
      <c r="B915" s="239"/>
      <c r="C915" s="239"/>
      <c r="D915" s="239"/>
      <c r="E915" s="239"/>
      <c r="F915" s="239"/>
      <c r="G915" s="239"/>
      <c r="H915" s="239"/>
      <c r="I915" s="239"/>
      <c r="J915" s="239"/>
      <c r="K915" s="239"/>
      <c r="L915" s="239"/>
      <c r="M915" s="239"/>
      <c r="N915" s="239"/>
      <c r="O915" s="239"/>
      <c r="P915" s="239"/>
      <c r="Q915" s="239"/>
      <c r="R915" s="239"/>
      <c r="S915" s="239"/>
      <c r="T915" s="239"/>
      <c r="U915" s="239"/>
      <c r="V915" s="239"/>
      <c r="W915" s="239"/>
      <c r="X915" s="239"/>
      <c r="Y915" s="239"/>
      <c r="Z915" s="239"/>
      <c r="AA915" s="239"/>
      <c r="AB915" s="239"/>
      <c r="AC915" s="239"/>
      <c r="AD915" s="239"/>
      <c r="AE915" s="239"/>
      <c r="AF915" s="239"/>
      <c r="AG915" s="239"/>
      <c r="AH915" s="239"/>
      <c r="AI915" s="239"/>
      <c r="AJ915" s="239"/>
      <c r="AK915" s="239"/>
      <c r="AL915" s="239"/>
      <c r="AM915" s="239"/>
      <c r="AN915" s="239"/>
      <c r="AO915" s="239"/>
      <c r="AP915" s="239"/>
      <c r="AQ915" s="239"/>
      <c r="AR915" s="239"/>
      <c r="AS915" s="239"/>
      <c r="AT915" s="239"/>
      <c r="AU915" s="239"/>
      <c r="AV915" s="239"/>
      <c r="AW915" s="239"/>
      <c r="AX915" s="239"/>
      <c r="AY915" s="239"/>
      <c r="AZ915" s="239"/>
      <c r="BA915" s="239"/>
      <c r="BB915" s="239"/>
      <c r="BC915" s="239"/>
      <c r="BD915" s="239"/>
      <c r="BE915" s="239"/>
      <c r="BF915" s="239"/>
      <c r="BG915" s="239"/>
      <c r="BH915" s="239"/>
      <c r="BI915" s="239"/>
      <c r="BJ915" s="239"/>
      <c r="BK915" s="239"/>
      <c r="BL915" s="239"/>
      <c r="BM915" s="239"/>
      <c r="BN915" s="239"/>
      <c r="BO915" s="239"/>
      <c r="BP915" s="239"/>
      <c r="BQ915" s="239"/>
      <c r="BR915" s="239"/>
      <c r="BS915" s="239"/>
      <c r="BT915" s="239"/>
      <c r="BU915" s="239"/>
      <c r="BV915" s="239"/>
      <c r="BW915" s="239"/>
      <c r="BX915" s="239"/>
      <c r="BY915" s="239"/>
      <c r="BZ915" s="239"/>
      <c r="CA915" s="239"/>
      <c r="CB915" s="239"/>
      <c r="CC915" s="239"/>
      <c r="CD915" s="239"/>
      <c r="CE915" s="239"/>
      <c r="CF915" s="239"/>
      <c r="CG915" s="239"/>
    </row>
    <row r="916" spans="1:85" ht="15.75" customHeight="1">
      <c r="A916" s="239"/>
      <c r="B916" s="239"/>
      <c r="C916" s="239"/>
      <c r="D916" s="239"/>
      <c r="E916" s="239"/>
      <c r="F916" s="239"/>
      <c r="G916" s="239"/>
      <c r="H916" s="239"/>
      <c r="I916" s="239"/>
      <c r="J916" s="239"/>
      <c r="K916" s="239"/>
      <c r="L916" s="239"/>
      <c r="M916" s="239"/>
      <c r="N916" s="239"/>
      <c r="O916" s="239"/>
      <c r="P916" s="239"/>
      <c r="Q916" s="239"/>
      <c r="R916" s="239"/>
      <c r="S916" s="239"/>
      <c r="T916" s="239"/>
      <c r="U916" s="239"/>
      <c r="V916" s="239"/>
      <c r="W916" s="239"/>
      <c r="X916" s="239"/>
      <c r="Y916" s="239"/>
      <c r="Z916" s="239"/>
      <c r="AA916" s="239"/>
      <c r="AB916" s="239"/>
      <c r="AC916" s="239"/>
      <c r="AD916" s="239"/>
      <c r="AE916" s="239"/>
      <c r="AF916" s="239"/>
      <c r="AG916" s="239"/>
      <c r="AH916" s="239"/>
      <c r="AI916" s="239"/>
      <c r="AJ916" s="239"/>
      <c r="AK916" s="239"/>
      <c r="AL916" s="239"/>
      <c r="AM916" s="239"/>
      <c r="AN916" s="239"/>
      <c r="AO916" s="239"/>
      <c r="AP916" s="239"/>
      <c r="AQ916" s="239"/>
      <c r="AR916" s="239"/>
      <c r="AS916" s="239"/>
      <c r="AT916" s="239"/>
      <c r="AU916" s="239"/>
      <c r="AV916" s="239"/>
      <c r="AW916" s="239"/>
      <c r="AX916" s="239"/>
      <c r="AY916" s="239"/>
      <c r="AZ916" s="239"/>
      <c r="BA916" s="239"/>
      <c r="BB916" s="239"/>
      <c r="BC916" s="239"/>
      <c r="BD916" s="239"/>
      <c r="BE916" s="239"/>
      <c r="BF916" s="239"/>
      <c r="BG916" s="239"/>
      <c r="BH916" s="239"/>
      <c r="BI916" s="239"/>
      <c r="BJ916" s="239"/>
      <c r="BK916" s="239"/>
      <c r="BL916" s="239"/>
      <c r="BM916" s="239"/>
      <c r="BN916" s="239"/>
      <c r="BO916" s="239"/>
      <c r="BP916" s="239"/>
      <c r="BQ916" s="239"/>
      <c r="BR916" s="239"/>
      <c r="BS916" s="239"/>
      <c r="BT916" s="239"/>
      <c r="BU916" s="239"/>
      <c r="BV916" s="239"/>
      <c r="BW916" s="239"/>
      <c r="BX916" s="239"/>
      <c r="BY916" s="239"/>
      <c r="BZ916" s="239"/>
      <c r="CA916" s="239"/>
      <c r="CB916" s="239"/>
      <c r="CC916" s="239"/>
      <c r="CD916" s="239"/>
      <c r="CE916" s="239"/>
      <c r="CF916" s="239"/>
      <c r="CG916" s="239"/>
    </row>
    <row r="917" spans="1:85" ht="15.75" customHeight="1">
      <c r="A917" s="239"/>
      <c r="B917" s="239"/>
      <c r="C917" s="239"/>
      <c r="D917" s="239"/>
      <c r="E917" s="239"/>
      <c r="F917" s="239"/>
      <c r="G917" s="239"/>
      <c r="H917" s="239"/>
      <c r="I917" s="239"/>
      <c r="J917" s="239"/>
      <c r="K917" s="239"/>
      <c r="L917" s="239"/>
      <c r="M917" s="239"/>
      <c r="N917" s="239"/>
      <c r="O917" s="239"/>
      <c r="P917" s="239"/>
      <c r="Q917" s="239"/>
      <c r="R917" s="239"/>
      <c r="S917" s="239"/>
      <c r="T917" s="239"/>
      <c r="U917" s="239"/>
      <c r="V917" s="239"/>
      <c r="W917" s="239"/>
      <c r="X917" s="239"/>
      <c r="Y917" s="239"/>
      <c r="Z917" s="239"/>
      <c r="AA917" s="239"/>
      <c r="AB917" s="239"/>
      <c r="AC917" s="239"/>
      <c r="AD917" s="239"/>
      <c r="AE917" s="239"/>
      <c r="AF917" s="239"/>
      <c r="AG917" s="239"/>
      <c r="AH917" s="239"/>
      <c r="AI917" s="239"/>
      <c r="AJ917" s="239"/>
      <c r="AK917" s="239"/>
      <c r="AL917" s="239"/>
      <c r="AM917" s="239"/>
      <c r="AN917" s="239"/>
      <c r="AO917" s="239"/>
      <c r="AP917" s="239"/>
      <c r="AQ917" s="239"/>
      <c r="AR917" s="239"/>
      <c r="AS917" s="239"/>
      <c r="AT917" s="239"/>
      <c r="AU917" s="239"/>
      <c r="AV917" s="239"/>
      <c r="AW917" s="239"/>
      <c r="AX917" s="239"/>
      <c r="AY917" s="239"/>
      <c r="AZ917" s="239"/>
      <c r="BA917" s="239"/>
      <c r="BB917" s="239"/>
      <c r="BC917" s="239"/>
      <c r="BD917" s="239"/>
      <c r="BE917" s="239"/>
      <c r="BF917" s="239"/>
      <c r="BG917" s="239"/>
      <c r="BH917" s="239"/>
      <c r="BI917" s="239"/>
      <c r="BJ917" s="239"/>
      <c r="BK917" s="239"/>
      <c r="BL917" s="239"/>
      <c r="BM917" s="239"/>
      <c r="BN917" s="239"/>
      <c r="BO917" s="239"/>
      <c r="BP917" s="239"/>
      <c r="BQ917" s="239"/>
      <c r="BR917" s="239"/>
      <c r="BS917" s="239"/>
      <c r="BT917" s="239"/>
      <c r="BU917" s="239"/>
      <c r="BV917" s="239"/>
      <c r="BW917" s="239"/>
      <c r="BX917" s="239"/>
      <c r="BY917" s="239"/>
      <c r="BZ917" s="239"/>
      <c r="CA917" s="239"/>
      <c r="CB917" s="239"/>
      <c r="CC917" s="239"/>
      <c r="CD917" s="239"/>
      <c r="CE917" s="239"/>
      <c r="CF917" s="239"/>
      <c r="CG917" s="239"/>
    </row>
    <row r="918" spans="1:85" ht="15.75" customHeight="1">
      <c r="A918" s="239"/>
      <c r="B918" s="239"/>
      <c r="C918" s="239"/>
      <c r="D918" s="239"/>
      <c r="E918" s="239"/>
      <c r="F918" s="239"/>
      <c r="G918" s="239"/>
      <c r="H918" s="239"/>
      <c r="I918" s="239"/>
      <c r="J918" s="239"/>
      <c r="K918" s="239"/>
      <c r="L918" s="239"/>
      <c r="M918" s="239"/>
      <c r="N918" s="239"/>
      <c r="O918" s="239"/>
      <c r="P918" s="239"/>
      <c r="Q918" s="239"/>
      <c r="R918" s="239"/>
      <c r="S918" s="239"/>
      <c r="T918" s="239"/>
      <c r="U918" s="239"/>
      <c r="V918" s="239"/>
      <c r="W918" s="239"/>
      <c r="X918" s="239"/>
      <c r="Y918" s="239"/>
      <c r="Z918" s="239"/>
      <c r="AA918" s="239"/>
      <c r="AB918" s="239"/>
      <c r="AC918" s="239"/>
      <c r="AD918" s="239"/>
      <c r="AE918" s="239"/>
      <c r="AF918" s="239"/>
      <c r="AG918" s="239"/>
      <c r="AH918" s="239"/>
      <c r="AI918" s="239"/>
      <c r="AJ918" s="239"/>
      <c r="AK918" s="239"/>
      <c r="AL918" s="239"/>
      <c r="AM918" s="239"/>
      <c r="AN918" s="239"/>
      <c r="AO918" s="239"/>
      <c r="AP918" s="239"/>
      <c r="AQ918" s="239"/>
      <c r="AR918" s="239"/>
      <c r="AS918" s="239"/>
      <c r="AT918" s="239"/>
      <c r="AU918" s="239"/>
      <c r="AV918" s="239"/>
      <c r="AW918" s="239"/>
      <c r="AX918" s="239"/>
      <c r="AY918" s="239"/>
      <c r="AZ918" s="239"/>
      <c r="BA918" s="239"/>
      <c r="BB918" s="239"/>
      <c r="BC918" s="239"/>
      <c r="BD918" s="239"/>
      <c r="BE918" s="239"/>
      <c r="BF918" s="239"/>
      <c r="BG918" s="239"/>
      <c r="BH918" s="239"/>
      <c r="BI918" s="239"/>
      <c r="BJ918" s="239"/>
      <c r="BK918" s="239"/>
      <c r="BL918" s="239"/>
      <c r="BM918" s="239"/>
      <c r="BN918" s="239"/>
      <c r="BO918" s="239"/>
      <c r="BP918" s="239"/>
      <c r="BQ918" s="239"/>
      <c r="BR918" s="239"/>
      <c r="BS918" s="239"/>
      <c r="BT918" s="239"/>
      <c r="BU918" s="239"/>
      <c r="BV918" s="239"/>
      <c r="BW918" s="239"/>
      <c r="BX918" s="239"/>
      <c r="BY918" s="239"/>
      <c r="BZ918" s="239"/>
      <c r="CA918" s="239"/>
      <c r="CB918" s="239"/>
      <c r="CC918" s="239"/>
      <c r="CD918" s="239"/>
      <c r="CE918" s="239"/>
      <c r="CF918" s="239"/>
      <c r="CG918" s="239"/>
    </row>
    <row r="919" spans="1:85" ht="15.75" customHeight="1">
      <c r="A919" s="239"/>
      <c r="B919" s="239"/>
      <c r="C919" s="239"/>
      <c r="D919" s="239"/>
      <c r="E919" s="239"/>
      <c r="F919" s="239"/>
      <c r="G919" s="239"/>
      <c r="H919" s="239"/>
      <c r="I919" s="239"/>
      <c r="J919" s="239"/>
      <c r="K919" s="239"/>
      <c r="L919" s="239"/>
      <c r="M919" s="239"/>
      <c r="N919" s="239"/>
      <c r="O919" s="239"/>
      <c r="P919" s="239"/>
      <c r="Q919" s="239"/>
      <c r="R919" s="239"/>
      <c r="S919" s="239"/>
      <c r="T919" s="239"/>
      <c r="U919" s="239"/>
      <c r="V919" s="239"/>
      <c r="W919" s="239"/>
      <c r="X919" s="239"/>
      <c r="Y919" s="239"/>
      <c r="Z919" s="239"/>
      <c r="AA919" s="239"/>
      <c r="AB919" s="239"/>
      <c r="AC919" s="239"/>
      <c r="AD919" s="239"/>
      <c r="AE919" s="239"/>
      <c r="AF919" s="239"/>
      <c r="AG919" s="239"/>
      <c r="AH919" s="239"/>
      <c r="AI919" s="239"/>
      <c r="AJ919" s="239"/>
      <c r="AK919" s="239"/>
      <c r="AL919" s="239"/>
      <c r="AM919" s="239"/>
      <c r="AN919" s="239"/>
      <c r="AO919" s="239"/>
      <c r="AP919" s="239"/>
      <c r="AQ919" s="239"/>
      <c r="AR919" s="239"/>
      <c r="AS919" s="239"/>
      <c r="AT919" s="239"/>
      <c r="AU919" s="239"/>
      <c r="AV919" s="239"/>
      <c r="AW919" s="239"/>
      <c r="AX919" s="239"/>
      <c r="AY919" s="239"/>
      <c r="AZ919" s="239"/>
      <c r="BA919" s="239"/>
      <c r="BB919" s="239"/>
      <c r="BC919" s="239"/>
      <c r="BD919" s="239"/>
      <c r="BE919" s="239"/>
      <c r="BF919" s="239"/>
      <c r="BG919" s="239"/>
      <c r="BH919" s="239"/>
      <c r="BI919" s="239"/>
      <c r="BJ919" s="239"/>
      <c r="BK919" s="239"/>
      <c r="BL919" s="239"/>
      <c r="BM919" s="239"/>
      <c r="BN919" s="239"/>
      <c r="BO919" s="239"/>
      <c r="BP919" s="239"/>
      <c r="BQ919" s="239"/>
      <c r="BR919" s="239"/>
      <c r="BS919" s="239"/>
      <c r="BT919" s="239"/>
      <c r="BU919" s="239"/>
      <c r="BV919" s="239"/>
      <c r="BW919" s="239"/>
      <c r="BX919" s="239"/>
      <c r="BY919" s="239"/>
      <c r="BZ919" s="239"/>
      <c r="CA919" s="239"/>
      <c r="CB919" s="239"/>
      <c r="CC919" s="239"/>
      <c r="CD919" s="239"/>
      <c r="CE919" s="239"/>
      <c r="CF919" s="239"/>
      <c r="CG919" s="239"/>
    </row>
    <row r="920" spans="1:85" ht="15.75" customHeight="1">
      <c r="A920" s="239"/>
      <c r="B920" s="239"/>
      <c r="C920" s="239"/>
      <c r="D920" s="239"/>
      <c r="E920" s="239"/>
      <c r="F920" s="239"/>
      <c r="G920" s="239"/>
      <c r="H920" s="239"/>
      <c r="I920" s="239"/>
      <c r="J920" s="239"/>
      <c r="K920" s="239"/>
      <c r="L920" s="239"/>
      <c r="M920" s="239"/>
      <c r="N920" s="239"/>
      <c r="O920" s="239"/>
      <c r="P920" s="239"/>
      <c r="Q920" s="239"/>
      <c r="R920" s="239"/>
      <c r="S920" s="239"/>
      <c r="T920" s="239"/>
      <c r="U920" s="239"/>
      <c r="V920" s="239"/>
      <c r="W920" s="239"/>
      <c r="X920" s="239"/>
      <c r="Y920" s="239"/>
      <c r="Z920" s="239"/>
      <c r="AA920" s="239"/>
      <c r="AB920" s="239"/>
      <c r="AC920" s="239"/>
      <c r="AD920" s="239"/>
      <c r="AE920" s="239"/>
      <c r="AF920" s="239"/>
      <c r="AG920" s="239"/>
      <c r="AH920" s="239"/>
      <c r="AI920" s="239"/>
      <c r="AJ920" s="239"/>
      <c r="AK920" s="239"/>
      <c r="AL920" s="239"/>
      <c r="AM920" s="239"/>
      <c r="AN920" s="239"/>
      <c r="AO920" s="239"/>
      <c r="AP920" s="239"/>
      <c r="AQ920" s="239"/>
      <c r="AR920" s="239"/>
      <c r="AS920" s="239"/>
      <c r="AT920" s="239"/>
      <c r="AU920" s="239"/>
      <c r="AV920" s="239"/>
      <c r="AW920" s="239"/>
      <c r="AX920" s="239"/>
      <c r="AY920" s="239"/>
      <c r="AZ920" s="239"/>
      <c r="BA920" s="239"/>
      <c r="BB920" s="239"/>
      <c r="BC920" s="239"/>
      <c r="BD920" s="239"/>
      <c r="BE920" s="239"/>
      <c r="BF920" s="239"/>
      <c r="BG920" s="239"/>
      <c r="BH920" s="239"/>
      <c r="BI920" s="239"/>
      <c r="BJ920" s="239"/>
      <c r="BK920" s="239"/>
      <c r="BL920" s="239"/>
      <c r="BM920" s="239"/>
      <c r="BN920" s="239"/>
      <c r="BO920" s="239"/>
      <c r="BP920" s="239"/>
      <c r="BQ920" s="239"/>
      <c r="BR920" s="239"/>
      <c r="BS920" s="239"/>
      <c r="BT920" s="239"/>
      <c r="BU920" s="239"/>
      <c r="BV920" s="239"/>
      <c r="BW920" s="239"/>
      <c r="BX920" s="239"/>
      <c r="BY920" s="239"/>
      <c r="BZ920" s="239"/>
      <c r="CA920" s="239"/>
      <c r="CB920" s="239"/>
      <c r="CC920" s="239"/>
      <c r="CD920" s="239"/>
      <c r="CE920" s="239"/>
      <c r="CF920" s="239"/>
      <c r="CG920" s="239"/>
    </row>
    <row r="921" spans="1:85" ht="15.75" customHeight="1">
      <c r="A921" s="239"/>
      <c r="B921" s="239"/>
      <c r="C921" s="239"/>
      <c r="D921" s="239"/>
      <c r="E921" s="239"/>
      <c r="F921" s="239"/>
      <c r="G921" s="239"/>
      <c r="H921" s="239"/>
      <c r="I921" s="239"/>
      <c r="J921" s="239"/>
      <c r="K921" s="239"/>
      <c r="L921" s="239"/>
      <c r="M921" s="239"/>
      <c r="N921" s="239"/>
      <c r="O921" s="239"/>
      <c r="P921" s="239"/>
      <c r="Q921" s="239"/>
      <c r="R921" s="239"/>
      <c r="S921" s="239"/>
      <c r="T921" s="239"/>
      <c r="U921" s="239"/>
      <c r="V921" s="239"/>
      <c r="W921" s="239"/>
      <c r="X921" s="239"/>
      <c r="Y921" s="239"/>
      <c r="Z921" s="239"/>
      <c r="AA921" s="239"/>
      <c r="AB921" s="239"/>
      <c r="AC921" s="239"/>
      <c r="AD921" s="239"/>
      <c r="AE921" s="239"/>
      <c r="AF921" s="239"/>
      <c r="AG921" s="239"/>
      <c r="AH921" s="239"/>
      <c r="AI921" s="239"/>
      <c r="AJ921" s="239"/>
      <c r="AK921" s="239"/>
      <c r="AL921" s="239"/>
      <c r="AM921" s="239"/>
      <c r="AN921" s="239"/>
      <c r="AO921" s="239"/>
      <c r="AP921" s="239"/>
      <c r="AQ921" s="239"/>
      <c r="AR921" s="239"/>
      <c r="AS921" s="239"/>
      <c r="AT921" s="239"/>
      <c r="AU921" s="239"/>
      <c r="AV921" s="239"/>
      <c r="AW921" s="239"/>
      <c r="AX921" s="239"/>
      <c r="AY921" s="239"/>
      <c r="AZ921" s="239"/>
      <c r="BA921" s="239"/>
      <c r="BB921" s="239"/>
      <c r="BC921" s="239"/>
      <c r="BD921" s="239"/>
      <c r="BE921" s="239"/>
      <c r="BF921" s="239"/>
      <c r="BG921" s="239"/>
      <c r="BH921" s="239"/>
      <c r="BI921" s="239"/>
      <c r="BJ921" s="239"/>
      <c r="BK921" s="239"/>
      <c r="BL921" s="239"/>
      <c r="BM921" s="239"/>
      <c r="BN921" s="239"/>
      <c r="BO921" s="239"/>
      <c r="BP921" s="239"/>
      <c r="BQ921" s="239"/>
      <c r="BR921" s="239"/>
      <c r="BS921" s="239"/>
      <c r="BT921" s="239"/>
      <c r="BU921" s="239"/>
      <c r="BV921" s="239"/>
      <c r="BW921" s="239"/>
      <c r="BX921" s="239"/>
      <c r="BY921" s="239"/>
      <c r="BZ921" s="239"/>
      <c r="CA921" s="239"/>
      <c r="CB921" s="239"/>
      <c r="CC921" s="239"/>
      <c r="CD921" s="239"/>
      <c r="CE921" s="239"/>
      <c r="CF921" s="239"/>
      <c r="CG921" s="239"/>
    </row>
    <row r="922" spans="1:85" ht="15.75" customHeight="1">
      <c r="A922" s="239"/>
      <c r="B922" s="239"/>
      <c r="C922" s="239"/>
      <c r="D922" s="239"/>
      <c r="E922" s="239"/>
      <c r="F922" s="239"/>
      <c r="G922" s="239"/>
      <c r="H922" s="239"/>
      <c r="I922" s="239"/>
      <c r="J922" s="239"/>
      <c r="K922" s="239"/>
      <c r="L922" s="239"/>
      <c r="M922" s="239"/>
      <c r="N922" s="239"/>
      <c r="O922" s="239"/>
      <c r="P922" s="239"/>
      <c r="Q922" s="239"/>
      <c r="R922" s="239"/>
      <c r="S922" s="239"/>
      <c r="T922" s="239"/>
      <c r="U922" s="239"/>
      <c r="V922" s="239"/>
      <c r="W922" s="239"/>
      <c r="X922" s="239"/>
      <c r="Y922" s="239"/>
      <c r="Z922" s="239"/>
      <c r="AA922" s="239"/>
      <c r="AB922" s="239"/>
      <c r="AC922" s="239"/>
      <c r="AD922" s="239"/>
      <c r="AE922" s="239"/>
      <c r="AF922" s="239"/>
      <c r="AG922" s="239"/>
      <c r="AH922" s="239"/>
      <c r="AI922" s="239"/>
      <c r="AJ922" s="239"/>
      <c r="AK922" s="239"/>
      <c r="AL922" s="239"/>
      <c r="AM922" s="239"/>
      <c r="AN922" s="239"/>
      <c r="AO922" s="239"/>
      <c r="AP922" s="239"/>
      <c r="AQ922" s="239"/>
      <c r="AR922" s="239"/>
      <c r="AS922" s="239"/>
      <c r="AT922" s="239"/>
      <c r="AU922" s="239"/>
      <c r="AV922" s="239"/>
      <c r="AW922" s="239"/>
      <c r="AX922" s="239"/>
      <c r="AY922" s="239"/>
      <c r="AZ922" s="239"/>
      <c r="BA922" s="239"/>
      <c r="BB922" s="239"/>
      <c r="BC922" s="239"/>
      <c r="BD922" s="239"/>
      <c r="BE922" s="239"/>
      <c r="BF922" s="239"/>
      <c r="BG922" s="239"/>
      <c r="BH922" s="239"/>
      <c r="BI922" s="239"/>
      <c r="BJ922" s="239"/>
      <c r="BK922" s="239"/>
      <c r="BL922" s="239"/>
      <c r="BM922" s="239"/>
      <c r="BN922" s="239"/>
      <c r="BO922" s="239"/>
      <c r="BP922" s="239"/>
      <c r="BQ922" s="239"/>
      <c r="BR922" s="239"/>
      <c r="BS922" s="239"/>
      <c r="BT922" s="239"/>
      <c r="BU922" s="239"/>
      <c r="BV922" s="239"/>
      <c r="BW922" s="239"/>
      <c r="BX922" s="239"/>
      <c r="BY922" s="239"/>
      <c r="BZ922" s="239"/>
      <c r="CA922" s="239"/>
      <c r="CB922" s="239"/>
      <c r="CC922" s="239"/>
      <c r="CD922" s="239"/>
      <c r="CE922" s="239"/>
      <c r="CF922" s="239"/>
      <c r="CG922" s="239"/>
    </row>
    <row r="923" spans="1:85" ht="15.75" customHeight="1">
      <c r="A923" s="239"/>
      <c r="B923" s="239"/>
      <c r="C923" s="239"/>
      <c r="D923" s="239"/>
      <c r="E923" s="239"/>
      <c r="F923" s="239"/>
      <c r="G923" s="239"/>
      <c r="H923" s="239"/>
      <c r="I923" s="239"/>
      <c r="J923" s="239"/>
      <c r="K923" s="239"/>
      <c r="L923" s="239"/>
      <c r="M923" s="239"/>
      <c r="N923" s="239"/>
      <c r="O923" s="239"/>
      <c r="P923" s="239"/>
      <c r="Q923" s="239"/>
      <c r="R923" s="239"/>
      <c r="S923" s="239"/>
      <c r="T923" s="239"/>
      <c r="U923" s="239"/>
      <c r="V923" s="239"/>
      <c r="W923" s="239"/>
      <c r="X923" s="239"/>
      <c r="Y923" s="239"/>
      <c r="Z923" s="239"/>
      <c r="AA923" s="239"/>
      <c r="AB923" s="239"/>
      <c r="AC923" s="239"/>
      <c r="AD923" s="239"/>
      <c r="AE923" s="239"/>
      <c r="AF923" s="239"/>
      <c r="AG923" s="239"/>
      <c r="AH923" s="239"/>
      <c r="AI923" s="239"/>
      <c r="AJ923" s="239"/>
      <c r="AK923" s="239"/>
      <c r="AL923" s="239"/>
      <c r="AM923" s="239"/>
      <c r="AN923" s="239"/>
      <c r="AO923" s="239"/>
      <c r="AP923" s="239"/>
      <c r="AQ923" s="239"/>
      <c r="AR923" s="239"/>
      <c r="AS923" s="239"/>
      <c r="AT923" s="239"/>
      <c r="AU923" s="239"/>
      <c r="AV923" s="239"/>
      <c r="AW923" s="239"/>
      <c r="AX923" s="239"/>
      <c r="AY923" s="239"/>
      <c r="AZ923" s="239"/>
      <c r="BA923" s="239"/>
      <c r="BB923" s="239"/>
      <c r="BC923" s="239"/>
      <c r="BD923" s="239"/>
      <c r="BE923" s="239"/>
      <c r="BF923" s="239"/>
      <c r="BG923" s="239"/>
      <c r="BH923" s="239"/>
      <c r="BI923" s="239"/>
      <c r="BJ923" s="239"/>
      <c r="BK923" s="239"/>
      <c r="BL923" s="239"/>
      <c r="BM923" s="239"/>
      <c r="BN923" s="239"/>
      <c r="BO923" s="239"/>
      <c r="BP923" s="239"/>
      <c r="BQ923" s="239"/>
      <c r="BR923" s="239"/>
      <c r="BS923" s="239"/>
      <c r="BT923" s="239"/>
      <c r="BU923" s="239"/>
      <c r="BV923" s="239"/>
      <c r="BW923" s="239"/>
      <c r="BX923" s="239"/>
      <c r="BY923" s="239"/>
      <c r="BZ923" s="239"/>
      <c r="CA923" s="239"/>
      <c r="CB923" s="239"/>
      <c r="CC923" s="239"/>
      <c r="CD923" s="239"/>
      <c r="CE923" s="239"/>
      <c r="CF923" s="239"/>
      <c r="CG923" s="239"/>
    </row>
    <row r="924" spans="1:85" ht="15.75" customHeight="1">
      <c r="A924" s="239"/>
      <c r="B924" s="239"/>
      <c r="C924" s="239"/>
      <c r="D924" s="239"/>
      <c r="E924" s="239"/>
      <c r="F924" s="239"/>
      <c r="G924" s="239"/>
      <c r="H924" s="239"/>
      <c r="I924" s="239"/>
      <c r="J924" s="239"/>
      <c r="K924" s="239"/>
      <c r="L924" s="239"/>
      <c r="M924" s="239"/>
      <c r="N924" s="239"/>
      <c r="O924" s="239"/>
      <c r="P924" s="239"/>
      <c r="Q924" s="239"/>
      <c r="R924" s="239"/>
      <c r="S924" s="239"/>
      <c r="T924" s="239"/>
      <c r="U924" s="239"/>
      <c r="V924" s="239"/>
      <c r="W924" s="239"/>
      <c r="X924" s="239"/>
      <c r="Y924" s="239"/>
      <c r="Z924" s="239"/>
      <c r="AA924" s="239"/>
      <c r="AB924" s="239"/>
      <c r="AC924" s="239"/>
      <c r="AD924" s="239"/>
      <c r="AE924" s="239"/>
      <c r="AF924" s="239"/>
      <c r="AG924" s="239"/>
      <c r="AH924" s="239"/>
      <c r="AI924" s="239"/>
      <c r="AJ924" s="239"/>
      <c r="AK924" s="239"/>
      <c r="AL924" s="239"/>
      <c r="AM924" s="239"/>
      <c r="AN924" s="239"/>
      <c r="AO924" s="239"/>
      <c r="AP924" s="239"/>
      <c r="AQ924" s="239"/>
      <c r="AR924" s="239"/>
      <c r="AS924" s="239"/>
      <c r="AT924" s="239"/>
      <c r="AU924" s="239"/>
      <c r="AV924" s="239"/>
      <c r="AW924" s="239"/>
      <c r="AX924" s="239"/>
      <c r="AY924" s="239"/>
      <c r="AZ924" s="239"/>
      <c r="BA924" s="239"/>
      <c r="BB924" s="239"/>
      <c r="BC924" s="239"/>
      <c r="BD924" s="239"/>
      <c r="BE924" s="239"/>
      <c r="BF924" s="239"/>
      <c r="BG924" s="239"/>
      <c r="BH924" s="239"/>
      <c r="BI924" s="239"/>
      <c r="BJ924" s="239"/>
      <c r="BK924" s="239"/>
      <c r="BL924" s="239"/>
      <c r="BM924" s="239"/>
      <c r="BN924" s="239"/>
      <c r="BO924" s="239"/>
      <c r="BP924" s="239"/>
      <c r="BQ924" s="239"/>
      <c r="BR924" s="239"/>
      <c r="BS924" s="239"/>
      <c r="BT924" s="239"/>
      <c r="BU924" s="239"/>
      <c r="BV924" s="239"/>
      <c r="BW924" s="239"/>
      <c r="BX924" s="239"/>
      <c r="BY924" s="239"/>
      <c r="BZ924" s="239"/>
      <c r="CA924" s="239"/>
      <c r="CB924" s="239"/>
      <c r="CC924" s="239"/>
      <c r="CD924" s="239"/>
      <c r="CE924" s="239"/>
      <c r="CF924" s="239"/>
      <c r="CG924" s="239"/>
    </row>
    <row r="925" spans="1:85" ht="15.75" customHeight="1">
      <c r="A925" s="239"/>
      <c r="B925" s="239"/>
      <c r="C925" s="239"/>
      <c r="D925" s="239"/>
      <c r="E925" s="239"/>
      <c r="F925" s="239"/>
      <c r="G925" s="239"/>
      <c r="H925" s="239"/>
      <c r="I925" s="239"/>
      <c r="J925" s="239"/>
      <c r="K925" s="239"/>
      <c r="L925" s="239"/>
      <c r="M925" s="239"/>
      <c r="N925" s="239"/>
      <c r="O925" s="239"/>
      <c r="P925" s="239"/>
      <c r="Q925" s="239"/>
      <c r="R925" s="239"/>
      <c r="S925" s="239"/>
      <c r="T925" s="239"/>
      <c r="U925" s="239"/>
      <c r="V925" s="239"/>
      <c r="W925" s="239"/>
      <c r="X925" s="239"/>
      <c r="Y925" s="239"/>
      <c r="Z925" s="239"/>
      <c r="AA925" s="239"/>
      <c r="AB925" s="239"/>
      <c r="AC925" s="239"/>
      <c r="AD925" s="239"/>
      <c r="AE925" s="239"/>
      <c r="AF925" s="239"/>
      <c r="AG925" s="239"/>
      <c r="AH925" s="239"/>
      <c r="AI925" s="239"/>
      <c r="AJ925" s="239"/>
      <c r="AK925" s="239"/>
      <c r="AL925" s="239"/>
      <c r="AM925" s="239"/>
      <c r="AN925" s="239"/>
      <c r="AO925" s="239"/>
      <c r="AP925" s="239"/>
      <c r="AQ925" s="239"/>
      <c r="AR925" s="239"/>
      <c r="AS925" s="239"/>
      <c r="AT925" s="239"/>
      <c r="AU925" s="239"/>
      <c r="AV925" s="239"/>
      <c r="AW925" s="239"/>
      <c r="AX925" s="239"/>
      <c r="AY925" s="239"/>
      <c r="AZ925" s="239"/>
      <c r="BA925" s="239"/>
      <c r="BB925" s="239"/>
      <c r="BC925" s="239"/>
      <c r="BD925" s="239"/>
      <c r="BE925" s="239"/>
      <c r="BF925" s="239"/>
      <c r="BG925" s="239"/>
      <c r="BH925" s="239"/>
      <c r="BI925" s="239"/>
      <c r="BJ925" s="239"/>
      <c r="BK925" s="239"/>
      <c r="BL925" s="239"/>
      <c r="BM925" s="239"/>
      <c r="BN925" s="239"/>
      <c r="BO925" s="239"/>
      <c r="BP925" s="239"/>
      <c r="BQ925" s="239"/>
      <c r="BR925" s="239"/>
      <c r="BS925" s="239"/>
      <c r="BT925" s="239"/>
      <c r="BU925" s="239"/>
      <c r="BV925" s="239"/>
      <c r="BW925" s="239"/>
      <c r="BX925" s="239"/>
      <c r="BY925" s="239"/>
      <c r="BZ925" s="239"/>
      <c r="CA925" s="239"/>
      <c r="CB925" s="239"/>
      <c r="CC925" s="239"/>
      <c r="CD925" s="239"/>
      <c r="CE925" s="239"/>
      <c r="CF925" s="239"/>
      <c r="CG925" s="239"/>
    </row>
    <row r="926" spans="1:85" ht="15.75" customHeight="1">
      <c r="A926" s="239"/>
      <c r="B926" s="239"/>
      <c r="C926" s="239"/>
      <c r="D926" s="239"/>
      <c r="E926" s="239"/>
      <c r="F926" s="239"/>
      <c r="G926" s="239"/>
      <c r="H926" s="239"/>
      <c r="I926" s="239"/>
      <c r="J926" s="239"/>
      <c r="K926" s="239"/>
      <c r="L926" s="239"/>
      <c r="M926" s="239"/>
      <c r="N926" s="239"/>
      <c r="O926" s="239"/>
      <c r="P926" s="239"/>
      <c r="Q926" s="239"/>
      <c r="R926" s="239"/>
      <c r="S926" s="239"/>
      <c r="T926" s="239"/>
      <c r="U926" s="239"/>
      <c r="V926" s="239"/>
      <c r="W926" s="239"/>
      <c r="X926" s="239"/>
      <c r="Y926" s="239"/>
      <c r="Z926" s="239"/>
      <c r="AA926" s="239"/>
      <c r="AB926" s="239"/>
      <c r="AC926" s="239"/>
      <c r="AD926" s="239"/>
      <c r="AE926" s="239"/>
      <c r="AF926" s="239"/>
      <c r="AG926" s="239"/>
      <c r="AH926" s="239"/>
      <c r="AI926" s="239"/>
      <c r="AJ926" s="239"/>
      <c r="AK926" s="239"/>
      <c r="AL926" s="239"/>
      <c r="AM926" s="239"/>
      <c r="AN926" s="239"/>
      <c r="AO926" s="239"/>
      <c r="AP926" s="239"/>
      <c r="AQ926" s="239"/>
      <c r="AR926" s="239"/>
      <c r="AS926" s="239"/>
      <c r="AT926" s="239"/>
      <c r="AU926" s="239"/>
      <c r="AV926" s="239"/>
      <c r="AW926" s="239"/>
      <c r="AX926" s="239"/>
      <c r="AY926" s="239"/>
      <c r="AZ926" s="239"/>
      <c r="BA926" s="239"/>
      <c r="BB926" s="239"/>
      <c r="BC926" s="239"/>
      <c r="BD926" s="239"/>
      <c r="BE926" s="239"/>
      <c r="BF926" s="239"/>
      <c r="BG926" s="239"/>
      <c r="BH926" s="239"/>
      <c r="BI926" s="239"/>
      <c r="BJ926" s="239"/>
      <c r="BK926" s="239"/>
      <c r="BL926" s="239"/>
      <c r="BM926" s="239"/>
      <c r="BN926" s="239"/>
      <c r="BO926" s="239"/>
      <c r="BP926" s="239"/>
      <c r="BQ926" s="239"/>
      <c r="BR926" s="239"/>
      <c r="BS926" s="239"/>
      <c r="BT926" s="239"/>
      <c r="BU926" s="239"/>
      <c r="BV926" s="239"/>
      <c r="BW926" s="239"/>
      <c r="BX926" s="239"/>
      <c r="BY926" s="239"/>
      <c r="BZ926" s="239"/>
      <c r="CA926" s="239"/>
      <c r="CB926" s="239"/>
      <c r="CC926" s="239"/>
      <c r="CD926" s="239"/>
      <c r="CE926" s="239"/>
      <c r="CF926" s="239"/>
      <c r="CG926" s="239"/>
    </row>
    <row r="927" spans="1:85" ht="15.75" customHeight="1">
      <c r="A927" s="239"/>
      <c r="B927" s="239"/>
      <c r="C927" s="239"/>
      <c r="D927" s="239"/>
      <c r="E927" s="239"/>
      <c r="F927" s="239"/>
      <c r="G927" s="239"/>
      <c r="H927" s="239"/>
      <c r="I927" s="239"/>
      <c r="J927" s="239"/>
      <c r="K927" s="239"/>
      <c r="L927" s="239"/>
      <c r="M927" s="239"/>
      <c r="N927" s="239"/>
      <c r="O927" s="239"/>
      <c r="P927" s="239"/>
      <c r="Q927" s="239"/>
      <c r="R927" s="239"/>
      <c r="S927" s="239"/>
      <c r="T927" s="239"/>
      <c r="U927" s="239"/>
      <c r="V927" s="239"/>
      <c r="W927" s="239"/>
      <c r="X927" s="239"/>
      <c r="Y927" s="239"/>
      <c r="Z927" s="239"/>
      <c r="AA927" s="239"/>
      <c r="AB927" s="239"/>
      <c r="AC927" s="239"/>
      <c r="AD927" s="239"/>
      <c r="AE927" s="239"/>
      <c r="AF927" s="239"/>
      <c r="AG927" s="239"/>
      <c r="AH927" s="239"/>
      <c r="AI927" s="239"/>
      <c r="AJ927" s="239"/>
      <c r="AK927" s="239"/>
      <c r="AL927" s="239"/>
      <c r="AM927" s="239"/>
      <c r="AN927" s="239"/>
      <c r="AO927" s="239"/>
      <c r="AP927" s="239"/>
      <c r="AQ927" s="239"/>
      <c r="AR927" s="239"/>
      <c r="AS927" s="239"/>
      <c r="AT927" s="239"/>
      <c r="AU927" s="239"/>
      <c r="AV927" s="239"/>
      <c r="AW927" s="239"/>
      <c r="AX927" s="239"/>
      <c r="AY927" s="239"/>
      <c r="AZ927" s="239"/>
      <c r="BA927" s="239"/>
      <c r="BB927" s="239"/>
      <c r="BC927" s="239"/>
      <c r="BD927" s="239"/>
      <c r="BE927" s="239"/>
      <c r="BF927" s="239"/>
      <c r="BG927" s="239"/>
      <c r="BH927" s="239"/>
      <c r="BI927" s="239"/>
      <c r="BJ927" s="239"/>
      <c r="BK927" s="239"/>
      <c r="BL927" s="239"/>
      <c r="BM927" s="239"/>
      <c r="BN927" s="239"/>
      <c r="BO927" s="239"/>
      <c r="BP927" s="239"/>
      <c r="BQ927" s="239"/>
      <c r="BR927" s="239"/>
      <c r="BS927" s="239"/>
      <c r="BT927" s="239"/>
      <c r="BU927" s="239"/>
      <c r="BV927" s="239"/>
      <c r="BW927" s="239"/>
      <c r="BX927" s="239"/>
      <c r="BY927" s="239"/>
      <c r="BZ927" s="239"/>
      <c r="CA927" s="239"/>
      <c r="CB927" s="239"/>
      <c r="CC927" s="239"/>
      <c r="CD927" s="239"/>
      <c r="CE927" s="239"/>
      <c r="CF927" s="239"/>
      <c r="CG927" s="239"/>
    </row>
    <row r="928" spans="1:85" ht="15.75" customHeight="1">
      <c r="A928" s="239"/>
      <c r="B928" s="239"/>
      <c r="C928" s="239"/>
      <c r="D928" s="239"/>
      <c r="E928" s="239"/>
      <c r="F928" s="239"/>
      <c r="G928" s="239"/>
      <c r="H928" s="239"/>
      <c r="I928" s="239"/>
      <c r="J928" s="239"/>
      <c r="K928" s="239"/>
      <c r="L928" s="239"/>
      <c r="M928" s="239"/>
      <c r="N928" s="239"/>
      <c r="O928" s="239"/>
      <c r="P928" s="239"/>
      <c r="Q928" s="239"/>
      <c r="R928" s="239"/>
      <c r="S928" s="239"/>
      <c r="T928" s="239"/>
      <c r="U928" s="239"/>
      <c r="V928" s="239"/>
      <c r="W928" s="239"/>
      <c r="X928" s="239"/>
      <c r="Y928" s="239"/>
      <c r="Z928" s="239"/>
      <c r="AA928" s="239"/>
      <c r="AB928" s="239"/>
      <c r="AC928" s="239"/>
      <c r="AD928" s="239"/>
      <c r="AE928" s="239"/>
      <c r="AF928" s="239"/>
      <c r="AG928" s="239"/>
      <c r="AH928" s="239"/>
      <c r="AI928" s="239"/>
      <c r="AJ928" s="239"/>
      <c r="AK928" s="239"/>
      <c r="AL928" s="239"/>
      <c r="AM928" s="239"/>
      <c r="AN928" s="239"/>
      <c r="AO928" s="239"/>
      <c r="AP928" s="239"/>
      <c r="AQ928" s="239"/>
      <c r="AR928" s="239"/>
      <c r="AS928" s="239"/>
      <c r="AT928" s="239"/>
      <c r="AU928" s="239"/>
      <c r="AV928" s="239"/>
      <c r="AW928" s="239"/>
      <c r="AX928" s="239"/>
      <c r="AY928" s="239"/>
      <c r="AZ928" s="239"/>
      <c r="BA928" s="239"/>
      <c r="BB928" s="239"/>
      <c r="BC928" s="239"/>
      <c r="BD928" s="239"/>
      <c r="BE928" s="239"/>
      <c r="BF928" s="239"/>
      <c r="BG928" s="239"/>
      <c r="BH928" s="239"/>
      <c r="BI928" s="239"/>
      <c r="BJ928" s="239"/>
      <c r="BK928" s="239"/>
      <c r="BL928" s="239"/>
      <c r="BM928" s="239"/>
      <c r="BN928" s="239"/>
      <c r="BO928" s="239"/>
      <c r="BP928" s="239"/>
      <c r="BQ928" s="239"/>
      <c r="BR928" s="239"/>
      <c r="BS928" s="239"/>
      <c r="BT928" s="239"/>
      <c r="BU928" s="239"/>
      <c r="BV928" s="239"/>
      <c r="BW928" s="239"/>
      <c r="BX928" s="239"/>
      <c r="BY928" s="239"/>
      <c r="BZ928" s="239"/>
      <c r="CA928" s="239"/>
      <c r="CB928" s="239"/>
      <c r="CC928" s="239"/>
      <c r="CD928" s="239"/>
      <c r="CE928" s="239"/>
      <c r="CF928" s="239"/>
      <c r="CG928" s="239"/>
    </row>
    <row r="929" spans="1:85" ht="15.75" customHeight="1">
      <c r="A929" s="239"/>
      <c r="B929" s="239"/>
      <c r="C929" s="239"/>
      <c r="D929" s="239"/>
      <c r="E929" s="239"/>
      <c r="F929" s="239"/>
      <c r="G929" s="239"/>
      <c r="H929" s="239"/>
      <c r="I929" s="239"/>
      <c r="J929" s="239"/>
      <c r="K929" s="239"/>
      <c r="L929" s="239"/>
      <c r="M929" s="239"/>
      <c r="N929" s="239"/>
      <c r="O929" s="239"/>
      <c r="P929" s="239"/>
      <c r="Q929" s="239"/>
      <c r="R929" s="239"/>
      <c r="S929" s="239"/>
      <c r="T929" s="239"/>
      <c r="U929" s="239"/>
      <c r="V929" s="239"/>
      <c r="W929" s="239"/>
      <c r="X929" s="239"/>
      <c r="Y929" s="239"/>
      <c r="Z929" s="239"/>
      <c r="AA929" s="239"/>
      <c r="AB929" s="239"/>
      <c r="AC929" s="239"/>
      <c r="AD929" s="239"/>
      <c r="AE929" s="239"/>
      <c r="AF929" s="239"/>
      <c r="AG929" s="239"/>
      <c r="AH929" s="239"/>
      <c r="AI929" s="239"/>
      <c r="AJ929" s="239"/>
      <c r="AK929" s="239"/>
      <c r="AL929" s="239"/>
      <c r="AM929" s="239"/>
      <c r="AN929" s="239"/>
      <c r="AO929" s="239"/>
      <c r="AP929" s="239"/>
      <c r="AQ929" s="239"/>
      <c r="AR929" s="239"/>
      <c r="AS929" s="239"/>
      <c r="AT929" s="239"/>
      <c r="AU929" s="239"/>
      <c r="AV929" s="239"/>
      <c r="AW929" s="239"/>
      <c r="AX929" s="239"/>
      <c r="AY929" s="239"/>
      <c r="AZ929" s="239"/>
      <c r="BA929" s="239"/>
      <c r="BB929" s="239"/>
      <c r="BC929" s="239"/>
      <c r="BD929" s="239"/>
      <c r="BE929" s="239"/>
      <c r="BF929" s="239"/>
      <c r="BG929" s="239"/>
      <c r="BH929" s="239"/>
      <c r="BI929" s="239"/>
      <c r="BJ929" s="239"/>
      <c r="BK929" s="239"/>
      <c r="BL929" s="239"/>
      <c r="BM929" s="239"/>
      <c r="BN929" s="239"/>
      <c r="BO929" s="239"/>
      <c r="BP929" s="239"/>
      <c r="BQ929" s="239"/>
      <c r="BR929" s="239"/>
      <c r="BS929" s="239"/>
      <c r="BT929" s="239"/>
      <c r="BU929" s="239"/>
      <c r="BV929" s="239"/>
      <c r="BW929" s="239"/>
      <c r="BX929" s="239"/>
      <c r="BY929" s="239"/>
      <c r="BZ929" s="239"/>
      <c r="CA929" s="239"/>
      <c r="CB929" s="239"/>
      <c r="CC929" s="239"/>
      <c r="CD929" s="239"/>
      <c r="CE929" s="239"/>
      <c r="CF929" s="239"/>
      <c r="CG929" s="239"/>
    </row>
    <row r="930" spans="1:85" ht="15.75" customHeight="1">
      <c r="A930" s="239"/>
      <c r="B930" s="239"/>
      <c r="C930" s="239"/>
      <c r="D930" s="239"/>
      <c r="E930" s="239"/>
      <c r="F930" s="239"/>
      <c r="G930" s="239"/>
      <c r="H930" s="239"/>
      <c r="I930" s="239"/>
      <c r="J930" s="239"/>
      <c r="K930" s="239"/>
      <c r="L930" s="239"/>
      <c r="M930" s="239"/>
      <c r="N930" s="239"/>
      <c r="O930" s="239"/>
      <c r="P930" s="239"/>
      <c r="Q930" s="239"/>
      <c r="R930" s="239"/>
      <c r="S930" s="239"/>
      <c r="T930" s="239"/>
      <c r="U930" s="239"/>
      <c r="V930" s="239"/>
      <c r="W930" s="239"/>
      <c r="X930" s="239"/>
      <c r="Y930" s="239"/>
      <c r="Z930" s="239"/>
      <c r="AA930" s="239"/>
      <c r="AB930" s="239"/>
      <c r="AC930" s="239"/>
      <c r="AD930" s="239"/>
      <c r="AE930" s="239"/>
      <c r="AF930" s="239"/>
      <c r="AG930" s="239"/>
      <c r="AH930" s="239"/>
      <c r="AI930" s="239"/>
      <c r="AJ930" s="239"/>
      <c r="AK930" s="239"/>
      <c r="AL930" s="239"/>
      <c r="AM930" s="239"/>
      <c r="AN930" s="239"/>
      <c r="AO930" s="239"/>
      <c r="AP930" s="239"/>
      <c r="AQ930" s="239"/>
      <c r="AR930" s="239"/>
      <c r="AS930" s="239"/>
      <c r="AT930" s="239"/>
      <c r="AU930" s="239"/>
      <c r="AV930" s="239"/>
      <c r="AW930" s="239"/>
      <c r="AX930" s="239"/>
      <c r="AY930" s="239"/>
      <c r="AZ930" s="239"/>
      <c r="BA930" s="239"/>
      <c r="BB930" s="239"/>
      <c r="BC930" s="239"/>
      <c r="BD930" s="239"/>
      <c r="BE930" s="239"/>
      <c r="BF930" s="239"/>
      <c r="BG930" s="239"/>
      <c r="BH930" s="239"/>
      <c r="BI930" s="239"/>
      <c r="BJ930" s="239"/>
      <c r="BK930" s="239"/>
      <c r="BL930" s="239"/>
      <c r="BM930" s="239"/>
      <c r="BN930" s="239"/>
      <c r="BO930" s="239"/>
      <c r="BP930" s="239"/>
      <c r="BQ930" s="239"/>
      <c r="BR930" s="239"/>
      <c r="BS930" s="239"/>
      <c r="BT930" s="239"/>
      <c r="BU930" s="239"/>
      <c r="BV930" s="239"/>
      <c r="BW930" s="239"/>
      <c r="BX930" s="239"/>
      <c r="BY930" s="239"/>
      <c r="BZ930" s="239"/>
      <c r="CA930" s="239"/>
      <c r="CB930" s="239"/>
      <c r="CC930" s="239"/>
      <c r="CD930" s="239"/>
      <c r="CE930" s="239"/>
      <c r="CF930" s="239"/>
      <c r="CG930" s="239"/>
    </row>
    <row r="931" spans="1:85" ht="15.75" customHeight="1">
      <c r="A931" s="239"/>
      <c r="B931" s="239"/>
      <c r="C931" s="239"/>
      <c r="D931" s="239"/>
      <c r="E931" s="239"/>
      <c r="F931" s="239"/>
      <c r="G931" s="239"/>
      <c r="H931" s="239"/>
      <c r="I931" s="239"/>
      <c r="J931" s="239"/>
      <c r="K931" s="239"/>
      <c r="L931" s="239"/>
      <c r="M931" s="239"/>
      <c r="N931" s="239"/>
      <c r="O931" s="239"/>
      <c r="P931" s="239"/>
      <c r="Q931" s="239"/>
      <c r="R931" s="239"/>
      <c r="S931" s="239"/>
      <c r="T931" s="239"/>
      <c r="U931" s="239"/>
      <c r="V931" s="239"/>
      <c r="W931" s="239"/>
      <c r="X931" s="239"/>
      <c r="Y931" s="239"/>
      <c r="Z931" s="239"/>
      <c r="AA931" s="239"/>
      <c r="AB931" s="239"/>
      <c r="AC931" s="239"/>
      <c r="AD931" s="239"/>
      <c r="AE931" s="239"/>
      <c r="AF931" s="239"/>
      <c r="AG931" s="239"/>
      <c r="AH931" s="239"/>
      <c r="AI931" s="239"/>
      <c r="AJ931" s="239"/>
      <c r="AK931" s="239"/>
      <c r="AL931" s="239"/>
      <c r="AM931" s="239"/>
      <c r="AN931" s="239"/>
      <c r="AO931" s="239"/>
      <c r="AP931" s="239"/>
      <c r="AQ931" s="239"/>
      <c r="AR931" s="239"/>
      <c r="AS931" s="239"/>
      <c r="AT931" s="239"/>
      <c r="AU931" s="239"/>
      <c r="AV931" s="239"/>
      <c r="AW931" s="239"/>
      <c r="AX931" s="239"/>
      <c r="AY931" s="239"/>
      <c r="AZ931" s="239"/>
      <c r="BA931" s="239"/>
      <c r="BB931" s="239"/>
      <c r="BC931" s="239"/>
      <c r="BD931" s="239"/>
      <c r="BE931" s="239"/>
      <c r="BF931" s="239"/>
      <c r="BG931" s="239"/>
      <c r="BH931" s="239"/>
      <c r="BI931" s="239"/>
      <c r="BJ931" s="239"/>
      <c r="BK931" s="239"/>
      <c r="BL931" s="239"/>
      <c r="BM931" s="239"/>
      <c r="BN931" s="239"/>
      <c r="BO931" s="239"/>
      <c r="BP931" s="239"/>
      <c r="BQ931" s="239"/>
      <c r="BR931" s="239"/>
      <c r="BS931" s="239"/>
      <c r="BT931" s="239"/>
      <c r="BU931" s="239"/>
      <c r="BV931" s="239"/>
      <c r="BW931" s="239"/>
      <c r="BX931" s="239"/>
      <c r="BY931" s="239"/>
      <c r="BZ931" s="239"/>
      <c r="CA931" s="239"/>
      <c r="CB931" s="239"/>
      <c r="CC931" s="239"/>
      <c r="CD931" s="239"/>
      <c r="CE931" s="239"/>
      <c r="CF931" s="239"/>
      <c r="CG931" s="239"/>
    </row>
    <row r="932" spans="1:85" ht="15.75" customHeight="1">
      <c r="A932" s="239"/>
      <c r="B932" s="239"/>
      <c r="C932" s="239"/>
      <c r="D932" s="239"/>
      <c r="E932" s="239"/>
      <c r="F932" s="239"/>
      <c r="G932" s="239"/>
      <c r="H932" s="239"/>
      <c r="I932" s="239"/>
      <c r="J932" s="239"/>
      <c r="K932" s="239"/>
      <c r="L932" s="239"/>
      <c r="M932" s="239"/>
      <c r="N932" s="239"/>
      <c r="O932" s="239"/>
      <c r="P932" s="239"/>
      <c r="Q932" s="239"/>
      <c r="R932" s="239"/>
      <c r="S932" s="239"/>
      <c r="T932" s="239"/>
      <c r="U932" s="239"/>
      <c r="V932" s="239"/>
      <c r="W932" s="239"/>
      <c r="X932" s="239"/>
      <c r="Y932" s="239"/>
      <c r="Z932" s="239"/>
      <c r="AA932" s="239"/>
      <c r="AB932" s="239"/>
      <c r="AC932" s="239"/>
      <c r="AD932" s="239"/>
      <c r="AE932" s="239"/>
      <c r="AF932" s="239"/>
      <c r="AG932" s="239"/>
      <c r="AH932" s="239"/>
      <c r="AI932" s="239"/>
      <c r="AJ932" s="239"/>
      <c r="AK932" s="239"/>
      <c r="AL932" s="239"/>
      <c r="AM932" s="239"/>
      <c r="AN932" s="239"/>
      <c r="AO932" s="239"/>
      <c r="AP932" s="239"/>
      <c r="AQ932" s="239"/>
      <c r="AR932" s="239"/>
      <c r="AS932" s="239"/>
      <c r="AT932" s="239"/>
      <c r="AU932" s="239"/>
      <c r="AV932" s="239"/>
      <c r="AW932" s="239"/>
      <c r="AX932" s="239"/>
      <c r="AY932" s="239"/>
      <c r="AZ932" s="239"/>
      <c r="BA932" s="239"/>
      <c r="BB932" s="239"/>
      <c r="BC932" s="239"/>
      <c r="BD932" s="239"/>
      <c r="BE932" s="239"/>
      <c r="BF932" s="239"/>
      <c r="BG932" s="239"/>
      <c r="BH932" s="239"/>
      <c r="BI932" s="239"/>
      <c r="BJ932" s="239"/>
      <c r="BK932" s="239"/>
      <c r="BL932" s="239"/>
      <c r="BM932" s="239"/>
      <c r="BN932" s="239"/>
      <c r="BO932" s="239"/>
      <c r="BP932" s="239"/>
      <c r="BQ932" s="239"/>
      <c r="BR932" s="239"/>
      <c r="BS932" s="239"/>
      <c r="BT932" s="239"/>
      <c r="BU932" s="239"/>
      <c r="BV932" s="239"/>
      <c r="BW932" s="239"/>
      <c r="BX932" s="239"/>
      <c r="BY932" s="239"/>
      <c r="BZ932" s="239"/>
      <c r="CA932" s="239"/>
      <c r="CB932" s="239"/>
      <c r="CC932" s="239"/>
      <c r="CD932" s="239"/>
      <c r="CE932" s="239"/>
      <c r="CF932" s="239"/>
      <c r="CG932" s="239"/>
    </row>
    <row r="933" spans="1:85" ht="15.75" customHeight="1">
      <c r="A933" s="239"/>
      <c r="B933" s="239"/>
      <c r="C933" s="239"/>
      <c r="D933" s="239"/>
      <c r="E933" s="239"/>
      <c r="F933" s="239"/>
      <c r="G933" s="239"/>
      <c r="H933" s="239"/>
      <c r="I933" s="239"/>
      <c r="J933" s="239"/>
      <c r="K933" s="239"/>
      <c r="L933" s="239"/>
      <c r="M933" s="239"/>
      <c r="N933" s="239"/>
      <c r="O933" s="239"/>
      <c r="P933" s="239"/>
      <c r="Q933" s="239"/>
      <c r="R933" s="239"/>
      <c r="S933" s="239"/>
      <c r="T933" s="239"/>
      <c r="U933" s="239"/>
      <c r="V933" s="239"/>
      <c r="W933" s="239"/>
      <c r="X933" s="239"/>
      <c r="Y933" s="239"/>
      <c r="Z933" s="239"/>
      <c r="AA933" s="239"/>
      <c r="AB933" s="239"/>
      <c r="AC933" s="239"/>
      <c r="AD933" s="239"/>
      <c r="AE933" s="239"/>
      <c r="AF933" s="239"/>
      <c r="AG933" s="239"/>
      <c r="AH933" s="239"/>
      <c r="AI933" s="239"/>
      <c r="AJ933" s="239"/>
      <c r="AK933" s="239"/>
      <c r="AL933" s="239"/>
      <c r="AM933" s="239"/>
      <c r="AN933" s="239"/>
      <c r="AO933" s="239"/>
      <c r="AP933" s="239"/>
      <c r="AQ933" s="239"/>
      <c r="AR933" s="239"/>
      <c r="AS933" s="239"/>
      <c r="AT933" s="239"/>
      <c r="AU933" s="239"/>
      <c r="AV933" s="239"/>
      <c r="AW933" s="239"/>
      <c r="AX933" s="239"/>
      <c r="AY933" s="239"/>
      <c r="AZ933" s="239"/>
      <c r="BA933" s="239"/>
      <c r="BB933" s="239"/>
      <c r="BC933" s="239"/>
      <c r="BD933" s="239"/>
      <c r="BE933" s="239"/>
      <c r="BF933" s="239"/>
      <c r="BG933" s="239"/>
      <c r="BH933" s="239"/>
      <c r="BI933" s="239"/>
      <c r="BJ933" s="239"/>
      <c r="BK933" s="239"/>
      <c r="BL933" s="239"/>
      <c r="BM933" s="239"/>
      <c r="BN933" s="239"/>
      <c r="BO933" s="239"/>
      <c r="BP933" s="239"/>
      <c r="BQ933" s="239"/>
      <c r="BR933" s="239"/>
      <c r="BS933" s="239"/>
      <c r="BT933" s="239"/>
      <c r="BU933" s="239"/>
      <c r="BV933" s="239"/>
      <c r="BW933" s="239"/>
      <c r="BX933" s="239"/>
      <c r="BY933" s="239"/>
      <c r="BZ933" s="239"/>
      <c r="CA933" s="239"/>
      <c r="CB933" s="239"/>
      <c r="CC933" s="239"/>
      <c r="CD933" s="239"/>
      <c r="CE933" s="239"/>
      <c r="CF933" s="239"/>
      <c r="CG933" s="239"/>
    </row>
    <row r="934" spans="1:85" ht="15.75" customHeight="1">
      <c r="A934" s="239"/>
      <c r="B934" s="239"/>
      <c r="C934" s="239"/>
      <c r="D934" s="239"/>
      <c r="E934" s="239"/>
      <c r="F934" s="239"/>
      <c r="G934" s="239"/>
      <c r="H934" s="239"/>
      <c r="I934" s="239"/>
      <c r="J934" s="239"/>
      <c r="K934" s="239"/>
      <c r="L934" s="239"/>
      <c r="M934" s="239"/>
      <c r="N934" s="239"/>
      <c r="O934" s="239"/>
      <c r="P934" s="239"/>
      <c r="Q934" s="239"/>
      <c r="R934" s="239"/>
      <c r="S934" s="239"/>
      <c r="T934" s="239"/>
      <c r="U934" s="239"/>
      <c r="V934" s="239"/>
      <c r="W934" s="239"/>
      <c r="X934" s="239"/>
      <c r="Y934" s="239"/>
      <c r="Z934" s="239"/>
      <c r="AA934" s="239"/>
      <c r="AB934" s="239"/>
      <c r="AC934" s="239"/>
      <c r="AD934" s="239"/>
      <c r="AE934" s="239"/>
      <c r="AF934" s="239"/>
      <c r="AG934" s="239"/>
      <c r="AH934" s="239"/>
      <c r="AI934" s="239"/>
      <c r="AJ934" s="239"/>
      <c r="AK934" s="239"/>
      <c r="AL934" s="239"/>
      <c r="AM934" s="239"/>
      <c r="AN934" s="239"/>
      <c r="AO934" s="239"/>
      <c r="AP934" s="239"/>
      <c r="AQ934" s="239"/>
      <c r="AR934" s="239"/>
      <c r="AS934" s="239"/>
      <c r="AT934" s="239"/>
      <c r="AU934" s="239"/>
      <c r="AV934" s="239"/>
      <c r="AW934" s="239"/>
      <c r="AX934" s="239"/>
      <c r="AY934" s="239"/>
      <c r="AZ934" s="239"/>
      <c r="BA934" s="239"/>
      <c r="BB934" s="239"/>
      <c r="BC934" s="239"/>
      <c r="BD934" s="239"/>
      <c r="BE934" s="239"/>
      <c r="BF934" s="239"/>
      <c r="BG934" s="239"/>
      <c r="BH934" s="239"/>
      <c r="BI934" s="239"/>
      <c r="BJ934" s="239"/>
      <c r="BK934" s="239"/>
      <c r="BL934" s="239"/>
      <c r="BM934" s="239"/>
      <c r="BN934" s="239"/>
      <c r="BO934" s="239"/>
      <c r="BP934" s="239"/>
      <c r="BQ934" s="239"/>
      <c r="BR934" s="239"/>
      <c r="BS934" s="239"/>
      <c r="BT934" s="239"/>
      <c r="BU934" s="239"/>
      <c r="BV934" s="239"/>
      <c r="BW934" s="239"/>
      <c r="BX934" s="239"/>
      <c r="BY934" s="239"/>
      <c r="BZ934" s="239"/>
      <c r="CA934" s="239"/>
      <c r="CB934" s="239"/>
      <c r="CC934" s="239"/>
      <c r="CD934" s="239"/>
      <c r="CE934" s="239"/>
      <c r="CF934" s="239"/>
      <c r="CG934" s="239"/>
    </row>
    <row r="935" spans="1:85" ht="15.75" customHeight="1">
      <c r="A935" s="239"/>
      <c r="B935" s="239"/>
      <c r="C935" s="239"/>
      <c r="D935" s="239"/>
      <c r="E935" s="239"/>
      <c r="F935" s="239"/>
      <c r="G935" s="239"/>
      <c r="H935" s="239"/>
      <c r="I935" s="239"/>
      <c r="J935" s="239"/>
      <c r="K935" s="239"/>
      <c r="L935" s="239"/>
      <c r="M935" s="239"/>
      <c r="N935" s="239"/>
      <c r="O935" s="239"/>
      <c r="P935" s="239"/>
      <c r="Q935" s="239"/>
      <c r="R935" s="239"/>
      <c r="S935" s="239"/>
      <c r="T935" s="239"/>
      <c r="U935" s="239"/>
      <c r="V935" s="239"/>
      <c r="W935" s="239"/>
      <c r="X935" s="239"/>
      <c r="Y935" s="239"/>
      <c r="Z935" s="239"/>
      <c r="AA935" s="239"/>
      <c r="AB935" s="239"/>
      <c r="AC935" s="239"/>
      <c r="AD935" s="239"/>
      <c r="AE935" s="239"/>
      <c r="AF935" s="239"/>
      <c r="AG935" s="239"/>
      <c r="AH935" s="239"/>
      <c r="AI935" s="239"/>
      <c r="AJ935" s="239"/>
      <c r="AK935" s="239"/>
      <c r="AL935" s="239"/>
      <c r="AM935" s="239"/>
      <c r="AN935" s="239"/>
      <c r="AO935" s="239"/>
      <c r="AP935" s="239"/>
      <c r="AQ935" s="239"/>
      <c r="AR935" s="239"/>
      <c r="AS935" s="239"/>
      <c r="AT935" s="239"/>
      <c r="AU935" s="239"/>
      <c r="AV935" s="239"/>
      <c r="AW935" s="239"/>
      <c r="AX935" s="239"/>
      <c r="AY935" s="239"/>
      <c r="AZ935" s="239"/>
      <c r="BA935" s="239"/>
      <c r="BB935" s="239"/>
      <c r="BC935" s="239"/>
      <c r="BD935" s="239"/>
      <c r="BE935" s="239"/>
      <c r="BF935" s="239"/>
      <c r="BG935" s="239"/>
      <c r="BH935" s="239"/>
      <c r="BI935" s="239"/>
      <c r="BJ935" s="239"/>
      <c r="BK935" s="239"/>
      <c r="BL935" s="239"/>
      <c r="BM935" s="239"/>
      <c r="BN935" s="239"/>
      <c r="BO935" s="239"/>
      <c r="BP935" s="239"/>
      <c r="BQ935" s="239"/>
      <c r="BR935" s="239"/>
      <c r="BS935" s="239"/>
      <c r="BT935" s="239"/>
      <c r="BU935" s="239"/>
      <c r="BV935" s="239"/>
      <c r="BW935" s="239"/>
      <c r="BX935" s="239"/>
      <c r="BY935" s="239"/>
      <c r="BZ935" s="239"/>
      <c r="CA935" s="239"/>
      <c r="CB935" s="239"/>
      <c r="CC935" s="239"/>
      <c r="CD935" s="239"/>
      <c r="CE935" s="239"/>
      <c r="CF935" s="239"/>
      <c r="CG935" s="239"/>
    </row>
    <row r="936" spans="1:85" ht="15.75" customHeight="1">
      <c r="A936" s="239"/>
      <c r="B936" s="239"/>
      <c r="C936" s="239"/>
      <c r="D936" s="239"/>
      <c r="E936" s="239"/>
      <c r="F936" s="239"/>
      <c r="G936" s="239"/>
      <c r="H936" s="239"/>
      <c r="I936" s="239"/>
      <c r="J936" s="239"/>
      <c r="K936" s="239"/>
      <c r="L936" s="239"/>
      <c r="M936" s="239"/>
      <c r="N936" s="239"/>
      <c r="O936" s="239"/>
      <c r="P936" s="239"/>
      <c r="Q936" s="239"/>
      <c r="R936" s="239"/>
      <c r="S936" s="239"/>
      <c r="T936" s="239"/>
      <c r="U936" s="239"/>
      <c r="V936" s="239"/>
      <c r="W936" s="239"/>
      <c r="X936" s="239"/>
      <c r="Y936" s="239"/>
      <c r="Z936" s="239"/>
      <c r="AA936" s="239"/>
      <c r="AB936" s="239"/>
      <c r="AC936" s="239"/>
      <c r="AD936" s="239"/>
      <c r="AE936" s="239"/>
      <c r="AF936" s="239"/>
      <c r="AG936" s="239"/>
      <c r="AH936" s="239"/>
      <c r="AI936" s="239"/>
      <c r="AJ936" s="239"/>
      <c r="AK936" s="239"/>
      <c r="AL936" s="239"/>
      <c r="AM936" s="239"/>
      <c r="AN936" s="239"/>
      <c r="AO936" s="239"/>
      <c r="AP936" s="239"/>
      <c r="AQ936" s="239"/>
      <c r="AR936" s="239"/>
      <c r="AS936" s="239"/>
      <c r="AT936" s="239"/>
      <c r="AU936" s="239"/>
      <c r="AV936" s="239"/>
      <c r="AW936" s="239"/>
      <c r="AX936" s="239"/>
      <c r="AY936" s="239"/>
      <c r="AZ936" s="239"/>
      <c r="BA936" s="239"/>
      <c r="BB936" s="239"/>
      <c r="BC936" s="239"/>
      <c r="BD936" s="239"/>
      <c r="BE936" s="239"/>
      <c r="BF936" s="239"/>
      <c r="BG936" s="239"/>
      <c r="BH936" s="239"/>
      <c r="BI936" s="239"/>
      <c r="BJ936" s="239"/>
      <c r="BK936" s="239"/>
      <c r="BL936" s="239"/>
      <c r="BM936" s="239"/>
      <c r="BN936" s="239"/>
      <c r="BO936" s="239"/>
      <c r="BP936" s="239"/>
      <c r="BQ936" s="239"/>
      <c r="BR936" s="239"/>
      <c r="BS936" s="239"/>
      <c r="BT936" s="239"/>
      <c r="BU936" s="239"/>
      <c r="BV936" s="239"/>
      <c r="BW936" s="239"/>
      <c r="BX936" s="239"/>
      <c r="BY936" s="239"/>
      <c r="BZ936" s="239"/>
      <c r="CA936" s="239"/>
      <c r="CB936" s="239"/>
      <c r="CC936" s="239"/>
      <c r="CD936" s="239"/>
      <c r="CE936" s="239"/>
      <c r="CF936" s="239"/>
      <c r="CG936" s="239"/>
    </row>
    <row r="937" spans="1:85" ht="15.75" customHeight="1">
      <c r="A937" s="239"/>
      <c r="B937" s="239"/>
      <c r="C937" s="239"/>
      <c r="D937" s="239"/>
      <c r="E937" s="239"/>
      <c r="F937" s="239"/>
      <c r="G937" s="239"/>
      <c r="H937" s="239"/>
      <c r="I937" s="239"/>
      <c r="J937" s="239"/>
      <c r="K937" s="239"/>
      <c r="L937" s="239"/>
      <c r="M937" s="239"/>
      <c r="N937" s="239"/>
      <c r="O937" s="239"/>
      <c r="P937" s="239"/>
      <c r="Q937" s="239"/>
      <c r="R937" s="239"/>
      <c r="S937" s="239"/>
      <c r="T937" s="239"/>
      <c r="U937" s="239"/>
      <c r="V937" s="239"/>
      <c r="W937" s="239"/>
      <c r="X937" s="239"/>
      <c r="Y937" s="239"/>
      <c r="Z937" s="239"/>
      <c r="AA937" s="239"/>
      <c r="AB937" s="239"/>
      <c r="AC937" s="239"/>
      <c r="AD937" s="239"/>
      <c r="AE937" s="239"/>
      <c r="AF937" s="239"/>
      <c r="AG937" s="239"/>
      <c r="AH937" s="239"/>
      <c r="AI937" s="239"/>
      <c r="AJ937" s="239"/>
      <c r="AK937" s="239"/>
      <c r="AL937" s="239"/>
      <c r="AM937" s="239"/>
      <c r="AN937" s="239"/>
      <c r="AO937" s="239"/>
      <c r="AP937" s="239"/>
      <c r="AQ937" s="239"/>
      <c r="AR937" s="239"/>
      <c r="AS937" s="239"/>
      <c r="AT937" s="239"/>
      <c r="AU937" s="239"/>
      <c r="AV937" s="239"/>
      <c r="AW937" s="239"/>
      <c r="AX937" s="239"/>
      <c r="AY937" s="239"/>
      <c r="AZ937" s="239"/>
      <c r="BA937" s="239"/>
      <c r="BB937" s="239"/>
      <c r="BC937" s="239"/>
      <c r="BD937" s="239"/>
      <c r="BE937" s="239"/>
      <c r="BF937" s="239"/>
      <c r="BG937" s="239"/>
      <c r="BH937" s="239"/>
      <c r="BI937" s="239"/>
      <c r="BJ937" s="239"/>
      <c r="BK937" s="239"/>
      <c r="BL937" s="239"/>
      <c r="BM937" s="239"/>
      <c r="BN937" s="239"/>
      <c r="BO937" s="239"/>
      <c r="BP937" s="239"/>
      <c r="BQ937" s="239"/>
      <c r="BR937" s="239"/>
      <c r="BS937" s="239"/>
      <c r="BT937" s="239"/>
      <c r="BU937" s="239"/>
      <c r="BV937" s="239"/>
      <c r="BW937" s="239"/>
      <c r="BX937" s="239"/>
      <c r="BY937" s="239"/>
      <c r="BZ937" s="239"/>
      <c r="CA937" s="239"/>
      <c r="CB937" s="239"/>
      <c r="CC937" s="239"/>
      <c r="CD937" s="239"/>
      <c r="CE937" s="239"/>
      <c r="CF937" s="239"/>
      <c r="CG937" s="239"/>
    </row>
    <row r="938" spans="1:85" ht="15.75" customHeight="1">
      <c r="A938" s="239"/>
      <c r="B938" s="239"/>
      <c r="C938" s="239"/>
      <c r="D938" s="239"/>
      <c r="E938" s="239"/>
      <c r="F938" s="239"/>
      <c r="G938" s="239"/>
      <c r="H938" s="239"/>
      <c r="I938" s="239"/>
      <c r="J938" s="239"/>
      <c r="K938" s="239"/>
      <c r="L938" s="239"/>
      <c r="M938" s="239"/>
      <c r="N938" s="239"/>
      <c r="O938" s="239"/>
      <c r="P938" s="239"/>
      <c r="Q938" s="239"/>
      <c r="R938" s="239"/>
      <c r="S938" s="239"/>
      <c r="T938" s="239"/>
      <c r="U938" s="239"/>
      <c r="V938" s="239"/>
      <c r="W938" s="239"/>
      <c r="X938" s="239"/>
      <c r="Y938" s="239"/>
      <c r="Z938" s="239"/>
      <c r="AA938" s="239"/>
      <c r="AB938" s="239"/>
      <c r="AC938" s="239"/>
      <c r="AD938" s="239"/>
      <c r="AE938" s="239"/>
      <c r="AF938" s="239"/>
      <c r="AG938" s="239"/>
      <c r="AH938" s="239"/>
      <c r="AI938" s="239"/>
      <c r="AJ938" s="239"/>
      <c r="AK938" s="239"/>
      <c r="AL938" s="239"/>
      <c r="AM938" s="239"/>
      <c r="AN938" s="239"/>
      <c r="AO938" s="239"/>
      <c r="AP938" s="239"/>
      <c r="AQ938" s="239"/>
      <c r="AR938" s="239"/>
      <c r="AS938" s="239"/>
      <c r="AT938" s="239"/>
      <c r="AU938" s="239"/>
      <c r="AV938" s="239"/>
      <c r="AW938" s="239"/>
      <c r="AX938" s="239"/>
      <c r="AY938" s="239"/>
      <c r="AZ938" s="239"/>
      <c r="BA938" s="239"/>
      <c r="BB938" s="239"/>
      <c r="BC938" s="239"/>
      <c r="BD938" s="239"/>
      <c r="BE938" s="239"/>
      <c r="BF938" s="239"/>
      <c r="BG938" s="239"/>
      <c r="BH938" s="239"/>
      <c r="BI938" s="239"/>
      <c r="BJ938" s="239"/>
      <c r="BK938" s="239"/>
      <c r="BL938" s="239"/>
      <c r="BM938" s="239"/>
      <c r="BN938" s="239"/>
      <c r="BO938" s="239"/>
      <c r="BP938" s="239"/>
      <c r="BQ938" s="239"/>
      <c r="BR938" s="239"/>
      <c r="BS938" s="239"/>
      <c r="BT938" s="239"/>
      <c r="BU938" s="239"/>
      <c r="BV938" s="239"/>
      <c r="BW938" s="239"/>
      <c r="BX938" s="239"/>
      <c r="BY938" s="239"/>
      <c r="BZ938" s="239"/>
      <c r="CA938" s="239"/>
      <c r="CB938" s="239"/>
      <c r="CC938" s="239"/>
      <c r="CD938" s="239"/>
      <c r="CE938" s="239"/>
      <c r="CF938" s="239"/>
      <c r="CG938" s="239"/>
    </row>
    <row r="939" spans="1:85" ht="15.75" customHeight="1">
      <c r="A939" s="239"/>
      <c r="B939" s="239"/>
      <c r="C939" s="239"/>
      <c r="D939" s="239"/>
      <c r="E939" s="239"/>
      <c r="F939" s="239"/>
      <c r="G939" s="239"/>
      <c r="H939" s="239"/>
      <c r="I939" s="239"/>
      <c r="J939" s="239"/>
      <c r="K939" s="239"/>
      <c r="L939" s="239"/>
      <c r="M939" s="239"/>
      <c r="N939" s="239"/>
      <c r="O939" s="239"/>
      <c r="P939" s="239"/>
      <c r="Q939" s="239"/>
      <c r="R939" s="239"/>
      <c r="S939" s="239"/>
      <c r="T939" s="239"/>
      <c r="U939" s="239"/>
      <c r="V939" s="239"/>
      <c r="W939" s="239"/>
      <c r="X939" s="239"/>
      <c r="Y939" s="239"/>
      <c r="Z939" s="239"/>
      <c r="AA939" s="239"/>
      <c r="AB939" s="239"/>
      <c r="AC939" s="239"/>
      <c r="AD939" s="239"/>
      <c r="AE939" s="239"/>
      <c r="AF939" s="239"/>
      <c r="AG939" s="239"/>
      <c r="AH939" s="239"/>
      <c r="AI939" s="239"/>
      <c r="AJ939" s="239"/>
      <c r="AK939" s="239"/>
      <c r="AL939" s="239"/>
      <c r="AM939" s="239"/>
      <c r="AN939" s="239"/>
      <c r="AO939" s="239"/>
      <c r="AP939" s="239"/>
      <c r="AQ939" s="239"/>
      <c r="AR939" s="239"/>
      <c r="AS939" s="239"/>
      <c r="AT939" s="239"/>
      <c r="AU939" s="239"/>
      <c r="AV939" s="239"/>
      <c r="AW939" s="239"/>
      <c r="AX939" s="239"/>
      <c r="AY939" s="239"/>
      <c r="AZ939" s="239"/>
      <c r="BA939" s="239"/>
      <c r="BB939" s="239"/>
      <c r="BC939" s="239"/>
      <c r="BD939" s="239"/>
      <c r="BE939" s="239"/>
      <c r="BF939" s="239"/>
      <c r="BG939" s="239"/>
      <c r="BH939" s="239"/>
      <c r="BI939" s="239"/>
      <c r="BJ939" s="239"/>
      <c r="BK939" s="239"/>
      <c r="BL939" s="239"/>
      <c r="BM939" s="239"/>
      <c r="BN939" s="239"/>
      <c r="BO939" s="239"/>
      <c r="BP939" s="239"/>
      <c r="BQ939" s="239"/>
      <c r="BR939" s="239"/>
      <c r="BS939" s="239"/>
      <c r="BT939" s="239"/>
      <c r="BU939" s="239"/>
      <c r="BV939" s="239"/>
      <c r="BW939" s="239"/>
      <c r="BX939" s="239"/>
      <c r="BY939" s="239"/>
      <c r="BZ939" s="239"/>
      <c r="CA939" s="239"/>
      <c r="CB939" s="239"/>
      <c r="CC939" s="239"/>
      <c r="CD939" s="239"/>
      <c r="CE939" s="239"/>
      <c r="CF939" s="239"/>
      <c r="CG939" s="239"/>
    </row>
    <row r="940" spans="1:85" ht="15.75" customHeight="1">
      <c r="A940" s="239"/>
      <c r="B940" s="239"/>
      <c r="C940" s="239"/>
      <c r="D940" s="239"/>
      <c r="E940" s="239"/>
      <c r="F940" s="239"/>
      <c r="G940" s="239"/>
      <c r="H940" s="239"/>
      <c r="I940" s="239"/>
      <c r="J940" s="239"/>
      <c r="K940" s="239"/>
      <c r="L940" s="239"/>
      <c r="M940" s="239"/>
      <c r="N940" s="239"/>
      <c r="O940" s="239"/>
      <c r="P940" s="239"/>
      <c r="Q940" s="239"/>
      <c r="R940" s="239"/>
      <c r="S940" s="239"/>
      <c r="T940" s="239"/>
      <c r="U940" s="239"/>
      <c r="V940" s="239"/>
      <c r="W940" s="239"/>
      <c r="X940" s="239"/>
      <c r="Y940" s="239"/>
      <c r="Z940" s="239"/>
      <c r="AA940" s="239"/>
      <c r="AB940" s="239"/>
      <c r="AC940" s="239"/>
      <c r="AD940" s="239"/>
      <c r="AE940" s="239"/>
      <c r="AF940" s="239"/>
      <c r="AG940" s="239"/>
      <c r="AH940" s="239"/>
      <c r="AI940" s="239"/>
      <c r="AJ940" s="239"/>
      <c r="AK940" s="239"/>
      <c r="AL940" s="239"/>
      <c r="AM940" s="239"/>
      <c r="AN940" s="239"/>
      <c r="AO940" s="239"/>
      <c r="AP940" s="239"/>
      <c r="AQ940" s="239"/>
      <c r="AR940" s="239"/>
      <c r="AS940" s="239"/>
      <c r="AT940" s="239"/>
      <c r="AU940" s="239"/>
      <c r="AV940" s="239"/>
      <c r="AW940" s="239"/>
      <c r="AX940" s="239"/>
      <c r="AY940" s="239"/>
      <c r="AZ940" s="239"/>
      <c r="BA940" s="239"/>
      <c r="BB940" s="239"/>
      <c r="BC940" s="239"/>
      <c r="BD940" s="239"/>
      <c r="BE940" s="239"/>
      <c r="BF940" s="239"/>
      <c r="BG940" s="239"/>
      <c r="BH940" s="239"/>
      <c r="BI940" s="239"/>
      <c r="BJ940" s="239"/>
      <c r="BK940" s="239"/>
      <c r="BL940" s="239"/>
      <c r="BM940" s="239"/>
      <c r="BN940" s="239"/>
      <c r="BO940" s="239"/>
      <c r="BP940" s="239"/>
      <c r="BQ940" s="239"/>
      <c r="BR940" s="239"/>
      <c r="BS940" s="239"/>
      <c r="BT940" s="239"/>
      <c r="BU940" s="239"/>
      <c r="BV940" s="239"/>
      <c r="BW940" s="239"/>
      <c r="BX940" s="239"/>
      <c r="BY940" s="239"/>
      <c r="BZ940" s="239"/>
      <c r="CA940" s="239"/>
      <c r="CB940" s="239"/>
      <c r="CC940" s="239"/>
      <c r="CD940" s="239"/>
      <c r="CE940" s="239"/>
      <c r="CF940" s="239"/>
      <c r="CG940" s="239"/>
    </row>
    <row r="941" spans="1:85" ht="15.75" customHeight="1">
      <c r="A941" s="239"/>
      <c r="B941" s="239"/>
      <c r="C941" s="239"/>
      <c r="D941" s="239"/>
      <c r="E941" s="239"/>
      <c r="F941" s="239"/>
      <c r="G941" s="239"/>
      <c r="H941" s="239"/>
      <c r="I941" s="239"/>
      <c r="J941" s="239"/>
      <c r="K941" s="239"/>
      <c r="L941" s="239"/>
      <c r="M941" s="239"/>
      <c r="N941" s="239"/>
      <c r="O941" s="239"/>
      <c r="P941" s="239"/>
      <c r="Q941" s="239"/>
      <c r="R941" s="239"/>
      <c r="S941" s="239"/>
      <c r="T941" s="239"/>
      <c r="U941" s="239"/>
      <c r="V941" s="239"/>
      <c r="W941" s="239"/>
      <c r="X941" s="239"/>
      <c r="Y941" s="239"/>
      <c r="Z941" s="239"/>
      <c r="AA941" s="239"/>
      <c r="AB941" s="239"/>
      <c r="AC941" s="239"/>
      <c r="AD941" s="239"/>
      <c r="AE941" s="239"/>
      <c r="AF941" s="239"/>
      <c r="AG941" s="239"/>
      <c r="AH941" s="239"/>
      <c r="AI941" s="239"/>
      <c r="AJ941" s="239"/>
      <c r="AK941" s="239"/>
      <c r="AL941" s="239"/>
      <c r="AM941" s="239"/>
      <c r="AN941" s="239"/>
      <c r="AO941" s="239"/>
      <c r="AP941" s="239"/>
      <c r="AQ941" s="239"/>
      <c r="AR941" s="239"/>
      <c r="AS941" s="239"/>
      <c r="AT941" s="239"/>
      <c r="AU941" s="239"/>
      <c r="AV941" s="239"/>
      <c r="AW941" s="239"/>
      <c r="AX941" s="239"/>
      <c r="AY941" s="239"/>
      <c r="AZ941" s="239"/>
      <c r="BA941" s="239"/>
      <c r="BB941" s="239"/>
      <c r="BC941" s="239"/>
      <c r="BD941" s="239"/>
      <c r="BE941" s="239"/>
      <c r="BF941" s="239"/>
      <c r="BG941" s="239"/>
      <c r="BH941" s="239"/>
      <c r="BI941" s="239"/>
      <c r="BJ941" s="239"/>
      <c r="BK941" s="239"/>
      <c r="BL941" s="239"/>
      <c r="BM941" s="239"/>
      <c r="BN941" s="239"/>
      <c r="BO941" s="239"/>
      <c r="BP941" s="239"/>
      <c r="BQ941" s="239"/>
      <c r="BR941" s="239"/>
      <c r="BS941" s="239"/>
      <c r="BT941" s="239"/>
      <c r="BU941" s="239"/>
      <c r="BV941" s="239"/>
      <c r="BW941" s="239"/>
      <c r="BX941" s="239"/>
      <c r="BY941" s="239"/>
      <c r="BZ941" s="239"/>
      <c r="CA941" s="239"/>
      <c r="CB941" s="239"/>
      <c r="CC941" s="239"/>
      <c r="CD941" s="239"/>
      <c r="CE941" s="239"/>
      <c r="CF941" s="239"/>
      <c r="CG941" s="239"/>
    </row>
    <row r="942" spans="1:85" ht="15.75" customHeight="1">
      <c r="A942" s="239"/>
      <c r="B942" s="239"/>
      <c r="C942" s="239"/>
      <c r="D942" s="239"/>
      <c r="E942" s="239"/>
      <c r="F942" s="239"/>
      <c r="G942" s="239"/>
      <c r="H942" s="239"/>
      <c r="I942" s="239"/>
      <c r="J942" s="239"/>
      <c r="K942" s="239"/>
      <c r="L942" s="239"/>
      <c r="M942" s="239"/>
      <c r="N942" s="239"/>
      <c r="O942" s="239"/>
      <c r="P942" s="239"/>
      <c r="Q942" s="239"/>
      <c r="R942" s="239"/>
      <c r="S942" s="239"/>
      <c r="T942" s="239"/>
      <c r="U942" s="239"/>
      <c r="V942" s="239"/>
      <c r="W942" s="239"/>
      <c r="X942" s="239"/>
      <c r="Y942" s="239"/>
      <c r="Z942" s="239"/>
      <c r="AA942" s="239"/>
      <c r="AB942" s="239"/>
      <c r="AC942" s="239"/>
      <c r="AD942" s="239"/>
      <c r="AE942" s="239"/>
      <c r="AF942" s="239"/>
      <c r="AG942" s="239"/>
      <c r="AH942" s="239"/>
      <c r="AI942" s="239"/>
      <c r="AJ942" s="239"/>
      <c r="AK942" s="239"/>
      <c r="AL942" s="239"/>
      <c r="AM942" s="239"/>
      <c r="AN942" s="239"/>
      <c r="AO942" s="239"/>
      <c r="AP942" s="239"/>
      <c r="AQ942" s="239"/>
      <c r="AR942" s="239"/>
      <c r="AS942" s="239"/>
      <c r="AT942" s="239"/>
      <c r="AU942" s="239"/>
      <c r="AV942" s="239"/>
      <c r="AW942" s="239"/>
      <c r="AX942" s="239"/>
      <c r="AY942" s="239"/>
      <c r="AZ942" s="239"/>
      <c r="BA942" s="239"/>
      <c r="BB942" s="239"/>
      <c r="BC942" s="239"/>
      <c r="BD942" s="239"/>
      <c r="BE942" s="239"/>
      <c r="BF942" s="239"/>
      <c r="BG942" s="239"/>
      <c r="BH942" s="239"/>
      <c r="BI942" s="239"/>
      <c r="BJ942" s="239"/>
      <c r="BK942" s="239"/>
      <c r="BL942" s="239"/>
      <c r="BM942" s="239"/>
      <c r="BN942" s="239"/>
      <c r="BO942" s="239"/>
      <c r="BP942" s="239"/>
      <c r="BQ942" s="239"/>
      <c r="BR942" s="239"/>
      <c r="BS942" s="239"/>
      <c r="BT942" s="239"/>
      <c r="BU942" s="239"/>
      <c r="BV942" s="239"/>
      <c r="BW942" s="239"/>
      <c r="BX942" s="239"/>
      <c r="BY942" s="239"/>
      <c r="BZ942" s="239"/>
      <c r="CA942" s="239"/>
      <c r="CB942" s="239"/>
      <c r="CC942" s="239"/>
      <c r="CD942" s="239"/>
      <c r="CE942" s="239"/>
      <c r="CF942" s="239"/>
      <c r="CG942" s="239"/>
    </row>
    <row r="943" spans="1:85" ht="15.75" customHeight="1">
      <c r="A943" s="239"/>
      <c r="B943" s="239"/>
      <c r="C943" s="239"/>
      <c r="D943" s="239"/>
      <c r="E943" s="239"/>
      <c r="F943" s="239"/>
      <c r="G943" s="239"/>
      <c r="H943" s="239"/>
      <c r="I943" s="239"/>
      <c r="J943" s="239"/>
      <c r="K943" s="239"/>
      <c r="L943" s="239"/>
      <c r="M943" s="239"/>
      <c r="N943" s="239"/>
      <c r="O943" s="239"/>
      <c r="P943" s="239"/>
      <c r="Q943" s="239"/>
      <c r="R943" s="239"/>
      <c r="S943" s="239"/>
      <c r="T943" s="239"/>
      <c r="U943" s="239"/>
      <c r="V943" s="239"/>
      <c r="W943" s="239"/>
      <c r="X943" s="239"/>
      <c r="Y943" s="239"/>
      <c r="Z943" s="239"/>
      <c r="AA943" s="239"/>
      <c r="AB943" s="239"/>
      <c r="AC943" s="239"/>
      <c r="AD943" s="239"/>
      <c r="AE943" s="239"/>
      <c r="AF943" s="239"/>
      <c r="AG943" s="239"/>
      <c r="AH943" s="239"/>
      <c r="AI943" s="239"/>
      <c r="AJ943" s="239"/>
      <c r="AK943" s="239"/>
      <c r="AL943" s="239"/>
      <c r="AM943" s="239"/>
      <c r="AN943" s="239"/>
      <c r="AO943" s="239"/>
      <c r="AP943" s="239"/>
      <c r="AQ943" s="239"/>
      <c r="AR943" s="239"/>
      <c r="AS943" s="239"/>
      <c r="AT943" s="239"/>
      <c r="AU943" s="239"/>
      <c r="AV943" s="239"/>
      <c r="AW943" s="239"/>
      <c r="AX943" s="239"/>
      <c r="AY943" s="239"/>
      <c r="AZ943" s="239"/>
      <c r="BA943" s="239"/>
      <c r="BB943" s="239"/>
      <c r="BC943" s="239"/>
      <c r="BD943" s="239"/>
      <c r="BE943" s="239"/>
      <c r="BF943" s="239"/>
      <c r="BG943" s="239"/>
      <c r="BH943" s="239"/>
      <c r="BI943" s="239"/>
      <c r="BJ943" s="239"/>
      <c r="BK943" s="239"/>
      <c r="BL943" s="239"/>
      <c r="BM943" s="239"/>
      <c r="BN943" s="239"/>
      <c r="BO943" s="239"/>
      <c r="BP943" s="239"/>
      <c r="BQ943" s="239"/>
      <c r="BR943" s="239"/>
      <c r="BS943" s="239"/>
      <c r="BT943" s="239"/>
      <c r="BU943" s="239"/>
      <c r="BV943" s="239"/>
      <c r="BW943" s="239"/>
      <c r="BX943" s="239"/>
      <c r="BY943" s="239"/>
      <c r="BZ943" s="239"/>
      <c r="CA943" s="239"/>
      <c r="CB943" s="239"/>
      <c r="CC943" s="239"/>
      <c r="CD943" s="239"/>
      <c r="CE943" s="239"/>
      <c r="CF943" s="239"/>
      <c r="CG943" s="239"/>
    </row>
    <row r="944" spans="1:85" ht="15.75" customHeight="1">
      <c r="A944" s="239"/>
      <c r="B944" s="239"/>
      <c r="C944" s="239"/>
      <c r="D944" s="239"/>
      <c r="E944" s="239"/>
      <c r="F944" s="239"/>
      <c r="G944" s="239"/>
      <c r="H944" s="239"/>
      <c r="I944" s="239"/>
      <c r="J944" s="239"/>
      <c r="K944" s="239"/>
      <c r="L944" s="239"/>
      <c r="M944" s="239"/>
      <c r="N944" s="239"/>
      <c r="O944" s="239"/>
      <c r="P944" s="239"/>
      <c r="Q944" s="239"/>
      <c r="R944" s="239"/>
      <c r="S944" s="239"/>
      <c r="T944" s="239"/>
      <c r="U944" s="239"/>
      <c r="V944" s="239"/>
      <c r="W944" s="239"/>
      <c r="X944" s="239"/>
      <c r="Y944" s="239"/>
      <c r="Z944" s="239"/>
      <c r="AA944" s="239"/>
      <c r="AB944" s="239"/>
      <c r="AC944" s="239"/>
      <c r="AD944" s="239"/>
      <c r="AE944" s="239"/>
      <c r="AF944" s="239"/>
      <c r="AG944" s="239"/>
      <c r="AH944" s="239"/>
      <c r="AI944" s="239"/>
      <c r="AJ944" s="239"/>
      <c r="AK944" s="239"/>
      <c r="AL944" s="239"/>
      <c r="AM944" s="239"/>
      <c r="AN944" s="239"/>
      <c r="AO944" s="239"/>
      <c r="AP944" s="239"/>
      <c r="AQ944" s="239"/>
      <c r="AR944" s="239"/>
      <c r="AS944" s="239"/>
      <c r="AT944" s="239"/>
      <c r="AU944" s="239"/>
      <c r="AV944" s="239"/>
      <c r="AW944" s="239"/>
      <c r="AX944" s="239"/>
      <c r="AY944" s="239"/>
      <c r="AZ944" s="239"/>
      <c r="BA944" s="239"/>
      <c r="BB944" s="239"/>
      <c r="BC944" s="239"/>
      <c r="BD944" s="239"/>
      <c r="BE944" s="239"/>
      <c r="BF944" s="239"/>
      <c r="BG944" s="239"/>
      <c r="BH944" s="239"/>
      <c r="BI944" s="239"/>
      <c r="BJ944" s="239"/>
      <c r="BK944" s="239"/>
      <c r="BL944" s="239"/>
      <c r="BM944" s="239"/>
      <c r="BN944" s="239"/>
      <c r="BO944" s="239"/>
      <c r="BP944" s="239"/>
      <c r="BQ944" s="239"/>
      <c r="BR944" s="239"/>
      <c r="BS944" s="239"/>
      <c r="BT944" s="239"/>
      <c r="BU944" s="239"/>
      <c r="BV944" s="239"/>
      <c r="BW944" s="239"/>
      <c r="BX944" s="239"/>
      <c r="BY944" s="239"/>
      <c r="BZ944" s="239"/>
      <c r="CA944" s="239"/>
      <c r="CB944" s="239"/>
      <c r="CC944" s="239"/>
      <c r="CD944" s="239"/>
      <c r="CE944" s="239"/>
      <c r="CF944" s="239"/>
      <c r="CG944" s="239"/>
    </row>
    <row r="945" spans="1:85" ht="15.75" customHeight="1">
      <c r="A945" s="239"/>
      <c r="B945" s="239"/>
      <c r="C945" s="239"/>
      <c r="D945" s="239"/>
      <c r="E945" s="239"/>
      <c r="F945" s="239"/>
      <c r="G945" s="239"/>
      <c r="H945" s="239"/>
      <c r="I945" s="239"/>
      <c r="J945" s="239"/>
      <c r="K945" s="239"/>
      <c r="L945" s="239"/>
      <c r="M945" s="239"/>
      <c r="N945" s="239"/>
      <c r="O945" s="239"/>
      <c r="P945" s="239"/>
      <c r="Q945" s="239"/>
      <c r="R945" s="239"/>
      <c r="S945" s="239"/>
      <c r="T945" s="239"/>
      <c r="U945" s="239"/>
      <c r="V945" s="239"/>
      <c r="W945" s="239"/>
      <c r="X945" s="239"/>
      <c r="Y945" s="239"/>
      <c r="Z945" s="239"/>
      <c r="AA945" s="239"/>
      <c r="AB945" s="239"/>
      <c r="AC945" s="239"/>
      <c r="AD945" s="239"/>
      <c r="AE945" s="239"/>
      <c r="AF945" s="239"/>
      <c r="AG945" s="239"/>
      <c r="AH945" s="239"/>
      <c r="AI945" s="239"/>
      <c r="AJ945" s="239"/>
      <c r="AK945" s="239"/>
      <c r="AL945" s="239"/>
      <c r="AM945" s="239"/>
      <c r="AN945" s="239"/>
      <c r="AO945" s="239"/>
      <c r="AP945" s="239"/>
      <c r="AQ945" s="239"/>
      <c r="AR945" s="239"/>
      <c r="AS945" s="239"/>
      <c r="AT945" s="239"/>
      <c r="AU945" s="239"/>
      <c r="AV945" s="239"/>
      <c r="AW945" s="239"/>
      <c r="AX945" s="239"/>
      <c r="AY945" s="239"/>
      <c r="AZ945" s="239"/>
      <c r="BA945" s="239"/>
      <c r="BB945" s="239"/>
      <c r="BC945" s="239"/>
      <c r="BD945" s="239"/>
      <c r="BE945" s="239"/>
      <c r="BF945" s="239"/>
      <c r="BG945" s="239"/>
      <c r="BH945" s="239"/>
      <c r="BI945" s="239"/>
      <c r="BJ945" s="239"/>
      <c r="BK945" s="239"/>
      <c r="BL945" s="239"/>
      <c r="BM945" s="239"/>
      <c r="BN945" s="239"/>
      <c r="BO945" s="239"/>
      <c r="BP945" s="239"/>
      <c r="BQ945" s="239"/>
      <c r="BR945" s="239"/>
      <c r="BS945" s="239"/>
      <c r="BT945" s="239"/>
      <c r="BU945" s="239"/>
      <c r="BV945" s="239"/>
      <c r="BW945" s="239"/>
      <c r="BX945" s="239"/>
      <c r="BY945" s="239"/>
      <c r="BZ945" s="239"/>
      <c r="CA945" s="239"/>
      <c r="CB945" s="239"/>
      <c r="CC945" s="239"/>
      <c r="CD945" s="239"/>
      <c r="CE945" s="239"/>
      <c r="CF945" s="239"/>
      <c r="CG945" s="239"/>
    </row>
    <row r="946" spans="1:85" ht="15.75" customHeight="1">
      <c r="A946" s="239"/>
      <c r="B946" s="239"/>
      <c r="C946" s="239"/>
      <c r="D946" s="239"/>
      <c r="E946" s="239"/>
      <c r="F946" s="239"/>
      <c r="G946" s="239"/>
      <c r="H946" s="239"/>
      <c r="I946" s="239"/>
      <c r="J946" s="239"/>
      <c r="K946" s="239"/>
      <c r="L946" s="239"/>
      <c r="M946" s="239"/>
      <c r="N946" s="239"/>
      <c r="O946" s="239"/>
      <c r="P946" s="239"/>
      <c r="Q946" s="239"/>
      <c r="R946" s="239"/>
      <c r="S946" s="239"/>
      <c r="T946" s="239"/>
      <c r="U946" s="239"/>
      <c r="V946" s="239"/>
      <c r="W946" s="239"/>
      <c r="X946" s="239"/>
      <c r="Y946" s="239"/>
      <c r="Z946" s="239"/>
      <c r="AA946" s="239"/>
      <c r="AB946" s="239"/>
      <c r="AC946" s="239"/>
      <c r="AD946" s="239"/>
      <c r="AE946" s="239"/>
      <c r="AF946" s="239"/>
      <c r="AG946" s="239"/>
      <c r="AH946" s="239"/>
      <c r="AI946" s="239"/>
      <c r="AJ946" s="239"/>
      <c r="AK946" s="239"/>
      <c r="AL946" s="239"/>
      <c r="AM946" s="239"/>
      <c r="AN946" s="239"/>
      <c r="AO946" s="239"/>
      <c r="AP946" s="239"/>
      <c r="AQ946" s="239"/>
      <c r="AR946" s="239"/>
      <c r="AS946" s="239"/>
      <c r="AT946" s="239"/>
      <c r="AU946" s="239"/>
      <c r="AV946" s="239"/>
      <c r="AW946" s="239"/>
      <c r="AX946" s="239"/>
      <c r="AY946" s="239"/>
      <c r="AZ946" s="239"/>
      <c r="BA946" s="239"/>
      <c r="BB946" s="239"/>
      <c r="BC946" s="239"/>
      <c r="BD946" s="239"/>
      <c r="BE946" s="239"/>
      <c r="BF946" s="239"/>
      <c r="BG946" s="239"/>
      <c r="BH946" s="239"/>
      <c r="BI946" s="239"/>
      <c r="BJ946" s="239"/>
      <c r="BK946" s="239"/>
      <c r="BL946" s="239"/>
      <c r="BM946" s="239"/>
      <c r="BN946" s="239"/>
      <c r="BO946" s="239"/>
      <c r="BP946" s="239"/>
      <c r="BQ946" s="239"/>
      <c r="BR946" s="239"/>
      <c r="BS946" s="239"/>
      <c r="BT946" s="239"/>
      <c r="BU946" s="239"/>
      <c r="BV946" s="239"/>
      <c r="BW946" s="239"/>
      <c r="BX946" s="239"/>
      <c r="BY946" s="239"/>
      <c r="BZ946" s="239"/>
      <c r="CA946" s="239"/>
      <c r="CB946" s="239"/>
      <c r="CC946" s="239"/>
      <c r="CD946" s="239"/>
      <c r="CE946" s="239"/>
      <c r="CF946" s="239"/>
      <c r="CG946" s="239"/>
    </row>
    <row r="947" spans="1:85" ht="15.75" customHeight="1">
      <c r="A947" s="239"/>
      <c r="B947" s="239"/>
      <c r="C947" s="239"/>
      <c r="D947" s="239"/>
      <c r="E947" s="239"/>
      <c r="F947" s="239"/>
      <c r="G947" s="239"/>
      <c r="H947" s="239"/>
      <c r="I947" s="239"/>
      <c r="J947" s="239"/>
      <c r="K947" s="239"/>
      <c r="L947" s="239"/>
      <c r="M947" s="239"/>
      <c r="N947" s="239"/>
      <c r="O947" s="239"/>
      <c r="P947" s="239"/>
      <c r="Q947" s="239"/>
      <c r="R947" s="239"/>
      <c r="S947" s="239"/>
      <c r="T947" s="239"/>
      <c r="U947" s="239"/>
      <c r="V947" s="239"/>
      <c r="W947" s="239"/>
      <c r="X947" s="239"/>
      <c r="Y947" s="239"/>
      <c r="Z947" s="239"/>
      <c r="AA947" s="239"/>
      <c r="AB947" s="239"/>
      <c r="AC947" s="239"/>
      <c r="AD947" s="239"/>
      <c r="AE947" s="239"/>
      <c r="AF947" s="239"/>
      <c r="AG947" s="239"/>
      <c r="AH947" s="239"/>
      <c r="AI947" s="239"/>
      <c r="AJ947" s="239"/>
      <c r="AK947" s="239"/>
      <c r="AL947" s="239"/>
      <c r="AM947" s="239"/>
      <c r="AN947" s="239"/>
      <c r="AO947" s="239"/>
      <c r="AP947" s="239"/>
      <c r="AQ947" s="239"/>
      <c r="AR947" s="239"/>
      <c r="AS947" s="239"/>
      <c r="AT947" s="239"/>
      <c r="AU947" s="239"/>
      <c r="AV947" s="239"/>
      <c r="AW947" s="239"/>
      <c r="AX947" s="239"/>
      <c r="AY947" s="239"/>
      <c r="AZ947" s="239"/>
      <c r="BA947" s="239"/>
      <c r="BB947" s="239"/>
      <c r="BC947" s="239"/>
      <c r="BD947" s="239"/>
      <c r="BE947" s="239"/>
      <c r="BF947" s="239"/>
      <c r="BG947" s="239"/>
      <c r="BH947" s="239"/>
      <c r="BI947" s="239"/>
      <c r="BJ947" s="239"/>
      <c r="BK947" s="239"/>
      <c r="BL947" s="239"/>
      <c r="BM947" s="239"/>
      <c r="BN947" s="239"/>
      <c r="BO947" s="239"/>
      <c r="BP947" s="239"/>
      <c r="BQ947" s="239"/>
      <c r="BR947" s="239"/>
      <c r="BS947" s="239"/>
      <c r="BT947" s="239"/>
      <c r="BU947" s="239"/>
      <c r="BV947" s="239"/>
      <c r="BW947" s="239"/>
      <c r="BX947" s="239"/>
      <c r="BY947" s="239"/>
      <c r="BZ947" s="239"/>
      <c r="CA947" s="239"/>
      <c r="CB947" s="239"/>
      <c r="CC947" s="239"/>
      <c r="CD947" s="239"/>
      <c r="CE947" s="239"/>
      <c r="CF947" s="239"/>
      <c r="CG947" s="239"/>
    </row>
    <row r="948" spans="1:85" ht="15.75" customHeight="1">
      <c r="A948" s="239"/>
      <c r="B948" s="239"/>
      <c r="C948" s="239"/>
      <c r="D948" s="239"/>
      <c r="E948" s="239"/>
      <c r="F948" s="239"/>
      <c r="G948" s="239"/>
      <c r="H948" s="239"/>
      <c r="I948" s="239"/>
      <c r="J948" s="239"/>
      <c r="K948" s="239"/>
      <c r="L948" s="239"/>
      <c r="M948" s="239"/>
      <c r="N948" s="239"/>
      <c r="O948" s="239"/>
      <c r="P948" s="239"/>
      <c r="Q948" s="239"/>
      <c r="R948" s="239"/>
      <c r="S948" s="239"/>
      <c r="T948" s="239"/>
      <c r="U948" s="239"/>
      <c r="V948" s="239"/>
      <c r="W948" s="239"/>
      <c r="X948" s="239"/>
      <c r="Y948" s="239"/>
      <c r="Z948" s="239"/>
      <c r="AA948" s="239"/>
      <c r="AB948" s="239"/>
      <c r="AC948" s="239"/>
      <c r="AD948" s="239"/>
      <c r="AE948" s="239"/>
      <c r="AF948" s="239"/>
      <c r="AG948" s="239"/>
      <c r="AH948" s="239"/>
      <c r="AI948" s="239"/>
      <c r="AJ948" s="239"/>
      <c r="AK948" s="239"/>
      <c r="AL948" s="239"/>
      <c r="AM948" s="239"/>
      <c r="AN948" s="239"/>
      <c r="AO948" s="239"/>
      <c r="AP948" s="239"/>
      <c r="AQ948" s="239"/>
      <c r="AR948" s="239"/>
      <c r="AS948" s="239"/>
      <c r="AT948" s="239"/>
      <c r="AU948" s="239"/>
      <c r="AV948" s="239"/>
      <c r="AW948" s="239"/>
      <c r="AX948" s="239"/>
      <c r="AY948" s="239"/>
      <c r="AZ948" s="239"/>
      <c r="BA948" s="239"/>
      <c r="BB948" s="239"/>
      <c r="BC948" s="239"/>
      <c r="BD948" s="239"/>
      <c r="BE948" s="239"/>
      <c r="BF948" s="239"/>
      <c r="BG948" s="239"/>
      <c r="BH948" s="239"/>
      <c r="BI948" s="239"/>
      <c r="BJ948" s="239"/>
      <c r="BK948" s="239"/>
      <c r="BL948" s="239"/>
      <c r="BM948" s="239"/>
      <c r="BN948" s="239"/>
      <c r="BO948" s="239"/>
      <c r="BP948" s="239"/>
      <c r="BQ948" s="239"/>
      <c r="BR948" s="239"/>
      <c r="BS948" s="239"/>
      <c r="BT948" s="239"/>
      <c r="BU948" s="239"/>
      <c r="BV948" s="239"/>
      <c r="BW948" s="239"/>
      <c r="BX948" s="239"/>
      <c r="BY948" s="239"/>
      <c r="BZ948" s="239"/>
      <c r="CA948" s="239"/>
      <c r="CB948" s="239"/>
      <c r="CC948" s="239"/>
      <c r="CD948" s="239"/>
      <c r="CE948" s="239"/>
      <c r="CF948" s="239"/>
      <c r="CG948" s="239"/>
    </row>
    <row r="949" spans="1:85" ht="15.75" customHeight="1">
      <c r="A949" s="239"/>
      <c r="B949" s="239"/>
      <c r="C949" s="239"/>
      <c r="D949" s="239"/>
      <c r="E949" s="239"/>
      <c r="F949" s="239"/>
      <c r="G949" s="239"/>
      <c r="H949" s="239"/>
      <c r="I949" s="239"/>
      <c r="J949" s="239"/>
      <c r="K949" s="239"/>
      <c r="L949" s="239"/>
      <c r="M949" s="239"/>
      <c r="N949" s="239"/>
      <c r="O949" s="239"/>
      <c r="P949" s="239"/>
      <c r="Q949" s="239"/>
      <c r="R949" s="239"/>
      <c r="S949" s="239"/>
      <c r="T949" s="239"/>
      <c r="U949" s="239"/>
      <c r="V949" s="239"/>
      <c r="W949" s="239"/>
      <c r="X949" s="239"/>
      <c r="Y949" s="239"/>
      <c r="Z949" s="239"/>
      <c r="AA949" s="239"/>
      <c r="AB949" s="239"/>
      <c r="AC949" s="239"/>
      <c r="AD949" s="239"/>
      <c r="AE949" s="239"/>
      <c r="AF949" s="239"/>
      <c r="AG949" s="239"/>
      <c r="AH949" s="239"/>
      <c r="AI949" s="239"/>
      <c r="AJ949" s="239"/>
      <c r="AK949" s="239"/>
      <c r="AL949" s="239"/>
      <c r="AM949" s="239"/>
      <c r="AN949" s="239"/>
      <c r="AO949" s="239"/>
      <c r="AP949" s="239"/>
      <c r="AQ949" s="239"/>
      <c r="AR949" s="239"/>
      <c r="AS949" s="239"/>
      <c r="AT949" s="239"/>
      <c r="AU949" s="239"/>
      <c r="AV949" s="239"/>
      <c r="AW949" s="239"/>
      <c r="AX949" s="239"/>
      <c r="AY949" s="239"/>
      <c r="AZ949" s="239"/>
      <c r="BA949" s="239"/>
      <c r="BB949" s="239"/>
      <c r="BC949" s="239"/>
      <c r="BD949" s="239"/>
      <c r="BE949" s="239"/>
      <c r="BF949" s="239"/>
      <c r="BG949" s="239"/>
      <c r="BH949" s="239"/>
      <c r="BI949" s="239"/>
      <c r="BJ949" s="239"/>
      <c r="BK949" s="239"/>
      <c r="BL949" s="239"/>
      <c r="BM949" s="239"/>
      <c r="BN949" s="239"/>
      <c r="BO949" s="239"/>
      <c r="BP949" s="239"/>
      <c r="BQ949" s="239"/>
      <c r="BR949" s="239"/>
      <c r="BS949" s="239"/>
      <c r="BT949" s="239"/>
      <c r="BU949" s="239"/>
      <c r="BV949" s="239"/>
      <c r="BW949" s="239"/>
      <c r="BX949" s="239"/>
      <c r="BY949" s="239"/>
      <c r="BZ949" s="239"/>
      <c r="CA949" s="239"/>
      <c r="CB949" s="239"/>
      <c r="CC949" s="239"/>
      <c r="CD949" s="239"/>
      <c r="CE949" s="239"/>
      <c r="CF949" s="239"/>
      <c r="CG949" s="239"/>
    </row>
    <row r="950" spans="1:85" ht="15.75" customHeight="1">
      <c r="A950" s="239"/>
      <c r="B950" s="239"/>
      <c r="C950" s="239"/>
      <c r="D950" s="239"/>
      <c r="E950" s="239"/>
      <c r="F950" s="239"/>
      <c r="G950" s="239"/>
      <c r="H950" s="239"/>
      <c r="I950" s="239"/>
      <c r="J950" s="239"/>
      <c r="K950" s="239"/>
      <c r="L950" s="239"/>
      <c r="M950" s="239"/>
      <c r="N950" s="239"/>
      <c r="O950" s="239"/>
      <c r="P950" s="239"/>
      <c r="Q950" s="239"/>
      <c r="R950" s="239"/>
      <c r="S950" s="239"/>
      <c r="T950" s="239"/>
      <c r="U950" s="239"/>
      <c r="V950" s="239"/>
      <c r="W950" s="239"/>
      <c r="X950" s="239"/>
      <c r="Y950" s="239"/>
      <c r="Z950" s="239"/>
      <c r="AA950" s="239"/>
      <c r="AB950" s="239"/>
      <c r="AC950" s="239"/>
      <c r="AD950" s="239"/>
      <c r="AE950" s="239"/>
      <c r="AF950" s="239"/>
      <c r="AG950" s="239"/>
      <c r="AH950" s="239"/>
      <c r="AI950" s="239"/>
      <c r="AJ950" s="239"/>
      <c r="AK950" s="239"/>
      <c r="AL950" s="239"/>
      <c r="AM950" s="239"/>
      <c r="AN950" s="239"/>
      <c r="AO950" s="239"/>
      <c r="AP950" s="239"/>
      <c r="AQ950" s="239"/>
      <c r="AR950" s="239"/>
      <c r="AS950" s="239"/>
      <c r="AT950" s="239"/>
      <c r="AU950" s="239"/>
      <c r="AV950" s="239"/>
      <c r="AW950" s="239"/>
      <c r="AX950" s="239"/>
      <c r="AY950" s="239"/>
      <c r="AZ950" s="239"/>
      <c r="BA950" s="239"/>
      <c r="BB950" s="239"/>
      <c r="BC950" s="239"/>
      <c r="BD950" s="239"/>
      <c r="BE950" s="239"/>
      <c r="BF950" s="239"/>
      <c r="BG950" s="239"/>
      <c r="BH950" s="239"/>
      <c r="BI950" s="239"/>
      <c r="BJ950" s="239"/>
      <c r="BK950" s="239"/>
      <c r="BL950" s="239"/>
      <c r="BM950" s="239"/>
      <c r="BN950" s="239"/>
      <c r="BO950" s="239"/>
      <c r="BP950" s="239"/>
      <c r="BQ950" s="239"/>
      <c r="BR950" s="239"/>
      <c r="BS950" s="239"/>
      <c r="BT950" s="239"/>
      <c r="BU950" s="239"/>
      <c r="BV950" s="239"/>
      <c r="BW950" s="239"/>
      <c r="BX950" s="239"/>
      <c r="BY950" s="239"/>
      <c r="BZ950" s="239"/>
      <c r="CA950" s="239"/>
      <c r="CB950" s="239"/>
      <c r="CC950" s="239"/>
      <c r="CD950" s="239"/>
      <c r="CE950" s="239"/>
      <c r="CF950" s="239"/>
      <c r="CG950" s="239"/>
    </row>
    <row r="951" spans="1:85" ht="15.75" customHeight="1">
      <c r="A951" s="239"/>
      <c r="B951" s="239"/>
      <c r="C951" s="239"/>
      <c r="D951" s="239"/>
      <c r="E951" s="239"/>
      <c r="F951" s="239"/>
      <c r="G951" s="239"/>
      <c r="H951" s="239"/>
      <c r="I951" s="239"/>
      <c r="J951" s="239"/>
      <c r="K951" s="239"/>
      <c r="L951" s="239"/>
      <c r="M951" s="239"/>
      <c r="N951" s="239"/>
      <c r="O951" s="239"/>
      <c r="P951" s="239"/>
      <c r="Q951" s="239"/>
      <c r="R951" s="239"/>
      <c r="S951" s="239"/>
      <c r="T951" s="239"/>
      <c r="U951" s="239"/>
      <c r="V951" s="239"/>
      <c r="W951" s="239"/>
      <c r="X951" s="239"/>
      <c r="Y951" s="239"/>
      <c r="Z951" s="239"/>
      <c r="AA951" s="239"/>
      <c r="AB951" s="239"/>
      <c r="AC951" s="239"/>
      <c r="AD951" s="239"/>
      <c r="AE951" s="239"/>
      <c r="AF951" s="239"/>
      <c r="AG951" s="239"/>
      <c r="AH951" s="239"/>
      <c r="AI951" s="239"/>
      <c r="AJ951" s="239"/>
      <c r="AK951" s="239"/>
      <c r="AL951" s="239"/>
      <c r="AM951" s="239"/>
      <c r="AN951" s="239"/>
      <c r="AO951" s="239"/>
      <c r="AP951" s="239"/>
      <c r="AQ951" s="239"/>
      <c r="AR951" s="239"/>
      <c r="AS951" s="239"/>
      <c r="AT951" s="239"/>
      <c r="AU951" s="239"/>
      <c r="AV951" s="239"/>
      <c r="AW951" s="239"/>
      <c r="AX951" s="239"/>
      <c r="AY951" s="239"/>
      <c r="AZ951" s="239"/>
      <c r="BA951" s="239"/>
      <c r="BB951" s="239"/>
      <c r="BC951" s="239"/>
      <c r="BD951" s="239"/>
      <c r="BE951" s="239"/>
      <c r="BF951" s="239"/>
      <c r="BG951" s="239"/>
      <c r="BH951" s="239"/>
      <c r="BI951" s="239"/>
      <c r="BJ951" s="239"/>
      <c r="BK951" s="239"/>
      <c r="BL951" s="239"/>
      <c r="BM951" s="239"/>
      <c r="BN951" s="239"/>
      <c r="BO951" s="239"/>
      <c r="BP951" s="239"/>
      <c r="BQ951" s="239"/>
      <c r="BR951" s="239"/>
      <c r="BS951" s="239"/>
      <c r="BT951" s="239"/>
      <c r="BU951" s="239"/>
      <c r="BV951" s="239"/>
      <c r="BW951" s="239"/>
      <c r="BX951" s="239"/>
      <c r="BY951" s="239"/>
      <c r="BZ951" s="239"/>
      <c r="CA951" s="239"/>
      <c r="CB951" s="239"/>
      <c r="CC951" s="239"/>
      <c r="CD951" s="239"/>
      <c r="CE951" s="239"/>
      <c r="CF951" s="239"/>
      <c r="CG951" s="239"/>
    </row>
    <row r="952" spans="1:85" ht="15.75" customHeight="1">
      <c r="A952" s="239"/>
      <c r="B952" s="239"/>
      <c r="C952" s="239"/>
      <c r="D952" s="239"/>
      <c r="E952" s="239"/>
      <c r="F952" s="239"/>
      <c r="G952" s="239"/>
      <c r="H952" s="239"/>
      <c r="I952" s="239"/>
      <c r="J952" s="239"/>
      <c r="K952" s="239"/>
      <c r="L952" s="239"/>
      <c r="M952" s="239"/>
      <c r="N952" s="239"/>
      <c r="O952" s="239"/>
      <c r="P952" s="239"/>
      <c r="Q952" s="239"/>
      <c r="R952" s="239"/>
      <c r="S952" s="239"/>
      <c r="T952" s="239"/>
      <c r="U952" s="239"/>
      <c r="V952" s="239"/>
      <c r="W952" s="239"/>
      <c r="X952" s="239"/>
      <c r="Y952" s="239"/>
      <c r="Z952" s="239"/>
      <c r="AA952" s="239"/>
      <c r="AB952" s="239"/>
      <c r="AC952" s="239"/>
      <c r="AD952" s="239"/>
      <c r="AE952" s="239"/>
      <c r="AF952" s="239"/>
      <c r="AG952" s="239"/>
      <c r="AH952" s="239"/>
      <c r="AI952" s="239"/>
      <c r="AJ952" s="239"/>
      <c r="AK952" s="239"/>
      <c r="AL952" s="239"/>
      <c r="AM952" s="239"/>
      <c r="AN952" s="239"/>
      <c r="AO952" s="239"/>
      <c r="AP952" s="239"/>
      <c r="AQ952" s="239"/>
      <c r="AR952" s="239"/>
      <c r="AS952" s="239"/>
      <c r="AT952" s="239"/>
      <c r="AU952" s="239"/>
      <c r="AV952" s="239"/>
      <c r="AW952" s="239"/>
      <c r="AX952" s="239"/>
      <c r="AY952" s="239"/>
      <c r="AZ952" s="239"/>
      <c r="BA952" s="239"/>
      <c r="BB952" s="239"/>
      <c r="BC952" s="239"/>
      <c r="BD952" s="239"/>
      <c r="BE952" s="239"/>
      <c r="BF952" s="239"/>
      <c r="BG952" s="239"/>
      <c r="BH952" s="239"/>
      <c r="BI952" s="239"/>
      <c r="BJ952" s="239"/>
      <c r="BK952" s="239"/>
      <c r="BL952" s="239"/>
      <c r="BM952" s="239"/>
      <c r="BN952" s="239"/>
      <c r="BO952" s="239"/>
      <c r="BP952" s="239"/>
      <c r="BQ952" s="239"/>
      <c r="BR952" s="239"/>
      <c r="BS952" s="239"/>
      <c r="BT952" s="239"/>
      <c r="BU952" s="239"/>
      <c r="BV952" s="239"/>
      <c r="BW952" s="239"/>
      <c r="BX952" s="239"/>
      <c r="BY952" s="239"/>
      <c r="BZ952" s="239"/>
      <c r="CA952" s="239"/>
      <c r="CB952" s="239"/>
      <c r="CC952" s="239"/>
      <c r="CD952" s="239"/>
      <c r="CE952" s="239"/>
      <c r="CF952" s="239"/>
      <c r="CG952" s="239"/>
    </row>
    <row r="953" spans="1:85" ht="15.75" customHeight="1">
      <c r="A953" s="239"/>
      <c r="B953" s="239"/>
      <c r="C953" s="239"/>
      <c r="D953" s="239"/>
      <c r="E953" s="239"/>
      <c r="F953" s="239"/>
      <c r="G953" s="239"/>
      <c r="H953" s="239"/>
      <c r="I953" s="239"/>
      <c r="J953" s="239"/>
      <c r="K953" s="239"/>
      <c r="L953" s="239"/>
      <c r="M953" s="239"/>
      <c r="N953" s="239"/>
      <c r="O953" s="239"/>
      <c r="P953" s="239"/>
      <c r="Q953" s="239"/>
      <c r="R953" s="239"/>
      <c r="S953" s="239"/>
      <c r="T953" s="239"/>
      <c r="U953" s="239"/>
      <c r="V953" s="239"/>
      <c r="W953" s="239"/>
      <c r="X953" s="239"/>
      <c r="Y953" s="239"/>
      <c r="Z953" s="239"/>
      <c r="AA953" s="239"/>
      <c r="AB953" s="239"/>
      <c r="AC953" s="239"/>
      <c r="AD953" s="239"/>
      <c r="AE953" s="239"/>
      <c r="AF953" s="239"/>
      <c r="AG953" s="239"/>
      <c r="AH953" s="239"/>
      <c r="AI953" s="239"/>
      <c r="AJ953" s="239"/>
      <c r="AK953" s="239"/>
      <c r="AL953" s="239"/>
      <c r="AM953" s="239"/>
      <c r="AN953" s="239"/>
      <c r="AO953" s="239"/>
      <c r="AP953" s="239"/>
      <c r="AQ953" s="239"/>
      <c r="AR953" s="239"/>
      <c r="AS953" s="239"/>
      <c r="AT953" s="239"/>
      <c r="AU953" s="239"/>
      <c r="AV953" s="239"/>
      <c r="AW953" s="239"/>
      <c r="AX953" s="239"/>
      <c r="AY953" s="239"/>
      <c r="AZ953" s="239"/>
      <c r="BA953" s="239"/>
      <c r="BB953" s="239"/>
      <c r="BC953" s="239"/>
      <c r="BD953" s="239"/>
      <c r="BE953" s="239"/>
      <c r="BF953" s="239"/>
      <c r="BG953" s="239"/>
      <c r="BH953" s="239"/>
      <c r="BI953" s="239"/>
      <c r="BJ953" s="239"/>
      <c r="BK953" s="239"/>
      <c r="BL953" s="239"/>
      <c r="BM953" s="239"/>
      <c r="BN953" s="239"/>
      <c r="BO953" s="239"/>
      <c r="BP953" s="239"/>
      <c r="BQ953" s="239"/>
      <c r="BR953" s="239"/>
      <c r="BS953" s="239"/>
      <c r="BT953" s="239"/>
      <c r="BU953" s="239"/>
      <c r="BV953" s="239"/>
      <c r="BW953" s="239"/>
      <c r="BX953" s="239"/>
      <c r="BY953" s="239"/>
      <c r="BZ953" s="239"/>
      <c r="CA953" s="239"/>
      <c r="CB953" s="239"/>
      <c r="CC953" s="239"/>
      <c r="CD953" s="239"/>
      <c r="CE953" s="239"/>
      <c r="CF953" s="239"/>
      <c r="CG953" s="239"/>
    </row>
    <row r="954" spans="1:85" ht="15.75" customHeight="1">
      <c r="A954" s="239"/>
      <c r="B954" s="239"/>
      <c r="C954" s="239"/>
      <c r="D954" s="239"/>
      <c r="E954" s="239"/>
      <c r="F954" s="239"/>
      <c r="G954" s="239"/>
      <c r="H954" s="239"/>
      <c r="I954" s="239"/>
      <c r="J954" s="239"/>
      <c r="K954" s="239"/>
      <c r="L954" s="239"/>
      <c r="M954" s="239"/>
      <c r="N954" s="239"/>
      <c r="O954" s="239"/>
      <c r="P954" s="239"/>
      <c r="Q954" s="239"/>
      <c r="R954" s="239"/>
      <c r="S954" s="239"/>
      <c r="T954" s="239"/>
      <c r="U954" s="239"/>
      <c r="V954" s="239"/>
      <c r="W954" s="239"/>
      <c r="X954" s="239"/>
      <c r="Y954" s="239"/>
      <c r="Z954" s="239"/>
      <c r="AA954" s="239"/>
      <c r="AB954" s="239"/>
      <c r="AC954" s="239"/>
      <c r="AD954" s="239"/>
      <c r="AE954" s="239"/>
      <c r="AF954" s="239"/>
      <c r="AG954" s="239"/>
      <c r="AH954" s="239"/>
      <c r="AI954" s="239"/>
      <c r="AJ954" s="239"/>
      <c r="AK954" s="239"/>
      <c r="AL954" s="239"/>
      <c r="AM954" s="239"/>
      <c r="AN954" s="239"/>
      <c r="AO954" s="239"/>
      <c r="AP954" s="239"/>
      <c r="AQ954" s="239"/>
      <c r="AR954" s="239"/>
      <c r="AS954" s="239"/>
      <c r="AT954" s="239"/>
      <c r="AU954" s="239"/>
      <c r="AV954" s="239"/>
      <c r="AW954" s="239"/>
      <c r="AX954" s="239"/>
      <c r="AY954" s="239"/>
      <c r="AZ954" s="239"/>
      <c r="BA954" s="239"/>
      <c r="BB954" s="239"/>
      <c r="BC954" s="239"/>
      <c r="BD954" s="239"/>
      <c r="BE954" s="239"/>
      <c r="BF954" s="239"/>
      <c r="BG954" s="239"/>
      <c r="BH954" s="239"/>
      <c r="BI954" s="239"/>
      <c r="BJ954" s="239"/>
      <c r="BK954" s="239"/>
      <c r="BL954" s="239"/>
      <c r="BM954" s="239"/>
      <c r="BN954" s="239"/>
      <c r="BO954" s="239"/>
      <c r="BP954" s="239"/>
      <c r="BQ954" s="239"/>
      <c r="BR954" s="239"/>
      <c r="BS954" s="239"/>
      <c r="BT954" s="239"/>
      <c r="BU954" s="239"/>
      <c r="BV954" s="239"/>
      <c r="BW954" s="239"/>
      <c r="BX954" s="239"/>
      <c r="BY954" s="239"/>
      <c r="BZ954" s="239"/>
      <c r="CA954" s="239"/>
      <c r="CB954" s="239"/>
      <c r="CC954" s="239"/>
      <c r="CD954" s="239"/>
      <c r="CE954" s="239"/>
      <c r="CF954" s="239"/>
      <c r="CG954" s="239"/>
    </row>
    <row r="955" spans="1:85" ht="15.75" customHeight="1">
      <c r="A955" s="239"/>
      <c r="B955" s="239"/>
      <c r="C955" s="239"/>
      <c r="D955" s="239"/>
      <c r="E955" s="239"/>
      <c r="F955" s="239"/>
      <c r="G955" s="239"/>
      <c r="H955" s="239"/>
      <c r="I955" s="239"/>
      <c r="J955" s="239"/>
      <c r="K955" s="239"/>
      <c r="L955" s="239"/>
      <c r="M955" s="239"/>
      <c r="N955" s="239"/>
      <c r="O955" s="239"/>
      <c r="P955" s="239"/>
      <c r="Q955" s="239"/>
      <c r="R955" s="239"/>
      <c r="S955" s="239"/>
      <c r="T955" s="239"/>
      <c r="U955" s="239"/>
      <c r="V955" s="239"/>
      <c r="W955" s="239"/>
      <c r="X955" s="239"/>
      <c r="Y955" s="239"/>
      <c r="Z955" s="239"/>
      <c r="AA955" s="239"/>
      <c r="AB955" s="239"/>
      <c r="AC955" s="239"/>
      <c r="AD955" s="239"/>
      <c r="AE955" s="239"/>
      <c r="AF955" s="239"/>
      <c r="AG955" s="239"/>
      <c r="AH955" s="239"/>
      <c r="AI955" s="239"/>
      <c r="AJ955" s="239"/>
      <c r="AK955" s="239"/>
      <c r="AL955" s="239"/>
      <c r="AM955" s="239"/>
      <c r="AN955" s="239"/>
      <c r="AO955" s="239"/>
      <c r="AP955" s="239"/>
      <c r="AQ955" s="239"/>
      <c r="AR955" s="239"/>
      <c r="AS955" s="239"/>
      <c r="AT955" s="239"/>
      <c r="AU955" s="239"/>
      <c r="AV955" s="239"/>
      <c r="AW955" s="239"/>
      <c r="AX955" s="239"/>
      <c r="AY955" s="239"/>
      <c r="AZ955" s="239"/>
      <c r="BA955" s="239"/>
      <c r="BB955" s="239"/>
      <c r="BC955" s="239"/>
      <c r="BD955" s="239"/>
      <c r="BE955" s="239"/>
      <c r="BF955" s="239"/>
      <c r="BG955" s="239"/>
      <c r="BH955" s="239"/>
      <c r="BI955" s="239"/>
      <c r="BJ955" s="239"/>
      <c r="BK955" s="239"/>
      <c r="BL955" s="239"/>
      <c r="BM955" s="239"/>
      <c r="BN955" s="239"/>
      <c r="BO955" s="239"/>
      <c r="BP955" s="239"/>
      <c r="BQ955" s="239"/>
      <c r="BR955" s="239"/>
      <c r="BS955" s="239"/>
      <c r="BT955" s="239"/>
      <c r="BU955" s="239"/>
      <c r="BV955" s="239"/>
      <c r="BW955" s="239"/>
      <c r="BX955" s="239"/>
      <c r="BY955" s="239"/>
      <c r="BZ955" s="239"/>
      <c r="CA955" s="239"/>
      <c r="CB955" s="239"/>
      <c r="CC955" s="239"/>
      <c r="CD955" s="239"/>
      <c r="CE955" s="239"/>
      <c r="CF955" s="239"/>
      <c r="CG955" s="239"/>
    </row>
    <row r="956" spans="1:85" ht="15.75" customHeight="1">
      <c r="A956" s="239"/>
      <c r="B956" s="239"/>
      <c r="C956" s="239"/>
      <c r="D956" s="239"/>
      <c r="E956" s="239"/>
      <c r="F956" s="239"/>
      <c r="G956" s="239"/>
      <c r="H956" s="239"/>
      <c r="I956" s="239"/>
      <c r="J956" s="239"/>
      <c r="K956" s="239"/>
      <c r="L956" s="239"/>
      <c r="M956" s="239"/>
      <c r="N956" s="239"/>
      <c r="O956" s="239"/>
      <c r="P956" s="239"/>
      <c r="Q956" s="239"/>
      <c r="R956" s="239"/>
      <c r="S956" s="239"/>
      <c r="T956" s="239"/>
      <c r="U956" s="239"/>
      <c r="V956" s="239"/>
      <c r="W956" s="239"/>
      <c r="X956" s="239"/>
      <c r="Y956" s="239"/>
      <c r="Z956" s="239"/>
      <c r="AA956" s="239"/>
      <c r="AB956" s="239"/>
      <c r="AC956" s="239"/>
      <c r="AD956" s="239"/>
      <c r="AE956" s="239"/>
      <c r="AF956" s="239"/>
      <c r="AG956" s="239"/>
      <c r="AH956" s="239"/>
      <c r="AI956" s="239"/>
      <c r="AJ956" s="239"/>
      <c r="AK956" s="239"/>
      <c r="AL956" s="239"/>
      <c r="AM956" s="239"/>
      <c r="AN956" s="239"/>
      <c r="AO956" s="239"/>
      <c r="AP956" s="239"/>
      <c r="AQ956" s="239"/>
      <c r="AR956" s="239"/>
      <c r="AS956" s="239"/>
      <c r="AT956" s="239"/>
      <c r="AU956" s="239"/>
      <c r="AV956" s="239"/>
      <c r="AW956" s="239"/>
      <c r="AX956" s="239"/>
      <c r="AY956" s="239"/>
      <c r="AZ956" s="239"/>
      <c r="BA956" s="239"/>
      <c r="BB956" s="239"/>
      <c r="BC956" s="239"/>
      <c r="BD956" s="239"/>
      <c r="BE956" s="239"/>
      <c r="BF956" s="239"/>
      <c r="BG956" s="239"/>
      <c r="BH956" s="239"/>
      <c r="BI956" s="239"/>
      <c r="BJ956" s="239"/>
      <c r="BK956" s="239"/>
      <c r="BL956" s="239"/>
      <c r="BM956" s="239"/>
      <c r="BN956" s="239"/>
      <c r="BO956" s="239"/>
      <c r="BP956" s="239"/>
      <c r="BQ956" s="239"/>
      <c r="BR956" s="239"/>
      <c r="BS956" s="239"/>
      <c r="BT956" s="239"/>
      <c r="BU956" s="239"/>
      <c r="BV956" s="239"/>
      <c r="BW956" s="239"/>
      <c r="BX956" s="239"/>
      <c r="BY956" s="239"/>
      <c r="BZ956" s="239"/>
      <c r="CA956" s="239"/>
      <c r="CB956" s="239"/>
      <c r="CC956" s="239"/>
      <c r="CD956" s="239"/>
      <c r="CE956" s="239"/>
      <c r="CF956" s="239"/>
      <c r="CG956" s="239"/>
    </row>
    <row r="957" spans="1:85" ht="15.75" customHeight="1">
      <c r="A957" s="239"/>
      <c r="B957" s="239"/>
      <c r="C957" s="239"/>
      <c r="D957" s="239"/>
      <c r="E957" s="239"/>
      <c r="F957" s="239"/>
      <c r="G957" s="239"/>
      <c r="H957" s="239"/>
      <c r="I957" s="239"/>
      <c r="J957" s="239"/>
      <c r="K957" s="239"/>
      <c r="L957" s="239"/>
      <c r="M957" s="239"/>
      <c r="N957" s="239"/>
      <c r="O957" s="239"/>
      <c r="P957" s="239"/>
      <c r="Q957" s="239"/>
      <c r="R957" s="239"/>
      <c r="S957" s="239"/>
      <c r="T957" s="239"/>
      <c r="U957" s="239"/>
      <c r="V957" s="239"/>
      <c r="W957" s="239"/>
      <c r="X957" s="239"/>
      <c r="Y957" s="239"/>
      <c r="Z957" s="239"/>
      <c r="AA957" s="239"/>
      <c r="AB957" s="239"/>
      <c r="AC957" s="239"/>
      <c r="AD957" s="239"/>
      <c r="AE957" s="239"/>
      <c r="AF957" s="239"/>
      <c r="AG957" s="239"/>
      <c r="AH957" s="239"/>
      <c r="AI957" s="239"/>
      <c r="AJ957" s="239"/>
      <c r="AK957" s="239"/>
      <c r="AL957" s="239"/>
      <c r="AM957" s="239"/>
      <c r="AN957" s="239"/>
      <c r="AO957" s="239"/>
      <c r="AP957" s="239"/>
      <c r="AQ957" s="239"/>
      <c r="AR957" s="239"/>
      <c r="AS957" s="239"/>
      <c r="AT957" s="239"/>
      <c r="AU957" s="239"/>
      <c r="AV957" s="239"/>
      <c r="AW957" s="239"/>
      <c r="AX957" s="239"/>
      <c r="AY957" s="239"/>
      <c r="AZ957" s="239"/>
      <c r="BA957" s="239"/>
      <c r="BB957" s="239"/>
      <c r="BC957" s="239"/>
      <c r="BD957" s="239"/>
      <c r="BE957" s="239"/>
      <c r="BF957" s="239"/>
      <c r="BG957" s="239"/>
      <c r="BH957" s="239"/>
      <c r="BI957" s="239"/>
      <c r="BJ957" s="239"/>
      <c r="BK957" s="239"/>
      <c r="BL957" s="239"/>
      <c r="BM957" s="239"/>
      <c r="BN957" s="239"/>
      <c r="BO957" s="239"/>
      <c r="BP957" s="239"/>
      <c r="BQ957" s="239"/>
      <c r="BR957" s="239"/>
      <c r="BS957" s="239"/>
      <c r="BT957" s="239"/>
      <c r="BU957" s="239"/>
      <c r="BV957" s="239"/>
      <c r="BW957" s="239"/>
      <c r="BX957" s="239"/>
      <c r="BY957" s="239"/>
      <c r="BZ957" s="239"/>
      <c r="CA957" s="239"/>
      <c r="CB957" s="239"/>
      <c r="CC957" s="239"/>
      <c r="CD957" s="239"/>
      <c r="CE957" s="239"/>
      <c r="CF957" s="239"/>
      <c r="CG957" s="239"/>
    </row>
    <row r="958" spans="1:85" ht="15.75" customHeight="1">
      <c r="A958" s="239"/>
      <c r="B958" s="239"/>
      <c r="C958" s="239"/>
      <c r="D958" s="239"/>
      <c r="E958" s="239"/>
      <c r="F958" s="239"/>
      <c r="G958" s="239"/>
      <c r="H958" s="239"/>
      <c r="I958" s="239"/>
      <c r="J958" s="239"/>
      <c r="K958" s="239"/>
      <c r="L958" s="239"/>
      <c r="M958" s="239"/>
      <c r="N958" s="239"/>
      <c r="O958" s="239"/>
      <c r="P958" s="239"/>
      <c r="Q958" s="239"/>
      <c r="R958" s="239"/>
      <c r="S958" s="239"/>
      <c r="T958" s="239"/>
      <c r="U958" s="239"/>
      <c r="V958" s="239"/>
      <c r="W958" s="239"/>
      <c r="X958" s="239"/>
      <c r="Y958" s="239"/>
      <c r="Z958" s="239"/>
      <c r="AA958" s="239"/>
      <c r="AB958" s="239"/>
      <c r="AC958" s="239"/>
      <c r="AD958" s="239"/>
      <c r="AE958" s="239"/>
      <c r="AF958" s="239"/>
      <c r="AG958" s="239"/>
      <c r="AH958" s="239"/>
      <c r="AI958" s="239"/>
      <c r="AJ958" s="239"/>
      <c r="AK958" s="239"/>
      <c r="AL958" s="239"/>
      <c r="AM958" s="239"/>
      <c r="AN958" s="239"/>
      <c r="AO958" s="239"/>
      <c r="AP958" s="239"/>
      <c r="AQ958" s="239"/>
      <c r="AR958" s="239"/>
      <c r="AS958" s="239"/>
      <c r="AT958" s="239"/>
      <c r="AU958" s="239"/>
      <c r="AV958" s="239"/>
      <c r="AW958" s="239"/>
      <c r="AX958" s="239"/>
      <c r="AY958" s="239"/>
      <c r="AZ958" s="239"/>
      <c r="BA958" s="239"/>
      <c r="BB958" s="239"/>
      <c r="BC958" s="239"/>
      <c r="BD958" s="239"/>
      <c r="BE958" s="239"/>
      <c r="BF958" s="239"/>
      <c r="BG958" s="239"/>
      <c r="BH958" s="239"/>
      <c r="BI958" s="239"/>
      <c r="BJ958" s="239"/>
      <c r="BK958" s="239"/>
      <c r="BL958" s="239"/>
      <c r="BM958" s="239"/>
      <c r="BN958" s="239"/>
      <c r="BO958" s="239"/>
      <c r="BP958" s="239"/>
      <c r="BQ958" s="239"/>
      <c r="BR958" s="239"/>
      <c r="BS958" s="239"/>
      <c r="BT958" s="239"/>
      <c r="BU958" s="239"/>
      <c r="BV958" s="239"/>
      <c r="BW958" s="239"/>
      <c r="BX958" s="239"/>
      <c r="BY958" s="239"/>
      <c r="BZ958" s="239"/>
      <c r="CA958" s="239"/>
      <c r="CB958" s="239"/>
      <c r="CC958" s="239"/>
      <c r="CD958" s="239"/>
      <c r="CE958" s="239"/>
      <c r="CF958" s="239"/>
      <c r="CG958" s="239"/>
    </row>
    <row r="959" spans="1:85" ht="15.75" customHeight="1">
      <c r="A959" s="239"/>
      <c r="B959" s="239"/>
      <c r="C959" s="239"/>
      <c r="D959" s="239"/>
      <c r="E959" s="239"/>
      <c r="F959" s="239"/>
      <c r="G959" s="239"/>
      <c r="H959" s="239"/>
      <c r="I959" s="239"/>
      <c r="J959" s="239"/>
      <c r="K959" s="239"/>
      <c r="L959" s="239"/>
      <c r="M959" s="239"/>
      <c r="N959" s="239"/>
      <c r="O959" s="239"/>
      <c r="P959" s="239"/>
      <c r="Q959" s="239"/>
      <c r="R959" s="239"/>
      <c r="S959" s="239"/>
      <c r="T959" s="239"/>
      <c r="U959" s="239"/>
      <c r="V959" s="239"/>
      <c r="W959" s="239"/>
      <c r="X959" s="239"/>
      <c r="Y959" s="239"/>
      <c r="Z959" s="239"/>
      <c r="AA959" s="239"/>
      <c r="AB959" s="239"/>
      <c r="AC959" s="239"/>
      <c r="AD959" s="239"/>
      <c r="AE959" s="239"/>
      <c r="AF959" s="239"/>
      <c r="AG959" s="239"/>
      <c r="AH959" s="239"/>
      <c r="AI959" s="239"/>
      <c r="AJ959" s="239"/>
      <c r="AK959" s="239"/>
      <c r="AL959" s="239"/>
      <c r="AM959" s="239"/>
      <c r="AN959" s="239"/>
      <c r="AO959" s="239"/>
      <c r="AP959" s="239"/>
      <c r="AQ959" s="239"/>
      <c r="AR959" s="239"/>
      <c r="AS959" s="239"/>
      <c r="AT959" s="239"/>
      <c r="AU959" s="239"/>
      <c r="AV959" s="239"/>
      <c r="AW959" s="239"/>
      <c r="AX959" s="239"/>
      <c r="AY959" s="239"/>
      <c r="AZ959" s="239"/>
      <c r="BA959" s="239"/>
      <c r="BB959" s="239"/>
      <c r="BC959" s="239"/>
      <c r="BD959" s="239"/>
      <c r="BE959" s="239"/>
      <c r="BF959" s="239"/>
      <c r="BG959" s="239"/>
      <c r="BH959" s="239"/>
      <c r="BI959" s="239"/>
      <c r="BJ959" s="239"/>
      <c r="BK959" s="239"/>
      <c r="BL959" s="239"/>
      <c r="BM959" s="239"/>
      <c r="BN959" s="239"/>
      <c r="BO959" s="239"/>
      <c r="BP959" s="239"/>
      <c r="BQ959" s="239"/>
      <c r="BR959" s="239"/>
      <c r="BS959" s="239"/>
      <c r="BT959" s="239"/>
      <c r="BU959" s="239"/>
      <c r="BV959" s="239"/>
      <c r="BW959" s="239"/>
      <c r="BX959" s="239"/>
      <c r="BY959" s="239"/>
      <c r="BZ959" s="239"/>
      <c r="CA959" s="239"/>
      <c r="CB959" s="239"/>
      <c r="CC959" s="239"/>
      <c r="CD959" s="239"/>
      <c r="CE959" s="239"/>
      <c r="CF959" s="239"/>
      <c r="CG959" s="239"/>
    </row>
    <row r="960" spans="1:85" ht="15.75" customHeight="1">
      <c r="A960" s="239"/>
      <c r="B960" s="239"/>
      <c r="C960" s="239"/>
      <c r="D960" s="239"/>
      <c r="E960" s="239"/>
      <c r="F960" s="239"/>
      <c r="G960" s="239"/>
      <c r="H960" s="239"/>
      <c r="I960" s="239"/>
      <c r="J960" s="239"/>
      <c r="K960" s="239"/>
      <c r="L960" s="239"/>
      <c r="M960" s="239"/>
      <c r="N960" s="239"/>
      <c r="O960" s="239"/>
      <c r="P960" s="239"/>
      <c r="Q960" s="239"/>
      <c r="R960" s="239"/>
      <c r="S960" s="239"/>
      <c r="T960" s="239"/>
      <c r="U960" s="239"/>
      <c r="V960" s="239"/>
      <c r="W960" s="239"/>
      <c r="X960" s="239"/>
      <c r="Y960" s="239"/>
      <c r="Z960" s="239"/>
      <c r="AA960" s="239"/>
      <c r="AB960" s="239"/>
      <c r="AC960" s="239"/>
      <c r="AD960" s="239"/>
      <c r="AE960" s="239"/>
      <c r="AF960" s="239"/>
      <c r="AG960" s="239"/>
      <c r="AH960" s="239"/>
      <c r="AI960" s="239"/>
      <c r="AJ960" s="239"/>
      <c r="AK960" s="239"/>
      <c r="AL960" s="239"/>
      <c r="AM960" s="239"/>
      <c r="AN960" s="239"/>
      <c r="AO960" s="239"/>
      <c r="AP960" s="239"/>
      <c r="AQ960" s="239"/>
      <c r="AR960" s="239"/>
      <c r="AS960" s="239"/>
      <c r="AT960" s="239"/>
      <c r="AU960" s="239"/>
      <c r="AV960" s="239"/>
      <c r="AW960" s="239"/>
      <c r="AX960" s="239"/>
      <c r="AY960" s="239"/>
      <c r="AZ960" s="239"/>
      <c r="BA960" s="239"/>
      <c r="BB960" s="239"/>
      <c r="BC960" s="239"/>
      <c r="BD960" s="239"/>
      <c r="BE960" s="239"/>
      <c r="BF960" s="239"/>
      <c r="BG960" s="239"/>
      <c r="BH960" s="239"/>
      <c r="BI960" s="239"/>
      <c r="BJ960" s="239"/>
      <c r="BK960" s="239"/>
      <c r="BL960" s="239"/>
      <c r="BM960" s="239"/>
      <c r="BN960" s="239"/>
      <c r="BO960" s="239"/>
      <c r="BP960" s="239"/>
      <c r="BQ960" s="239"/>
      <c r="BR960" s="239"/>
      <c r="BS960" s="239"/>
      <c r="BT960" s="239"/>
      <c r="BU960" s="239"/>
      <c r="BV960" s="239"/>
      <c r="BW960" s="239"/>
      <c r="BX960" s="239"/>
      <c r="BY960" s="239"/>
      <c r="BZ960" s="239"/>
      <c r="CA960" s="239"/>
      <c r="CB960" s="239"/>
      <c r="CC960" s="239"/>
      <c r="CD960" s="239"/>
      <c r="CE960" s="239"/>
      <c r="CF960" s="239"/>
      <c r="CG960" s="239"/>
    </row>
    <row r="961" spans="1:85" ht="15.75" customHeight="1">
      <c r="A961" s="239"/>
      <c r="B961" s="239"/>
      <c r="C961" s="239"/>
      <c r="D961" s="239"/>
      <c r="E961" s="239"/>
      <c r="F961" s="239"/>
      <c r="G961" s="239"/>
      <c r="H961" s="239"/>
      <c r="I961" s="239"/>
      <c r="J961" s="239"/>
      <c r="K961" s="239"/>
      <c r="L961" s="239"/>
      <c r="M961" s="239"/>
      <c r="N961" s="239"/>
      <c r="O961" s="239"/>
      <c r="P961" s="239"/>
      <c r="Q961" s="239"/>
      <c r="R961" s="239"/>
      <c r="S961" s="239"/>
      <c r="T961" s="239"/>
      <c r="U961" s="239"/>
      <c r="V961" s="239"/>
      <c r="W961" s="239"/>
      <c r="X961" s="239"/>
      <c r="Y961" s="239"/>
      <c r="Z961" s="239"/>
      <c r="AA961" s="239"/>
      <c r="AB961" s="239"/>
      <c r="AC961" s="239"/>
      <c r="AD961" s="239"/>
      <c r="AE961" s="239"/>
      <c r="AF961" s="239"/>
      <c r="AG961" s="239"/>
      <c r="AH961" s="239"/>
      <c r="AI961" s="239"/>
      <c r="AJ961" s="239"/>
      <c r="AK961" s="239"/>
      <c r="AL961" s="239"/>
      <c r="AM961" s="239"/>
      <c r="AN961" s="239"/>
      <c r="AO961" s="239"/>
      <c r="AP961" s="239"/>
      <c r="AQ961" s="239"/>
      <c r="AR961" s="239"/>
      <c r="AS961" s="239"/>
      <c r="AT961" s="239"/>
      <c r="AU961" s="239"/>
      <c r="AV961" s="239"/>
      <c r="AW961" s="239"/>
      <c r="AX961" s="239"/>
      <c r="AY961" s="239"/>
      <c r="AZ961" s="239"/>
      <c r="BA961" s="239"/>
      <c r="BB961" s="239"/>
      <c r="BC961" s="239"/>
      <c r="BD961" s="239"/>
      <c r="BE961" s="239"/>
      <c r="BF961" s="239"/>
      <c r="BG961" s="239"/>
      <c r="BH961" s="239"/>
      <c r="BI961" s="239"/>
      <c r="BJ961" s="239"/>
      <c r="BK961" s="239"/>
      <c r="BL961" s="239"/>
      <c r="BM961" s="239"/>
      <c r="BN961" s="239"/>
      <c r="BO961" s="239"/>
      <c r="BP961" s="239"/>
      <c r="BQ961" s="239"/>
      <c r="BR961" s="239"/>
      <c r="BS961" s="239"/>
      <c r="BT961" s="239"/>
      <c r="BU961" s="239"/>
      <c r="BV961" s="239"/>
      <c r="BW961" s="239"/>
      <c r="BX961" s="239"/>
      <c r="BY961" s="239"/>
      <c r="BZ961" s="239"/>
      <c r="CA961" s="239"/>
      <c r="CB961" s="239"/>
      <c r="CC961" s="239"/>
      <c r="CD961" s="239"/>
      <c r="CE961" s="239"/>
      <c r="CF961" s="239"/>
      <c r="CG961" s="239"/>
    </row>
    <row r="962" spans="1:85" ht="15.75" customHeight="1">
      <c r="A962" s="239"/>
      <c r="B962" s="239"/>
      <c r="C962" s="239"/>
      <c r="D962" s="239"/>
      <c r="E962" s="239"/>
      <c r="F962" s="239"/>
      <c r="G962" s="239"/>
      <c r="H962" s="239"/>
      <c r="I962" s="239"/>
      <c r="J962" s="239"/>
      <c r="K962" s="239"/>
      <c r="L962" s="239"/>
      <c r="M962" s="239"/>
      <c r="N962" s="239"/>
      <c r="O962" s="239"/>
      <c r="P962" s="239"/>
      <c r="Q962" s="239"/>
      <c r="R962" s="239"/>
      <c r="S962" s="239"/>
      <c r="T962" s="239"/>
      <c r="U962" s="239"/>
      <c r="V962" s="239"/>
      <c r="W962" s="239"/>
      <c r="X962" s="239"/>
      <c r="Y962" s="239"/>
      <c r="Z962" s="239"/>
      <c r="AA962" s="239"/>
      <c r="AB962" s="239"/>
      <c r="AC962" s="239"/>
      <c r="AD962" s="239"/>
      <c r="AE962" s="239"/>
      <c r="AF962" s="239"/>
      <c r="AG962" s="239"/>
      <c r="AH962" s="239"/>
      <c r="AI962" s="239"/>
      <c r="AJ962" s="239"/>
      <c r="AK962" s="239"/>
      <c r="AL962" s="239"/>
      <c r="AM962" s="239"/>
      <c r="AN962" s="239"/>
      <c r="AO962" s="239"/>
      <c r="AP962" s="239"/>
      <c r="AQ962" s="239"/>
      <c r="AR962" s="239"/>
      <c r="AS962" s="239"/>
      <c r="AT962" s="239"/>
      <c r="AU962" s="239"/>
      <c r="AV962" s="239"/>
      <c r="AW962" s="239"/>
      <c r="AX962" s="239"/>
      <c r="AY962" s="239"/>
      <c r="AZ962" s="239"/>
      <c r="BA962" s="239"/>
      <c r="BB962" s="239"/>
      <c r="BC962" s="239"/>
      <c r="BD962" s="239"/>
      <c r="BE962" s="239"/>
      <c r="BF962" s="239"/>
      <c r="BG962" s="239"/>
      <c r="BH962" s="239"/>
      <c r="BI962" s="239"/>
      <c r="BJ962" s="239"/>
      <c r="BK962" s="239"/>
      <c r="BL962" s="239"/>
      <c r="BM962" s="239"/>
      <c r="BN962" s="239"/>
      <c r="BO962" s="239"/>
      <c r="BP962" s="239"/>
      <c r="BQ962" s="239"/>
      <c r="BR962" s="239"/>
      <c r="BS962" s="239"/>
      <c r="BT962" s="239"/>
      <c r="BU962" s="239"/>
      <c r="BV962" s="239"/>
      <c r="BW962" s="239"/>
      <c r="BX962" s="239"/>
      <c r="BY962" s="239"/>
      <c r="BZ962" s="239"/>
      <c r="CA962" s="239"/>
      <c r="CB962" s="239"/>
      <c r="CC962" s="239"/>
      <c r="CD962" s="239"/>
      <c r="CE962" s="239"/>
      <c r="CF962" s="239"/>
      <c r="CG962" s="239"/>
    </row>
    <row r="963" spans="1:85" ht="15.75" customHeight="1">
      <c r="A963" s="239"/>
      <c r="B963" s="239"/>
      <c r="C963" s="239"/>
      <c r="D963" s="239"/>
      <c r="E963" s="239"/>
      <c r="F963" s="239"/>
      <c r="G963" s="239"/>
      <c r="H963" s="239"/>
      <c r="I963" s="239"/>
      <c r="J963" s="239"/>
      <c r="K963" s="239"/>
      <c r="L963" s="239"/>
      <c r="M963" s="239"/>
      <c r="N963" s="239"/>
      <c r="O963" s="239"/>
      <c r="P963" s="239"/>
      <c r="Q963" s="239"/>
      <c r="R963" s="239"/>
      <c r="S963" s="239"/>
      <c r="T963" s="239"/>
      <c r="U963" s="239"/>
      <c r="V963" s="239"/>
      <c r="W963" s="239"/>
      <c r="X963" s="239"/>
      <c r="Y963" s="239"/>
      <c r="Z963" s="239"/>
      <c r="AA963" s="239"/>
      <c r="AB963" s="239"/>
      <c r="AC963" s="239"/>
      <c r="AD963" s="239"/>
      <c r="AE963" s="239"/>
      <c r="AF963" s="239"/>
      <c r="AG963" s="239"/>
      <c r="AH963" s="239"/>
      <c r="AI963" s="239"/>
      <c r="AJ963" s="239"/>
      <c r="AK963" s="239"/>
      <c r="AL963" s="239"/>
      <c r="AM963" s="239"/>
      <c r="AN963" s="239"/>
      <c r="AO963" s="239"/>
      <c r="AP963" s="239"/>
      <c r="AQ963" s="239"/>
      <c r="AR963" s="239"/>
      <c r="AS963" s="239"/>
      <c r="AT963" s="239"/>
      <c r="AU963" s="239"/>
      <c r="AV963" s="239"/>
      <c r="AW963" s="239"/>
      <c r="AX963" s="239"/>
      <c r="AY963" s="239"/>
      <c r="AZ963" s="239"/>
      <c r="BA963" s="239"/>
      <c r="BB963" s="239"/>
      <c r="BC963" s="239"/>
      <c r="BD963" s="239"/>
      <c r="BE963" s="239"/>
      <c r="BF963" s="239"/>
      <c r="BG963" s="239"/>
      <c r="BH963" s="239"/>
      <c r="BI963" s="239"/>
      <c r="BJ963" s="239"/>
      <c r="BK963" s="239"/>
      <c r="BL963" s="239"/>
      <c r="BM963" s="239"/>
      <c r="BN963" s="239"/>
      <c r="BO963" s="239"/>
      <c r="BP963" s="239"/>
      <c r="BQ963" s="239"/>
      <c r="BR963" s="239"/>
      <c r="BS963" s="239"/>
      <c r="BT963" s="239"/>
      <c r="BU963" s="239"/>
      <c r="BV963" s="239"/>
      <c r="BW963" s="239"/>
      <c r="BX963" s="239"/>
      <c r="BY963" s="239"/>
      <c r="BZ963" s="239"/>
      <c r="CA963" s="239"/>
      <c r="CB963" s="239"/>
      <c r="CC963" s="239"/>
      <c r="CD963" s="239"/>
      <c r="CE963" s="239"/>
      <c r="CF963" s="239"/>
      <c r="CG963" s="239"/>
    </row>
    <row r="964" spans="1:85" ht="15.75" customHeight="1">
      <c r="A964" s="239"/>
      <c r="B964" s="239"/>
      <c r="C964" s="239"/>
      <c r="D964" s="239"/>
      <c r="E964" s="239"/>
      <c r="F964" s="239"/>
      <c r="G964" s="239"/>
      <c r="H964" s="239"/>
      <c r="I964" s="239"/>
      <c r="J964" s="239"/>
      <c r="K964" s="239"/>
      <c r="L964" s="239"/>
      <c r="M964" s="239"/>
      <c r="N964" s="239"/>
      <c r="O964" s="239"/>
      <c r="P964" s="239"/>
      <c r="Q964" s="239"/>
      <c r="R964" s="239"/>
      <c r="S964" s="239"/>
      <c r="T964" s="239"/>
      <c r="U964" s="239"/>
      <c r="V964" s="239"/>
      <c r="W964" s="239"/>
      <c r="X964" s="239"/>
      <c r="Y964" s="239"/>
      <c r="Z964" s="239"/>
      <c r="AA964" s="239"/>
      <c r="AB964" s="239"/>
      <c r="AC964" s="239"/>
      <c r="AD964" s="239"/>
      <c r="AE964" s="239"/>
      <c r="AF964" s="239"/>
      <c r="AG964" s="239"/>
      <c r="AH964" s="239"/>
      <c r="AI964" s="239"/>
      <c r="AJ964" s="239"/>
      <c r="AK964" s="239"/>
      <c r="AL964" s="239"/>
      <c r="AM964" s="239"/>
      <c r="AN964" s="239"/>
      <c r="AO964" s="239"/>
      <c r="AP964" s="239"/>
      <c r="AQ964" s="239"/>
      <c r="AR964" s="239"/>
      <c r="AS964" s="239"/>
      <c r="AT964" s="239"/>
      <c r="AU964" s="239"/>
      <c r="AV964" s="239"/>
      <c r="AW964" s="239"/>
      <c r="AX964" s="239"/>
      <c r="AY964" s="239"/>
      <c r="AZ964" s="239"/>
      <c r="BA964" s="239"/>
      <c r="BB964" s="239"/>
      <c r="BC964" s="239"/>
      <c r="BD964" s="239"/>
      <c r="BE964" s="239"/>
      <c r="BF964" s="239"/>
      <c r="BG964" s="239"/>
      <c r="BH964" s="239"/>
      <c r="BI964" s="239"/>
      <c r="BJ964" s="239"/>
      <c r="BK964" s="239"/>
      <c r="BL964" s="239"/>
      <c r="BM964" s="239"/>
      <c r="BN964" s="239"/>
      <c r="BO964" s="239"/>
      <c r="BP964" s="239"/>
      <c r="BQ964" s="239"/>
      <c r="BR964" s="239"/>
      <c r="BS964" s="239"/>
      <c r="BT964" s="239"/>
      <c r="BU964" s="239"/>
      <c r="BV964" s="239"/>
      <c r="BW964" s="239"/>
      <c r="BX964" s="239"/>
      <c r="BY964" s="239"/>
      <c r="BZ964" s="239"/>
      <c r="CA964" s="239"/>
      <c r="CB964" s="239"/>
      <c r="CC964" s="239"/>
      <c r="CD964" s="239"/>
      <c r="CE964" s="239"/>
      <c r="CF964" s="239"/>
      <c r="CG964" s="239"/>
    </row>
    <row r="965" spans="1:85" ht="15.75" customHeight="1">
      <c r="A965" s="239"/>
      <c r="B965" s="239"/>
      <c r="C965" s="239"/>
      <c r="D965" s="239"/>
      <c r="E965" s="239"/>
      <c r="F965" s="239"/>
      <c r="G965" s="239"/>
      <c r="H965" s="239"/>
      <c r="I965" s="239"/>
      <c r="J965" s="239"/>
      <c r="K965" s="239"/>
      <c r="L965" s="239"/>
      <c r="M965" s="239"/>
      <c r="N965" s="239"/>
      <c r="O965" s="239"/>
      <c r="P965" s="239"/>
      <c r="Q965" s="239"/>
      <c r="R965" s="239"/>
      <c r="S965" s="239"/>
      <c r="T965" s="239"/>
      <c r="U965" s="239"/>
      <c r="V965" s="239"/>
      <c r="W965" s="239"/>
      <c r="X965" s="239"/>
      <c r="Y965" s="239"/>
      <c r="Z965" s="239"/>
      <c r="AA965" s="239"/>
      <c r="AB965" s="239"/>
      <c r="AC965" s="239"/>
      <c r="AD965" s="239"/>
      <c r="AE965" s="239"/>
      <c r="AF965" s="239"/>
      <c r="AG965" s="239"/>
      <c r="AH965" s="239"/>
      <c r="AI965" s="239"/>
      <c r="AJ965" s="239"/>
      <c r="AK965" s="239"/>
      <c r="AL965" s="239"/>
      <c r="AM965" s="239"/>
      <c r="AN965" s="239"/>
      <c r="AO965" s="239"/>
      <c r="AP965" s="239"/>
      <c r="AQ965" s="239"/>
      <c r="AR965" s="239"/>
      <c r="AS965" s="239"/>
      <c r="AT965" s="239"/>
      <c r="AU965" s="239"/>
      <c r="AV965" s="239"/>
      <c r="AW965" s="239"/>
      <c r="AX965" s="239"/>
      <c r="AY965" s="239"/>
      <c r="AZ965" s="239"/>
      <c r="BA965" s="239"/>
      <c r="BB965" s="239"/>
      <c r="BC965" s="239"/>
      <c r="BD965" s="239"/>
      <c r="BE965" s="239"/>
      <c r="BF965" s="239"/>
      <c r="BG965" s="239"/>
      <c r="BH965" s="239"/>
      <c r="BI965" s="239"/>
      <c r="BJ965" s="239"/>
      <c r="BK965" s="239"/>
      <c r="BL965" s="239"/>
      <c r="BM965" s="239"/>
      <c r="BN965" s="239"/>
      <c r="BO965" s="239"/>
      <c r="BP965" s="239"/>
      <c r="BQ965" s="239"/>
      <c r="BR965" s="239"/>
      <c r="BS965" s="239"/>
      <c r="BT965" s="239"/>
      <c r="BU965" s="239"/>
      <c r="BV965" s="239"/>
      <c r="BW965" s="239"/>
      <c r="BX965" s="239"/>
      <c r="BY965" s="239"/>
      <c r="BZ965" s="239"/>
      <c r="CA965" s="239"/>
      <c r="CB965" s="239"/>
      <c r="CC965" s="239"/>
      <c r="CD965" s="239"/>
      <c r="CE965" s="239"/>
      <c r="CF965" s="239"/>
      <c r="CG965" s="239"/>
    </row>
    <row r="966" spans="1:85" ht="15.75" customHeight="1">
      <c r="A966" s="239"/>
      <c r="B966" s="239"/>
      <c r="C966" s="239"/>
      <c r="D966" s="239"/>
      <c r="E966" s="239"/>
      <c r="F966" s="239"/>
      <c r="G966" s="239"/>
      <c r="H966" s="239"/>
      <c r="I966" s="239"/>
      <c r="J966" s="239"/>
      <c r="K966" s="239"/>
      <c r="L966" s="239"/>
      <c r="M966" s="239"/>
      <c r="N966" s="239"/>
      <c r="O966" s="239"/>
      <c r="P966" s="239"/>
      <c r="Q966" s="239"/>
      <c r="R966" s="239"/>
      <c r="S966" s="239"/>
      <c r="T966" s="239"/>
      <c r="U966" s="239"/>
      <c r="V966" s="239"/>
      <c r="W966" s="239"/>
      <c r="X966" s="239"/>
      <c r="Y966" s="239"/>
      <c r="Z966" s="239"/>
      <c r="AA966" s="239"/>
      <c r="AB966" s="239"/>
      <c r="AC966" s="239"/>
      <c r="AD966" s="239"/>
      <c r="AE966" s="239"/>
      <c r="AF966" s="239"/>
      <c r="AG966" s="239"/>
      <c r="AH966" s="239"/>
      <c r="AI966" s="239"/>
      <c r="AJ966" s="239"/>
      <c r="AK966" s="239"/>
      <c r="AL966" s="239"/>
      <c r="AM966" s="239"/>
      <c r="AN966" s="239"/>
      <c r="AO966" s="239"/>
      <c r="AP966" s="239"/>
      <c r="AQ966" s="239"/>
      <c r="AR966" s="239"/>
      <c r="AS966" s="239"/>
      <c r="AT966" s="239"/>
      <c r="AU966" s="239"/>
      <c r="AV966" s="239"/>
      <c r="AW966" s="239"/>
      <c r="AX966" s="239"/>
      <c r="AY966" s="239"/>
      <c r="AZ966" s="239"/>
      <c r="BA966" s="239"/>
      <c r="BB966" s="239"/>
      <c r="BC966" s="239"/>
      <c r="BD966" s="239"/>
      <c r="BE966" s="239"/>
      <c r="BF966" s="239"/>
      <c r="BG966" s="239"/>
      <c r="BH966" s="239"/>
      <c r="BI966" s="239"/>
      <c r="BJ966" s="239"/>
      <c r="BK966" s="239"/>
      <c r="BL966" s="239"/>
      <c r="BM966" s="239"/>
      <c r="BN966" s="239"/>
      <c r="BO966" s="239"/>
      <c r="BP966" s="239"/>
      <c r="BQ966" s="239"/>
      <c r="BR966" s="239"/>
      <c r="BS966" s="239"/>
      <c r="BT966" s="239"/>
      <c r="BU966" s="239"/>
      <c r="BV966" s="239"/>
      <c r="BW966" s="239"/>
      <c r="BX966" s="239"/>
      <c r="BY966" s="239"/>
      <c r="BZ966" s="239"/>
      <c r="CA966" s="239"/>
      <c r="CB966" s="239"/>
      <c r="CC966" s="239"/>
      <c r="CD966" s="239"/>
      <c r="CE966" s="239"/>
      <c r="CF966" s="239"/>
      <c r="CG966" s="239"/>
    </row>
    <row r="967" spans="1:85" ht="15.75" customHeight="1">
      <c r="A967" s="239"/>
      <c r="B967" s="239"/>
      <c r="C967" s="239"/>
      <c r="D967" s="239"/>
      <c r="E967" s="239"/>
      <c r="F967" s="239"/>
      <c r="G967" s="239"/>
      <c r="H967" s="239"/>
      <c r="I967" s="239"/>
      <c r="J967" s="239"/>
      <c r="K967" s="239"/>
      <c r="L967" s="239"/>
      <c r="M967" s="239"/>
      <c r="N967" s="239"/>
      <c r="O967" s="239"/>
      <c r="P967" s="239"/>
      <c r="Q967" s="239"/>
      <c r="R967" s="239"/>
      <c r="S967" s="239"/>
      <c r="T967" s="239"/>
      <c r="U967" s="239"/>
      <c r="V967" s="239"/>
      <c r="W967" s="239"/>
      <c r="X967" s="239"/>
      <c r="Y967" s="239"/>
      <c r="Z967" s="239"/>
      <c r="AA967" s="239"/>
      <c r="AB967" s="239"/>
      <c r="AC967" s="239"/>
      <c r="AD967" s="239"/>
      <c r="AE967" s="239"/>
      <c r="AF967" s="239"/>
      <c r="AG967" s="239"/>
      <c r="AH967" s="239"/>
      <c r="AI967" s="239"/>
      <c r="AJ967" s="239"/>
      <c r="AK967" s="239"/>
      <c r="AL967" s="239"/>
      <c r="AM967" s="239"/>
      <c r="AN967" s="239"/>
      <c r="AO967" s="239"/>
      <c r="AP967" s="239"/>
      <c r="AQ967" s="239"/>
      <c r="AR967" s="239"/>
      <c r="AS967" s="239"/>
      <c r="AT967" s="239"/>
      <c r="AU967" s="239"/>
      <c r="AV967" s="239"/>
      <c r="AW967" s="239"/>
      <c r="AX967" s="239"/>
      <c r="AY967" s="239"/>
      <c r="AZ967" s="239"/>
      <c r="BA967" s="239"/>
      <c r="BB967" s="239"/>
      <c r="BC967" s="239"/>
      <c r="BD967" s="239"/>
      <c r="BE967" s="239"/>
      <c r="BF967" s="239"/>
      <c r="BG967" s="239"/>
      <c r="BH967" s="239"/>
      <c r="BI967" s="239"/>
      <c r="BJ967" s="239"/>
      <c r="BK967" s="239"/>
      <c r="BL967" s="239"/>
      <c r="BM967" s="239"/>
      <c r="BN967" s="239"/>
      <c r="BO967" s="239"/>
      <c r="BP967" s="239"/>
      <c r="BQ967" s="239"/>
      <c r="BR967" s="239"/>
      <c r="BS967" s="239"/>
      <c r="BT967" s="239"/>
      <c r="BU967" s="239"/>
      <c r="BV967" s="239"/>
      <c r="BW967" s="239"/>
      <c r="BX967" s="239"/>
      <c r="BY967" s="239"/>
      <c r="BZ967" s="239"/>
      <c r="CA967" s="239"/>
      <c r="CB967" s="239"/>
      <c r="CC967" s="239"/>
      <c r="CD967" s="239"/>
      <c r="CE967" s="239"/>
      <c r="CF967" s="239"/>
      <c r="CG967" s="239"/>
    </row>
    <row r="968" spans="1:85" ht="15.75" customHeight="1">
      <c r="A968" s="239"/>
      <c r="B968" s="239"/>
      <c r="C968" s="239"/>
      <c r="D968" s="239"/>
      <c r="E968" s="239"/>
      <c r="F968" s="239"/>
      <c r="G968" s="239"/>
      <c r="H968" s="239"/>
      <c r="I968" s="239"/>
      <c r="J968" s="239"/>
      <c r="K968" s="239"/>
      <c r="L968" s="239"/>
      <c r="M968" s="239"/>
      <c r="N968" s="239"/>
      <c r="O968" s="239"/>
      <c r="P968" s="239"/>
      <c r="Q968" s="239"/>
      <c r="R968" s="239"/>
      <c r="S968" s="239"/>
      <c r="T968" s="239"/>
      <c r="U968" s="239"/>
      <c r="V968" s="239"/>
      <c r="W968" s="239"/>
      <c r="X968" s="239"/>
      <c r="Y968" s="239"/>
      <c r="Z968" s="239"/>
      <c r="AA968" s="239"/>
      <c r="AB968" s="239"/>
      <c r="AC968" s="239"/>
      <c r="AD968" s="239"/>
      <c r="AE968" s="239"/>
      <c r="AF968" s="239"/>
      <c r="AG968" s="239"/>
      <c r="AH968" s="239"/>
      <c r="AI968" s="239"/>
      <c r="AJ968" s="239"/>
      <c r="AK968" s="239"/>
      <c r="AL968" s="239"/>
      <c r="AM968" s="239"/>
      <c r="AN968" s="239"/>
      <c r="AO968" s="239"/>
      <c r="AP968" s="239"/>
      <c r="AQ968" s="239"/>
      <c r="AR968" s="239"/>
      <c r="AS968" s="239"/>
      <c r="AT968" s="239"/>
      <c r="AU968" s="239"/>
      <c r="AV968" s="239"/>
      <c r="AW968" s="239"/>
      <c r="AX968" s="239"/>
      <c r="AY968" s="239"/>
      <c r="AZ968" s="239"/>
      <c r="BA968" s="239"/>
      <c r="BB968" s="239"/>
      <c r="BC968" s="239"/>
      <c r="BD968" s="239"/>
      <c r="BE968" s="239"/>
      <c r="BF968" s="239"/>
      <c r="BG968" s="239"/>
      <c r="BH968" s="239"/>
      <c r="BI968" s="239"/>
      <c r="BJ968" s="239"/>
      <c r="BK968" s="239"/>
      <c r="BL968" s="239"/>
      <c r="BM968" s="239"/>
      <c r="BN968" s="239"/>
      <c r="BO968" s="239"/>
      <c r="BP968" s="239"/>
      <c r="BQ968" s="239"/>
      <c r="BR968" s="239"/>
      <c r="BS968" s="239"/>
      <c r="BT968" s="239"/>
      <c r="BU968" s="239"/>
      <c r="BV968" s="239"/>
      <c r="BW968" s="239"/>
      <c r="BX968" s="239"/>
      <c r="BY968" s="239"/>
      <c r="BZ968" s="239"/>
      <c r="CA968" s="239"/>
      <c r="CB968" s="239"/>
      <c r="CC968" s="239"/>
      <c r="CD968" s="239"/>
      <c r="CE968" s="239"/>
      <c r="CF968" s="239"/>
      <c r="CG968" s="239"/>
    </row>
    <row r="969" spans="1:85" ht="15.75" customHeight="1">
      <c r="A969" s="239"/>
      <c r="B969" s="239"/>
      <c r="C969" s="239"/>
      <c r="D969" s="239"/>
      <c r="E969" s="239"/>
      <c r="F969" s="239"/>
      <c r="G969" s="239"/>
      <c r="H969" s="239"/>
      <c r="I969" s="239"/>
      <c r="J969" s="239"/>
      <c r="K969" s="239"/>
      <c r="L969" s="239"/>
      <c r="M969" s="239"/>
      <c r="N969" s="239"/>
      <c r="O969" s="239"/>
      <c r="P969" s="239"/>
      <c r="Q969" s="239"/>
      <c r="R969" s="239"/>
      <c r="S969" s="239"/>
      <c r="T969" s="239"/>
      <c r="U969" s="239"/>
      <c r="V969" s="239"/>
      <c r="W969" s="239"/>
      <c r="X969" s="239"/>
      <c r="Y969" s="239"/>
      <c r="Z969" s="239"/>
      <c r="AA969" s="239"/>
      <c r="AB969" s="239"/>
      <c r="AC969" s="239"/>
      <c r="AD969" s="239"/>
      <c r="AE969" s="239"/>
      <c r="AF969" s="239"/>
      <c r="AG969" s="239"/>
      <c r="AH969" s="239"/>
      <c r="AI969" s="239"/>
      <c r="AJ969" s="239"/>
      <c r="AK969" s="239"/>
      <c r="AL969" s="239"/>
      <c r="AM969" s="239"/>
      <c r="AN969" s="239"/>
      <c r="AO969" s="239"/>
      <c r="AP969" s="239"/>
      <c r="AQ969" s="239"/>
      <c r="AR969" s="239"/>
      <c r="AS969" s="239"/>
      <c r="AT969" s="239"/>
      <c r="AU969" s="239"/>
      <c r="AV969" s="239"/>
      <c r="AW969" s="239"/>
      <c r="AX969" s="239"/>
      <c r="AY969" s="239"/>
      <c r="AZ969" s="239"/>
      <c r="BA969" s="239"/>
      <c r="BB969" s="239"/>
      <c r="BC969" s="239"/>
      <c r="BD969" s="239"/>
      <c r="BE969" s="239"/>
      <c r="BF969" s="239"/>
      <c r="BG969" s="239"/>
      <c r="BH969" s="239"/>
      <c r="BI969" s="239"/>
      <c r="BJ969" s="239"/>
      <c r="BK969" s="239"/>
      <c r="BL969" s="239"/>
      <c r="BM969" s="239"/>
      <c r="BN969" s="239"/>
      <c r="BO969" s="239"/>
      <c r="BP969" s="239"/>
      <c r="BQ969" s="239"/>
      <c r="BR969" s="239"/>
      <c r="BS969" s="239"/>
      <c r="BT969" s="239"/>
      <c r="BU969" s="239"/>
      <c r="BV969" s="239"/>
      <c r="BW969" s="239"/>
      <c r="BX969" s="239"/>
      <c r="BY969" s="239"/>
      <c r="BZ969" s="239"/>
      <c r="CA969" s="239"/>
      <c r="CB969" s="239"/>
      <c r="CC969" s="239"/>
      <c r="CD969" s="239"/>
      <c r="CE969" s="239"/>
      <c r="CF969" s="239"/>
      <c r="CG969" s="239"/>
    </row>
    <row r="970" spans="1:85" ht="15.75" customHeight="1">
      <c r="A970" s="239"/>
      <c r="B970" s="239"/>
      <c r="C970" s="239"/>
      <c r="D970" s="239"/>
      <c r="E970" s="239"/>
      <c r="F970" s="239"/>
      <c r="G970" s="239"/>
      <c r="H970" s="239"/>
      <c r="I970" s="239"/>
      <c r="J970" s="239"/>
      <c r="K970" s="239"/>
      <c r="L970" s="239"/>
      <c r="M970" s="239"/>
      <c r="N970" s="239"/>
      <c r="O970" s="239"/>
      <c r="P970" s="239"/>
      <c r="Q970" s="239"/>
      <c r="R970" s="239"/>
      <c r="S970" s="239"/>
      <c r="T970" s="239"/>
      <c r="U970" s="239"/>
      <c r="V970" s="239"/>
      <c r="W970" s="239"/>
      <c r="X970" s="239"/>
      <c r="Y970" s="239"/>
      <c r="Z970" s="239"/>
      <c r="AA970" s="239"/>
      <c r="AB970" s="239"/>
      <c r="AC970" s="239"/>
      <c r="AD970" s="239"/>
      <c r="AE970" s="239"/>
      <c r="AF970" s="239"/>
      <c r="AG970" s="239"/>
      <c r="AH970" s="239"/>
      <c r="AI970" s="239"/>
      <c r="AJ970" s="239"/>
      <c r="AK970" s="239"/>
      <c r="AL970" s="239"/>
      <c r="AM970" s="239"/>
      <c r="AN970" s="239"/>
      <c r="AO970" s="239"/>
      <c r="AP970" s="239"/>
      <c r="AQ970" s="239"/>
      <c r="AR970" s="239"/>
      <c r="AS970" s="239"/>
      <c r="AT970" s="239"/>
      <c r="AU970" s="239"/>
      <c r="AV970" s="239"/>
      <c r="AW970" s="239"/>
      <c r="AX970" s="239"/>
      <c r="AY970" s="239"/>
      <c r="AZ970" s="239"/>
      <c r="BA970" s="239"/>
      <c r="BB970" s="239"/>
      <c r="BC970" s="239"/>
      <c r="BD970" s="239"/>
      <c r="BE970" s="239"/>
      <c r="BF970" s="239"/>
      <c r="BG970" s="239"/>
      <c r="BH970" s="239"/>
      <c r="BI970" s="239"/>
      <c r="BJ970" s="239"/>
      <c r="BK970" s="239"/>
      <c r="BL970" s="239"/>
      <c r="BM970" s="239"/>
      <c r="BN970" s="239"/>
      <c r="BO970" s="239"/>
      <c r="BP970" s="239"/>
      <c r="BQ970" s="239"/>
      <c r="BR970" s="239"/>
      <c r="BS970" s="239"/>
      <c r="BT970" s="239"/>
      <c r="BU970" s="239"/>
      <c r="BV970" s="239"/>
      <c r="BW970" s="239"/>
      <c r="BX970" s="239"/>
      <c r="BY970" s="239"/>
      <c r="BZ970" s="239"/>
      <c r="CA970" s="239"/>
      <c r="CB970" s="239"/>
      <c r="CC970" s="239"/>
      <c r="CD970" s="239"/>
      <c r="CE970" s="239"/>
      <c r="CF970" s="239"/>
      <c r="CG970" s="239"/>
    </row>
    <row r="971" spans="1:85" ht="15.75" customHeight="1">
      <c r="A971" s="239"/>
      <c r="B971" s="239"/>
      <c r="C971" s="239"/>
      <c r="D971" s="239"/>
      <c r="E971" s="239"/>
      <c r="F971" s="239"/>
      <c r="G971" s="239"/>
      <c r="H971" s="239"/>
      <c r="I971" s="239"/>
      <c r="J971" s="239"/>
      <c r="K971" s="239"/>
      <c r="L971" s="239"/>
      <c r="M971" s="239"/>
      <c r="N971" s="239"/>
      <c r="O971" s="239"/>
      <c r="P971" s="239"/>
      <c r="Q971" s="239"/>
      <c r="R971" s="239"/>
      <c r="S971" s="239"/>
      <c r="T971" s="239"/>
      <c r="U971" s="239"/>
      <c r="V971" s="239"/>
      <c r="W971" s="239"/>
      <c r="X971" s="239"/>
      <c r="Y971" s="239"/>
      <c r="Z971" s="239"/>
      <c r="AA971" s="239"/>
      <c r="AB971" s="239"/>
      <c r="AC971" s="239"/>
      <c r="AD971" s="239"/>
      <c r="AE971" s="239"/>
      <c r="AF971" s="239"/>
      <c r="AG971" s="239"/>
      <c r="AH971" s="239"/>
      <c r="AI971" s="239"/>
      <c r="AJ971" s="239"/>
      <c r="AK971" s="239"/>
      <c r="AL971" s="239"/>
      <c r="AM971" s="239"/>
      <c r="AN971" s="239"/>
      <c r="AO971" s="239"/>
      <c r="AP971" s="239"/>
      <c r="AQ971" s="239"/>
      <c r="AR971" s="239"/>
      <c r="AS971" s="239"/>
      <c r="AT971" s="239"/>
      <c r="AU971" s="239"/>
      <c r="AV971" s="239"/>
      <c r="AW971" s="239"/>
      <c r="AX971" s="239"/>
      <c r="AY971" s="239"/>
      <c r="AZ971" s="239"/>
      <c r="BA971" s="239"/>
      <c r="BB971" s="239"/>
      <c r="BC971" s="239"/>
      <c r="BD971" s="239"/>
      <c r="BE971" s="239"/>
      <c r="BF971" s="239"/>
      <c r="BG971" s="239"/>
      <c r="BH971" s="239"/>
      <c r="BI971" s="239"/>
      <c r="BJ971" s="239"/>
      <c r="BK971" s="239"/>
      <c r="BL971" s="239"/>
      <c r="BM971" s="239"/>
      <c r="BN971" s="239"/>
      <c r="BO971" s="239"/>
      <c r="BP971" s="239"/>
      <c r="BQ971" s="239"/>
      <c r="BR971" s="239"/>
      <c r="BS971" s="239"/>
      <c r="BT971" s="239"/>
      <c r="BU971" s="239"/>
      <c r="BV971" s="239"/>
      <c r="BW971" s="239"/>
      <c r="BX971" s="239"/>
      <c r="BY971" s="239"/>
      <c r="BZ971" s="239"/>
      <c r="CA971" s="239"/>
      <c r="CB971" s="239"/>
      <c r="CC971" s="239"/>
      <c r="CD971" s="239"/>
      <c r="CE971" s="239"/>
      <c r="CF971" s="239"/>
      <c r="CG971" s="239"/>
    </row>
    <row r="972" spans="1:85" ht="15.75" customHeight="1">
      <c r="A972" s="239"/>
      <c r="B972" s="239"/>
      <c r="C972" s="239"/>
      <c r="D972" s="239"/>
      <c r="E972" s="239"/>
      <c r="F972" s="239"/>
      <c r="G972" s="239"/>
      <c r="H972" s="239"/>
      <c r="I972" s="239"/>
      <c r="J972" s="239"/>
      <c r="K972" s="239"/>
      <c r="L972" s="239"/>
      <c r="M972" s="239"/>
      <c r="N972" s="239"/>
      <c r="O972" s="239"/>
      <c r="P972" s="239"/>
      <c r="Q972" s="239"/>
      <c r="R972" s="239"/>
      <c r="S972" s="239"/>
      <c r="T972" s="239"/>
      <c r="U972" s="239"/>
      <c r="V972" s="239"/>
      <c r="W972" s="239"/>
      <c r="X972" s="239"/>
      <c r="Y972" s="239"/>
      <c r="Z972" s="239"/>
      <c r="AA972" s="239"/>
      <c r="AB972" s="239"/>
      <c r="AC972" s="239"/>
      <c r="AD972" s="239"/>
      <c r="AE972" s="239"/>
      <c r="AF972" s="239"/>
      <c r="AG972" s="239"/>
      <c r="AH972" s="239"/>
      <c r="AI972" s="239"/>
      <c r="AJ972" s="239"/>
      <c r="AK972" s="239"/>
      <c r="AL972" s="239"/>
      <c r="AM972" s="239"/>
      <c r="AN972" s="239"/>
      <c r="AO972" s="239"/>
      <c r="AP972" s="239"/>
      <c r="AQ972" s="239"/>
      <c r="AR972" s="239"/>
      <c r="AS972" s="239"/>
      <c r="AT972" s="239"/>
      <c r="AU972" s="239"/>
      <c r="AV972" s="239"/>
      <c r="AW972" s="239"/>
      <c r="AX972" s="239"/>
      <c r="AY972" s="239"/>
      <c r="AZ972" s="239"/>
      <c r="BA972" s="239"/>
      <c r="BB972" s="239"/>
      <c r="BC972" s="239"/>
      <c r="BD972" s="239"/>
      <c r="BE972" s="239"/>
      <c r="BF972" s="239"/>
      <c r="BG972" s="239"/>
      <c r="BH972" s="239"/>
      <c r="BI972" s="239"/>
      <c r="BJ972" s="239"/>
      <c r="BK972" s="239"/>
      <c r="BL972" s="239"/>
      <c r="BM972" s="239"/>
      <c r="BN972" s="239"/>
      <c r="BO972" s="239"/>
      <c r="BP972" s="239"/>
      <c r="BQ972" s="239"/>
      <c r="BR972" s="239"/>
      <c r="BS972" s="239"/>
      <c r="BT972" s="239"/>
      <c r="BU972" s="239"/>
      <c r="BV972" s="239"/>
      <c r="BW972" s="239"/>
      <c r="BX972" s="239"/>
      <c r="BY972" s="239"/>
      <c r="BZ972" s="239"/>
      <c r="CA972" s="239"/>
      <c r="CB972" s="239"/>
      <c r="CC972" s="239"/>
      <c r="CD972" s="239"/>
      <c r="CE972" s="239"/>
      <c r="CF972" s="239"/>
      <c r="CG972" s="239"/>
    </row>
    <row r="973" spans="1:85" ht="15.75" customHeight="1">
      <c r="A973" s="239"/>
      <c r="B973" s="239"/>
      <c r="C973" s="239"/>
      <c r="D973" s="239"/>
      <c r="E973" s="239"/>
      <c r="F973" s="239"/>
      <c r="G973" s="239"/>
      <c r="H973" s="239"/>
      <c r="I973" s="239"/>
      <c r="J973" s="239"/>
      <c r="K973" s="239"/>
      <c r="L973" s="239"/>
      <c r="M973" s="239"/>
      <c r="N973" s="239"/>
      <c r="O973" s="239"/>
      <c r="P973" s="239"/>
      <c r="Q973" s="239"/>
      <c r="R973" s="239"/>
      <c r="S973" s="239"/>
      <c r="T973" s="239"/>
      <c r="U973" s="239"/>
      <c r="V973" s="239"/>
      <c r="W973" s="239"/>
      <c r="X973" s="239"/>
      <c r="Y973" s="239"/>
      <c r="Z973" s="239"/>
      <c r="AA973" s="239"/>
      <c r="AB973" s="239"/>
      <c r="AC973" s="239"/>
      <c r="AD973" s="239"/>
      <c r="AE973" s="239"/>
      <c r="AF973" s="239"/>
      <c r="AG973" s="239"/>
      <c r="AH973" s="239"/>
      <c r="AI973" s="239"/>
      <c r="AJ973" s="239"/>
      <c r="AK973" s="239"/>
      <c r="AL973" s="239"/>
      <c r="AM973" s="239"/>
      <c r="AN973" s="239"/>
      <c r="AO973" s="239"/>
      <c r="AP973" s="239"/>
      <c r="AQ973" s="239"/>
      <c r="AR973" s="239"/>
      <c r="AS973" s="239"/>
      <c r="AT973" s="239"/>
      <c r="AU973" s="239"/>
      <c r="AV973" s="239"/>
      <c r="AW973" s="239"/>
      <c r="AX973" s="239"/>
      <c r="AY973" s="239"/>
      <c r="AZ973" s="239"/>
      <c r="BA973" s="239"/>
      <c r="BB973" s="239"/>
      <c r="BC973" s="239"/>
      <c r="BD973" s="239"/>
      <c r="BE973" s="239"/>
      <c r="BF973" s="239"/>
      <c r="BG973" s="239"/>
      <c r="BH973" s="239"/>
      <c r="BI973" s="239"/>
      <c r="BJ973" s="239"/>
      <c r="BK973" s="239"/>
      <c r="BL973" s="239"/>
      <c r="BM973" s="239"/>
      <c r="BN973" s="239"/>
      <c r="BO973" s="239"/>
      <c r="BP973" s="239"/>
      <c r="BQ973" s="239"/>
      <c r="BR973" s="239"/>
      <c r="BS973" s="239"/>
      <c r="BT973" s="239"/>
      <c r="BU973" s="239"/>
      <c r="BV973" s="239"/>
      <c r="BW973" s="239"/>
      <c r="BX973" s="239"/>
      <c r="BY973" s="239"/>
      <c r="BZ973" s="239"/>
      <c r="CA973" s="239"/>
      <c r="CB973" s="239"/>
      <c r="CC973" s="239"/>
      <c r="CD973" s="239"/>
      <c r="CE973" s="239"/>
      <c r="CF973" s="239"/>
      <c r="CG973" s="239"/>
    </row>
    <row r="974" spans="1:85" ht="15.75" customHeight="1">
      <c r="A974" s="239"/>
      <c r="B974" s="239"/>
      <c r="C974" s="239"/>
      <c r="D974" s="239"/>
      <c r="E974" s="239"/>
      <c r="F974" s="239"/>
      <c r="G974" s="239"/>
      <c r="H974" s="239"/>
      <c r="I974" s="239"/>
      <c r="J974" s="239"/>
      <c r="K974" s="239"/>
      <c r="L974" s="239"/>
      <c r="M974" s="239"/>
      <c r="N974" s="239"/>
      <c r="O974" s="239"/>
      <c r="P974" s="239"/>
      <c r="Q974" s="239"/>
      <c r="R974" s="239"/>
      <c r="S974" s="239"/>
      <c r="T974" s="239"/>
      <c r="U974" s="239"/>
      <c r="V974" s="239"/>
      <c r="W974" s="239"/>
      <c r="X974" s="239"/>
      <c r="Y974" s="239"/>
      <c r="Z974" s="239"/>
      <c r="AA974" s="239"/>
      <c r="AB974" s="239"/>
      <c r="AC974" s="239"/>
      <c r="AD974" s="239"/>
      <c r="AE974" s="239"/>
      <c r="AF974" s="239"/>
      <c r="AG974" s="239"/>
      <c r="AH974" s="239"/>
      <c r="AI974" s="239"/>
      <c r="AJ974" s="239"/>
      <c r="AK974" s="239"/>
      <c r="AL974" s="239"/>
      <c r="AM974" s="239"/>
      <c r="AN974" s="239"/>
      <c r="AO974" s="239"/>
      <c r="AP974" s="239"/>
      <c r="AQ974" s="239"/>
      <c r="AR974" s="239"/>
      <c r="AS974" s="239"/>
      <c r="AT974" s="239"/>
      <c r="AU974" s="239"/>
      <c r="AV974" s="239"/>
      <c r="AW974" s="239"/>
      <c r="AX974" s="239"/>
      <c r="AY974" s="239"/>
      <c r="AZ974" s="239"/>
      <c r="BA974" s="239"/>
      <c r="BB974" s="239"/>
      <c r="BC974" s="239"/>
      <c r="BD974" s="239"/>
      <c r="BE974" s="239"/>
      <c r="BF974" s="239"/>
      <c r="BG974" s="239"/>
      <c r="BH974" s="239"/>
      <c r="BI974" s="239"/>
      <c r="BJ974" s="239"/>
      <c r="BK974" s="239"/>
      <c r="BL974" s="239"/>
      <c r="BM974" s="239"/>
      <c r="BN974" s="239"/>
      <c r="BO974" s="239"/>
      <c r="BP974" s="239"/>
      <c r="BQ974" s="239"/>
      <c r="BR974" s="239"/>
      <c r="BS974" s="239"/>
      <c r="BT974" s="239"/>
      <c r="BU974" s="239"/>
      <c r="BV974" s="239"/>
      <c r="BW974" s="239"/>
      <c r="BX974" s="239"/>
      <c r="BY974" s="239"/>
      <c r="BZ974" s="239"/>
      <c r="CA974" s="239"/>
      <c r="CB974" s="239"/>
      <c r="CC974" s="239"/>
      <c r="CD974" s="239"/>
      <c r="CE974" s="239"/>
      <c r="CF974" s="239"/>
      <c r="CG974" s="239"/>
    </row>
    <row r="975" spans="1:85" ht="15.75" customHeight="1">
      <c r="A975" s="239"/>
      <c r="B975" s="239"/>
      <c r="C975" s="239"/>
      <c r="D975" s="239"/>
      <c r="E975" s="239"/>
      <c r="F975" s="239"/>
      <c r="G975" s="239"/>
      <c r="H975" s="239"/>
      <c r="I975" s="239"/>
      <c r="J975" s="239"/>
      <c r="K975" s="239"/>
      <c r="L975" s="239"/>
      <c r="M975" s="239"/>
      <c r="N975" s="239"/>
      <c r="O975" s="239"/>
      <c r="P975" s="239"/>
      <c r="Q975" s="239"/>
      <c r="R975" s="239"/>
      <c r="S975" s="239"/>
      <c r="T975" s="239"/>
      <c r="U975" s="239"/>
      <c r="V975" s="239"/>
      <c r="W975" s="239"/>
      <c r="X975" s="239"/>
      <c r="Y975" s="239"/>
      <c r="Z975" s="239"/>
      <c r="AA975" s="239"/>
      <c r="AB975" s="239"/>
      <c r="AC975" s="239"/>
      <c r="AD975" s="239"/>
      <c r="AE975" s="239"/>
      <c r="AF975" s="239"/>
      <c r="AG975" s="239"/>
      <c r="AH975" s="239"/>
      <c r="AI975" s="239"/>
      <c r="AJ975" s="239"/>
      <c r="AK975" s="239"/>
      <c r="AL975" s="239"/>
      <c r="AM975" s="239"/>
      <c r="AN975" s="239"/>
      <c r="AO975" s="239"/>
      <c r="AP975" s="239"/>
      <c r="AQ975" s="239"/>
      <c r="AR975" s="239"/>
      <c r="AS975" s="239"/>
      <c r="AT975" s="239"/>
      <c r="AU975" s="239"/>
      <c r="AV975" s="239"/>
      <c r="AW975" s="239"/>
      <c r="AX975" s="239"/>
      <c r="AY975" s="239"/>
      <c r="AZ975" s="239"/>
      <c r="BA975" s="239"/>
      <c r="BB975" s="239"/>
      <c r="BC975" s="239"/>
      <c r="BD975" s="239"/>
      <c r="BE975" s="239"/>
      <c r="BF975" s="239"/>
      <c r="BG975" s="239"/>
      <c r="BH975" s="239"/>
      <c r="BI975" s="239"/>
      <c r="BJ975" s="239"/>
      <c r="BK975" s="239"/>
      <c r="BL975" s="239"/>
      <c r="BM975" s="239"/>
      <c r="BN975" s="239"/>
      <c r="BO975" s="239"/>
      <c r="BP975" s="239"/>
      <c r="BQ975" s="239"/>
      <c r="BR975" s="239"/>
      <c r="BS975" s="239"/>
      <c r="BT975" s="239"/>
      <c r="BU975" s="239"/>
      <c r="BV975" s="239"/>
      <c r="BW975" s="239"/>
      <c r="BX975" s="239"/>
      <c r="BY975" s="239"/>
      <c r="BZ975" s="239"/>
      <c r="CA975" s="239"/>
      <c r="CB975" s="239"/>
      <c r="CC975" s="239"/>
      <c r="CD975" s="239"/>
      <c r="CE975" s="239"/>
      <c r="CF975" s="239"/>
      <c r="CG975" s="239"/>
    </row>
    <row r="976" spans="1:85" ht="15.75" customHeight="1">
      <c r="A976" s="239"/>
      <c r="B976" s="239"/>
      <c r="C976" s="239"/>
      <c r="D976" s="239"/>
      <c r="E976" s="239"/>
      <c r="F976" s="239"/>
      <c r="G976" s="239"/>
      <c r="H976" s="239"/>
      <c r="I976" s="239"/>
      <c r="J976" s="239"/>
      <c r="K976" s="239"/>
      <c r="L976" s="239"/>
      <c r="M976" s="239"/>
      <c r="N976" s="239"/>
      <c r="O976" s="239"/>
      <c r="P976" s="239"/>
      <c r="Q976" s="239"/>
      <c r="R976" s="239"/>
      <c r="S976" s="239"/>
      <c r="T976" s="239"/>
      <c r="U976" s="239"/>
      <c r="V976" s="239"/>
      <c r="W976" s="239"/>
      <c r="X976" s="239"/>
      <c r="Y976" s="239"/>
      <c r="Z976" s="239"/>
      <c r="AA976" s="239"/>
      <c r="AB976" s="239"/>
      <c r="AC976" s="239"/>
      <c r="AD976" s="239"/>
      <c r="AE976" s="239"/>
      <c r="AF976" s="239"/>
      <c r="AG976" s="239"/>
      <c r="AH976" s="239"/>
      <c r="AI976" s="239"/>
      <c r="AJ976" s="239"/>
      <c r="AK976" s="239"/>
      <c r="AL976" s="239"/>
      <c r="AM976" s="239"/>
      <c r="AN976" s="239"/>
      <c r="AO976" s="239"/>
      <c r="AP976" s="239"/>
      <c r="AQ976" s="239"/>
      <c r="AR976" s="239"/>
      <c r="AS976" s="239"/>
      <c r="AT976" s="239"/>
      <c r="AU976" s="239"/>
      <c r="AV976" s="239"/>
      <c r="AW976" s="239"/>
      <c r="AX976" s="239"/>
      <c r="AY976" s="239"/>
      <c r="AZ976" s="239"/>
      <c r="BA976" s="239"/>
      <c r="BB976" s="239"/>
      <c r="BC976" s="239"/>
      <c r="BD976" s="239"/>
      <c r="BE976" s="239"/>
      <c r="BF976" s="239"/>
      <c r="BG976" s="239"/>
      <c r="BH976" s="239"/>
      <c r="BI976" s="239"/>
      <c r="BJ976" s="239"/>
      <c r="BK976" s="239"/>
      <c r="BL976" s="239"/>
      <c r="BM976" s="239"/>
      <c r="BN976" s="239"/>
      <c r="BO976" s="239"/>
      <c r="BP976" s="239"/>
      <c r="BQ976" s="239"/>
      <c r="BR976" s="239"/>
      <c r="BS976" s="239"/>
      <c r="BT976" s="239"/>
      <c r="BU976" s="239"/>
      <c r="BV976" s="239"/>
      <c r="BW976" s="239"/>
      <c r="BX976" s="239"/>
      <c r="BY976" s="239"/>
      <c r="BZ976" s="239"/>
      <c r="CA976" s="239"/>
      <c r="CB976" s="239"/>
      <c r="CC976" s="239"/>
      <c r="CD976" s="239"/>
      <c r="CE976" s="239"/>
      <c r="CF976" s="239"/>
      <c r="CG976" s="239"/>
    </row>
    <row r="977" spans="1:85" ht="15.75" customHeight="1">
      <c r="A977" s="239"/>
      <c r="B977" s="239"/>
      <c r="C977" s="239"/>
      <c r="D977" s="239"/>
      <c r="E977" s="239"/>
      <c r="F977" s="239"/>
      <c r="G977" s="239"/>
      <c r="H977" s="239"/>
      <c r="I977" s="239"/>
      <c r="J977" s="239"/>
      <c r="K977" s="239"/>
      <c r="L977" s="239"/>
      <c r="M977" s="239"/>
      <c r="N977" s="239"/>
      <c r="O977" s="239"/>
      <c r="P977" s="239"/>
      <c r="Q977" s="239"/>
      <c r="R977" s="239"/>
      <c r="S977" s="239"/>
      <c r="T977" s="239"/>
      <c r="U977" s="239"/>
      <c r="V977" s="239"/>
      <c r="W977" s="239"/>
      <c r="X977" s="239"/>
      <c r="Y977" s="239"/>
      <c r="Z977" s="239"/>
      <c r="AA977" s="239"/>
      <c r="AB977" s="239"/>
      <c r="AC977" s="239"/>
      <c r="AD977" s="239"/>
      <c r="AE977" s="239"/>
      <c r="AF977" s="239"/>
      <c r="AG977" s="239"/>
      <c r="AH977" s="239"/>
      <c r="AI977" s="239"/>
      <c r="AJ977" s="239"/>
      <c r="AK977" s="239"/>
      <c r="AL977" s="239"/>
      <c r="AM977" s="239"/>
      <c r="AN977" s="239"/>
      <c r="AO977" s="239"/>
      <c r="AP977" s="239"/>
      <c r="AQ977" s="239"/>
      <c r="AR977" s="239"/>
      <c r="AS977" s="239"/>
      <c r="AT977" s="239"/>
      <c r="AU977" s="239"/>
      <c r="AV977" s="239"/>
      <c r="AW977" s="239"/>
      <c r="AX977" s="239"/>
      <c r="AY977" s="239"/>
      <c r="AZ977" s="239"/>
      <c r="BA977" s="239"/>
      <c r="BB977" s="239"/>
      <c r="BC977" s="239"/>
      <c r="BD977" s="239"/>
      <c r="BE977" s="239"/>
      <c r="BF977" s="239"/>
      <c r="BG977" s="239"/>
      <c r="BH977" s="239"/>
      <c r="BI977" s="239"/>
      <c r="BJ977" s="239"/>
      <c r="BK977" s="239"/>
      <c r="BL977" s="239"/>
      <c r="BM977" s="239"/>
      <c r="BN977" s="239"/>
      <c r="BO977" s="239"/>
      <c r="BP977" s="239"/>
      <c r="BQ977" s="239"/>
      <c r="BR977" s="239"/>
      <c r="BS977" s="239"/>
      <c r="BT977" s="239"/>
      <c r="BU977" s="239"/>
      <c r="BV977" s="239"/>
      <c r="BW977" s="239"/>
      <c r="BX977" s="239"/>
      <c r="BY977" s="239"/>
      <c r="BZ977" s="239"/>
      <c r="CA977" s="239"/>
      <c r="CB977" s="239"/>
      <c r="CC977" s="239"/>
      <c r="CD977" s="239"/>
      <c r="CE977" s="239"/>
      <c r="CF977" s="239"/>
      <c r="CG977" s="239"/>
    </row>
    <row r="978" spans="1:85" ht="15.75" customHeight="1">
      <c r="A978" s="239"/>
      <c r="B978" s="239"/>
      <c r="C978" s="239"/>
      <c r="D978" s="239"/>
      <c r="E978" s="239"/>
      <c r="F978" s="239"/>
      <c r="G978" s="239"/>
      <c r="H978" s="239"/>
      <c r="I978" s="239"/>
      <c r="J978" s="239"/>
      <c r="K978" s="239"/>
      <c r="L978" s="239"/>
      <c r="M978" s="239"/>
      <c r="N978" s="239"/>
      <c r="O978" s="239"/>
      <c r="P978" s="239"/>
      <c r="Q978" s="239"/>
      <c r="R978" s="239"/>
      <c r="S978" s="239"/>
      <c r="T978" s="239"/>
      <c r="U978" s="239"/>
      <c r="V978" s="239"/>
      <c r="W978" s="239"/>
      <c r="X978" s="239"/>
      <c r="Y978" s="239"/>
      <c r="Z978" s="239"/>
      <c r="AA978" s="239"/>
      <c r="AB978" s="239"/>
      <c r="AC978" s="239"/>
      <c r="AD978" s="239"/>
      <c r="AE978" s="239"/>
      <c r="AF978" s="239"/>
      <c r="AG978" s="239"/>
      <c r="AH978" s="239"/>
      <c r="AI978" s="239"/>
      <c r="AJ978" s="239"/>
      <c r="AK978" s="239"/>
      <c r="AL978" s="239"/>
      <c r="AM978" s="239"/>
      <c r="AN978" s="239"/>
      <c r="AO978" s="239"/>
      <c r="AP978" s="239"/>
      <c r="AQ978" s="239"/>
      <c r="AR978" s="239"/>
      <c r="AS978" s="239"/>
      <c r="AT978" s="239"/>
      <c r="AU978" s="239"/>
      <c r="AV978" s="239"/>
      <c r="AW978" s="239"/>
      <c r="AX978" s="239"/>
      <c r="AY978" s="239"/>
      <c r="AZ978" s="239"/>
      <c r="BA978" s="239"/>
      <c r="BB978" s="239"/>
      <c r="BC978" s="239"/>
      <c r="BD978" s="239"/>
      <c r="BE978" s="239"/>
      <c r="BF978" s="239"/>
      <c r="BG978" s="239"/>
      <c r="BH978" s="239"/>
      <c r="BI978" s="239"/>
      <c r="BJ978" s="239"/>
      <c r="BK978" s="239"/>
      <c r="BL978" s="239"/>
      <c r="BM978" s="239"/>
      <c r="BN978" s="239"/>
      <c r="BO978" s="239"/>
      <c r="BP978" s="239"/>
      <c r="BQ978" s="239"/>
      <c r="BR978" s="239"/>
      <c r="BS978" s="239"/>
      <c r="BT978" s="239"/>
      <c r="BU978" s="239"/>
      <c r="BV978" s="239"/>
      <c r="BW978" s="239"/>
      <c r="BX978" s="239"/>
      <c r="BY978" s="239"/>
      <c r="BZ978" s="239"/>
      <c r="CA978" s="239"/>
      <c r="CB978" s="239"/>
      <c r="CC978" s="239"/>
      <c r="CD978" s="239"/>
      <c r="CE978" s="239"/>
      <c r="CF978" s="239"/>
      <c r="CG978" s="239"/>
    </row>
    <row r="979" spans="1:85" ht="15.75" customHeight="1">
      <c r="A979" s="239"/>
      <c r="B979" s="239"/>
      <c r="C979" s="239"/>
      <c r="D979" s="239"/>
      <c r="E979" s="239"/>
      <c r="F979" s="239"/>
      <c r="G979" s="239"/>
      <c r="H979" s="239"/>
      <c r="I979" s="239"/>
      <c r="J979" s="239"/>
      <c r="K979" s="239"/>
      <c r="L979" s="239"/>
      <c r="M979" s="239"/>
      <c r="N979" s="239"/>
      <c r="O979" s="239"/>
      <c r="P979" s="239"/>
      <c r="Q979" s="239"/>
      <c r="R979" s="239"/>
      <c r="S979" s="239"/>
      <c r="T979" s="239"/>
      <c r="U979" s="239"/>
      <c r="V979" s="239"/>
      <c r="W979" s="239"/>
      <c r="X979" s="239"/>
      <c r="Y979" s="239"/>
      <c r="Z979" s="239"/>
      <c r="AA979" s="239"/>
      <c r="AB979" s="239"/>
      <c r="AC979" s="239"/>
      <c r="AD979" s="239"/>
      <c r="AE979" s="239"/>
      <c r="AF979" s="239"/>
      <c r="AG979" s="239"/>
      <c r="AH979" s="239"/>
      <c r="AI979" s="239"/>
      <c r="AJ979" s="239"/>
      <c r="AK979" s="239"/>
      <c r="AL979" s="239"/>
      <c r="AM979" s="239"/>
      <c r="AN979" s="239"/>
      <c r="AO979" s="239"/>
      <c r="AP979" s="239"/>
      <c r="AQ979" s="239"/>
      <c r="AR979" s="239"/>
      <c r="AS979" s="239"/>
      <c r="AT979" s="239"/>
      <c r="AU979" s="239"/>
      <c r="AV979" s="239"/>
      <c r="AW979" s="239"/>
      <c r="AX979" s="239"/>
      <c r="AY979" s="239"/>
      <c r="AZ979" s="239"/>
      <c r="BA979" s="239"/>
      <c r="BB979" s="239"/>
      <c r="BC979" s="239"/>
      <c r="BD979" s="239"/>
      <c r="BE979" s="239"/>
      <c r="BF979" s="239"/>
      <c r="BG979" s="239"/>
      <c r="BH979" s="239"/>
      <c r="BI979" s="239"/>
      <c r="BJ979" s="239"/>
      <c r="BK979" s="239"/>
      <c r="BL979" s="239"/>
      <c r="BM979" s="239"/>
      <c r="BN979" s="239"/>
      <c r="BO979" s="239"/>
      <c r="BP979" s="239"/>
      <c r="BQ979" s="239"/>
      <c r="BR979" s="239"/>
      <c r="BS979" s="239"/>
      <c r="BT979" s="239"/>
      <c r="BU979" s="239"/>
      <c r="BV979" s="239"/>
      <c r="BW979" s="239"/>
      <c r="BX979" s="239"/>
      <c r="BY979" s="239"/>
      <c r="BZ979" s="239"/>
      <c r="CA979" s="239"/>
      <c r="CB979" s="239"/>
      <c r="CC979" s="239"/>
      <c r="CD979" s="239"/>
      <c r="CE979" s="239"/>
      <c r="CF979" s="239"/>
      <c r="CG979" s="239"/>
    </row>
    <row r="980" spans="1:85" ht="15.75" customHeight="1">
      <c r="A980" s="239"/>
      <c r="B980" s="239"/>
      <c r="C980" s="239"/>
      <c r="D980" s="239"/>
      <c r="E980" s="239"/>
      <c r="F980" s="239"/>
      <c r="G980" s="239"/>
      <c r="H980" s="239"/>
      <c r="I980" s="239"/>
      <c r="J980" s="239"/>
      <c r="K980" s="239"/>
      <c r="L980" s="239"/>
      <c r="M980" s="239"/>
      <c r="N980" s="239"/>
      <c r="O980" s="239"/>
      <c r="P980" s="239"/>
      <c r="Q980" s="239"/>
      <c r="R980" s="239"/>
      <c r="S980" s="239"/>
      <c r="T980" s="239"/>
      <c r="U980" s="239"/>
      <c r="V980" s="239"/>
      <c r="W980" s="239"/>
      <c r="X980" s="239"/>
      <c r="Y980" s="239"/>
      <c r="Z980" s="239"/>
      <c r="AA980" s="239"/>
      <c r="AB980" s="239"/>
      <c r="AC980" s="239"/>
      <c r="AD980" s="239"/>
      <c r="AE980" s="239"/>
      <c r="AF980" s="239"/>
      <c r="AG980" s="239"/>
      <c r="AH980" s="239"/>
      <c r="AI980" s="239"/>
      <c r="AJ980" s="239"/>
      <c r="AK980" s="239"/>
      <c r="AL980" s="239"/>
      <c r="AM980" s="239"/>
      <c r="AN980" s="239"/>
      <c r="AO980" s="239"/>
      <c r="AP980" s="239"/>
      <c r="AQ980" s="239"/>
      <c r="AR980" s="239"/>
      <c r="AS980" s="239"/>
      <c r="AT980" s="239"/>
      <c r="AU980" s="239"/>
      <c r="AV980" s="239"/>
      <c r="AW980" s="239"/>
      <c r="AX980" s="239"/>
      <c r="AY980" s="239"/>
      <c r="AZ980" s="239"/>
      <c r="BA980" s="239"/>
      <c r="BB980" s="239"/>
      <c r="BC980" s="239"/>
      <c r="BD980" s="239"/>
      <c r="BE980" s="239"/>
      <c r="BF980" s="239"/>
      <c r="BG980" s="239"/>
      <c r="BH980" s="239"/>
      <c r="BI980" s="239"/>
      <c r="BJ980" s="239"/>
      <c r="BK980" s="239"/>
      <c r="BL980" s="239"/>
      <c r="BM980" s="239"/>
      <c r="BN980" s="239"/>
      <c r="BO980" s="239"/>
      <c r="BP980" s="239"/>
      <c r="BQ980" s="239"/>
      <c r="BR980" s="239"/>
      <c r="BS980" s="239"/>
      <c r="BT980" s="239"/>
      <c r="BU980" s="239"/>
      <c r="BV980" s="239"/>
      <c r="BW980" s="239"/>
      <c r="BX980" s="239"/>
      <c r="BY980" s="239"/>
      <c r="BZ980" s="239"/>
      <c r="CA980" s="239"/>
      <c r="CB980" s="239"/>
      <c r="CC980" s="239"/>
      <c r="CD980" s="239"/>
      <c r="CE980" s="239"/>
      <c r="CF980" s="239"/>
      <c r="CG980" s="239"/>
    </row>
    <row r="981" spans="1:85" ht="15.75" customHeight="1">
      <c r="A981" s="239"/>
      <c r="B981" s="239"/>
      <c r="C981" s="239"/>
      <c r="D981" s="239"/>
      <c r="E981" s="239"/>
      <c r="F981" s="239"/>
      <c r="G981" s="239"/>
      <c r="H981" s="239"/>
      <c r="I981" s="239"/>
      <c r="J981" s="239"/>
      <c r="K981" s="239"/>
      <c r="L981" s="239"/>
      <c r="M981" s="239"/>
      <c r="N981" s="239"/>
      <c r="O981" s="239"/>
      <c r="P981" s="239"/>
      <c r="Q981" s="239"/>
      <c r="R981" s="239"/>
      <c r="S981" s="239"/>
      <c r="T981" s="239"/>
      <c r="U981" s="239"/>
      <c r="V981" s="239"/>
      <c r="W981" s="239"/>
      <c r="X981" s="239"/>
      <c r="Y981" s="239"/>
      <c r="Z981" s="239"/>
      <c r="AA981" s="239"/>
      <c r="AB981" s="239"/>
      <c r="AC981" s="239"/>
      <c r="AD981" s="239"/>
      <c r="AE981" s="239"/>
      <c r="AF981" s="239"/>
      <c r="AG981" s="239"/>
      <c r="AH981" s="239"/>
      <c r="AI981" s="239"/>
      <c r="AJ981" s="239"/>
      <c r="AK981" s="239"/>
      <c r="AL981" s="239"/>
      <c r="AM981" s="239"/>
      <c r="AN981" s="239"/>
      <c r="AO981" s="239"/>
      <c r="AP981" s="239"/>
      <c r="AQ981" s="239"/>
      <c r="AR981" s="239"/>
      <c r="AS981" s="239"/>
      <c r="AT981" s="239"/>
      <c r="AU981" s="239"/>
      <c r="AV981" s="239"/>
      <c r="AW981" s="239"/>
      <c r="AX981" s="239"/>
      <c r="AY981" s="239"/>
      <c r="AZ981" s="239"/>
      <c r="BA981" s="239"/>
      <c r="BB981" s="239"/>
      <c r="BC981" s="239"/>
      <c r="BD981" s="239"/>
      <c r="BE981" s="239"/>
      <c r="BF981" s="239"/>
      <c r="BG981" s="239"/>
      <c r="BH981" s="239"/>
      <c r="BI981" s="239"/>
      <c r="BJ981" s="239"/>
      <c r="BK981" s="239"/>
      <c r="BL981" s="239"/>
      <c r="BM981" s="239"/>
      <c r="BN981" s="239"/>
      <c r="BO981" s="239"/>
      <c r="BP981" s="239"/>
      <c r="BQ981" s="239"/>
      <c r="BR981" s="239"/>
      <c r="BS981" s="239"/>
      <c r="BT981" s="239"/>
      <c r="BU981" s="239"/>
      <c r="BV981" s="239"/>
      <c r="BW981" s="239"/>
      <c r="BX981" s="239"/>
      <c r="BY981" s="239"/>
      <c r="BZ981" s="239"/>
      <c r="CA981" s="239"/>
      <c r="CB981" s="239"/>
      <c r="CC981" s="239"/>
      <c r="CD981" s="239"/>
      <c r="CE981" s="239"/>
      <c r="CF981" s="239"/>
      <c r="CG981" s="239"/>
    </row>
    <row r="982" spans="1:85" ht="15.75" customHeight="1">
      <c r="A982" s="239"/>
      <c r="B982" s="239"/>
      <c r="C982" s="239"/>
      <c r="D982" s="239"/>
      <c r="E982" s="239"/>
      <c r="F982" s="239"/>
      <c r="G982" s="239"/>
      <c r="H982" s="239"/>
      <c r="I982" s="239"/>
      <c r="J982" s="239"/>
      <c r="K982" s="239"/>
      <c r="L982" s="239"/>
      <c r="M982" s="239"/>
      <c r="N982" s="239"/>
      <c r="O982" s="239"/>
      <c r="P982" s="239"/>
      <c r="Q982" s="239"/>
      <c r="R982" s="239"/>
      <c r="S982" s="239"/>
      <c r="T982" s="239"/>
      <c r="U982" s="239"/>
      <c r="V982" s="239"/>
      <c r="W982" s="239"/>
      <c r="X982" s="239"/>
      <c r="Y982" s="239"/>
      <c r="Z982" s="239"/>
      <c r="AA982" s="239"/>
      <c r="AB982" s="239"/>
      <c r="AC982" s="239"/>
      <c r="AD982" s="239"/>
      <c r="AE982" s="239"/>
      <c r="AF982" s="239"/>
      <c r="AG982" s="239"/>
      <c r="AH982" s="239"/>
      <c r="AI982" s="239"/>
      <c r="AJ982" s="239"/>
      <c r="AK982" s="239"/>
      <c r="AL982" s="239"/>
      <c r="AM982" s="239"/>
      <c r="AN982" s="239"/>
      <c r="AO982" s="239"/>
      <c r="AP982" s="239"/>
      <c r="AQ982" s="239"/>
      <c r="AR982" s="239"/>
      <c r="AS982" s="239"/>
      <c r="AT982" s="239"/>
      <c r="AU982" s="239"/>
      <c r="AV982" s="239"/>
      <c r="AW982" s="239"/>
      <c r="AX982" s="239"/>
      <c r="AY982" s="239"/>
      <c r="AZ982" s="239"/>
      <c r="BA982" s="239"/>
      <c r="BB982" s="239"/>
      <c r="BC982" s="239"/>
      <c r="BD982" s="239"/>
      <c r="BE982" s="239"/>
      <c r="BF982" s="239"/>
      <c r="BG982" s="239"/>
      <c r="BH982" s="239"/>
      <c r="BI982" s="239"/>
      <c r="BJ982" s="239"/>
      <c r="BK982" s="239"/>
      <c r="BL982" s="239"/>
      <c r="BM982" s="239"/>
      <c r="BN982" s="239"/>
      <c r="BO982" s="239"/>
      <c r="BP982" s="239"/>
      <c r="BQ982" s="239"/>
      <c r="BR982" s="239"/>
      <c r="BS982" s="239"/>
      <c r="BT982" s="239"/>
      <c r="BU982" s="239"/>
      <c r="BV982" s="239"/>
      <c r="BW982" s="239"/>
      <c r="BX982" s="239"/>
      <c r="BY982" s="239"/>
      <c r="BZ982" s="239"/>
      <c r="CA982" s="239"/>
      <c r="CB982" s="239"/>
      <c r="CC982" s="239"/>
      <c r="CD982" s="239"/>
      <c r="CE982" s="239"/>
      <c r="CF982" s="239"/>
      <c r="CG982" s="239"/>
    </row>
    <row r="983" spans="1:85" ht="15.75" customHeight="1">
      <c r="A983" s="239"/>
      <c r="B983" s="239"/>
      <c r="C983" s="239"/>
      <c r="D983" s="239"/>
      <c r="E983" s="239"/>
      <c r="F983" s="239"/>
      <c r="G983" s="239"/>
      <c r="H983" s="239"/>
      <c r="I983" s="239"/>
      <c r="J983" s="239"/>
      <c r="K983" s="239"/>
      <c r="L983" s="239"/>
      <c r="M983" s="239"/>
      <c r="N983" s="239"/>
      <c r="O983" s="239"/>
      <c r="P983" s="239"/>
      <c r="Q983" s="239"/>
      <c r="R983" s="239"/>
      <c r="S983" s="239"/>
      <c r="T983" s="239"/>
      <c r="U983" s="239"/>
      <c r="V983" s="239"/>
      <c r="W983" s="239"/>
      <c r="X983" s="239"/>
      <c r="Y983" s="239"/>
      <c r="Z983" s="239"/>
      <c r="AA983" s="239"/>
      <c r="AB983" s="239"/>
      <c r="AC983" s="239"/>
      <c r="AD983" s="239"/>
      <c r="AE983" s="239"/>
      <c r="AF983" s="239"/>
      <c r="AG983" s="239"/>
      <c r="AH983" s="239"/>
      <c r="AI983" s="239"/>
      <c r="AJ983" s="239"/>
      <c r="AK983" s="239"/>
      <c r="AL983" s="239"/>
      <c r="AM983" s="239"/>
      <c r="AN983" s="239"/>
      <c r="AO983" s="239"/>
      <c r="AP983" s="239"/>
      <c r="AQ983" s="239"/>
      <c r="AR983" s="239"/>
      <c r="AS983" s="239"/>
      <c r="AT983" s="239"/>
      <c r="AU983" s="239"/>
      <c r="AV983" s="239"/>
      <c r="AW983" s="239"/>
      <c r="AX983" s="239"/>
      <c r="AY983" s="239"/>
      <c r="AZ983" s="239"/>
      <c r="BA983" s="239"/>
      <c r="BB983" s="239"/>
      <c r="BC983" s="239"/>
      <c r="BD983" s="239"/>
      <c r="BE983" s="239"/>
      <c r="BF983" s="239"/>
      <c r="BG983" s="239"/>
      <c r="BH983" s="239"/>
      <c r="BI983" s="239"/>
      <c r="BJ983" s="239"/>
      <c r="BK983" s="239"/>
      <c r="BL983" s="239"/>
      <c r="BM983" s="239"/>
      <c r="BN983" s="239"/>
      <c r="BO983" s="239"/>
      <c r="BP983" s="239"/>
      <c r="BQ983" s="239"/>
      <c r="BR983" s="239"/>
      <c r="BS983" s="239"/>
      <c r="BT983" s="239"/>
      <c r="BU983" s="239"/>
      <c r="BV983" s="239"/>
      <c r="BW983" s="239"/>
      <c r="BX983" s="239"/>
      <c r="BY983" s="239"/>
      <c r="BZ983" s="239"/>
      <c r="CA983" s="239"/>
      <c r="CB983" s="239"/>
      <c r="CC983" s="239"/>
      <c r="CD983" s="239"/>
      <c r="CE983" s="239"/>
      <c r="CF983" s="239"/>
      <c r="CG983" s="239"/>
    </row>
    <row r="984" spans="1:85" ht="15.75" customHeight="1">
      <c r="A984" s="239"/>
      <c r="B984" s="239"/>
      <c r="C984" s="239"/>
      <c r="D984" s="239"/>
      <c r="E984" s="239"/>
      <c r="F984" s="239"/>
      <c r="G984" s="239"/>
      <c r="H984" s="239"/>
      <c r="I984" s="239"/>
      <c r="J984" s="239"/>
      <c r="K984" s="239"/>
      <c r="L984" s="239"/>
      <c r="M984" s="239"/>
      <c r="N984" s="239"/>
      <c r="O984" s="239"/>
      <c r="P984" s="239"/>
      <c r="Q984" s="239"/>
      <c r="R984" s="239"/>
      <c r="S984" s="239"/>
      <c r="T984" s="239"/>
      <c r="U984" s="239"/>
      <c r="V984" s="239"/>
      <c r="W984" s="239"/>
      <c r="X984" s="239"/>
      <c r="Y984" s="239"/>
      <c r="Z984" s="239"/>
      <c r="AA984" s="239"/>
      <c r="AB984" s="239"/>
      <c r="AC984" s="239"/>
      <c r="AD984" s="239"/>
      <c r="AE984" s="239"/>
      <c r="AF984" s="239"/>
      <c r="AG984" s="239"/>
      <c r="AH984" s="239"/>
      <c r="AI984" s="239"/>
      <c r="AJ984" s="239"/>
      <c r="AK984" s="239"/>
      <c r="AL984" s="239"/>
      <c r="AM984" s="239"/>
      <c r="AN984" s="239"/>
      <c r="AO984" s="239"/>
      <c r="AP984" s="239"/>
      <c r="AQ984" s="239"/>
      <c r="AR984" s="239"/>
      <c r="AS984" s="239"/>
      <c r="AT984" s="239"/>
      <c r="AU984" s="239"/>
      <c r="AV984" s="239"/>
      <c r="AW984" s="239"/>
      <c r="AX984" s="239"/>
      <c r="AY984" s="239"/>
      <c r="AZ984" s="239"/>
      <c r="BA984" s="239"/>
      <c r="BB984" s="239"/>
      <c r="BC984" s="239"/>
      <c r="BD984" s="239"/>
      <c r="BE984" s="239"/>
      <c r="BF984" s="239"/>
      <c r="BG984" s="239"/>
      <c r="BH984" s="239"/>
      <c r="BI984" s="239"/>
      <c r="BJ984" s="239"/>
      <c r="BK984" s="239"/>
      <c r="BL984" s="239"/>
      <c r="BM984" s="239"/>
      <c r="BN984" s="239"/>
      <c r="BO984" s="239"/>
      <c r="BP984" s="239"/>
      <c r="BQ984" s="239"/>
      <c r="BR984" s="239"/>
      <c r="BS984" s="239"/>
      <c r="BT984" s="239"/>
      <c r="BU984" s="239"/>
      <c r="BV984" s="239"/>
      <c r="BW984" s="239"/>
      <c r="BX984" s="239"/>
      <c r="BY984" s="239"/>
      <c r="BZ984" s="239"/>
      <c r="CA984" s="239"/>
      <c r="CB984" s="239"/>
      <c r="CC984" s="239"/>
      <c r="CD984" s="239"/>
      <c r="CE984" s="239"/>
      <c r="CF984" s="239"/>
      <c r="CG984" s="239"/>
    </row>
    <row r="985" spans="1:85" ht="15.75" customHeight="1">
      <c r="A985" s="239"/>
      <c r="B985" s="239"/>
      <c r="C985" s="239"/>
      <c r="D985" s="239"/>
      <c r="E985" s="239"/>
      <c r="F985" s="239"/>
      <c r="G985" s="239"/>
      <c r="H985" s="239"/>
      <c r="I985" s="239"/>
      <c r="J985" s="239"/>
      <c r="K985" s="239"/>
      <c r="L985" s="239"/>
      <c r="M985" s="239"/>
      <c r="N985" s="239"/>
      <c r="O985" s="239"/>
      <c r="P985" s="239"/>
      <c r="Q985" s="239"/>
      <c r="R985" s="239"/>
      <c r="S985" s="239"/>
      <c r="T985" s="239"/>
      <c r="U985" s="239"/>
      <c r="V985" s="239"/>
      <c r="W985" s="239"/>
      <c r="X985" s="239"/>
      <c r="Y985" s="239"/>
      <c r="Z985" s="239"/>
      <c r="AA985" s="239"/>
      <c r="AB985" s="239"/>
      <c r="AC985" s="239"/>
      <c r="AD985" s="239"/>
      <c r="AE985" s="239"/>
      <c r="AF985" s="239"/>
      <c r="AG985" s="239"/>
      <c r="AH985" s="239"/>
      <c r="AI985" s="239"/>
      <c r="AJ985" s="239"/>
      <c r="AK985" s="239"/>
      <c r="AL985" s="239"/>
      <c r="AM985" s="239"/>
      <c r="AN985" s="239"/>
      <c r="AO985" s="239"/>
      <c r="AP985" s="239"/>
      <c r="AQ985" s="239"/>
      <c r="AR985" s="239"/>
      <c r="AS985" s="239"/>
      <c r="AT985" s="239"/>
      <c r="AU985" s="239"/>
      <c r="AV985" s="239"/>
      <c r="AW985" s="239"/>
      <c r="AX985" s="239"/>
      <c r="AY985" s="239"/>
      <c r="AZ985" s="239"/>
      <c r="BA985" s="239"/>
      <c r="BB985" s="239"/>
      <c r="BC985" s="239"/>
      <c r="BD985" s="239"/>
      <c r="BE985" s="239"/>
      <c r="BF985" s="239"/>
      <c r="BG985" s="239"/>
      <c r="BH985" s="239"/>
      <c r="BI985" s="239"/>
      <c r="BJ985" s="239"/>
      <c r="BK985" s="239"/>
      <c r="BL985" s="239"/>
      <c r="BM985" s="239"/>
      <c r="BN985" s="239"/>
      <c r="BO985" s="239"/>
      <c r="BP985" s="239"/>
      <c r="BQ985" s="239"/>
      <c r="BR985" s="239"/>
      <c r="BS985" s="239"/>
      <c r="BT985" s="239"/>
      <c r="BU985" s="239"/>
      <c r="BV985" s="239"/>
      <c r="BW985" s="239"/>
      <c r="BX985" s="239"/>
      <c r="BY985" s="239"/>
      <c r="BZ985" s="239"/>
      <c r="CA985" s="239"/>
      <c r="CB985" s="239"/>
      <c r="CC985" s="239"/>
      <c r="CD985" s="239"/>
      <c r="CE985" s="239"/>
      <c r="CF985" s="239"/>
      <c r="CG985" s="239"/>
    </row>
    <row r="986" spans="1:85" ht="15.75" customHeight="1">
      <c r="A986" s="239"/>
      <c r="B986" s="239"/>
      <c r="C986" s="239"/>
      <c r="D986" s="239"/>
      <c r="E986" s="239"/>
      <c r="F986" s="239"/>
      <c r="G986" s="239"/>
      <c r="H986" s="239"/>
      <c r="I986" s="239"/>
      <c r="J986" s="239"/>
      <c r="K986" s="239"/>
      <c r="L986" s="239"/>
      <c r="M986" s="239"/>
      <c r="N986" s="239"/>
      <c r="O986" s="239"/>
      <c r="P986" s="239"/>
      <c r="Q986" s="239"/>
      <c r="R986" s="239"/>
      <c r="S986" s="239"/>
      <c r="T986" s="239"/>
      <c r="U986" s="239"/>
      <c r="V986" s="239"/>
      <c r="W986" s="239"/>
      <c r="X986" s="239"/>
      <c r="Y986" s="239"/>
      <c r="Z986" s="239"/>
      <c r="AA986" s="239"/>
      <c r="AB986" s="239"/>
      <c r="AC986" s="239"/>
      <c r="AD986" s="239"/>
      <c r="AE986" s="239"/>
      <c r="AF986" s="239"/>
      <c r="AG986" s="239"/>
      <c r="AH986" s="239"/>
      <c r="AI986" s="239"/>
      <c r="AJ986" s="239"/>
      <c r="AK986" s="239"/>
      <c r="AL986" s="239"/>
      <c r="AM986" s="239"/>
      <c r="AN986" s="239"/>
      <c r="AO986" s="239"/>
      <c r="AP986" s="239"/>
      <c r="AQ986" s="239"/>
      <c r="AR986" s="239"/>
      <c r="AS986" s="239"/>
      <c r="AT986" s="239"/>
      <c r="AU986" s="239"/>
      <c r="AV986" s="239"/>
      <c r="AW986" s="239"/>
      <c r="AX986" s="239"/>
      <c r="AY986" s="239"/>
      <c r="AZ986" s="239"/>
      <c r="BA986" s="239"/>
      <c r="BB986" s="239"/>
      <c r="BC986" s="239"/>
      <c r="BD986" s="239"/>
      <c r="BE986" s="239"/>
      <c r="BF986" s="239"/>
      <c r="BG986" s="239"/>
      <c r="BH986" s="239"/>
      <c r="BI986" s="239"/>
      <c r="BJ986" s="239"/>
      <c r="BK986" s="239"/>
      <c r="BL986" s="239"/>
      <c r="BM986" s="239"/>
      <c r="BN986" s="239"/>
      <c r="BO986" s="239"/>
      <c r="BP986" s="239"/>
      <c r="BQ986" s="239"/>
      <c r="BR986" s="239"/>
      <c r="BS986" s="239"/>
      <c r="BT986" s="239"/>
      <c r="BU986" s="239"/>
      <c r="BV986" s="239"/>
      <c r="BW986" s="239"/>
      <c r="BX986" s="239"/>
      <c r="BY986" s="239"/>
      <c r="BZ986" s="239"/>
      <c r="CA986" s="239"/>
      <c r="CB986" s="239"/>
      <c r="CC986" s="239"/>
      <c r="CD986" s="239"/>
      <c r="CE986" s="239"/>
      <c r="CF986" s="239"/>
      <c r="CG986" s="239"/>
    </row>
    <row r="987" spans="1:85" ht="15.75" customHeight="1">
      <c r="A987" s="239"/>
      <c r="B987" s="239"/>
      <c r="C987" s="239"/>
      <c r="D987" s="239"/>
      <c r="E987" s="239"/>
      <c r="F987" s="239"/>
      <c r="G987" s="239"/>
      <c r="H987" s="239"/>
      <c r="I987" s="239"/>
      <c r="J987" s="239"/>
      <c r="K987" s="239"/>
      <c r="L987" s="239"/>
      <c r="M987" s="239"/>
      <c r="N987" s="239"/>
      <c r="O987" s="239"/>
      <c r="P987" s="239"/>
      <c r="Q987" s="239"/>
      <c r="R987" s="239"/>
      <c r="S987" s="239"/>
      <c r="T987" s="239"/>
      <c r="U987" s="239"/>
      <c r="V987" s="239"/>
      <c r="W987" s="239"/>
      <c r="X987" s="239"/>
      <c r="Y987" s="239"/>
      <c r="Z987" s="239"/>
      <c r="AA987" s="239"/>
      <c r="AB987" s="239"/>
      <c r="AC987" s="239"/>
      <c r="AD987" s="239"/>
      <c r="AE987" s="239"/>
      <c r="AF987" s="239"/>
      <c r="AG987" s="239"/>
      <c r="AH987" s="239"/>
      <c r="AI987" s="239"/>
      <c r="AJ987" s="239"/>
      <c r="AK987" s="239"/>
      <c r="AL987" s="239"/>
      <c r="AM987" s="239"/>
      <c r="AN987" s="239"/>
      <c r="AO987" s="239"/>
      <c r="AP987" s="239"/>
      <c r="AQ987" s="239"/>
      <c r="AR987" s="239"/>
      <c r="AS987" s="239"/>
      <c r="AT987" s="239"/>
      <c r="AU987" s="239"/>
      <c r="AV987" s="239"/>
      <c r="AW987" s="239"/>
      <c r="AX987" s="239"/>
      <c r="AY987" s="239"/>
      <c r="AZ987" s="239"/>
      <c r="BA987" s="239"/>
      <c r="BB987" s="239"/>
      <c r="BC987" s="239"/>
      <c r="BD987" s="239"/>
      <c r="BE987" s="239"/>
      <c r="BF987" s="239"/>
      <c r="BG987" s="239"/>
      <c r="BH987" s="239"/>
      <c r="BI987" s="239"/>
      <c r="BJ987" s="239"/>
      <c r="BK987" s="239"/>
      <c r="BL987" s="239"/>
      <c r="BM987" s="239"/>
      <c r="BN987" s="239"/>
      <c r="BO987" s="239"/>
      <c r="BP987" s="239"/>
      <c r="BQ987" s="239"/>
      <c r="BR987" s="239"/>
      <c r="BS987" s="239"/>
      <c r="BT987" s="239"/>
      <c r="BU987" s="239"/>
      <c r="BV987" s="239"/>
      <c r="BW987" s="239"/>
      <c r="BX987" s="239"/>
      <c r="BY987" s="239"/>
      <c r="BZ987" s="239"/>
      <c r="CA987" s="239"/>
      <c r="CB987" s="239"/>
      <c r="CC987" s="239"/>
      <c r="CD987" s="239"/>
      <c r="CE987" s="239"/>
      <c r="CF987" s="239"/>
      <c r="CG987" s="239"/>
    </row>
    <row r="988" spans="1:85" ht="15.75" customHeight="1">
      <c r="A988" s="239"/>
      <c r="B988" s="239"/>
      <c r="C988" s="239"/>
      <c r="D988" s="239"/>
      <c r="E988" s="239"/>
      <c r="F988" s="239"/>
      <c r="G988" s="239"/>
      <c r="H988" s="239"/>
      <c r="I988" s="239"/>
      <c r="J988" s="239"/>
      <c r="K988" s="239"/>
      <c r="L988" s="239"/>
      <c r="M988" s="239"/>
      <c r="N988" s="239"/>
      <c r="O988" s="239"/>
      <c r="P988" s="239"/>
      <c r="Q988" s="239"/>
      <c r="R988" s="239"/>
      <c r="S988" s="239"/>
      <c r="T988" s="239"/>
      <c r="U988" s="239"/>
      <c r="V988" s="239"/>
      <c r="W988" s="239"/>
      <c r="X988" s="239"/>
      <c r="Y988" s="239"/>
      <c r="Z988" s="239"/>
      <c r="AA988" s="239"/>
      <c r="AB988" s="239"/>
      <c r="AC988" s="239"/>
      <c r="AD988" s="239"/>
      <c r="AE988" s="239"/>
      <c r="AF988" s="239"/>
      <c r="AG988" s="239"/>
      <c r="AH988" s="239"/>
      <c r="AI988" s="239"/>
      <c r="AJ988" s="239"/>
      <c r="AK988" s="239"/>
      <c r="AL988" s="239"/>
      <c r="AM988" s="239"/>
      <c r="AN988" s="239"/>
      <c r="AO988" s="239"/>
      <c r="AP988" s="239"/>
      <c r="AQ988" s="239"/>
      <c r="AR988" s="239"/>
      <c r="AS988" s="239"/>
      <c r="AT988" s="239"/>
      <c r="AU988" s="239"/>
      <c r="AV988" s="239"/>
      <c r="AW988" s="239"/>
      <c r="AX988" s="239"/>
      <c r="AY988" s="239"/>
      <c r="AZ988" s="239"/>
      <c r="BA988" s="239"/>
      <c r="BB988" s="239"/>
      <c r="BC988" s="239"/>
      <c r="BD988" s="239"/>
      <c r="BE988" s="239"/>
      <c r="BF988" s="239"/>
      <c r="BG988" s="239"/>
      <c r="BH988" s="239"/>
      <c r="BI988" s="239"/>
      <c r="BJ988" s="239"/>
      <c r="BK988" s="239"/>
      <c r="BL988" s="239"/>
      <c r="BM988" s="239"/>
      <c r="BN988" s="239"/>
      <c r="BO988" s="239"/>
      <c r="BP988" s="239"/>
      <c r="BQ988" s="239"/>
      <c r="BR988" s="239"/>
      <c r="BS988" s="239"/>
      <c r="BT988" s="239"/>
      <c r="BU988" s="239"/>
      <c r="BV988" s="239"/>
      <c r="BW988" s="239"/>
      <c r="BX988" s="239"/>
      <c r="BY988" s="239"/>
      <c r="BZ988" s="239"/>
      <c r="CA988" s="239"/>
      <c r="CB988" s="239"/>
      <c r="CC988" s="239"/>
      <c r="CD988" s="239"/>
      <c r="CE988" s="239"/>
      <c r="CF988" s="239"/>
      <c r="CG988" s="239"/>
    </row>
    <row r="989" spans="1:85" ht="15.75" customHeight="1">
      <c r="A989" s="239"/>
      <c r="B989" s="239"/>
      <c r="C989" s="239"/>
      <c r="D989" s="239"/>
      <c r="E989" s="239"/>
      <c r="F989" s="239"/>
      <c r="G989" s="239"/>
      <c r="H989" s="239"/>
      <c r="I989" s="239"/>
      <c r="J989" s="239"/>
      <c r="K989" s="239"/>
      <c r="L989" s="239"/>
      <c r="M989" s="239"/>
      <c r="N989" s="239"/>
      <c r="O989" s="239"/>
      <c r="P989" s="239"/>
      <c r="Q989" s="239"/>
      <c r="R989" s="239"/>
      <c r="S989" s="239"/>
      <c r="T989" s="239"/>
      <c r="U989" s="239"/>
      <c r="V989" s="239"/>
      <c r="W989" s="239"/>
      <c r="X989" s="239"/>
      <c r="Y989" s="239"/>
      <c r="Z989" s="239"/>
      <c r="AA989" s="239"/>
      <c r="AB989" s="239"/>
      <c r="AC989" s="239"/>
      <c r="AD989" s="239"/>
      <c r="AE989" s="239"/>
      <c r="AF989" s="239"/>
      <c r="AG989" s="239"/>
      <c r="AH989" s="239"/>
      <c r="AI989" s="239"/>
      <c r="AJ989" s="239"/>
      <c r="AK989" s="239"/>
      <c r="AL989" s="239"/>
      <c r="AM989" s="239"/>
      <c r="AN989" s="239"/>
      <c r="AO989" s="239"/>
      <c r="AP989" s="239"/>
      <c r="AQ989" s="239"/>
      <c r="AR989" s="239"/>
      <c r="AS989" s="239"/>
      <c r="AT989" s="239"/>
      <c r="AU989" s="239"/>
      <c r="AV989" s="239"/>
      <c r="AW989" s="239"/>
      <c r="AX989" s="239"/>
      <c r="AY989" s="239"/>
      <c r="AZ989" s="239"/>
      <c r="BA989" s="239"/>
      <c r="BB989" s="239"/>
      <c r="BC989" s="239"/>
      <c r="BD989" s="239"/>
      <c r="BE989" s="239"/>
      <c r="BF989" s="239"/>
      <c r="BG989" s="239"/>
      <c r="BH989" s="239"/>
      <c r="BI989" s="239"/>
      <c r="BJ989" s="239"/>
      <c r="BK989" s="239"/>
      <c r="BL989" s="239"/>
      <c r="BM989" s="239"/>
      <c r="BN989" s="239"/>
      <c r="BO989" s="239"/>
      <c r="BP989" s="239"/>
      <c r="BQ989" s="239"/>
      <c r="BR989" s="239"/>
      <c r="BS989" s="239"/>
      <c r="BT989" s="239"/>
      <c r="BU989" s="239"/>
      <c r="BV989" s="239"/>
      <c r="BW989" s="239"/>
      <c r="BX989" s="239"/>
      <c r="BY989" s="239"/>
      <c r="BZ989" s="239"/>
      <c r="CA989" s="239"/>
      <c r="CB989" s="239"/>
      <c r="CC989" s="239"/>
      <c r="CD989" s="239"/>
      <c r="CE989" s="239"/>
      <c r="CF989" s="239"/>
      <c r="CG989" s="239"/>
    </row>
    <row r="990" spans="1:85" ht="15.75" customHeight="1">
      <c r="A990" s="239"/>
      <c r="B990" s="239"/>
      <c r="C990" s="239"/>
      <c r="D990" s="239"/>
      <c r="E990" s="239"/>
      <c r="F990" s="239"/>
      <c r="G990" s="239"/>
      <c r="H990" s="239"/>
      <c r="I990" s="239"/>
      <c r="J990" s="239"/>
      <c r="K990" s="239"/>
      <c r="L990" s="239"/>
      <c r="M990" s="239"/>
      <c r="N990" s="239"/>
      <c r="O990" s="239"/>
      <c r="P990" s="239"/>
      <c r="Q990" s="239"/>
      <c r="R990" s="239"/>
      <c r="S990" s="239"/>
      <c r="T990" s="239"/>
      <c r="U990" s="239"/>
      <c r="V990" s="239"/>
      <c r="W990" s="239"/>
      <c r="X990" s="239"/>
      <c r="Y990" s="239"/>
      <c r="Z990" s="239"/>
      <c r="AA990" s="239"/>
      <c r="AB990" s="239"/>
      <c r="AC990" s="239"/>
      <c r="AD990" s="239"/>
      <c r="AE990" s="239"/>
      <c r="AF990" s="239"/>
      <c r="AG990" s="239"/>
      <c r="AH990" s="239"/>
      <c r="AI990" s="239"/>
      <c r="AJ990" s="239"/>
      <c r="AK990" s="239"/>
      <c r="AL990" s="239"/>
      <c r="AM990" s="239"/>
      <c r="AN990" s="239"/>
      <c r="AO990" s="239"/>
      <c r="AP990" s="239"/>
      <c r="AQ990" s="239"/>
      <c r="AR990" s="239"/>
      <c r="AS990" s="239"/>
      <c r="AT990" s="239"/>
      <c r="AU990" s="239"/>
      <c r="AV990" s="239"/>
      <c r="AW990" s="239"/>
      <c r="AX990" s="239"/>
      <c r="AY990" s="239"/>
      <c r="AZ990" s="239"/>
      <c r="BA990" s="239"/>
      <c r="BB990" s="239"/>
      <c r="BC990" s="239"/>
      <c r="BD990" s="239"/>
      <c r="BE990" s="239"/>
      <c r="BF990" s="239"/>
      <c r="BG990" s="239"/>
      <c r="BH990" s="239"/>
      <c r="BI990" s="239"/>
      <c r="BJ990" s="239"/>
      <c r="BK990" s="239"/>
      <c r="BL990" s="239"/>
      <c r="BM990" s="239"/>
      <c r="BN990" s="239"/>
      <c r="BO990" s="239"/>
      <c r="BP990" s="239"/>
      <c r="BQ990" s="239"/>
      <c r="BR990" s="239"/>
      <c r="BS990" s="239"/>
      <c r="BT990" s="239"/>
      <c r="BU990" s="239"/>
      <c r="BV990" s="239"/>
      <c r="BW990" s="239"/>
      <c r="BX990" s="239"/>
      <c r="BY990" s="239"/>
      <c r="BZ990" s="239"/>
      <c r="CA990" s="239"/>
      <c r="CB990" s="239"/>
      <c r="CC990" s="239"/>
      <c r="CD990" s="239"/>
      <c r="CE990" s="239"/>
      <c r="CF990" s="239"/>
      <c r="CG990" s="239"/>
    </row>
    <row r="991" spans="1:85" ht="15.75" customHeight="1">
      <c r="A991" s="239"/>
      <c r="B991" s="239"/>
      <c r="C991" s="239"/>
      <c r="D991" s="239"/>
      <c r="E991" s="239"/>
      <c r="F991" s="239"/>
      <c r="G991" s="239"/>
      <c r="H991" s="239"/>
      <c r="I991" s="239"/>
      <c r="J991" s="239"/>
      <c r="K991" s="239"/>
      <c r="L991" s="239"/>
      <c r="M991" s="239"/>
      <c r="N991" s="239"/>
      <c r="O991" s="239"/>
      <c r="P991" s="239"/>
      <c r="Q991" s="239"/>
      <c r="R991" s="239"/>
      <c r="S991" s="239"/>
      <c r="T991" s="239"/>
      <c r="U991" s="239"/>
      <c r="V991" s="239"/>
      <c r="W991" s="239"/>
      <c r="X991" s="239"/>
      <c r="Y991" s="239"/>
      <c r="Z991" s="239"/>
      <c r="AA991" s="239"/>
      <c r="AB991" s="239"/>
      <c r="AC991" s="239"/>
      <c r="AD991" s="239"/>
      <c r="AE991" s="239"/>
      <c r="AF991" s="239"/>
      <c r="AG991" s="239"/>
      <c r="AH991" s="239"/>
      <c r="AI991" s="239"/>
      <c r="AJ991" s="239"/>
      <c r="AK991" s="239"/>
      <c r="AL991" s="239"/>
      <c r="AM991" s="239"/>
      <c r="AN991" s="239"/>
      <c r="AO991" s="239"/>
      <c r="AP991" s="239"/>
      <c r="AQ991" s="239"/>
      <c r="AR991" s="239"/>
      <c r="AS991" s="239"/>
      <c r="AT991" s="239"/>
      <c r="AU991" s="239"/>
      <c r="AV991" s="239"/>
      <c r="AW991" s="239"/>
      <c r="AX991" s="239"/>
      <c r="AY991" s="239"/>
      <c r="AZ991" s="239"/>
      <c r="BA991" s="239"/>
      <c r="BB991" s="239"/>
      <c r="BC991" s="239"/>
      <c r="BD991" s="239"/>
      <c r="BE991" s="239"/>
      <c r="BF991" s="239"/>
      <c r="BG991" s="239"/>
      <c r="BH991" s="239"/>
      <c r="BI991" s="239"/>
      <c r="BJ991" s="239"/>
      <c r="BK991" s="239"/>
      <c r="BL991" s="239"/>
      <c r="BM991" s="239"/>
      <c r="BN991" s="239"/>
      <c r="BO991" s="239"/>
      <c r="BP991" s="239"/>
      <c r="BQ991" s="239"/>
      <c r="BR991" s="239"/>
      <c r="BS991" s="239"/>
      <c r="BT991" s="239"/>
      <c r="BU991" s="239"/>
      <c r="BV991" s="239"/>
      <c r="BW991" s="239"/>
      <c r="BX991" s="239"/>
      <c r="BY991" s="239"/>
      <c r="BZ991" s="239"/>
      <c r="CA991" s="239"/>
      <c r="CB991" s="239"/>
      <c r="CC991" s="239"/>
      <c r="CD991" s="239"/>
      <c r="CE991" s="239"/>
      <c r="CF991" s="239"/>
      <c r="CG991" s="239"/>
    </row>
    <row r="992" spans="1:85" ht="15.75" customHeight="1">
      <c r="A992" s="239"/>
      <c r="B992" s="239"/>
      <c r="C992" s="239"/>
      <c r="D992" s="239"/>
      <c r="E992" s="239"/>
      <c r="F992" s="239"/>
      <c r="G992" s="239"/>
      <c r="H992" s="239"/>
      <c r="I992" s="239"/>
      <c r="J992" s="239"/>
      <c r="K992" s="239"/>
      <c r="L992" s="239"/>
      <c r="M992" s="239"/>
      <c r="N992" s="239"/>
      <c r="O992" s="239"/>
      <c r="P992" s="239"/>
      <c r="Q992" s="239"/>
      <c r="R992" s="239"/>
      <c r="S992" s="239"/>
      <c r="T992" s="239"/>
      <c r="U992" s="239"/>
      <c r="V992" s="239"/>
      <c r="W992" s="239"/>
      <c r="X992" s="239"/>
      <c r="Y992" s="239"/>
      <c r="Z992" s="239"/>
      <c r="AA992" s="239"/>
      <c r="AB992" s="239"/>
      <c r="AC992" s="239"/>
      <c r="AD992" s="239"/>
      <c r="AE992" s="239"/>
      <c r="AF992" s="239"/>
      <c r="AG992" s="239"/>
      <c r="AH992" s="239"/>
      <c r="AI992" s="239"/>
      <c r="AJ992" s="239"/>
      <c r="AK992" s="239"/>
      <c r="AL992" s="239"/>
      <c r="AM992" s="239"/>
      <c r="AN992" s="239"/>
      <c r="AO992" s="239"/>
      <c r="AP992" s="239"/>
      <c r="AQ992" s="239"/>
      <c r="AR992" s="239"/>
      <c r="AS992" s="239"/>
      <c r="AT992" s="239"/>
      <c r="AU992" s="239"/>
      <c r="AV992" s="239"/>
      <c r="AW992" s="239"/>
      <c r="AX992" s="239"/>
      <c r="AY992" s="239"/>
      <c r="AZ992" s="239"/>
      <c r="BA992" s="239"/>
      <c r="BB992" s="239"/>
      <c r="BC992" s="239"/>
      <c r="BD992" s="239"/>
      <c r="BE992" s="239"/>
      <c r="BF992" s="239"/>
      <c r="BG992" s="239"/>
      <c r="BH992" s="239"/>
      <c r="BI992" s="239"/>
      <c r="BJ992" s="239"/>
      <c r="BK992" s="239"/>
      <c r="BL992" s="239"/>
      <c r="BM992" s="239"/>
      <c r="BN992" s="239"/>
      <c r="BO992" s="239"/>
      <c r="BP992" s="239"/>
      <c r="BQ992" s="239"/>
      <c r="BR992" s="239"/>
      <c r="BS992" s="239"/>
      <c r="BT992" s="239"/>
      <c r="BU992" s="239"/>
      <c r="BV992" s="239"/>
      <c r="BW992" s="239"/>
      <c r="BX992" s="239"/>
      <c r="BY992" s="239"/>
      <c r="BZ992" s="239"/>
      <c r="CA992" s="239"/>
      <c r="CB992" s="239"/>
      <c r="CC992" s="239"/>
      <c r="CD992" s="239"/>
      <c r="CE992" s="239"/>
      <c r="CF992" s="239"/>
      <c r="CG992" s="239"/>
    </row>
    <row r="993" spans="1:85" ht="15.75" customHeight="1">
      <c r="A993" s="239"/>
      <c r="B993" s="239"/>
      <c r="C993" s="239"/>
      <c r="D993" s="239"/>
      <c r="E993" s="239"/>
      <c r="F993" s="239"/>
      <c r="G993" s="239"/>
      <c r="H993" s="239"/>
      <c r="I993" s="239"/>
      <c r="J993" s="239"/>
      <c r="K993" s="239"/>
      <c r="L993" s="239"/>
      <c r="M993" s="239"/>
      <c r="N993" s="239"/>
      <c r="O993" s="239"/>
      <c r="P993" s="239"/>
      <c r="Q993" s="239"/>
      <c r="R993" s="239"/>
      <c r="S993" s="239"/>
      <c r="T993" s="239"/>
      <c r="U993" s="239"/>
      <c r="V993" s="239"/>
      <c r="W993" s="239"/>
      <c r="X993" s="239"/>
      <c r="Y993" s="239"/>
      <c r="Z993" s="239"/>
      <c r="AA993" s="239"/>
      <c r="AB993" s="239"/>
      <c r="AC993" s="239"/>
      <c r="AD993" s="239"/>
      <c r="AE993" s="239"/>
      <c r="AF993" s="239"/>
      <c r="AG993" s="239"/>
      <c r="AH993" s="239"/>
      <c r="AI993" s="239"/>
      <c r="AJ993" s="239"/>
      <c r="AK993" s="239"/>
      <c r="AL993" s="239"/>
      <c r="AM993" s="239"/>
      <c r="AN993" s="239"/>
      <c r="AO993" s="239"/>
      <c r="AP993" s="239"/>
      <c r="AQ993" s="239"/>
      <c r="AR993" s="239"/>
      <c r="AS993" s="239"/>
      <c r="AT993" s="239"/>
      <c r="AU993" s="239"/>
      <c r="AV993" s="239"/>
      <c r="AW993" s="239"/>
      <c r="AX993" s="239"/>
      <c r="AY993" s="239"/>
      <c r="AZ993" s="239"/>
      <c r="BA993" s="239"/>
      <c r="BB993" s="239"/>
      <c r="BC993" s="239"/>
      <c r="BD993" s="239"/>
      <c r="BE993" s="239"/>
      <c r="BF993" s="239"/>
      <c r="BG993" s="239"/>
      <c r="BH993" s="239"/>
      <c r="BI993" s="239"/>
      <c r="BJ993" s="239"/>
      <c r="BK993" s="239"/>
      <c r="BL993" s="239"/>
      <c r="BM993" s="239"/>
      <c r="BN993" s="239"/>
      <c r="BO993" s="239"/>
      <c r="BP993" s="239"/>
      <c r="BQ993" s="239"/>
      <c r="BR993" s="239"/>
      <c r="BS993" s="239"/>
      <c r="BT993" s="239"/>
      <c r="BU993" s="239"/>
      <c r="BV993" s="239"/>
      <c r="BW993" s="239"/>
      <c r="BX993" s="239"/>
      <c r="BY993" s="239"/>
      <c r="BZ993" s="239"/>
      <c r="CA993" s="239"/>
      <c r="CB993" s="239"/>
      <c r="CC993" s="239"/>
      <c r="CD993" s="239"/>
      <c r="CE993" s="239"/>
      <c r="CF993" s="239"/>
      <c r="CG993" s="239"/>
    </row>
    <row r="994" spans="1:85" ht="15.75" customHeight="1">
      <c r="A994" s="239"/>
      <c r="B994" s="239"/>
      <c r="C994" s="239"/>
      <c r="D994" s="239"/>
      <c r="E994" s="239"/>
      <c r="F994" s="239"/>
      <c r="G994" s="239"/>
      <c r="H994" s="239"/>
      <c r="I994" s="239"/>
      <c r="J994" s="239"/>
      <c r="K994" s="239"/>
      <c r="L994" s="239"/>
      <c r="M994" s="239"/>
      <c r="N994" s="239"/>
      <c r="O994" s="239"/>
      <c r="P994" s="239"/>
      <c r="Q994" s="239"/>
      <c r="R994" s="239"/>
      <c r="S994" s="239"/>
      <c r="T994" s="239"/>
      <c r="U994" s="239"/>
      <c r="V994" s="239"/>
      <c r="W994" s="239"/>
      <c r="X994" s="239"/>
      <c r="Y994" s="239"/>
      <c r="Z994" s="239"/>
      <c r="AA994" s="239"/>
      <c r="AB994" s="239"/>
      <c r="AC994" s="239"/>
      <c r="AD994" s="239"/>
      <c r="AE994" s="239"/>
      <c r="AF994" s="239"/>
      <c r="AG994" s="239"/>
      <c r="AH994" s="239"/>
      <c r="AI994" s="239"/>
      <c r="AJ994" s="239"/>
      <c r="AK994" s="239"/>
      <c r="AL994" s="239"/>
      <c r="AM994" s="239"/>
      <c r="AN994" s="239"/>
      <c r="AO994" s="239"/>
      <c r="AP994" s="239"/>
      <c r="AQ994" s="239"/>
      <c r="AR994" s="239"/>
      <c r="AS994" s="239"/>
      <c r="AT994" s="239"/>
      <c r="AU994" s="239"/>
      <c r="AV994" s="239"/>
      <c r="AW994" s="239"/>
      <c r="AX994" s="239"/>
      <c r="AY994" s="239"/>
      <c r="AZ994" s="239"/>
      <c r="BA994" s="239"/>
      <c r="BB994" s="239"/>
      <c r="BC994" s="239"/>
      <c r="BD994" s="239"/>
      <c r="BE994" s="239"/>
      <c r="BF994" s="239"/>
      <c r="BG994" s="239"/>
      <c r="BH994" s="239"/>
      <c r="BI994" s="239"/>
      <c r="BJ994" s="239"/>
      <c r="BK994" s="239"/>
      <c r="BL994" s="239"/>
      <c r="BM994" s="239"/>
      <c r="BN994" s="239"/>
      <c r="BO994" s="239"/>
      <c r="BP994" s="239"/>
      <c r="BQ994" s="239"/>
      <c r="BR994" s="239"/>
      <c r="BS994" s="239"/>
      <c r="BT994" s="239"/>
      <c r="BU994" s="239"/>
      <c r="BV994" s="239"/>
      <c r="BW994" s="239"/>
      <c r="BX994" s="239"/>
      <c r="BY994" s="239"/>
      <c r="BZ994" s="239"/>
      <c r="CA994" s="239"/>
      <c r="CB994" s="239"/>
      <c r="CC994" s="239"/>
      <c r="CD994" s="239"/>
      <c r="CE994" s="239"/>
      <c r="CF994" s="239"/>
      <c r="CG994" s="239"/>
    </row>
    <row r="995" spans="1:85" ht="15.75" customHeight="1">
      <c r="A995" s="239"/>
      <c r="B995" s="239"/>
      <c r="C995" s="239"/>
      <c r="D995" s="239"/>
      <c r="E995" s="239"/>
      <c r="F995" s="239"/>
      <c r="G995" s="239"/>
      <c r="H995" s="239"/>
      <c r="I995" s="239"/>
      <c r="J995" s="239"/>
      <c r="K995" s="239"/>
      <c r="L995" s="239"/>
      <c r="M995" s="239"/>
      <c r="N995" s="239"/>
      <c r="O995" s="239"/>
      <c r="P995" s="239"/>
      <c r="Q995" s="239"/>
      <c r="R995" s="239"/>
      <c r="S995" s="239"/>
      <c r="T995" s="239"/>
      <c r="U995" s="239"/>
      <c r="V995" s="239"/>
      <c r="W995" s="239"/>
      <c r="X995" s="239"/>
      <c r="Y995" s="239"/>
      <c r="Z995" s="239"/>
      <c r="AA995" s="239"/>
      <c r="AB995" s="239"/>
      <c r="AC995" s="239"/>
      <c r="AD995" s="239"/>
      <c r="AE995" s="239"/>
      <c r="AF995" s="239"/>
      <c r="AG995" s="239"/>
      <c r="AH995" s="239"/>
      <c r="AI995" s="239"/>
      <c r="AJ995" s="239"/>
      <c r="AK995" s="239"/>
      <c r="AL995" s="239"/>
      <c r="AM995" s="239"/>
      <c r="AN995" s="239"/>
      <c r="AO995" s="239"/>
      <c r="AP995" s="239"/>
      <c r="AQ995" s="239"/>
      <c r="AR995" s="239"/>
      <c r="AS995" s="239"/>
      <c r="AT995" s="239"/>
      <c r="AU995" s="239"/>
      <c r="AV995" s="239"/>
      <c r="AW995" s="239"/>
      <c r="AX995" s="239"/>
      <c r="AY995" s="239"/>
      <c r="AZ995" s="239"/>
      <c r="BA995" s="239"/>
      <c r="BB995" s="239"/>
      <c r="BC995" s="239"/>
      <c r="BD995" s="239"/>
      <c r="BE995" s="239"/>
      <c r="BF995" s="239"/>
      <c r="BG995" s="239"/>
      <c r="BH995" s="239"/>
      <c r="BI995" s="239"/>
      <c r="BJ995" s="239"/>
      <c r="BK995" s="239"/>
      <c r="BL995" s="239"/>
      <c r="BM995" s="239"/>
      <c r="BN995" s="239"/>
      <c r="BO995" s="239"/>
      <c r="BP995" s="239"/>
      <c r="BQ995" s="239"/>
      <c r="BR995" s="239"/>
      <c r="BS995" s="239"/>
      <c r="BT995" s="239"/>
      <c r="BU995" s="239"/>
      <c r="BV995" s="239"/>
      <c r="BW995" s="239"/>
      <c r="BX995" s="239"/>
      <c r="BY995" s="239"/>
      <c r="BZ995" s="239"/>
      <c r="CA995" s="239"/>
      <c r="CB995" s="239"/>
      <c r="CC995" s="239"/>
      <c r="CD995" s="239"/>
      <c r="CE995" s="239"/>
      <c r="CF995" s="239"/>
      <c r="CG995" s="239"/>
    </row>
    <row r="996" spans="1:85" ht="15.75" customHeight="1">
      <c r="A996" s="239"/>
      <c r="B996" s="239"/>
      <c r="C996" s="239"/>
      <c r="D996" s="239"/>
      <c r="E996" s="239"/>
      <c r="F996" s="239"/>
      <c r="G996" s="239"/>
      <c r="H996" s="239"/>
      <c r="I996" s="239"/>
      <c r="J996" s="239"/>
      <c r="K996" s="239"/>
      <c r="L996" s="239"/>
      <c r="M996" s="239"/>
      <c r="N996" s="239"/>
      <c r="O996" s="239"/>
      <c r="P996" s="239"/>
      <c r="Q996" s="239"/>
      <c r="R996" s="239"/>
      <c r="S996" s="239"/>
      <c r="T996" s="239"/>
      <c r="U996" s="239"/>
      <c r="V996" s="239"/>
      <c r="W996" s="239"/>
      <c r="X996" s="239"/>
      <c r="Y996" s="239"/>
      <c r="Z996" s="239"/>
      <c r="AA996" s="239"/>
      <c r="AB996" s="239"/>
      <c r="AC996" s="239"/>
      <c r="AD996" s="239"/>
      <c r="AE996" s="239"/>
      <c r="AF996" s="239"/>
      <c r="AG996" s="239"/>
      <c r="AH996" s="239"/>
      <c r="AI996" s="239"/>
      <c r="AJ996" s="239"/>
      <c r="AK996" s="239"/>
      <c r="AL996" s="239"/>
      <c r="AM996" s="239"/>
      <c r="AN996" s="239"/>
      <c r="AO996" s="239"/>
      <c r="AP996" s="239"/>
      <c r="AQ996" s="239"/>
      <c r="AR996" s="239"/>
      <c r="AS996" s="239"/>
      <c r="AT996" s="239"/>
      <c r="AU996" s="239"/>
      <c r="AV996" s="239"/>
      <c r="AW996" s="239"/>
      <c r="AX996" s="239"/>
      <c r="AY996" s="239"/>
      <c r="AZ996" s="239"/>
      <c r="BA996" s="239"/>
      <c r="BB996" s="239"/>
      <c r="BC996" s="239"/>
      <c r="BD996" s="239"/>
      <c r="BE996" s="239"/>
      <c r="BF996" s="239"/>
      <c r="BG996" s="239"/>
      <c r="BH996" s="239"/>
      <c r="BI996" s="239"/>
      <c r="BJ996" s="239"/>
      <c r="BK996" s="239"/>
      <c r="BL996" s="239"/>
      <c r="BM996" s="239"/>
      <c r="BN996" s="239"/>
      <c r="BO996" s="239"/>
      <c r="BP996" s="239"/>
      <c r="BQ996" s="239"/>
      <c r="BR996" s="239"/>
      <c r="BS996" s="239"/>
      <c r="BT996" s="239"/>
      <c r="BU996" s="239"/>
      <c r="BV996" s="239"/>
      <c r="BW996" s="239"/>
      <c r="BX996" s="239"/>
      <c r="BY996" s="239"/>
      <c r="BZ996" s="239"/>
      <c r="CA996" s="239"/>
      <c r="CB996" s="239"/>
      <c r="CC996" s="239"/>
      <c r="CD996" s="239"/>
      <c r="CE996" s="239"/>
      <c r="CF996" s="239"/>
      <c r="CG996" s="239"/>
    </row>
    <row r="997" spans="1:85" ht="15.75" customHeight="1">
      <c r="A997" s="239"/>
      <c r="B997" s="239"/>
      <c r="C997" s="239"/>
      <c r="D997" s="239"/>
      <c r="E997" s="239"/>
      <c r="F997" s="239"/>
      <c r="G997" s="239"/>
      <c r="H997" s="239"/>
      <c r="I997" s="239"/>
      <c r="J997" s="239"/>
      <c r="K997" s="239"/>
      <c r="L997" s="239"/>
      <c r="M997" s="239"/>
      <c r="N997" s="239"/>
      <c r="O997" s="239"/>
      <c r="P997" s="239"/>
      <c r="Q997" s="239"/>
      <c r="R997" s="239"/>
      <c r="S997" s="239"/>
      <c r="T997" s="239"/>
      <c r="U997" s="239"/>
      <c r="V997" s="239"/>
      <c r="W997" s="239"/>
      <c r="X997" s="239"/>
      <c r="Y997" s="239"/>
      <c r="Z997" s="239"/>
      <c r="AA997" s="239"/>
      <c r="AB997" s="239"/>
      <c r="AC997" s="239"/>
      <c r="AD997" s="239"/>
      <c r="AE997" s="239"/>
      <c r="AF997" s="239"/>
      <c r="AG997" s="239"/>
      <c r="AH997" s="239"/>
      <c r="AI997" s="239"/>
      <c r="AJ997" s="239"/>
      <c r="AK997" s="239"/>
      <c r="AL997" s="239"/>
      <c r="AM997" s="239"/>
      <c r="AN997" s="239"/>
      <c r="AO997" s="239"/>
      <c r="AP997" s="239"/>
      <c r="AQ997" s="239"/>
      <c r="AR997" s="239"/>
      <c r="AS997" s="239"/>
      <c r="AT997" s="239"/>
      <c r="AU997" s="239"/>
      <c r="AV997" s="239"/>
      <c r="AW997" s="239"/>
      <c r="AX997" s="239"/>
      <c r="AY997" s="239"/>
      <c r="AZ997" s="239"/>
      <c r="BA997" s="239"/>
      <c r="BB997" s="239"/>
      <c r="BC997" s="239"/>
      <c r="BD997" s="239"/>
      <c r="BE997" s="239"/>
      <c r="BF997" s="239"/>
      <c r="BG997" s="239"/>
      <c r="BH997" s="239"/>
      <c r="BI997" s="239"/>
      <c r="BJ997" s="239"/>
      <c r="BK997" s="239"/>
      <c r="BL997" s="239"/>
      <c r="BM997" s="239"/>
      <c r="BN997" s="239"/>
      <c r="BO997" s="239"/>
      <c r="BP997" s="239"/>
      <c r="BQ997" s="239"/>
      <c r="BR997" s="239"/>
      <c r="BS997" s="239"/>
      <c r="BT997" s="239"/>
      <c r="BU997" s="239"/>
      <c r="BV997" s="239"/>
      <c r="BW997" s="239"/>
      <c r="BX997" s="239"/>
      <c r="BY997" s="239"/>
      <c r="BZ997" s="239"/>
      <c r="CA997" s="239"/>
      <c r="CB997" s="239"/>
      <c r="CC997" s="239"/>
      <c r="CD997" s="239"/>
      <c r="CE997" s="239"/>
      <c r="CF997" s="239"/>
      <c r="CG997" s="239"/>
    </row>
    <row r="998" spans="1:85" ht="15.75" customHeight="1">
      <c r="A998" s="239"/>
      <c r="B998" s="239"/>
      <c r="C998" s="239"/>
      <c r="D998" s="239"/>
      <c r="E998" s="239"/>
      <c r="F998" s="239"/>
      <c r="G998" s="239"/>
      <c r="H998" s="239"/>
      <c r="I998" s="239"/>
      <c r="J998" s="239"/>
      <c r="K998" s="239"/>
      <c r="L998" s="239"/>
      <c r="M998" s="239"/>
      <c r="N998" s="239"/>
      <c r="O998" s="239"/>
      <c r="P998" s="239"/>
      <c r="Q998" s="239"/>
      <c r="R998" s="239"/>
      <c r="S998" s="239"/>
      <c r="T998" s="239"/>
      <c r="U998" s="239"/>
      <c r="V998" s="239"/>
      <c r="W998" s="239"/>
      <c r="X998" s="239"/>
      <c r="Y998" s="239"/>
      <c r="Z998" s="239"/>
      <c r="AA998" s="239"/>
      <c r="AB998" s="239"/>
      <c r="AC998" s="239"/>
      <c r="AD998" s="239"/>
      <c r="AE998" s="239"/>
      <c r="AF998" s="239"/>
      <c r="AG998" s="239"/>
      <c r="AH998" s="239"/>
      <c r="AI998" s="239"/>
      <c r="AJ998" s="239"/>
      <c r="AK998" s="239"/>
      <c r="AL998" s="239"/>
      <c r="AM998" s="239"/>
      <c r="AN998" s="239"/>
      <c r="AO998" s="239"/>
      <c r="AP998" s="239"/>
      <c r="AQ998" s="239"/>
      <c r="AR998" s="239"/>
      <c r="AS998" s="239"/>
      <c r="AT998" s="239"/>
      <c r="AU998" s="239"/>
      <c r="AV998" s="239"/>
      <c r="AW998" s="239"/>
      <c r="AX998" s="239"/>
      <c r="AY998" s="239"/>
      <c r="AZ998" s="239"/>
      <c r="BA998" s="239"/>
      <c r="BB998" s="239"/>
      <c r="BC998" s="239"/>
      <c r="BD998" s="239"/>
      <c r="BE998" s="239"/>
      <c r="BF998" s="239"/>
      <c r="BG998" s="239"/>
      <c r="BH998" s="239"/>
      <c r="BI998" s="239"/>
      <c r="BJ998" s="239"/>
      <c r="BK998" s="239"/>
      <c r="BL998" s="239"/>
      <c r="BM998" s="239"/>
      <c r="BN998" s="239"/>
      <c r="BO998" s="239"/>
      <c r="BP998" s="239"/>
      <c r="BQ998" s="239"/>
      <c r="BR998" s="239"/>
      <c r="BS998" s="239"/>
      <c r="BT998" s="239"/>
      <c r="BU998" s="239"/>
      <c r="BV998" s="239"/>
      <c r="BW998" s="239"/>
      <c r="BX998" s="239"/>
      <c r="BY998" s="239"/>
      <c r="BZ998" s="239"/>
      <c r="CA998" s="239"/>
      <c r="CB998" s="239"/>
      <c r="CC998" s="239"/>
      <c r="CD998" s="239"/>
      <c r="CE998" s="239"/>
      <c r="CF998" s="239"/>
      <c r="CG998" s="239"/>
    </row>
    <row r="999" spans="1:85" ht="15.75" customHeight="1">
      <c r="A999" s="239"/>
      <c r="B999" s="239"/>
      <c r="C999" s="239"/>
      <c r="D999" s="239"/>
      <c r="E999" s="239"/>
      <c r="F999" s="239"/>
      <c r="G999" s="239"/>
      <c r="H999" s="239"/>
      <c r="I999" s="239"/>
      <c r="J999" s="239"/>
      <c r="K999" s="239"/>
      <c r="L999" s="239"/>
      <c r="M999" s="239"/>
      <c r="N999" s="239"/>
      <c r="O999" s="239"/>
      <c r="P999" s="239"/>
      <c r="Q999" s="239"/>
      <c r="R999" s="239"/>
      <c r="S999" s="239"/>
      <c r="T999" s="239"/>
      <c r="U999" s="239"/>
      <c r="V999" s="239"/>
      <c r="W999" s="239"/>
      <c r="X999" s="239"/>
      <c r="Y999" s="239"/>
      <c r="Z999" s="239"/>
      <c r="AA999" s="239"/>
      <c r="AB999" s="239"/>
      <c r="AC999" s="239"/>
      <c r="AD999" s="239"/>
      <c r="AE999" s="239"/>
      <c r="AF999" s="239"/>
      <c r="AG999" s="239"/>
      <c r="AH999" s="239"/>
      <c r="AI999" s="239"/>
      <c r="AJ999" s="239"/>
      <c r="AK999" s="239"/>
      <c r="AL999" s="239"/>
      <c r="AM999" s="239"/>
      <c r="AN999" s="239"/>
      <c r="AO999" s="239"/>
      <c r="AP999" s="239"/>
      <c r="AQ999" s="239"/>
      <c r="AR999" s="239"/>
      <c r="AS999" s="239"/>
      <c r="AT999" s="239"/>
      <c r="AU999" s="239"/>
      <c r="AV999" s="239"/>
      <c r="AW999" s="239"/>
      <c r="AX999" s="239"/>
      <c r="AY999" s="239"/>
      <c r="AZ999" s="239"/>
      <c r="BA999" s="239"/>
      <c r="BB999" s="239"/>
      <c r="BC999" s="239"/>
      <c r="BD999" s="239"/>
      <c r="BE999" s="239"/>
      <c r="BF999" s="239"/>
      <c r="BG999" s="239"/>
      <c r="BH999" s="239"/>
      <c r="BI999" s="239"/>
      <c r="BJ999" s="239"/>
      <c r="BK999" s="239"/>
      <c r="BL999" s="239"/>
      <c r="BM999" s="239"/>
      <c r="BN999" s="239"/>
      <c r="BO999" s="239"/>
      <c r="BP999" s="239"/>
      <c r="BQ999" s="239"/>
      <c r="BR999" s="239"/>
      <c r="BS999" s="239"/>
      <c r="BT999" s="239"/>
      <c r="BU999" s="239"/>
      <c r="BV999" s="239"/>
      <c r="BW999" s="239"/>
      <c r="BX999" s="239"/>
      <c r="BY999" s="239"/>
      <c r="BZ999" s="239"/>
      <c r="CA999" s="239"/>
      <c r="CB999" s="239"/>
      <c r="CC999" s="239"/>
      <c r="CD999" s="239"/>
      <c r="CE999" s="239"/>
      <c r="CF999" s="239"/>
      <c r="CG999" s="239"/>
    </row>
    <row r="1000" spans="1:85" ht="15.75" customHeight="1">
      <c r="A1000" s="239"/>
      <c r="B1000" s="239"/>
      <c r="C1000" s="239"/>
      <c r="D1000" s="239"/>
      <c r="E1000" s="239"/>
      <c r="F1000" s="239"/>
      <c r="G1000" s="239"/>
      <c r="H1000" s="239"/>
      <c r="I1000" s="239"/>
      <c r="J1000" s="239"/>
      <c r="K1000" s="239"/>
      <c r="L1000" s="239"/>
      <c r="M1000" s="239"/>
      <c r="N1000" s="239"/>
      <c r="O1000" s="239"/>
      <c r="P1000" s="239"/>
      <c r="Q1000" s="239"/>
      <c r="R1000" s="239"/>
      <c r="S1000" s="239"/>
      <c r="T1000" s="239"/>
      <c r="U1000" s="239"/>
      <c r="V1000" s="239"/>
      <c r="W1000" s="239"/>
      <c r="X1000" s="239"/>
      <c r="Y1000" s="239"/>
      <c r="Z1000" s="239"/>
      <c r="AA1000" s="239"/>
      <c r="AB1000" s="239"/>
      <c r="AC1000" s="239"/>
      <c r="AD1000" s="239"/>
      <c r="AE1000" s="239"/>
      <c r="AF1000" s="239"/>
      <c r="AG1000" s="239"/>
      <c r="AH1000" s="239"/>
      <c r="AI1000" s="239"/>
      <c r="AJ1000" s="239"/>
      <c r="AK1000" s="239"/>
      <c r="AL1000" s="239"/>
      <c r="AM1000" s="239"/>
      <c r="AN1000" s="239"/>
      <c r="AO1000" s="239"/>
      <c r="AP1000" s="239"/>
      <c r="AQ1000" s="239"/>
      <c r="AR1000" s="239"/>
      <c r="AS1000" s="239"/>
      <c r="AT1000" s="239"/>
      <c r="AU1000" s="239"/>
      <c r="AV1000" s="239"/>
      <c r="AW1000" s="239"/>
      <c r="AX1000" s="239"/>
      <c r="AY1000" s="239"/>
      <c r="AZ1000" s="239"/>
      <c r="BA1000" s="239"/>
      <c r="BB1000" s="239"/>
      <c r="BC1000" s="239"/>
      <c r="BD1000" s="239"/>
      <c r="BE1000" s="239"/>
      <c r="BF1000" s="239"/>
      <c r="BG1000" s="239"/>
      <c r="BH1000" s="239"/>
      <c r="BI1000" s="239"/>
      <c r="BJ1000" s="239"/>
      <c r="BK1000" s="239"/>
      <c r="BL1000" s="239"/>
      <c r="BM1000" s="239"/>
      <c r="BN1000" s="239"/>
      <c r="BO1000" s="239"/>
      <c r="BP1000" s="239"/>
      <c r="BQ1000" s="239"/>
      <c r="BR1000" s="239"/>
      <c r="BS1000" s="239"/>
      <c r="BT1000" s="239"/>
      <c r="BU1000" s="239"/>
      <c r="BV1000" s="239"/>
      <c r="BW1000" s="239"/>
      <c r="BX1000" s="239"/>
      <c r="BY1000" s="239"/>
      <c r="BZ1000" s="239"/>
      <c r="CA1000" s="239"/>
      <c r="CB1000" s="239"/>
      <c r="CC1000" s="239"/>
      <c r="CD1000" s="239"/>
      <c r="CE1000" s="239"/>
      <c r="CF1000" s="239"/>
      <c r="CG1000" s="239"/>
    </row>
  </sheetData>
  <customSheetViews>
    <customSheetView guid="{108ED151-3495-4EE7-8471-65DDD3B06F50}" filter="1" showAutoFilter="1">
      <pageMargins left="0.7" right="0.7" top="0.75" bottom="0.75" header="0.3" footer="0.3"/>
      <autoFilter ref="BM8:BM13" xr:uid="{52E07A2E-80BD-49D4-BC0A-E4BC2384658E}"/>
    </customSheetView>
  </customSheetViews>
  <mergeCells count="700">
    <mergeCell ref="AB18:AG18"/>
    <mergeCell ref="AH18:AM18"/>
    <mergeCell ref="AN18:AS18"/>
    <mergeCell ref="AT18:AY18"/>
    <mergeCell ref="B15:R15"/>
    <mergeCell ref="S15:W15"/>
    <mergeCell ref="AA15:AN15"/>
    <mergeCell ref="AO15:AS15"/>
    <mergeCell ref="B17:AY17"/>
    <mergeCell ref="B18:I18"/>
    <mergeCell ref="J18:O18"/>
    <mergeCell ref="P18:U18"/>
    <mergeCell ref="V18:AA18"/>
    <mergeCell ref="J19:O19"/>
    <mergeCell ref="P19:U19"/>
    <mergeCell ref="V19:AA19"/>
    <mergeCell ref="AB19:AG19"/>
    <mergeCell ref="AH19:AM19"/>
    <mergeCell ref="AN19:AS19"/>
    <mergeCell ref="AT19:AY19"/>
    <mergeCell ref="AN20:AS20"/>
    <mergeCell ref="AT20:AY20"/>
    <mergeCell ref="B19:I19"/>
    <mergeCell ref="B20:I20"/>
    <mergeCell ref="J20:O20"/>
    <mergeCell ref="P20:U20"/>
    <mergeCell ref="V20:AA20"/>
    <mergeCell ref="AB20:AG20"/>
    <mergeCell ref="AH20:AM20"/>
    <mergeCell ref="B29:I29"/>
    <mergeCell ref="J29:O29"/>
    <mergeCell ref="P29:U29"/>
    <mergeCell ref="V29:AA29"/>
    <mergeCell ref="AB29:AG29"/>
    <mergeCell ref="AH29:AM29"/>
    <mergeCell ref="J21:O21"/>
    <mergeCell ref="P21:U21"/>
    <mergeCell ref="V21:AA21"/>
    <mergeCell ref="AB21:AG21"/>
    <mergeCell ref="AH21:AM21"/>
    <mergeCell ref="AH23:AM23"/>
    <mergeCell ref="B23:I23"/>
    <mergeCell ref="B24:I24"/>
    <mergeCell ref="J25:O25"/>
    <mergeCell ref="P25:U25"/>
    <mergeCell ref="V25:AA25"/>
    <mergeCell ref="B27:I27"/>
    <mergeCell ref="J28:O28"/>
    <mergeCell ref="P28:U28"/>
    <mergeCell ref="V28:AA28"/>
    <mergeCell ref="AB28:AG28"/>
    <mergeCell ref="AH28:AM28"/>
    <mergeCell ref="B31:BD31"/>
    <mergeCell ref="AH27:AM27"/>
    <mergeCell ref="AN27:AS27"/>
    <mergeCell ref="J27:O27"/>
    <mergeCell ref="P27:U27"/>
    <mergeCell ref="V27:AA27"/>
    <mergeCell ref="AB27:AG27"/>
    <mergeCell ref="AT27:AY27"/>
    <mergeCell ref="AD35:AG35"/>
    <mergeCell ref="AH35:AK35"/>
    <mergeCell ref="AL35:AO35"/>
    <mergeCell ref="AP35:AR35"/>
    <mergeCell ref="AS35:AX35"/>
    <mergeCell ref="AY35:BD35"/>
    <mergeCell ref="B28:I28"/>
    <mergeCell ref="B32:I35"/>
    <mergeCell ref="J32:M35"/>
    <mergeCell ref="N32:Q35"/>
    <mergeCell ref="R35:U35"/>
    <mergeCell ref="V35:Y35"/>
    <mergeCell ref="Z35:AC35"/>
    <mergeCell ref="AN29:AS29"/>
    <mergeCell ref="AT29:AY29"/>
    <mergeCell ref="AN28:AS28"/>
    <mergeCell ref="AT28:AY28"/>
    <mergeCell ref="R32:BD32"/>
    <mergeCell ref="R33:BD34"/>
    <mergeCell ref="AH36:AK36"/>
    <mergeCell ref="AL36:AO36"/>
    <mergeCell ref="AP36:AR36"/>
    <mergeCell ref="AS36:AX36"/>
    <mergeCell ref="AY36:BD36"/>
    <mergeCell ref="B36:I36"/>
    <mergeCell ref="J36:M36"/>
    <mergeCell ref="N36:Q36"/>
    <mergeCell ref="R36:U36"/>
    <mergeCell ref="V36:Y36"/>
    <mergeCell ref="Z36:AC36"/>
    <mergeCell ref="AD36:AG36"/>
    <mergeCell ref="A1:BE1"/>
    <mergeCell ref="A2:BE2"/>
    <mergeCell ref="AX3:BA3"/>
    <mergeCell ref="BB3:BE3"/>
    <mergeCell ref="L4:AC4"/>
    <mergeCell ref="AF4:AO4"/>
    <mergeCell ref="AP4:AU4"/>
    <mergeCell ref="AX6:BA6"/>
    <mergeCell ref="BB6:BE6"/>
    <mergeCell ref="AX4:BA4"/>
    <mergeCell ref="BB4:BE4"/>
    <mergeCell ref="AF5:AO5"/>
    <mergeCell ref="AP5:AU5"/>
    <mergeCell ref="AX5:BA5"/>
    <mergeCell ref="BB5:BE5"/>
    <mergeCell ref="L6:AC6"/>
    <mergeCell ref="AF6:AO6"/>
    <mergeCell ref="AP6:AU6"/>
    <mergeCell ref="AF7:AO7"/>
    <mergeCell ref="AP7:AU7"/>
    <mergeCell ref="AB8:AD8"/>
    <mergeCell ref="AF8:AO8"/>
    <mergeCell ref="AP8:AU8"/>
    <mergeCell ref="AF9:AO9"/>
    <mergeCell ref="AP9:AU9"/>
    <mergeCell ref="N10:T10"/>
    <mergeCell ref="AF10:AO10"/>
    <mergeCell ref="AP10:AU10"/>
    <mergeCell ref="AF11:AO11"/>
    <mergeCell ref="AP11:AU11"/>
    <mergeCell ref="N11:T11"/>
    <mergeCell ref="B13:P13"/>
    <mergeCell ref="Q13:T13"/>
    <mergeCell ref="AA13:AN13"/>
    <mergeCell ref="AO13:AS13"/>
    <mergeCell ref="AA14:AN14"/>
    <mergeCell ref="AO14:AS14"/>
    <mergeCell ref="AN21:AS21"/>
    <mergeCell ref="AT21:AY21"/>
    <mergeCell ref="B21:I21"/>
    <mergeCell ref="B22:I22"/>
    <mergeCell ref="J22:O22"/>
    <mergeCell ref="P22:U22"/>
    <mergeCell ref="V22:AA22"/>
    <mergeCell ref="AB22:AG22"/>
    <mergeCell ref="AH22:AM22"/>
    <mergeCell ref="AN23:AS23"/>
    <mergeCell ref="AN22:AS22"/>
    <mergeCell ref="AT22:AY22"/>
    <mergeCell ref="J23:O23"/>
    <mergeCell ref="P23:U23"/>
    <mergeCell ref="V23:AA23"/>
    <mergeCell ref="AB23:AG23"/>
    <mergeCell ref="AT23:AY23"/>
    <mergeCell ref="AN24:AS24"/>
    <mergeCell ref="AT24:AY24"/>
    <mergeCell ref="J24:O24"/>
    <mergeCell ref="P24:U24"/>
    <mergeCell ref="V24:AA24"/>
    <mergeCell ref="AB24:AG24"/>
    <mergeCell ref="AH24:AM24"/>
    <mergeCell ref="AB25:AG25"/>
    <mergeCell ref="AH25:AM25"/>
    <mergeCell ref="AN25:AS25"/>
    <mergeCell ref="AT25:AY25"/>
    <mergeCell ref="B25:I25"/>
    <mergeCell ref="B26:I26"/>
    <mergeCell ref="J26:O26"/>
    <mergeCell ref="P26:U26"/>
    <mergeCell ref="V26:AA26"/>
    <mergeCell ref="AB26:AG26"/>
    <mergeCell ref="AH26:AM26"/>
    <mergeCell ref="AN26:AS26"/>
    <mergeCell ref="AT26:AY26"/>
    <mergeCell ref="AH40:AK40"/>
    <mergeCell ref="AL40:AO40"/>
    <mergeCell ref="AP40:AR40"/>
    <mergeCell ref="AS40:AX40"/>
    <mergeCell ref="AY40:BD40"/>
    <mergeCell ref="B40:I40"/>
    <mergeCell ref="J40:M40"/>
    <mergeCell ref="N40:Q40"/>
    <mergeCell ref="R40:U40"/>
    <mergeCell ref="V40:Y40"/>
    <mergeCell ref="Z40:AC40"/>
    <mergeCell ref="AD40:AG40"/>
    <mergeCell ref="AH41:AK41"/>
    <mergeCell ref="AL41:AO41"/>
    <mergeCell ref="AP41:AR41"/>
    <mergeCell ref="AS41:AX41"/>
    <mergeCell ref="AY41:BD41"/>
    <mergeCell ref="B41:I41"/>
    <mergeCell ref="J41:M41"/>
    <mergeCell ref="N41:Q41"/>
    <mergeCell ref="R41:U41"/>
    <mergeCell ref="V41:Y41"/>
    <mergeCell ref="Z41:AC41"/>
    <mergeCell ref="AD41:AG41"/>
    <mergeCell ref="AH42:AK42"/>
    <mergeCell ref="AL42:AO42"/>
    <mergeCell ref="AP42:AR42"/>
    <mergeCell ref="AS42:AX42"/>
    <mergeCell ref="AY42:BD42"/>
    <mergeCell ref="B42:I42"/>
    <mergeCell ref="J42:M42"/>
    <mergeCell ref="N42:Q42"/>
    <mergeCell ref="R42:U42"/>
    <mergeCell ref="V42:Y42"/>
    <mergeCell ref="Z42:AC42"/>
    <mergeCell ref="AD42:AG42"/>
    <mergeCell ref="AH43:AK43"/>
    <mergeCell ref="AL43:AO43"/>
    <mergeCell ref="AP43:AR43"/>
    <mergeCell ref="AS43:AX43"/>
    <mergeCell ref="AY43:BD43"/>
    <mergeCell ref="B43:I43"/>
    <mergeCell ref="J43:M43"/>
    <mergeCell ref="N43:Q43"/>
    <mergeCell ref="R43:U43"/>
    <mergeCell ref="V43:Y43"/>
    <mergeCell ref="Z43:AC43"/>
    <mergeCell ref="AD43:AG43"/>
    <mergeCell ref="AH44:AK44"/>
    <mergeCell ref="AL44:AO44"/>
    <mergeCell ref="AP44:AR44"/>
    <mergeCell ref="AS44:AX44"/>
    <mergeCell ref="AY44:BD44"/>
    <mergeCell ref="B44:I44"/>
    <mergeCell ref="J44:M44"/>
    <mergeCell ref="N44:Q44"/>
    <mergeCell ref="R44:U44"/>
    <mergeCell ref="V44:Y44"/>
    <mergeCell ref="Z44:AC44"/>
    <mergeCell ref="AD44:AG44"/>
    <mergeCell ref="AH45:AK45"/>
    <mergeCell ref="AL45:AO45"/>
    <mergeCell ref="AP45:AR45"/>
    <mergeCell ref="AS45:AX45"/>
    <mergeCell ref="AY45:BD45"/>
    <mergeCell ref="B45:I45"/>
    <mergeCell ref="J45:M45"/>
    <mergeCell ref="N45:Q45"/>
    <mergeCell ref="R45:U45"/>
    <mergeCell ref="V45:Y45"/>
    <mergeCell ref="Z45:AC45"/>
    <mergeCell ref="AD45:AG45"/>
    <mergeCell ref="AH46:AK46"/>
    <mergeCell ref="AL46:AO46"/>
    <mergeCell ref="AP46:AR46"/>
    <mergeCell ref="AS46:AX46"/>
    <mergeCell ref="AY46:BD46"/>
    <mergeCell ref="B46:I46"/>
    <mergeCell ref="J46:M46"/>
    <mergeCell ref="N46:Q46"/>
    <mergeCell ref="R46:U46"/>
    <mergeCell ref="V46:Y46"/>
    <mergeCell ref="Z46:AC46"/>
    <mergeCell ref="AD46:AG46"/>
    <mergeCell ref="AH37:AK37"/>
    <mergeCell ref="AL37:AO37"/>
    <mergeCell ref="AP37:AR37"/>
    <mergeCell ref="AS37:AX37"/>
    <mergeCell ref="AY37:BD37"/>
    <mergeCell ref="B37:I37"/>
    <mergeCell ref="J37:M37"/>
    <mergeCell ref="N37:Q37"/>
    <mergeCell ref="R37:U37"/>
    <mergeCell ref="V37:Y37"/>
    <mergeCell ref="Z37:AC37"/>
    <mergeCell ref="AD37:AG37"/>
    <mergeCell ref="AH38:AK38"/>
    <mergeCell ref="AL38:AO38"/>
    <mergeCell ref="AP38:AR38"/>
    <mergeCell ref="AS38:AX38"/>
    <mergeCell ref="AY38:BD38"/>
    <mergeCell ref="B38:I38"/>
    <mergeCell ref="J38:M38"/>
    <mergeCell ref="N38:Q38"/>
    <mergeCell ref="R38:U38"/>
    <mergeCell ref="V38:Y38"/>
    <mergeCell ref="Z38:AC38"/>
    <mergeCell ref="AD38:AG38"/>
    <mergeCell ref="AH39:AK39"/>
    <mergeCell ref="AL39:AO39"/>
    <mergeCell ref="AP39:AR39"/>
    <mergeCell ref="AS39:AX39"/>
    <mergeCell ref="AY39:BD39"/>
    <mergeCell ref="B39:I39"/>
    <mergeCell ref="J39:M39"/>
    <mergeCell ref="N39:Q39"/>
    <mergeCell ref="R39:U39"/>
    <mergeCell ref="V39:Y39"/>
    <mergeCell ref="Z39:AC39"/>
    <mergeCell ref="AD39:AG39"/>
    <mergeCell ref="AH47:AK47"/>
    <mergeCell ref="AL47:AO47"/>
    <mergeCell ref="AP47:AR47"/>
    <mergeCell ref="AS47:AX47"/>
    <mergeCell ref="AY47:BD47"/>
    <mergeCell ref="B132:H132"/>
    <mergeCell ref="I132:O132"/>
    <mergeCell ref="P132:U132"/>
    <mergeCell ref="B128:U128"/>
    <mergeCell ref="B129:H130"/>
    <mergeCell ref="I129:O130"/>
    <mergeCell ref="P129:U130"/>
    <mergeCell ref="B131:H131"/>
    <mergeCell ref="I131:O131"/>
    <mergeCell ref="P131:U131"/>
    <mergeCell ref="B96:H96"/>
    <mergeCell ref="I96:N96"/>
    <mergeCell ref="O96:U96"/>
    <mergeCell ref="V96:AA96"/>
    <mergeCell ref="AB96:AH96"/>
    <mergeCell ref="AJ96:BB97"/>
    <mergeCell ref="B97:H97"/>
    <mergeCell ref="V103:AA104"/>
    <mergeCell ref="AB103:AH104"/>
    <mergeCell ref="V97:AA97"/>
    <mergeCell ref="AB97:AH97"/>
    <mergeCell ref="F100:R100"/>
    <mergeCell ref="B102:AH102"/>
    <mergeCell ref="B103:H104"/>
    <mergeCell ref="I103:N104"/>
    <mergeCell ref="O103:U104"/>
    <mergeCell ref="O106:U106"/>
    <mergeCell ref="V106:AA106"/>
    <mergeCell ref="I97:N97"/>
    <mergeCell ref="O97:U97"/>
    <mergeCell ref="O107:U107"/>
    <mergeCell ref="V107:AA107"/>
    <mergeCell ref="AB107:AH107"/>
    <mergeCell ref="B105:H105"/>
    <mergeCell ref="I105:N105"/>
    <mergeCell ref="O105:U105"/>
    <mergeCell ref="V105:AA105"/>
    <mergeCell ref="AB105:AH105"/>
    <mergeCell ref="I106:N106"/>
    <mergeCell ref="AB106:AH106"/>
    <mergeCell ref="B106:H106"/>
    <mergeCell ref="B107:H107"/>
    <mergeCell ref="I107:N107"/>
    <mergeCell ref="F110:R110"/>
    <mergeCell ref="B112:T115"/>
    <mergeCell ref="U112:X115"/>
    <mergeCell ref="B116:T117"/>
    <mergeCell ref="U116:X117"/>
    <mergeCell ref="X120:BD121"/>
    <mergeCell ref="X122:BD132"/>
    <mergeCell ref="B134:AG134"/>
    <mergeCell ref="AH134:AX134"/>
    <mergeCell ref="B124:H124"/>
    <mergeCell ref="I124:N124"/>
    <mergeCell ref="O124:U124"/>
    <mergeCell ref="B121:U121"/>
    <mergeCell ref="B122:H122"/>
    <mergeCell ref="I122:N122"/>
    <mergeCell ref="O122:U122"/>
    <mergeCell ref="B123:H123"/>
    <mergeCell ref="I123:N123"/>
    <mergeCell ref="O123:U123"/>
    <mergeCell ref="B135:AG135"/>
    <mergeCell ref="AH135:AX135"/>
    <mergeCell ref="Q165:S165"/>
    <mergeCell ref="T165:AA165"/>
    <mergeCell ref="C164:E164"/>
    <mergeCell ref="F164:P164"/>
    <mergeCell ref="Q164:S164"/>
    <mergeCell ref="T164:AA164"/>
    <mergeCell ref="AB164:AG164"/>
    <mergeCell ref="C165:E165"/>
    <mergeCell ref="AB165:AG165"/>
    <mergeCell ref="B136:AG136"/>
    <mergeCell ref="AH136:AX136"/>
    <mergeCell ref="B137:Q137"/>
    <mergeCell ref="R137:AX137"/>
    <mergeCell ref="B138:AX147"/>
    <mergeCell ref="B151:U151"/>
    <mergeCell ref="X151:AQ151"/>
    <mergeCell ref="X154:AD154"/>
    <mergeCell ref="AE154:AK154"/>
    <mergeCell ref="B152:H153"/>
    <mergeCell ref="I152:O153"/>
    <mergeCell ref="P152:U153"/>
    <mergeCell ref="X152:AD153"/>
    <mergeCell ref="AE152:AK153"/>
    <mergeCell ref="AL152:AQ153"/>
    <mergeCell ref="B154:H154"/>
    <mergeCell ref="AL154:AQ154"/>
    <mergeCell ref="Q158:S158"/>
    <mergeCell ref="T158:AA158"/>
    <mergeCell ref="T159:AA159"/>
    <mergeCell ref="T160:AA160"/>
    <mergeCell ref="T161:AA161"/>
    <mergeCell ref="I154:O154"/>
    <mergeCell ref="P154:U154"/>
    <mergeCell ref="B155:H155"/>
    <mergeCell ref="I155:O155"/>
    <mergeCell ref="P155:U155"/>
    <mergeCell ref="C157:AG157"/>
    <mergeCell ref="AB158:AG158"/>
    <mergeCell ref="C158:P158"/>
    <mergeCell ref="C159:P159"/>
    <mergeCell ref="Q159:S159"/>
    <mergeCell ref="C160:P160"/>
    <mergeCell ref="Q160:S160"/>
    <mergeCell ref="C161:P161"/>
    <mergeCell ref="Q161:S161"/>
    <mergeCell ref="C174:H174"/>
    <mergeCell ref="I174:N174"/>
    <mergeCell ref="F165:P165"/>
    <mergeCell ref="C167:N167"/>
    <mergeCell ref="P167:AO167"/>
    <mergeCell ref="C168:H168"/>
    <mergeCell ref="I168:N168"/>
    <mergeCell ref="P168:AO175"/>
    <mergeCell ref="I169:N169"/>
    <mergeCell ref="C175:H175"/>
    <mergeCell ref="I175:N175"/>
    <mergeCell ref="C169:H169"/>
    <mergeCell ref="C170:H170"/>
    <mergeCell ref="I170:N170"/>
    <mergeCell ref="C171:H171"/>
    <mergeCell ref="I171:N171"/>
    <mergeCell ref="C172:H172"/>
    <mergeCell ref="I172:N172"/>
    <mergeCell ref="C173:H173"/>
    <mergeCell ref="I173:N173"/>
    <mergeCell ref="C189:D189"/>
    <mergeCell ref="E189:M189"/>
    <mergeCell ref="N189:T189"/>
    <mergeCell ref="U189:AE189"/>
    <mergeCell ref="N190:T190"/>
    <mergeCell ref="C180:M180"/>
    <mergeCell ref="N180:T180"/>
    <mergeCell ref="C179:M179"/>
    <mergeCell ref="C181:M181"/>
    <mergeCell ref="N186:T186"/>
    <mergeCell ref="U186:AE186"/>
    <mergeCell ref="C187:D187"/>
    <mergeCell ref="E187:M187"/>
    <mergeCell ref="N187:T187"/>
    <mergeCell ref="U187:AE187"/>
    <mergeCell ref="N181:T181"/>
    <mergeCell ref="C182:M182"/>
    <mergeCell ref="N182:T182"/>
    <mergeCell ref="C185:M185"/>
    <mergeCell ref="N185:T185"/>
    <mergeCell ref="U185:AE185"/>
    <mergeCell ref="C177:AE178"/>
    <mergeCell ref="AH177:BE183"/>
    <mergeCell ref="N179:T179"/>
    <mergeCell ref="U179:AE179"/>
    <mergeCell ref="U180:AE180"/>
    <mergeCell ref="AH184:BE184"/>
    <mergeCell ref="U182:AE182"/>
    <mergeCell ref="C183:M183"/>
    <mergeCell ref="N183:T183"/>
    <mergeCell ref="U183:AE183"/>
    <mergeCell ref="C184:M184"/>
    <mergeCell ref="N184:T184"/>
    <mergeCell ref="U184:AE184"/>
    <mergeCell ref="AH185:AT185"/>
    <mergeCell ref="AU185:BB185"/>
    <mergeCell ref="BC185:BE185"/>
    <mergeCell ref="C186:M186"/>
    <mergeCell ref="BC186:BE186"/>
    <mergeCell ref="AH189:AT189"/>
    <mergeCell ref="AH190:BE191"/>
    <mergeCell ref="AH192:AR192"/>
    <mergeCell ref="AS192:AX192"/>
    <mergeCell ref="AY192:BD192"/>
    <mergeCell ref="AH186:AT186"/>
    <mergeCell ref="AU186:BB186"/>
    <mergeCell ref="AH187:AT187"/>
    <mergeCell ref="AU187:BB187"/>
    <mergeCell ref="BC187:BE187"/>
    <mergeCell ref="BC188:BE188"/>
    <mergeCell ref="AU189:BB189"/>
    <mergeCell ref="C190:M190"/>
    <mergeCell ref="C191:M191"/>
    <mergeCell ref="N191:T191"/>
    <mergeCell ref="C188:D188"/>
    <mergeCell ref="U188:AE188"/>
    <mergeCell ref="E188:M188"/>
    <mergeCell ref="N188:T188"/>
    <mergeCell ref="C194:AE194"/>
    <mergeCell ref="C195:N195"/>
    <mergeCell ref="O195:W195"/>
    <mergeCell ref="X195:AE195"/>
    <mergeCell ref="C206:F206"/>
    <mergeCell ref="G206:O206"/>
    <mergeCell ref="P206:T206"/>
    <mergeCell ref="U206:X206"/>
    <mergeCell ref="Y206:AB206"/>
    <mergeCell ref="AC206:AF206"/>
    <mergeCell ref="O198:W198"/>
    <mergeCell ref="X198:AE198"/>
    <mergeCell ref="C196:N196"/>
    <mergeCell ref="O196:W196"/>
    <mergeCell ref="X196:AE196"/>
    <mergeCell ref="C197:N197"/>
    <mergeCell ref="O197:W197"/>
    <mergeCell ref="X197:AE197"/>
    <mergeCell ref="C198:N198"/>
    <mergeCell ref="AC202:AF203"/>
    <mergeCell ref="C205:F205"/>
    <mergeCell ref="G205:O205"/>
    <mergeCell ref="P205:T205"/>
    <mergeCell ref="U205:X205"/>
    <mergeCell ref="B216:BD216"/>
    <mergeCell ref="B217:BD217"/>
    <mergeCell ref="AG206:AK206"/>
    <mergeCell ref="C207:F207"/>
    <mergeCell ref="G207:O207"/>
    <mergeCell ref="P207:T207"/>
    <mergeCell ref="U207:X207"/>
    <mergeCell ref="Y207:AB207"/>
    <mergeCell ref="AC207:AF207"/>
    <mergeCell ref="AG207:AK207"/>
    <mergeCell ref="C208:F208"/>
    <mergeCell ref="G208:O208"/>
    <mergeCell ref="P208:T208"/>
    <mergeCell ref="U208:X208"/>
    <mergeCell ref="Y208:AB208"/>
    <mergeCell ref="AC208:AF208"/>
    <mergeCell ref="AG208:AK208"/>
    <mergeCell ref="AG204:AK204"/>
    <mergeCell ref="B218:BD218"/>
    <mergeCell ref="B219:BD219"/>
    <mergeCell ref="B221:BD221"/>
    <mergeCell ref="H225:AY225"/>
    <mergeCell ref="H227:AZ230"/>
    <mergeCell ref="H240:O240"/>
    <mergeCell ref="S240:AJ240"/>
    <mergeCell ref="H242:I242"/>
    <mergeCell ref="S242:AJ242"/>
    <mergeCell ref="H232:AV232"/>
    <mergeCell ref="H234:K234"/>
    <mergeCell ref="S234:AJ234"/>
    <mergeCell ref="H236:J236"/>
    <mergeCell ref="S236:AJ236"/>
    <mergeCell ref="H238:I238"/>
    <mergeCell ref="S238:AJ238"/>
    <mergeCell ref="C209:F209"/>
    <mergeCell ref="G209:O209"/>
    <mergeCell ref="P209:T209"/>
    <mergeCell ref="U209:X209"/>
    <mergeCell ref="Y209:AB209"/>
    <mergeCell ref="AC209:AF209"/>
    <mergeCell ref="AG209:AK209"/>
    <mergeCell ref="P202:T203"/>
    <mergeCell ref="U202:X203"/>
    <mergeCell ref="Y202:AB203"/>
    <mergeCell ref="C204:F204"/>
    <mergeCell ref="G204:O204"/>
    <mergeCell ref="P204:T204"/>
    <mergeCell ref="U204:X204"/>
    <mergeCell ref="Y204:AB204"/>
    <mergeCell ref="AC204:AF204"/>
    <mergeCell ref="R57:Y57"/>
    <mergeCell ref="Z57:AG57"/>
    <mergeCell ref="AH57:AO57"/>
    <mergeCell ref="Y205:AB205"/>
    <mergeCell ref="AC205:AF205"/>
    <mergeCell ref="AG205:AK205"/>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10:AK210"/>
    <mergeCell ref="AG202:AK203"/>
    <mergeCell ref="C199:AE199"/>
    <mergeCell ref="C201:AK201"/>
    <mergeCell ref="C202:F203"/>
    <mergeCell ref="G202:O203"/>
    <mergeCell ref="AH52:AO52"/>
    <mergeCell ref="Z54:AG54"/>
    <mergeCell ref="AH54:AO54"/>
    <mergeCell ref="J52:Q52"/>
    <mergeCell ref="J53:Q53"/>
    <mergeCell ref="R53:Y53"/>
    <mergeCell ref="Z53:AG53"/>
    <mergeCell ref="AH53:AO53"/>
    <mergeCell ref="J54:Q54"/>
    <mergeCell ref="B47:I47"/>
    <mergeCell ref="B51:I51"/>
    <mergeCell ref="B52:I52"/>
    <mergeCell ref="B53:I53"/>
    <mergeCell ref="B54:I54"/>
    <mergeCell ref="B55:I55"/>
    <mergeCell ref="B56:I56"/>
    <mergeCell ref="J61:AW61"/>
    <mergeCell ref="J62:AW62"/>
    <mergeCell ref="J59:AW59"/>
    <mergeCell ref="J60:AW60"/>
    <mergeCell ref="J47:M47"/>
    <mergeCell ref="N47:Q47"/>
    <mergeCell ref="R47:U47"/>
    <mergeCell ref="V47:Y47"/>
    <mergeCell ref="Z47:AC47"/>
    <mergeCell ref="AD47:AG47"/>
    <mergeCell ref="B50:AO50"/>
    <mergeCell ref="J51:Q51"/>
    <mergeCell ref="R51:Y51"/>
    <mergeCell ref="Z51:AG51"/>
    <mergeCell ref="AH51:AO51"/>
    <mergeCell ref="R52:Y52"/>
    <mergeCell ref="Z52:AG52"/>
    <mergeCell ref="B72:N72"/>
    <mergeCell ref="O72:AA72"/>
    <mergeCell ref="B73:N73"/>
    <mergeCell ref="O73:AA73"/>
    <mergeCell ref="B86:H86"/>
    <mergeCell ref="R54:Y54"/>
    <mergeCell ref="B57:I57"/>
    <mergeCell ref="B59:I59"/>
    <mergeCell ref="B60:I60"/>
    <mergeCell ref="B61:I61"/>
    <mergeCell ref="B62:I62"/>
    <mergeCell ref="B63:I63"/>
    <mergeCell ref="B64:I64"/>
    <mergeCell ref="J63:AW63"/>
    <mergeCell ref="J64:AW64"/>
    <mergeCell ref="J55:Q55"/>
    <mergeCell ref="R55:Y55"/>
    <mergeCell ref="Z55:AG55"/>
    <mergeCell ref="AH55:AO55"/>
    <mergeCell ref="R56:Y56"/>
    <mergeCell ref="Z56:AG56"/>
    <mergeCell ref="AH56:AO56"/>
    <mergeCell ref="J56:Q56"/>
    <mergeCell ref="J57:Q57"/>
    <mergeCell ref="AJ85:BB86"/>
    <mergeCell ref="O86:U86"/>
    <mergeCell ref="V86:AA86"/>
    <mergeCell ref="AB86:AH86"/>
    <mergeCell ref="AJ92:AX95"/>
    <mergeCell ref="AY92:BB95"/>
    <mergeCell ref="B95:H95"/>
    <mergeCell ref="I95:N95"/>
    <mergeCell ref="O95:U95"/>
    <mergeCell ref="V95:AA95"/>
    <mergeCell ref="AB95:AH95"/>
    <mergeCell ref="B93:H94"/>
    <mergeCell ref="I93:N94"/>
    <mergeCell ref="O93:U94"/>
    <mergeCell ref="V93:AA94"/>
    <mergeCell ref="AB93:AH94"/>
    <mergeCell ref="B85:H85"/>
    <mergeCell ref="I85:N85"/>
    <mergeCell ref="I86:N86"/>
    <mergeCell ref="F90:T90"/>
    <mergeCell ref="B92:AH92"/>
    <mergeCell ref="O85:U85"/>
    <mergeCell ref="V85:AA85"/>
    <mergeCell ref="AB85:AH85"/>
    <mergeCell ref="B68:AA68"/>
    <mergeCell ref="AC68:AU68"/>
    <mergeCell ref="AV68:BC68"/>
    <mergeCell ref="B69:N69"/>
    <mergeCell ref="O69:AA69"/>
    <mergeCell ref="AC69:AU69"/>
    <mergeCell ref="AV69:BC69"/>
    <mergeCell ref="O70:AA70"/>
    <mergeCell ref="AC70:AE70"/>
    <mergeCell ref="AF70:AU70"/>
    <mergeCell ref="B70:N70"/>
    <mergeCell ref="AF71:AU71"/>
    <mergeCell ref="AC72:BC72"/>
    <mergeCell ref="AC73:BC77"/>
    <mergeCell ref="B74:N74"/>
    <mergeCell ref="O74:AA74"/>
    <mergeCell ref="B75:N75"/>
    <mergeCell ref="O75:AA75"/>
    <mergeCell ref="V82:AA83"/>
    <mergeCell ref="AB82:AH83"/>
    <mergeCell ref="F79:T79"/>
    <mergeCell ref="B81:AH81"/>
    <mergeCell ref="AJ81:AX84"/>
    <mergeCell ref="AY81:BB84"/>
    <mergeCell ref="B82:H83"/>
    <mergeCell ref="I82:N83"/>
    <mergeCell ref="O82:U83"/>
    <mergeCell ref="AB84:AH84"/>
    <mergeCell ref="B84:H84"/>
    <mergeCell ref="I84:N84"/>
    <mergeCell ref="O84:U84"/>
    <mergeCell ref="V84:AA84"/>
    <mergeCell ref="B71:N71"/>
    <mergeCell ref="O71:AA71"/>
    <mergeCell ref="AC71:AE71"/>
    <mergeCell ref="T163:AA163"/>
    <mergeCell ref="AB163:AG163"/>
    <mergeCell ref="C162:P162"/>
    <mergeCell ref="Q162:S162"/>
    <mergeCell ref="T162:AA162"/>
    <mergeCell ref="AB162:AG162"/>
    <mergeCell ref="C163:E163"/>
    <mergeCell ref="F163:P163"/>
    <mergeCell ref="Q163:S163"/>
  </mergeCells>
  <dataValidations count="5">
    <dataValidation type="list" allowBlank="1" showErrorMessage="1" sqref="AP8" xr:uid="{00000000-0002-0000-0600-000000000000}">
      <formula1>$BM$9:$BM$13</formula1>
    </dataValidation>
    <dataValidation type="list" allowBlank="1" showErrorMessage="1" sqref="Q13" xr:uid="{00000000-0002-0000-0600-000001000000}">
      <formula1>$BM$69:$BM$70</formula1>
    </dataValidation>
    <dataValidation type="list" allowBlank="1" showDropDown="1" showErrorMessage="1" sqref="F110" xr:uid="{00000000-0002-0000-0600-000002000000}">
      <formula1>$BQ$97:$BQ$98</formula1>
    </dataValidation>
    <dataValidation type="list" allowBlank="1" showErrorMessage="1" sqref="BM68:BM70" xr:uid="{00000000-0002-0000-0600-000003000000}">
      <formula1>$BM$68:$BM$70</formula1>
    </dataValidation>
    <dataValidation type="list" allowBlank="1" showErrorMessage="1" sqref="AV68:AV69 AY81 AY92 U112 AH134 AH136" xr:uid="{00000000-0002-0000-0600-000004000000}">
      <formula1>$BM$69:$BM$71</formula1>
    </dataValidation>
  </dataValidations>
  <pageMargins left="0.7" right="0.7" top="0.75" bottom="0.75" header="0" footer="0"/>
  <pageSetup paperSize="5" orientation="portrait"/>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1000"/>
  <sheetViews>
    <sheetView showGridLines="0" topLeftCell="A34" workbookViewId="0">
      <selection activeCell="R54" sqref="R54"/>
    </sheetView>
  </sheetViews>
  <sheetFormatPr defaultColWidth="12.6328125" defaultRowHeight="15" customHeight="1"/>
  <cols>
    <col min="1" max="1" width="1.6328125" customWidth="1"/>
    <col min="2" max="2" width="0.90625" customWidth="1"/>
    <col min="3" max="18" width="2.6328125" customWidth="1"/>
    <col min="19" max="19" width="6.26953125" customWidth="1"/>
    <col min="20" max="39" width="2.7265625" customWidth="1"/>
    <col min="40" max="40" width="1.6328125" customWidth="1"/>
    <col min="41" max="55" width="2.6328125" hidden="1" customWidth="1"/>
  </cols>
  <sheetData>
    <row r="1" spans="1:55" ht="12.75" customHeight="1">
      <c r="A1" s="1373" t="s">
        <v>1497</v>
      </c>
      <c r="B1" s="947"/>
      <c r="C1" s="947"/>
      <c r="D1" s="947"/>
      <c r="E1" s="947"/>
      <c r="F1" s="947"/>
      <c r="G1" s="947"/>
      <c r="H1" s="947"/>
      <c r="I1" s="947"/>
      <c r="J1" s="947"/>
      <c r="K1" s="947"/>
      <c r="L1" s="947"/>
      <c r="M1" s="947"/>
      <c r="N1" s="947"/>
      <c r="O1" s="947"/>
      <c r="P1" s="947"/>
      <c r="Q1" s="947"/>
      <c r="R1" s="947"/>
      <c r="S1" s="947"/>
      <c r="T1" s="947"/>
      <c r="U1" s="947"/>
      <c r="V1" s="947"/>
      <c r="W1" s="947"/>
      <c r="X1" s="947"/>
      <c r="Y1" s="947"/>
      <c r="Z1" s="947"/>
      <c r="AA1" s="947"/>
      <c r="AB1" s="947"/>
      <c r="AC1" s="947"/>
      <c r="AD1" s="947"/>
      <c r="AE1" s="947"/>
      <c r="AF1" s="947"/>
      <c r="AG1" s="947"/>
      <c r="AH1" s="947"/>
      <c r="AI1" s="947"/>
      <c r="AJ1" s="947"/>
      <c r="AK1" s="947"/>
      <c r="AL1" s="947"/>
      <c r="AM1" s="947"/>
      <c r="AN1" s="1374"/>
      <c r="AO1" s="1"/>
      <c r="AP1" s="1"/>
      <c r="AQ1" s="1"/>
      <c r="AR1" s="1"/>
      <c r="AS1" s="1"/>
      <c r="AT1" s="1"/>
      <c r="AU1" s="1"/>
      <c r="AV1" s="1"/>
      <c r="AW1" s="1"/>
      <c r="AX1" s="1"/>
      <c r="AY1" s="1"/>
      <c r="AZ1" s="1"/>
      <c r="BA1" s="1"/>
      <c r="BB1" s="1"/>
      <c r="BC1" s="1"/>
    </row>
    <row r="2" spans="1:55" ht="12.75" customHeight="1">
      <c r="A2" s="903"/>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c r="AL2" s="904"/>
      <c r="AM2" s="904"/>
      <c r="AN2" s="905"/>
      <c r="AO2" s="1"/>
      <c r="AP2" s="1"/>
      <c r="AQ2" s="1"/>
      <c r="AR2" s="1"/>
      <c r="AS2" s="1"/>
      <c r="AT2" s="1"/>
      <c r="AU2" s="1"/>
      <c r="AV2" s="1"/>
      <c r="AW2" s="1"/>
      <c r="AX2" s="1"/>
      <c r="AY2" s="1"/>
      <c r="AZ2" s="1"/>
      <c r="BA2" s="1"/>
      <c r="BB2" s="1"/>
      <c r="BC2" s="1"/>
    </row>
    <row r="3" spans="1:55" ht="12.75" customHeight="1">
      <c r="A3" s="1" t="str">
        <f>+A1</f>
        <v>V. BASIS AND CREDITS : 4% FEDERAL AND STATE CREDIT</v>
      </c>
      <c r="B3" s="1"/>
      <c r="C3" s="264"/>
      <c r="D3" s="264"/>
      <c r="E3" s="264"/>
      <c r="F3" s="264"/>
      <c r="G3" s="264"/>
      <c r="H3" s="264"/>
      <c r="I3" s="264"/>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
      <c r="AP3" s="1"/>
      <c r="AQ3" s="1"/>
      <c r="AR3" s="1"/>
      <c r="AS3" s="1"/>
      <c r="AT3" s="1"/>
      <c r="AU3" s="1"/>
      <c r="AV3" s="1"/>
      <c r="AW3" s="1"/>
      <c r="AX3" s="1"/>
      <c r="AY3" s="1"/>
      <c r="AZ3" s="1"/>
      <c r="BA3" s="1"/>
      <c r="BB3" s="1"/>
      <c r="BC3" s="1"/>
    </row>
    <row r="4" spans="1:55" ht="12.75" customHeight="1">
      <c r="A4" s="8"/>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row>
    <row r="5" spans="1:55" ht="12.75" customHeight="1">
      <c r="A5" s="8" t="s">
        <v>947</v>
      </c>
      <c r="B5" s="1"/>
      <c r="C5" s="8" t="s">
        <v>337</v>
      </c>
      <c r="D5" s="1"/>
      <c r="E5" s="1"/>
      <c r="F5" s="8"/>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row>
    <row r="6" spans="1:55" ht="12.75" customHeight="1">
      <c r="A6" s="8"/>
      <c r="B6" s="1"/>
      <c r="C6" s="1" t="s">
        <v>1511</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row>
    <row r="7" spans="1:55" ht="12.75" customHeight="1">
      <c r="A7" s="1"/>
      <c r="B7" s="265"/>
      <c r="C7" s="246"/>
      <c r="D7" s="246"/>
      <c r="E7" s="246"/>
      <c r="F7" s="246"/>
      <c r="G7" s="246"/>
      <c r="H7" s="246"/>
      <c r="I7" s="246"/>
      <c r="J7" s="246"/>
      <c r="K7" s="246"/>
      <c r="L7" s="246"/>
      <c r="M7" s="246"/>
      <c r="N7" s="246"/>
      <c r="O7" s="246"/>
      <c r="P7" s="246"/>
      <c r="Q7" s="246"/>
      <c r="R7" s="246"/>
      <c r="S7" s="246"/>
      <c r="T7" s="993" t="str">
        <f>IF(T25=100%,'Sources and Basis Breakdown'!G2,'Sources and Basis Breakdown'!F2)</f>
        <v>30% PVC for New Const/
Rehabilitation
NON-DDA/
NON-QCT Building(s)</v>
      </c>
      <c r="U7" s="947"/>
      <c r="V7" s="947"/>
      <c r="W7" s="947"/>
      <c r="X7" s="948"/>
      <c r="Y7" s="993" t="str">
        <f>IF(T25=100%,"",'Sources and Basis Breakdown'!G2)</f>
        <v/>
      </c>
      <c r="Z7" s="947"/>
      <c r="AA7" s="947"/>
      <c r="AB7" s="947"/>
      <c r="AC7" s="948"/>
      <c r="AD7" s="993" t="str">
        <f>IF(T25=100%, 'Sources and Basis Breakdown'!J2,'Sources and Basis Breakdown'!I2)</f>
        <v>30% PVC for Acquisition
NON-DDA/
NON-QCT Building(s)</v>
      </c>
      <c r="AE7" s="947"/>
      <c r="AF7" s="947"/>
      <c r="AG7" s="947"/>
      <c r="AH7" s="948"/>
      <c r="AI7" s="993" t="str">
        <f>IF(T25=100%,"",'Sources and Basis Breakdown'!J2)</f>
        <v/>
      </c>
      <c r="AJ7" s="947"/>
      <c r="AK7" s="947"/>
      <c r="AL7" s="947"/>
      <c r="AM7" s="948"/>
      <c r="AN7" s="1"/>
      <c r="AO7" s="1"/>
      <c r="AP7" s="1"/>
      <c r="AQ7" s="1"/>
      <c r="AR7" s="1"/>
      <c r="AS7" s="1"/>
      <c r="AT7" s="1"/>
      <c r="AU7" s="1"/>
      <c r="AV7" s="1"/>
      <c r="AW7" s="1"/>
      <c r="AX7" s="1"/>
      <c r="AY7" s="1"/>
      <c r="AZ7" s="1"/>
      <c r="BA7" s="1"/>
      <c r="BB7" s="1"/>
      <c r="BC7" s="1"/>
    </row>
    <row r="8" spans="1:55" ht="12.75" customHeight="1">
      <c r="A8" s="1"/>
      <c r="B8" s="267"/>
      <c r="C8" s="1"/>
      <c r="D8" s="1"/>
      <c r="E8" s="1"/>
      <c r="F8" s="1"/>
      <c r="G8" s="1"/>
      <c r="H8" s="1"/>
      <c r="I8" s="1"/>
      <c r="J8" s="1"/>
      <c r="K8" s="1"/>
      <c r="L8" s="1"/>
      <c r="M8" s="1"/>
      <c r="N8" s="1"/>
      <c r="O8" s="1"/>
      <c r="P8" s="1"/>
      <c r="Q8" s="1"/>
      <c r="R8" s="1"/>
      <c r="S8" s="1"/>
      <c r="T8" s="958"/>
      <c r="U8" s="893"/>
      <c r="V8" s="893"/>
      <c r="W8" s="893"/>
      <c r="X8" s="959"/>
      <c r="Y8" s="958"/>
      <c r="Z8" s="893"/>
      <c r="AA8" s="893"/>
      <c r="AB8" s="893"/>
      <c r="AC8" s="959"/>
      <c r="AD8" s="958"/>
      <c r="AE8" s="893"/>
      <c r="AF8" s="893"/>
      <c r="AG8" s="893"/>
      <c r="AH8" s="959"/>
      <c r="AI8" s="958"/>
      <c r="AJ8" s="893"/>
      <c r="AK8" s="893"/>
      <c r="AL8" s="893"/>
      <c r="AM8" s="959"/>
      <c r="AN8" s="1"/>
      <c r="AO8" s="1"/>
      <c r="AP8" s="1"/>
      <c r="AQ8" s="1"/>
      <c r="AR8" s="1"/>
      <c r="AS8" s="1"/>
      <c r="AT8" s="1"/>
      <c r="AU8" s="1"/>
      <c r="AV8" s="1"/>
      <c r="AW8" s="1"/>
      <c r="AX8" s="1"/>
      <c r="AY8" s="1"/>
      <c r="AZ8" s="1"/>
      <c r="BA8" s="1"/>
      <c r="BB8" s="1"/>
      <c r="BC8" s="1"/>
    </row>
    <row r="9" spans="1:55" ht="12.75" customHeight="1">
      <c r="A9" s="1"/>
      <c r="B9" s="267"/>
      <c r="C9" s="1"/>
      <c r="D9" s="1"/>
      <c r="E9" s="1"/>
      <c r="F9" s="1"/>
      <c r="G9" s="1"/>
      <c r="H9" s="1"/>
      <c r="I9" s="1"/>
      <c r="J9" s="1"/>
      <c r="K9" s="1"/>
      <c r="L9" s="1"/>
      <c r="M9" s="1"/>
      <c r="N9" s="1"/>
      <c r="O9" s="1"/>
      <c r="P9" s="1"/>
      <c r="Q9" s="1"/>
      <c r="R9" s="1"/>
      <c r="S9" s="1"/>
      <c r="T9" s="958"/>
      <c r="U9" s="893"/>
      <c r="V9" s="893"/>
      <c r="W9" s="893"/>
      <c r="X9" s="959"/>
      <c r="Y9" s="958"/>
      <c r="Z9" s="893"/>
      <c r="AA9" s="893"/>
      <c r="AB9" s="893"/>
      <c r="AC9" s="959"/>
      <c r="AD9" s="958"/>
      <c r="AE9" s="893"/>
      <c r="AF9" s="893"/>
      <c r="AG9" s="893"/>
      <c r="AH9" s="959"/>
      <c r="AI9" s="958"/>
      <c r="AJ9" s="893"/>
      <c r="AK9" s="893"/>
      <c r="AL9" s="893"/>
      <c r="AM9" s="959"/>
      <c r="AN9" s="1"/>
      <c r="AO9" s="1"/>
      <c r="AP9" s="1"/>
      <c r="AQ9" s="1"/>
      <c r="AR9" s="1"/>
      <c r="AS9" s="1"/>
      <c r="AT9" s="1"/>
      <c r="AU9" s="1"/>
      <c r="AV9" s="1"/>
      <c r="AW9" s="1"/>
      <c r="AX9" s="1"/>
      <c r="AY9" s="1"/>
      <c r="AZ9" s="1"/>
      <c r="BA9" s="1"/>
      <c r="BB9" s="1"/>
      <c r="BC9" s="1"/>
    </row>
    <row r="10" spans="1:55" ht="12.75" customHeight="1">
      <c r="A10" s="1"/>
      <c r="B10" s="268"/>
      <c r="C10" s="235"/>
      <c r="D10" s="235"/>
      <c r="E10" s="235"/>
      <c r="F10" s="235"/>
      <c r="G10" s="235"/>
      <c r="H10" s="235"/>
      <c r="I10" s="235"/>
      <c r="J10" s="235"/>
      <c r="K10" s="235"/>
      <c r="L10" s="235"/>
      <c r="M10" s="235"/>
      <c r="N10" s="235"/>
      <c r="O10" s="235"/>
      <c r="P10" s="235"/>
      <c r="Q10" s="235"/>
      <c r="R10" s="235"/>
      <c r="S10" s="235"/>
      <c r="T10" s="960"/>
      <c r="U10" s="961"/>
      <c r="V10" s="961"/>
      <c r="W10" s="961"/>
      <c r="X10" s="962"/>
      <c r="Y10" s="960"/>
      <c r="Z10" s="961"/>
      <c r="AA10" s="961"/>
      <c r="AB10" s="961"/>
      <c r="AC10" s="962"/>
      <c r="AD10" s="960"/>
      <c r="AE10" s="961"/>
      <c r="AF10" s="961"/>
      <c r="AG10" s="961"/>
      <c r="AH10" s="962"/>
      <c r="AI10" s="960"/>
      <c r="AJ10" s="961"/>
      <c r="AK10" s="961"/>
      <c r="AL10" s="961"/>
      <c r="AM10" s="962"/>
      <c r="AN10" s="1"/>
      <c r="AO10" s="1"/>
      <c r="AP10" s="1"/>
      <c r="AQ10" s="1"/>
      <c r="AR10" s="1"/>
      <c r="AS10" s="1"/>
      <c r="AT10" s="1"/>
      <c r="AU10" s="1"/>
      <c r="AV10" s="1"/>
      <c r="AW10" s="1"/>
      <c r="AX10" s="1"/>
      <c r="AY10" s="1"/>
      <c r="AZ10" s="1"/>
      <c r="BA10" s="1"/>
      <c r="BB10" s="1"/>
      <c r="BC10" s="1"/>
    </row>
    <row r="11" spans="1:55" ht="12.75" customHeight="1">
      <c r="A11" s="1"/>
      <c r="B11" s="1004" t="s">
        <v>1106</v>
      </c>
      <c r="C11" s="921"/>
      <c r="D11" s="921"/>
      <c r="E11" s="921"/>
      <c r="F11" s="921"/>
      <c r="G11" s="921"/>
      <c r="H11" s="921"/>
      <c r="I11" s="921"/>
      <c r="J11" s="921"/>
      <c r="K11" s="921"/>
      <c r="L11" s="921"/>
      <c r="M11" s="921"/>
      <c r="N11" s="921"/>
      <c r="O11" s="921"/>
      <c r="P11" s="921"/>
      <c r="Q11" s="921"/>
      <c r="R11" s="921"/>
      <c r="S11" s="943"/>
      <c r="T11" s="1369">
        <f>IF('Sources and Basis Breakdown'!F107=0,'Sources and Basis Breakdown'!E107,'Sources and Basis Breakdown'!F107)</f>
        <v>31233727</v>
      </c>
      <c r="U11" s="947"/>
      <c r="V11" s="947"/>
      <c r="W11" s="947"/>
      <c r="X11" s="948"/>
      <c r="Y11" s="1369">
        <f>IF(Y7="",0,IF('Sources and Basis Breakdown'!G107+'Sources and Basis Breakdown'!F107='Sources and Basis Breakdown'!E107,'Sources and Basis Breakdown'!G107,0))</f>
        <v>0</v>
      </c>
      <c r="Z11" s="947"/>
      <c r="AA11" s="947"/>
      <c r="AB11" s="947"/>
      <c r="AC11" s="948"/>
      <c r="AD11" s="1370">
        <f>IF('Sources and Basis Breakdown'!I107=0,'Sources and Basis Breakdown'!H107,'Sources and Basis Breakdown'!I107)</f>
        <v>57308057</v>
      </c>
      <c r="AE11" s="947"/>
      <c r="AF11" s="947"/>
      <c r="AG11" s="947"/>
      <c r="AH11" s="948"/>
      <c r="AI11" s="1370">
        <f>IF(Y7="",0,IF('Sources and Basis Breakdown'!I107+'Sources and Basis Breakdown'!J107='Sources and Basis Breakdown'!H107,'Sources and Basis Breakdown'!J107,0))</f>
        <v>0</v>
      </c>
      <c r="AJ11" s="947"/>
      <c r="AK11" s="947"/>
      <c r="AL11" s="947"/>
      <c r="AM11" s="948"/>
      <c r="AN11" s="1"/>
      <c r="AO11" s="1"/>
      <c r="AP11" s="1"/>
      <c r="AQ11" s="1"/>
      <c r="AR11" s="1"/>
      <c r="AS11" s="1"/>
      <c r="AT11" s="1"/>
      <c r="AU11" s="1"/>
      <c r="AV11" s="1"/>
      <c r="AW11" s="1"/>
      <c r="AX11" s="1"/>
      <c r="AY11" s="1"/>
      <c r="AZ11" s="1"/>
      <c r="BA11" s="1"/>
      <c r="BB11" s="1"/>
      <c r="BC11" s="1"/>
    </row>
    <row r="12" spans="1:55" ht="12.75" customHeight="1">
      <c r="A12" s="1"/>
      <c r="B12" s="1375" t="s">
        <v>1524</v>
      </c>
      <c r="C12" s="921"/>
      <c r="D12" s="921"/>
      <c r="E12" s="921"/>
      <c r="F12" s="921"/>
      <c r="G12" s="921"/>
      <c r="H12" s="921"/>
      <c r="I12" s="921"/>
      <c r="J12" s="921"/>
      <c r="K12" s="921"/>
      <c r="L12" s="921"/>
      <c r="M12" s="921"/>
      <c r="N12" s="921"/>
      <c r="O12" s="921"/>
      <c r="P12" s="921"/>
      <c r="Q12" s="921"/>
      <c r="R12" s="921"/>
      <c r="S12" s="943"/>
      <c r="T12" s="1368"/>
      <c r="U12" s="921"/>
      <c r="V12" s="921"/>
      <c r="W12" s="921"/>
      <c r="X12" s="943"/>
      <c r="Y12" s="1368"/>
      <c r="Z12" s="921"/>
      <c r="AA12" s="921"/>
      <c r="AB12" s="921"/>
      <c r="AC12" s="943"/>
      <c r="AD12" s="1368"/>
      <c r="AE12" s="921"/>
      <c r="AF12" s="921"/>
      <c r="AG12" s="921"/>
      <c r="AH12" s="943"/>
      <c r="AI12" s="1368"/>
      <c r="AJ12" s="921"/>
      <c r="AK12" s="921"/>
      <c r="AL12" s="921"/>
      <c r="AM12" s="943"/>
      <c r="AN12" s="1"/>
      <c r="AO12" s="1"/>
      <c r="AP12" s="1"/>
      <c r="AQ12" s="1"/>
      <c r="AR12" s="1"/>
      <c r="AS12" s="1"/>
      <c r="AT12" s="1"/>
      <c r="AU12" s="1"/>
      <c r="AV12" s="1"/>
      <c r="AW12" s="1"/>
      <c r="AX12" s="1"/>
      <c r="AY12" s="1"/>
      <c r="AZ12" s="1"/>
      <c r="BA12" s="1"/>
      <c r="BB12" s="1"/>
      <c r="BC12" s="1"/>
    </row>
    <row r="13" spans="1:55" ht="12.75" customHeight="1">
      <c r="A13" s="1"/>
      <c r="B13" s="272"/>
      <c r="C13" s="1361" t="s">
        <v>1527</v>
      </c>
      <c r="D13" s="921"/>
      <c r="E13" s="921"/>
      <c r="F13" s="921"/>
      <c r="G13" s="921"/>
      <c r="H13" s="921"/>
      <c r="I13" s="921"/>
      <c r="J13" s="921"/>
      <c r="K13" s="921"/>
      <c r="L13" s="921"/>
      <c r="M13" s="921"/>
      <c r="N13" s="921"/>
      <c r="O13" s="921"/>
      <c r="P13" s="921"/>
      <c r="Q13" s="921"/>
      <c r="R13" s="921"/>
      <c r="S13" s="943"/>
      <c r="T13" s="1371"/>
      <c r="U13" s="968"/>
      <c r="V13" s="968"/>
      <c r="W13" s="968"/>
      <c r="X13" s="980"/>
      <c r="Y13" s="1371"/>
      <c r="Z13" s="968"/>
      <c r="AA13" s="968"/>
      <c r="AB13" s="968"/>
      <c r="AC13" s="980"/>
      <c r="AD13" s="1372"/>
      <c r="AE13" s="968"/>
      <c r="AF13" s="968"/>
      <c r="AG13" s="968"/>
      <c r="AH13" s="980"/>
      <c r="AI13" s="1372"/>
      <c r="AJ13" s="968"/>
      <c r="AK13" s="968"/>
      <c r="AL13" s="968"/>
      <c r="AM13" s="980"/>
      <c r="AN13" s="1"/>
      <c r="AO13" s="1"/>
      <c r="AP13" s="1"/>
      <c r="AQ13" s="1"/>
      <c r="AR13" s="1"/>
      <c r="AS13" s="1"/>
      <c r="AT13" s="1"/>
      <c r="AU13" s="1"/>
      <c r="AV13" s="1"/>
      <c r="AW13" s="1"/>
      <c r="AX13" s="1"/>
      <c r="AY13" s="1"/>
      <c r="AZ13" s="1"/>
      <c r="BA13" s="1"/>
      <c r="BB13" s="1"/>
      <c r="BC13" s="1"/>
    </row>
    <row r="14" spans="1:55" ht="12.75" customHeight="1">
      <c r="A14" s="1"/>
      <c r="B14" s="272"/>
      <c r="C14" s="1361" t="s">
        <v>1530</v>
      </c>
      <c r="D14" s="921"/>
      <c r="E14" s="921"/>
      <c r="F14" s="921"/>
      <c r="G14" s="921"/>
      <c r="H14" s="921"/>
      <c r="I14" s="921"/>
      <c r="J14" s="921"/>
      <c r="K14" s="921"/>
      <c r="L14" s="921"/>
      <c r="M14" s="921"/>
      <c r="N14" s="921"/>
      <c r="O14" s="921"/>
      <c r="P14" s="921"/>
      <c r="Q14" s="921"/>
      <c r="R14" s="921"/>
      <c r="S14" s="943"/>
      <c r="T14" s="1360"/>
      <c r="U14" s="921"/>
      <c r="V14" s="921"/>
      <c r="W14" s="921"/>
      <c r="X14" s="943"/>
      <c r="Y14" s="1360"/>
      <c r="Z14" s="921"/>
      <c r="AA14" s="921"/>
      <c r="AB14" s="921"/>
      <c r="AC14" s="943"/>
      <c r="AD14" s="952"/>
      <c r="AE14" s="921"/>
      <c r="AF14" s="921"/>
      <c r="AG14" s="921"/>
      <c r="AH14" s="943"/>
      <c r="AI14" s="952"/>
      <c r="AJ14" s="921"/>
      <c r="AK14" s="921"/>
      <c r="AL14" s="921"/>
      <c r="AM14" s="943"/>
      <c r="AN14" s="1"/>
      <c r="AO14" s="1"/>
      <c r="AP14" s="1"/>
      <c r="AQ14" s="1"/>
      <c r="AR14" s="1"/>
      <c r="AS14" s="1"/>
      <c r="AT14" s="1"/>
      <c r="AU14" s="1"/>
      <c r="AV14" s="1"/>
      <c r="AW14" s="1"/>
      <c r="AX14" s="1"/>
      <c r="AY14" s="1"/>
      <c r="AZ14" s="1"/>
      <c r="BA14" s="1"/>
      <c r="BB14" s="1"/>
      <c r="BC14" s="1"/>
    </row>
    <row r="15" spans="1:55" ht="12.75" customHeight="1">
      <c r="A15" s="1"/>
      <c r="B15" s="272"/>
      <c r="C15" s="1361" t="s">
        <v>1538</v>
      </c>
      <c r="D15" s="921"/>
      <c r="E15" s="921"/>
      <c r="F15" s="921"/>
      <c r="G15" s="921"/>
      <c r="H15" s="921"/>
      <c r="I15" s="921"/>
      <c r="J15" s="921"/>
      <c r="K15" s="921"/>
      <c r="L15" s="921"/>
      <c r="M15" s="921"/>
      <c r="N15" s="921"/>
      <c r="O15" s="921"/>
      <c r="P15" s="921"/>
      <c r="Q15" s="921"/>
      <c r="R15" s="921"/>
      <c r="S15" s="943"/>
      <c r="T15" s="1360"/>
      <c r="U15" s="921"/>
      <c r="V15" s="921"/>
      <c r="W15" s="921"/>
      <c r="X15" s="943"/>
      <c r="Y15" s="1360"/>
      <c r="Z15" s="921"/>
      <c r="AA15" s="921"/>
      <c r="AB15" s="921"/>
      <c r="AC15" s="943"/>
      <c r="AD15" s="952"/>
      <c r="AE15" s="921"/>
      <c r="AF15" s="921"/>
      <c r="AG15" s="921"/>
      <c r="AH15" s="943"/>
      <c r="AI15" s="952"/>
      <c r="AJ15" s="921"/>
      <c r="AK15" s="921"/>
      <c r="AL15" s="921"/>
      <c r="AM15" s="943"/>
      <c r="AN15" s="1"/>
      <c r="AO15" s="1"/>
      <c r="AP15" s="1"/>
      <c r="AQ15" s="1"/>
      <c r="AR15" s="1"/>
      <c r="AS15" s="1"/>
      <c r="AT15" s="1"/>
      <c r="AU15" s="1"/>
      <c r="AV15" s="1"/>
      <c r="AW15" s="1"/>
      <c r="AX15" s="1"/>
      <c r="AY15" s="1"/>
      <c r="AZ15" s="1"/>
      <c r="BA15" s="1"/>
      <c r="BB15" s="1"/>
      <c r="BC15" s="1"/>
    </row>
    <row r="16" spans="1:55" ht="12.75" customHeight="1">
      <c r="A16" s="1"/>
      <c r="B16" s="272"/>
      <c r="C16" s="1361" t="s">
        <v>1543</v>
      </c>
      <c r="D16" s="921"/>
      <c r="E16" s="921"/>
      <c r="F16" s="921"/>
      <c r="G16" s="921"/>
      <c r="H16" s="921"/>
      <c r="I16" s="921"/>
      <c r="J16" s="921"/>
      <c r="K16" s="921"/>
      <c r="L16" s="921"/>
      <c r="M16" s="921"/>
      <c r="N16" s="921"/>
      <c r="O16" s="921"/>
      <c r="P16" s="921"/>
      <c r="Q16" s="921"/>
      <c r="R16" s="921"/>
      <c r="S16" s="943"/>
      <c r="T16" s="1360"/>
      <c r="U16" s="921"/>
      <c r="V16" s="921"/>
      <c r="W16" s="921"/>
      <c r="X16" s="943"/>
      <c r="Y16" s="1360"/>
      <c r="Z16" s="921"/>
      <c r="AA16" s="921"/>
      <c r="AB16" s="921"/>
      <c r="AC16" s="943"/>
      <c r="AD16" s="952"/>
      <c r="AE16" s="921"/>
      <c r="AF16" s="921"/>
      <c r="AG16" s="921"/>
      <c r="AH16" s="943"/>
      <c r="AI16" s="952"/>
      <c r="AJ16" s="921"/>
      <c r="AK16" s="921"/>
      <c r="AL16" s="921"/>
      <c r="AM16" s="943"/>
      <c r="AN16" s="1"/>
      <c r="AO16" s="1"/>
      <c r="AP16" s="1"/>
      <c r="AQ16" s="1"/>
      <c r="AR16" s="1"/>
      <c r="AS16" s="1"/>
      <c r="AT16" s="1"/>
      <c r="AU16" s="1"/>
      <c r="AV16" s="1"/>
      <c r="AW16" s="1"/>
      <c r="AX16" s="1"/>
      <c r="AY16" s="1"/>
      <c r="AZ16" s="1"/>
      <c r="BA16" s="1"/>
      <c r="BB16" s="1"/>
      <c r="BC16" s="1"/>
    </row>
    <row r="17" spans="1:55" ht="12.75" customHeight="1">
      <c r="A17" s="1"/>
      <c r="B17" s="272"/>
      <c r="C17" s="1361" t="s">
        <v>1550</v>
      </c>
      <c r="D17" s="921"/>
      <c r="E17" s="921"/>
      <c r="F17" s="921"/>
      <c r="G17" s="921"/>
      <c r="H17" s="921"/>
      <c r="I17" s="921"/>
      <c r="J17" s="921"/>
      <c r="K17" s="921"/>
      <c r="L17" s="921"/>
      <c r="M17" s="921"/>
      <c r="N17" s="921"/>
      <c r="O17" s="921"/>
      <c r="P17" s="921"/>
      <c r="Q17" s="921"/>
      <c r="R17" s="921"/>
      <c r="S17" s="943"/>
      <c r="T17" s="1360"/>
      <c r="U17" s="921"/>
      <c r="V17" s="921"/>
      <c r="W17" s="921"/>
      <c r="X17" s="943"/>
      <c r="Y17" s="1360"/>
      <c r="Z17" s="921"/>
      <c r="AA17" s="921"/>
      <c r="AB17" s="921"/>
      <c r="AC17" s="943"/>
      <c r="AD17" s="952"/>
      <c r="AE17" s="921"/>
      <c r="AF17" s="921"/>
      <c r="AG17" s="921"/>
      <c r="AH17" s="943"/>
      <c r="AI17" s="952"/>
      <c r="AJ17" s="921"/>
      <c r="AK17" s="921"/>
      <c r="AL17" s="921"/>
      <c r="AM17" s="943"/>
      <c r="AN17" s="1"/>
      <c r="AO17" s="1"/>
      <c r="AP17" s="1"/>
      <c r="AQ17" s="1"/>
      <c r="AR17" s="1"/>
      <c r="AS17" s="1"/>
      <c r="AT17" s="1"/>
      <c r="AU17" s="1"/>
      <c r="AV17" s="1"/>
      <c r="AW17" s="1"/>
      <c r="AX17" s="1"/>
      <c r="AY17" s="1"/>
      <c r="AZ17" s="1"/>
      <c r="BA17" s="1"/>
      <c r="BB17" s="1"/>
      <c r="BC17" s="1"/>
    </row>
    <row r="18" spans="1:55" ht="12.75" customHeight="1">
      <c r="B18" s="274"/>
      <c r="C18" s="1367" t="s">
        <v>1554</v>
      </c>
      <c r="D18" s="921"/>
      <c r="E18" s="921"/>
      <c r="F18" s="921"/>
      <c r="G18" s="921"/>
      <c r="H18" s="921"/>
      <c r="I18" s="921"/>
      <c r="J18" s="921"/>
      <c r="K18" s="921"/>
      <c r="L18" s="921"/>
      <c r="M18" s="921"/>
      <c r="N18" s="921"/>
      <c r="O18" s="921"/>
      <c r="P18" s="921"/>
      <c r="Q18" s="921"/>
      <c r="R18" s="921"/>
      <c r="S18" s="943"/>
      <c r="T18" s="1360"/>
      <c r="U18" s="921"/>
      <c r="V18" s="921"/>
      <c r="W18" s="921"/>
      <c r="X18" s="943"/>
      <c r="Y18" s="1360"/>
      <c r="Z18" s="921"/>
      <c r="AA18" s="921"/>
      <c r="AB18" s="921"/>
      <c r="AC18" s="943"/>
      <c r="AD18" s="952"/>
      <c r="AE18" s="921"/>
      <c r="AF18" s="921"/>
      <c r="AG18" s="921"/>
      <c r="AH18" s="943"/>
      <c r="AI18" s="952"/>
      <c r="AJ18" s="921"/>
      <c r="AK18" s="921"/>
      <c r="AL18" s="921"/>
      <c r="AM18" s="943"/>
      <c r="AN18" s="1"/>
      <c r="AO18" s="1"/>
      <c r="AP18" s="1"/>
      <c r="AQ18" s="1"/>
      <c r="AR18" s="1"/>
      <c r="AS18" s="1"/>
      <c r="AT18" s="1"/>
      <c r="AU18" s="1"/>
      <c r="AV18" s="1"/>
      <c r="AW18" s="1"/>
      <c r="AX18" s="1"/>
      <c r="AY18" s="1"/>
      <c r="AZ18" s="1"/>
      <c r="BA18" s="1"/>
      <c r="BB18" s="1"/>
      <c r="BC18" s="1"/>
    </row>
    <row r="19" spans="1:55" ht="12.75" customHeight="1">
      <c r="A19" s="1"/>
      <c r="B19" s="274"/>
      <c r="C19" s="1367" t="s">
        <v>1554</v>
      </c>
      <c r="D19" s="921"/>
      <c r="E19" s="921"/>
      <c r="F19" s="921"/>
      <c r="G19" s="921"/>
      <c r="H19" s="921"/>
      <c r="I19" s="921"/>
      <c r="J19" s="921"/>
      <c r="K19" s="921"/>
      <c r="L19" s="921"/>
      <c r="M19" s="921"/>
      <c r="N19" s="921"/>
      <c r="O19" s="921"/>
      <c r="P19" s="921"/>
      <c r="Q19" s="921"/>
      <c r="R19" s="921"/>
      <c r="S19" s="943"/>
      <c r="T19" s="1360"/>
      <c r="U19" s="921"/>
      <c r="V19" s="921"/>
      <c r="W19" s="921"/>
      <c r="X19" s="943"/>
      <c r="Y19" s="1360"/>
      <c r="Z19" s="921"/>
      <c r="AA19" s="921"/>
      <c r="AB19" s="921"/>
      <c r="AC19" s="943"/>
      <c r="AD19" s="952"/>
      <c r="AE19" s="921"/>
      <c r="AF19" s="921"/>
      <c r="AG19" s="921"/>
      <c r="AH19" s="943"/>
      <c r="AI19" s="952"/>
      <c r="AJ19" s="921"/>
      <c r="AK19" s="921"/>
      <c r="AL19" s="921"/>
      <c r="AM19" s="943"/>
      <c r="AN19" s="1"/>
      <c r="AO19" s="1"/>
      <c r="AP19" s="1"/>
      <c r="AQ19" s="1"/>
      <c r="AR19" s="1"/>
      <c r="AS19" s="1"/>
      <c r="AT19" s="1"/>
      <c r="AU19" s="1"/>
      <c r="AV19" s="1"/>
      <c r="AW19" s="1"/>
      <c r="AX19" s="1"/>
      <c r="AY19" s="1"/>
      <c r="AZ19" s="1"/>
      <c r="BA19" s="1"/>
      <c r="BB19" s="1"/>
      <c r="BC19" s="1"/>
    </row>
    <row r="20" spans="1:55" ht="12.75" customHeight="1">
      <c r="A20" s="1"/>
      <c r="B20" s="1004" t="s">
        <v>1563</v>
      </c>
      <c r="C20" s="921"/>
      <c r="D20" s="921"/>
      <c r="E20" s="921"/>
      <c r="F20" s="921"/>
      <c r="G20" s="921"/>
      <c r="H20" s="921"/>
      <c r="I20" s="921"/>
      <c r="J20" s="921"/>
      <c r="K20" s="921"/>
      <c r="L20" s="921"/>
      <c r="M20" s="921"/>
      <c r="N20" s="921"/>
      <c r="O20" s="921"/>
      <c r="P20" s="921"/>
      <c r="Q20" s="921"/>
      <c r="R20" s="921"/>
      <c r="S20" s="943"/>
      <c r="T20" s="1135">
        <f>SUM(T13:X19)</f>
        <v>0</v>
      </c>
      <c r="U20" s="921"/>
      <c r="V20" s="921"/>
      <c r="W20" s="921"/>
      <c r="X20" s="943"/>
      <c r="Y20" s="1135">
        <f>SUM(Y13:AC19)</f>
        <v>0</v>
      </c>
      <c r="Z20" s="921"/>
      <c r="AA20" s="921"/>
      <c r="AB20" s="921"/>
      <c r="AC20" s="943"/>
      <c r="AD20" s="953">
        <f>SUM(AD13:AH19)</f>
        <v>0</v>
      </c>
      <c r="AE20" s="921"/>
      <c r="AF20" s="921"/>
      <c r="AG20" s="921"/>
      <c r="AH20" s="943"/>
      <c r="AI20" s="953">
        <f>SUM(AI13:AM19)</f>
        <v>0</v>
      </c>
      <c r="AJ20" s="921"/>
      <c r="AK20" s="921"/>
      <c r="AL20" s="921"/>
      <c r="AM20" s="943"/>
      <c r="AN20" s="1"/>
      <c r="AO20" s="1"/>
      <c r="AP20" s="1"/>
      <c r="AQ20" s="1"/>
      <c r="AR20" s="1"/>
      <c r="AS20" s="1"/>
      <c r="AT20" s="1"/>
      <c r="AU20" s="1"/>
      <c r="AV20" s="1"/>
      <c r="AW20" s="1"/>
      <c r="AX20" s="1"/>
      <c r="AY20" s="1"/>
      <c r="AZ20" s="1"/>
      <c r="BA20" s="1"/>
      <c r="BB20" s="1"/>
      <c r="BC20" s="1"/>
    </row>
    <row r="21" spans="1:55" ht="12.75" customHeight="1">
      <c r="A21" s="1"/>
      <c r="B21" s="1004" t="s">
        <v>1576</v>
      </c>
      <c r="C21" s="921"/>
      <c r="D21" s="921"/>
      <c r="E21" s="921"/>
      <c r="F21" s="921"/>
      <c r="G21" s="921"/>
      <c r="H21" s="921"/>
      <c r="I21" s="921"/>
      <c r="J21" s="921"/>
      <c r="K21" s="921"/>
      <c r="L21" s="921"/>
      <c r="M21" s="921"/>
      <c r="N21" s="921"/>
      <c r="O21" s="921"/>
      <c r="P21" s="921"/>
      <c r="Q21" s="921"/>
      <c r="R21" s="921"/>
      <c r="S21" s="943"/>
      <c r="T21" s="1360"/>
      <c r="U21" s="921"/>
      <c r="V21" s="921"/>
      <c r="W21" s="921"/>
      <c r="X21" s="943"/>
      <c r="Y21" s="1360"/>
      <c r="Z21" s="921"/>
      <c r="AA21" s="921"/>
      <c r="AB21" s="921"/>
      <c r="AC21" s="943"/>
      <c r="AD21" s="1368"/>
      <c r="AE21" s="921"/>
      <c r="AF21" s="921"/>
      <c r="AG21" s="921"/>
      <c r="AH21" s="943"/>
      <c r="AI21" s="1368"/>
      <c r="AJ21" s="921"/>
      <c r="AK21" s="921"/>
      <c r="AL21" s="921"/>
      <c r="AM21" s="943"/>
      <c r="AN21" s="1"/>
      <c r="AO21" s="1"/>
      <c r="AP21" s="1"/>
      <c r="AQ21" s="1"/>
      <c r="AR21" s="1"/>
      <c r="AS21" s="1"/>
      <c r="AT21" s="1"/>
      <c r="AU21" s="1"/>
      <c r="AV21" s="1"/>
      <c r="AW21" s="1"/>
      <c r="AX21" s="1"/>
      <c r="AY21" s="1"/>
      <c r="AZ21" s="1"/>
      <c r="BA21" s="1"/>
      <c r="BB21" s="1"/>
      <c r="BC21" s="1"/>
    </row>
    <row r="22" spans="1:55" ht="12.75" customHeight="1">
      <c r="A22" s="1"/>
      <c r="B22" s="1004" t="s">
        <v>1578</v>
      </c>
      <c r="C22" s="921"/>
      <c r="D22" s="921"/>
      <c r="E22" s="921"/>
      <c r="F22" s="921"/>
      <c r="G22" s="921"/>
      <c r="H22" s="921"/>
      <c r="I22" s="921"/>
      <c r="J22" s="921"/>
      <c r="K22" s="921"/>
      <c r="L22" s="921"/>
      <c r="M22" s="921"/>
      <c r="N22" s="921"/>
      <c r="O22" s="921"/>
      <c r="P22" s="921"/>
      <c r="Q22" s="921"/>
      <c r="R22" s="921"/>
      <c r="S22" s="943"/>
      <c r="T22" s="1365">
        <f>(ABS(T20)+ABS(T21))*-1</f>
        <v>0</v>
      </c>
      <c r="U22" s="921"/>
      <c r="V22" s="921"/>
      <c r="W22" s="921"/>
      <c r="X22" s="943"/>
      <c r="Y22" s="1365">
        <f>(Y20+Y21)*-1</f>
        <v>0</v>
      </c>
      <c r="Z22" s="921"/>
      <c r="AA22" s="921"/>
      <c r="AB22" s="921"/>
      <c r="AC22" s="943"/>
      <c r="AD22" s="1366">
        <f>(AD20)*-1</f>
        <v>0</v>
      </c>
      <c r="AE22" s="921"/>
      <c r="AF22" s="921"/>
      <c r="AG22" s="921"/>
      <c r="AH22" s="943"/>
      <c r="AI22" s="1366">
        <f>(AI20)*-1</f>
        <v>0</v>
      </c>
      <c r="AJ22" s="921"/>
      <c r="AK22" s="921"/>
      <c r="AL22" s="921"/>
      <c r="AM22" s="943"/>
      <c r="AN22" s="1"/>
      <c r="AO22" s="1"/>
      <c r="AP22" s="1"/>
      <c r="AQ22" s="1"/>
      <c r="AR22" s="1"/>
      <c r="AS22" s="1"/>
      <c r="AT22" s="1"/>
      <c r="AU22" s="1"/>
      <c r="AV22" s="1"/>
      <c r="AW22" s="1"/>
      <c r="AX22" s="1"/>
      <c r="AY22" s="1"/>
      <c r="AZ22" s="1"/>
      <c r="BA22" s="1"/>
      <c r="BB22" s="1"/>
      <c r="BC22" s="1"/>
    </row>
    <row r="23" spans="1:55" ht="12.75" customHeight="1">
      <c r="A23" s="1"/>
      <c r="B23" s="1004" t="s">
        <v>1582</v>
      </c>
      <c r="C23" s="921"/>
      <c r="D23" s="921"/>
      <c r="E23" s="921"/>
      <c r="F23" s="921"/>
      <c r="G23" s="921"/>
      <c r="H23" s="921"/>
      <c r="I23" s="921"/>
      <c r="J23" s="921"/>
      <c r="K23" s="921"/>
      <c r="L23" s="921"/>
      <c r="M23" s="921"/>
      <c r="N23" s="921"/>
      <c r="O23" s="921"/>
      <c r="P23" s="921"/>
      <c r="Q23" s="921"/>
      <c r="R23" s="921"/>
      <c r="S23" s="943"/>
      <c r="T23" s="1135">
        <f>T11+T22</f>
        <v>31233727</v>
      </c>
      <c r="U23" s="921"/>
      <c r="V23" s="921"/>
      <c r="W23" s="921"/>
      <c r="X23" s="943"/>
      <c r="Y23" s="1135">
        <f>Y11+Y22</f>
        <v>0</v>
      </c>
      <c r="Z23" s="921"/>
      <c r="AA23" s="921"/>
      <c r="AB23" s="921"/>
      <c r="AC23" s="943"/>
      <c r="AD23" s="1135">
        <f>AD11+AD22</f>
        <v>57308057</v>
      </c>
      <c r="AE23" s="921"/>
      <c r="AF23" s="921"/>
      <c r="AG23" s="921"/>
      <c r="AH23" s="943"/>
      <c r="AI23" s="1135">
        <f>AI11+AI22</f>
        <v>0</v>
      </c>
      <c r="AJ23" s="921"/>
      <c r="AK23" s="921"/>
      <c r="AL23" s="921"/>
      <c r="AM23" s="943"/>
      <c r="AN23" s="1"/>
      <c r="AO23" s="1"/>
      <c r="AP23" s="1"/>
      <c r="AQ23" s="1"/>
      <c r="AR23" s="1"/>
      <c r="AS23" s="1"/>
      <c r="AT23" s="1"/>
      <c r="AU23" s="1"/>
      <c r="AV23" s="1"/>
      <c r="AW23" s="1"/>
      <c r="AX23" s="1"/>
      <c r="AY23" s="1"/>
      <c r="AZ23" s="1"/>
      <c r="BA23" s="1"/>
      <c r="BB23" s="1"/>
      <c r="BC23" s="1"/>
    </row>
    <row r="24" spans="1:55" ht="12.75" customHeight="1">
      <c r="A24" s="1"/>
      <c r="B24" s="1004" t="s">
        <v>1585</v>
      </c>
      <c r="C24" s="921"/>
      <c r="D24" s="921"/>
      <c r="E24" s="921"/>
      <c r="F24" s="921"/>
      <c r="G24" s="921"/>
      <c r="H24" s="921"/>
      <c r="I24" s="921"/>
      <c r="J24" s="921"/>
      <c r="K24" s="921"/>
      <c r="L24" s="921"/>
      <c r="M24" s="921"/>
      <c r="N24" s="921"/>
      <c r="O24" s="921"/>
      <c r="P24" s="921"/>
      <c r="Q24" s="921"/>
      <c r="R24" s="921"/>
      <c r="S24" s="943"/>
      <c r="T24" s="953">
        <f>Application!AJ1060</f>
        <v>164859179.09999999</v>
      </c>
      <c r="U24" s="921"/>
      <c r="V24" s="921"/>
      <c r="W24" s="921"/>
      <c r="X24" s="921"/>
      <c r="Y24" s="921"/>
      <c r="Z24" s="921"/>
      <c r="AA24" s="921"/>
      <c r="AB24" s="921"/>
      <c r="AC24" s="921"/>
      <c r="AD24" s="921"/>
      <c r="AE24" s="921"/>
      <c r="AF24" s="921"/>
      <c r="AG24" s="921"/>
      <c r="AH24" s="921"/>
      <c r="AI24" s="921"/>
      <c r="AJ24" s="921"/>
      <c r="AK24" s="921"/>
      <c r="AL24" s="921"/>
      <c r="AM24" s="943"/>
      <c r="AN24" s="1"/>
      <c r="AO24" s="1"/>
      <c r="AP24" s="1"/>
      <c r="AQ24" s="1"/>
      <c r="AR24" s="1"/>
      <c r="AS24" s="1"/>
      <c r="AT24" s="1"/>
      <c r="AU24" s="1"/>
      <c r="AV24" s="1"/>
      <c r="AW24" s="1"/>
      <c r="AX24" s="1"/>
      <c r="AY24" s="1"/>
      <c r="AZ24" s="1"/>
      <c r="BA24" s="1"/>
      <c r="BB24" s="1"/>
      <c r="BC24" s="1"/>
    </row>
    <row r="25" spans="1:55" ht="12.75" customHeight="1">
      <c r="A25" s="1"/>
      <c r="B25" s="1363" t="s">
        <v>1588</v>
      </c>
      <c r="C25" s="921"/>
      <c r="D25" s="921"/>
      <c r="E25" s="921"/>
      <c r="F25" s="921"/>
      <c r="G25" s="921"/>
      <c r="H25" s="921"/>
      <c r="I25" s="921"/>
      <c r="J25" s="921"/>
      <c r="K25" s="921"/>
      <c r="L25" s="921"/>
      <c r="M25" s="921"/>
      <c r="N25" s="921"/>
      <c r="O25" s="921"/>
      <c r="P25" s="921"/>
      <c r="Q25" s="921"/>
      <c r="R25" s="921"/>
      <c r="S25" s="943"/>
      <c r="T25" s="1362">
        <f>IF(OR(Application!T196="yes",Application!T195="yes"),1.3,1)</f>
        <v>1</v>
      </c>
      <c r="U25" s="961"/>
      <c r="V25" s="961"/>
      <c r="W25" s="961"/>
      <c r="X25" s="961"/>
      <c r="Y25" s="1362">
        <v>1</v>
      </c>
      <c r="Z25" s="961"/>
      <c r="AA25" s="961"/>
      <c r="AB25" s="961"/>
      <c r="AC25" s="961"/>
      <c r="AD25" s="1362">
        <v>1</v>
      </c>
      <c r="AE25" s="961"/>
      <c r="AF25" s="961"/>
      <c r="AG25" s="961"/>
      <c r="AH25" s="962"/>
      <c r="AI25" s="1362">
        <v>1</v>
      </c>
      <c r="AJ25" s="961"/>
      <c r="AK25" s="961"/>
      <c r="AL25" s="961"/>
      <c r="AM25" s="962"/>
      <c r="AN25" s="1"/>
      <c r="AO25" s="1"/>
      <c r="AP25" s="1"/>
      <c r="AQ25" s="1"/>
      <c r="AR25" s="1"/>
      <c r="AS25" s="1"/>
      <c r="AT25" s="1"/>
      <c r="AU25" s="1"/>
      <c r="AV25" s="1"/>
      <c r="AW25" s="1"/>
      <c r="AX25" s="1"/>
      <c r="AY25" s="1"/>
      <c r="AZ25" s="1"/>
      <c r="BA25" s="1"/>
      <c r="BB25" s="1"/>
      <c r="BC25" s="1"/>
    </row>
    <row r="26" spans="1:55" ht="12.75" customHeight="1">
      <c r="A26" s="1"/>
      <c r="B26" s="1004" t="s">
        <v>1591</v>
      </c>
      <c r="C26" s="921"/>
      <c r="D26" s="921"/>
      <c r="E26" s="921"/>
      <c r="F26" s="921"/>
      <c r="G26" s="921"/>
      <c r="H26" s="921"/>
      <c r="I26" s="921"/>
      <c r="J26" s="921"/>
      <c r="K26" s="921"/>
      <c r="L26" s="921"/>
      <c r="M26" s="921"/>
      <c r="N26" s="921"/>
      <c r="O26" s="921"/>
      <c r="P26" s="921"/>
      <c r="Q26" s="921"/>
      <c r="R26" s="921"/>
      <c r="S26" s="943"/>
      <c r="T26" s="1135">
        <f>T23*T25</f>
        <v>31233727</v>
      </c>
      <c r="U26" s="921"/>
      <c r="V26" s="921"/>
      <c r="W26" s="921"/>
      <c r="X26" s="943"/>
      <c r="Y26" s="1135">
        <f>Y23*Y25</f>
        <v>0</v>
      </c>
      <c r="Z26" s="921"/>
      <c r="AA26" s="921"/>
      <c r="AB26" s="921"/>
      <c r="AC26" s="943"/>
      <c r="AD26" s="1135">
        <f>AD23*AD25</f>
        <v>57308057</v>
      </c>
      <c r="AE26" s="921"/>
      <c r="AF26" s="921"/>
      <c r="AG26" s="921"/>
      <c r="AH26" s="943"/>
      <c r="AI26" s="1135">
        <f>AI23*AI25</f>
        <v>0</v>
      </c>
      <c r="AJ26" s="921"/>
      <c r="AK26" s="921"/>
      <c r="AL26" s="921"/>
      <c r="AM26" s="943"/>
      <c r="AN26" s="1"/>
      <c r="AO26" s="1"/>
      <c r="AP26" s="1"/>
      <c r="AQ26" s="1"/>
      <c r="AR26" s="1"/>
      <c r="AS26" s="1"/>
      <c r="AT26" s="1"/>
      <c r="AU26" s="1"/>
      <c r="AV26" s="1"/>
      <c r="AW26" s="1"/>
      <c r="AX26" s="1"/>
      <c r="AY26" s="1"/>
      <c r="AZ26" s="1"/>
      <c r="BA26" s="1"/>
      <c r="BB26" s="1"/>
      <c r="BC26" s="1"/>
    </row>
    <row r="27" spans="1:55" ht="12.75" customHeight="1">
      <c r="A27" s="117"/>
      <c r="B27" s="1364" t="s">
        <v>1593</v>
      </c>
      <c r="C27" s="921"/>
      <c r="D27" s="921"/>
      <c r="E27" s="921"/>
      <c r="F27" s="921"/>
      <c r="G27" s="921"/>
      <c r="H27" s="921"/>
      <c r="I27" s="921"/>
      <c r="J27" s="921"/>
      <c r="K27" s="921"/>
      <c r="L27" s="921"/>
      <c r="M27" s="921"/>
      <c r="N27" s="921"/>
      <c r="O27" s="921"/>
      <c r="P27" s="921"/>
      <c r="Q27" s="921"/>
      <c r="R27" s="921"/>
      <c r="S27" s="943"/>
      <c r="T27" s="1350">
        <f>Application!$AG$454</f>
        <v>1</v>
      </c>
      <c r="U27" s="921"/>
      <c r="V27" s="921"/>
      <c r="W27" s="921"/>
      <c r="X27" s="943"/>
      <c r="Y27" s="1350">
        <f>Application!$AG$454</f>
        <v>1</v>
      </c>
      <c r="Z27" s="921"/>
      <c r="AA27" s="921"/>
      <c r="AB27" s="921"/>
      <c r="AC27" s="943"/>
      <c r="AD27" s="1350">
        <f>Application!$AG$454</f>
        <v>1</v>
      </c>
      <c r="AE27" s="921"/>
      <c r="AF27" s="921"/>
      <c r="AG27" s="921"/>
      <c r="AH27" s="943"/>
      <c r="AI27" s="1350">
        <f>Application!$AG$454</f>
        <v>1</v>
      </c>
      <c r="AJ27" s="921"/>
      <c r="AK27" s="921"/>
      <c r="AL27" s="921"/>
      <c r="AM27" s="943"/>
      <c r="AN27" s="1"/>
      <c r="AO27" s="1"/>
      <c r="AP27" s="1"/>
      <c r="AQ27" s="1"/>
      <c r="AR27" s="1"/>
      <c r="AS27" s="1"/>
      <c r="AT27" s="1"/>
      <c r="AU27" s="1"/>
      <c r="AV27" s="1"/>
      <c r="AW27" s="1"/>
      <c r="AX27" s="1"/>
      <c r="AY27" s="1"/>
      <c r="AZ27" s="1"/>
      <c r="BA27" s="1"/>
      <c r="BB27" s="1"/>
      <c r="BC27" s="1"/>
    </row>
    <row r="28" spans="1:55" ht="12.75" customHeight="1">
      <c r="A28" s="8"/>
      <c r="B28" s="1004" t="s">
        <v>1601</v>
      </c>
      <c r="C28" s="921"/>
      <c r="D28" s="921"/>
      <c r="E28" s="921"/>
      <c r="F28" s="921"/>
      <c r="G28" s="921"/>
      <c r="H28" s="921"/>
      <c r="I28" s="921"/>
      <c r="J28" s="921"/>
      <c r="K28" s="921"/>
      <c r="L28" s="921"/>
      <c r="M28" s="921"/>
      <c r="N28" s="921"/>
      <c r="O28" s="921"/>
      <c r="P28" s="921"/>
      <c r="Q28" s="921"/>
      <c r="R28" s="921"/>
      <c r="S28" s="943"/>
      <c r="T28" s="1135">
        <f>IF(ISERROR((T26*T27)),0,(T26*T27))</f>
        <v>31233727</v>
      </c>
      <c r="U28" s="921"/>
      <c r="V28" s="921"/>
      <c r="W28" s="921"/>
      <c r="X28" s="943"/>
      <c r="Y28" s="1135">
        <f>IF(ISERROR((Y26*Y27)),0,(Y26*Y27))</f>
        <v>0</v>
      </c>
      <c r="Z28" s="921"/>
      <c r="AA28" s="921"/>
      <c r="AB28" s="921"/>
      <c r="AC28" s="943"/>
      <c r="AD28" s="1135">
        <f>IF(ISERROR((AD26*AD27)),0,(AD26*AD27))</f>
        <v>57308057</v>
      </c>
      <c r="AE28" s="921"/>
      <c r="AF28" s="921"/>
      <c r="AG28" s="921"/>
      <c r="AH28" s="943"/>
      <c r="AI28" s="1135">
        <f>IF(ISERROR((AI26*AI27)),0,(AI26*AI27))</f>
        <v>0</v>
      </c>
      <c r="AJ28" s="921"/>
      <c r="AK28" s="921"/>
      <c r="AL28" s="921"/>
      <c r="AM28" s="943"/>
      <c r="AN28" s="1"/>
      <c r="AO28" s="1"/>
      <c r="AP28" s="1"/>
      <c r="AQ28" s="1"/>
      <c r="AR28" s="1"/>
      <c r="AS28" s="1"/>
      <c r="AT28" s="1"/>
      <c r="AU28" s="1"/>
      <c r="AV28" s="1"/>
      <c r="AW28" s="1"/>
      <c r="AX28" s="1"/>
      <c r="AY28" s="1"/>
      <c r="AZ28" s="1"/>
      <c r="BA28" s="1"/>
      <c r="BB28" s="1"/>
      <c r="BC28" s="1"/>
    </row>
    <row r="29" spans="1:55" ht="12.75" customHeight="1">
      <c r="A29" s="1"/>
      <c r="B29" s="1004" t="s">
        <v>1604</v>
      </c>
      <c r="C29" s="921"/>
      <c r="D29" s="921"/>
      <c r="E29" s="921"/>
      <c r="F29" s="921"/>
      <c r="G29" s="921"/>
      <c r="H29" s="921"/>
      <c r="I29" s="921"/>
      <c r="J29" s="921"/>
      <c r="K29" s="921"/>
      <c r="L29" s="921"/>
      <c r="M29" s="921"/>
      <c r="N29" s="921"/>
      <c r="O29" s="921"/>
      <c r="P29" s="921"/>
      <c r="Q29" s="921"/>
      <c r="R29" s="921"/>
      <c r="S29" s="943"/>
      <c r="T29" s="953">
        <f>T28+Y28+AD28+AI28</f>
        <v>88541784</v>
      </c>
      <c r="U29" s="921"/>
      <c r="V29" s="921"/>
      <c r="W29" s="921"/>
      <c r="X29" s="921"/>
      <c r="Y29" s="921"/>
      <c r="Z29" s="921"/>
      <c r="AA29" s="921"/>
      <c r="AB29" s="921"/>
      <c r="AC29" s="921"/>
      <c r="AD29" s="921"/>
      <c r="AE29" s="921"/>
      <c r="AF29" s="921"/>
      <c r="AG29" s="921"/>
      <c r="AH29" s="921"/>
      <c r="AI29" s="921"/>
      <c r="AJ29" s="921"/>
      <c r="AK29" s="921"/>
      <c r="AL29" s="921"/>
      <c r="AM29" s="943"/>
      <c r="AN29" s="1"/>
      <c r="AO29" s="1"/>
      <c r="AP29" s="1"/>
      <c r="AQ29" s="1"/>
      <c r="AR29" s="1"/>
      <c r="AS29" s="1"/>
      <c r="AT29" s="1"/>
      <c r="AU29" s="1"/>
      <c r="AV29" s="1"/>
      <c r="AW29" s="1"/>
      <c r="AX29" s="1"/>
      <c r="AY29" s="1"/>
      <c r="AZ29" s="1"/>
      <c r="BA29" s="1"/>
      <c r="BB29" s="1"/>
      <c r="BC29" s="1"/>
    </row>
    <row r="30" spans="1:55" ht="12.75" customHeight="1">
      <c r="A30" s="1"/>
      <c r="B30" s="1349" t="s">
        <v>1607</v>
      </c>
      <c r="C30" s="893"/>
      <c r="D30" s="893"/>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c r="AE30" s="893"/>
      <c r="AF30" s="893"/>
      <c r="AG30" s="893"/>
      <c r="AH30" s="893"/>
      <c r="AI30" s="893"/>
      <c r="AJ30" s="893"/>
      <c r="AK30" s="893"/>
      <c r="AL30" s="893"/>
      <c r="AM30" s="893"/>
      <c r="AN30" s="1"/>
      <c r="AO30" s="1"/>
      <c r="AP30" s="1"/>
      <c r="AQ30" s="1"/>
      <c r="AR30" s="1"/>
      <c r="AS30" s="1"/>
      <c r="AT30" s="1"/>
      <c r="AU30" s="1"/>
      <c r="AV30" s="1"/>
      <c r="AW30" s="1"/>
      <c r="AX30" s="1"/>
      <c r="AY30" s="1"/>
      <c r="AZ30" s="1"/>
      <c r="BA30" s="1"/>
      <c r="BB30" s="1"/>
      <c r="BC30" s="1"/>
    </row>
    <row r="31" spans="1:55" ht="12.75" customHeight="1">
      <c r="A31" s="1"/>
      <c r="B31" s="1349" t="s">
        <v>1609</v>
      </c>
      <c r="C31" s="893"/>
      <c r="D31" s="893"/>
      <c r="E31" s="893"/>
      <c r="F31" s="893"/>
      <c r="G31" s="893"/>
      <c r="H31" s="893"/>
      <c r="I31" s="893"/>
      <c r="J31" s="893"/>
      <c r="K31" s="893"/>
      <c r="L31" s="893"/>
      <c r="M31" s="893"/>
      <c r="N31" s="893"/>
      <c r="O31" s="893"/>
      <c r="P31" s="893"/>
      <c r="Q31" s="893"/>
      <c r="R31" s="893"/>
      <c r="S31" s="893"/>
      <c r="T31" s="893"/>
      <c r="U31" s="893"/>
      <c r="V31" s="893"/>
      <c r="W31" s="893"/>
      <c r="X31" s="893"/>
      <c r="Y31" s="893"/>
      <c r="Z31" s="893"/>
      <c r="AA31" s="893"/>
      <c r="AB31" s="893"/>
      <c r="AC31" s="893"/>
      <c r="AD31" s="893"/>
      <c r="AE31" s="893"/>
      <c r="AF31" s="893"/>
      <c r="AG31" s="893"/>
      <c r="AH31" s="893"/>
      <c r="AI31" s="893"/>
      <c r="AJ31" s="893"/>
      <c r="AK31" s="893"/>
      <c r="AL31" s="893"/>
      <c r="AM31" s="893"/>
      <c r="AN31" s="261"/>
      <c r="AO31" s="1"/>
      <c r="AP31" s="1"/>
      <c r="AQ31" s="1"/>
      <c r="AR31" s="1"/>
      <c r="AS31" s="1"/>
      <c r="AT31" s="1"/>
      <c r="AU31" s="1"/>
      <c r="AV31" s="1"/>
      <c r="AW31" s="1"/>
      <c r="AX31" s="1"/>
      <c r="AY31" s="1"/>
      <c r="AZ31" s="1"/>
      <c r="BA31" s="1"/>
      <c r="BB31" s="1"/>
      <c r="BC31" s="1"/>
    </row>
    <row r="32" spans="1:55" ht="12.75" customHeight="1">
      <c r="A32" s="1"/>
      <c r="B32" s="287"/>
      <c r="C32" s="97" t="s">
        <v>1611</v>
      </c>
      <c r="D32" s="287"/>
      <c r="E32" s="287"/>
      <c r="F32" s="287"/>
      <c r="G32" s="287"/>
      <c r="H32" s="287"/>
      <c r="I32" s="287"/>
      <c r="J32" s="287"/>
      <c r="K32" s="287"/>
      <c r="L32" s="287"/>
      <c r="M32" s="287"/>
      <c r="N32" s="287"/>
      <c r="O32" s="287"/>
      <c r="P32" s="287"/>
      <c r="Q32" s="287"/>
      <c r="R32" s="287"/>
      <c r="S32" s="287"/>
      <c r="T32" s="287"/>
      <c r="U32" s="287"/>
      <c r="V32" s="287"/>
      <c r="W32" s="287"/>
      <c r="X32" s="287"/>
      <c r="Y32" s="287"/>
      <c r="Z32" s="287"/>
      <c r="AA32" s="287"/>
      <c r="AB32" s="287"/>
      <c r="AC32" s="287"/>
      <c r="AD32" s="287"/>
      <c r="AE32" s="287"/>
      <c r="AF32" s="287"/>
      <c r="AG32" s="287"/>
      <c r="AH32" s="287"/>
      <c r="AI32" s="287"/>
      <c r="AJ32" s="287"/>
      <c r="AK32" s="287"/>
      <c r="AL32" s="287"/>
      <c r="AM32" s="287"/>
      <c r="AN32" s="1"/>
      <c r="AO32" s="1"/>
      <c r="AP32" s="1"/>
      <c r="AQ32" s="1"/>
      <c r="AR32" s="1"/>
      <c r="AS32" s="1"/>
      <c r="AT32" s="1"/>
      <c r="AU32" s="1"/>
      <c r="AV32" s="1"/>
      <c r="AW32" s="1"/>
      <c r="AX32" s="1"/>
      <c r="AY32" s="1"/>
      <c r="AZ32" s="1"/>
      <c r="BA32" s="1"/>
      <c r="BB32" s="1"/>
      <c r="BC32" s="1"/>
    </row>
    <row r="33" spans="1:55"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row>
    <row r="34" spans="1:55" ht="12.75" customHeight="1">
      <c r="A34" s="8" t="s">
        <v>1003</v>
      </c>
      <c r="B34" s="1"/>
      <c r="C34" s="8" t="s">
        <v>349</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row>
    <row r="35" spans="1:55" ht="12.75" customHeight="1">
      <c r="A35" s="1"/>
      <c r="B35" s="265"/>
      <c r="C35" s="246"/>
      <c r="D35" s="246"/>
      <c r="E35" s="246"/>
      <c r="F35" s="246"/>
      <c r="G35" s="246"/>
      <c r="H35" s="246"/>
      <c r="I35" s="246"/>
      <c r="J35" s="246"/>
      <c r="K35" s="246"/>
      <c r="L35" s="246"/>
      <c r="M35" s="246"/>
      <c r="N35" s="246"/>
      <c r="O35" s="246"/>
      <c r="P35" s="246"/>
      <c r="Q35" s="246"/>
      <c r="R35" s="246"/>
      <c r="S35" s="246"/>
      <c r="T35" s="246"/>
      <c r="U35" s="246"/>
      <c r="V35" s="246"/>
      <c r="W35" s="246"/>
      <c r="X35" s="247"/>
      <c r="Y35" s="993" t="s">
        <v>1613</v>
      </c>
      <c r="Z35" s="947"/>
      <c r="AA35" s="947"/>
      <c r="AB35" s="947"/>
      <c r="AC35" s="948"/>
      <c r="AD35" s="992" t="s">
        <v>1614</v>
      </c>
      <c r="AE35" s="947"/>
      <c r="AF35" s="947"/>
      <c r="AG35" s="947"/>
      <c r="AH35" s="948"/>
      <c r="AI35" s="1"/>
      <c r="AJ35" s="1"/>
      <c r="AK35" s="1"/>
      <c r="AL35" s="1"/>
      <c r="AM35" s="1"/>
      <c r="AN35" s="1"/>
      <c r="AO35" s="1"/>
      <c r="AP35" s="1"/>
      <c r="AQ35" s="1"/>
      <c r="AR35" s="1"/>
      <c r="AS35" s="1"/>
      <c r="AT35" s="1"/>
      <c r="AU35" s="1"/>
      <c r="AV35" s="1"/>
      <c r="AW35" s="1"/>
      <c r="AX35" s="1"/>
      <c r="AY35" s="1"/>
      <c r="AZ35" s="1"/>
      <c r="BA35" s="1"/>
      <c r="BB35" s="1"/>
      <c r="BC35" s="1"/>
    </row>
    <row r="36" spans="1:55" ht="12.75" customHeight="1">
      <c r="A36" s="1"/>
      <c r="B36" s="267"/>
      <c r="C36" s="1"/>
      <c r="D36" s="1"/>
      <c r="E36" s="1"/>
      <c r="F36" s="1"/>
      <c r="G36" s="1"/>
      <c r="H36" s="1"/>
      <c r="I36" s="1"/>
      <c r="J36" s="1"/>
      <c r="K36" s="1"/>
      <c r="L36" s="1"/>
      <c r="M36" s="1"/>
      <c r="N36" s="1"/>
      <c r="O36" s="1"/>
      <c r="P36" s="1"/>
      <c r="Q36" s="1"/>
      <c r="R36" s="1"/>
      <c r="S36" s="1"/>
      <c r="T36" s="1"/>
      <c r="U36" s="1"/>
      <c r="V36" s="1"/>
      <c r="W36" s="1"/>
      <c r="X36" s="249"/>
      <c r="Y36" s="958"/>
      <c r="Z36" s="893"/>
      <c r="AA36" s="893"/>
      <c r="AB36" s="893"/>
      <c r="AC36" s="959"/>
      <c r="AD36" s="958"/>
      <c r="AE36" s="893"/>
      <c r="AF36" s="893"/>
      <c r="AG36" s="893"/>
      <c r="AH36" s="959"/>
      <c r="AI36" s="1"/>
      <c r="AJ36" s="1"/>
      <c r="AK36" s="1"/>
      <c r="AL36" s="1"/>
      <c r="AM36" s="1"/>
      <c r="AN36" s="1"/>
      <c r="AO36" s="1"/>
      <c r="AP36" s="1"/>
      <c r="AQ36" s="1"/>
      <c r="AR36" s="1"/>
      <c r="AS36" s="1"/>
      <c r="AT36" s="1"/>
      <c r="AU36" s="1"/>
      <c r="AV36" s="1"/>
      <c r="AW36" s="1"/>
      <c r="AX36" s="1"/>
      <c r="AY36" s="1"/>
      <c r="AZ36" s="1"/>
      <c r="BA36" s="1"/>
      <c r="BB36" s="1"/>
      <c r="BC36" s="1"/>
    </row>
    <row r="37" spans="1:55" ht="12.75" customHeight="1">
      <c r="A37" s="1"/>
      <c r="B37" s="268"/>
      <c r="C37" s="235"/>
      <c r="D37" s="235"/>
      <c r="E37" s="235"/>
      <c r="F37" s="235"/>
      <c r="G37" s="235"/>
      <c r="H37" s="235"/>
      <c r="I37" s="235"/>
      <c r="J37" s="235"/>
      <c r="K37" s="235"/>
      <c r="L37" s="235"/>
      <c r="M37" s="235"/>
      <c r="N37" s="235"/>
      <c r="O37" s="235"/>
      <c r="P37" s="235"/>
      <c r="Q37" s="235"/>
      <c r="R37" s="235"/>
      <c r="S37" s="235"/>
      <c r="T37" s="235"/>
      <c r="U37" s="235"/>
      <c r="V37" s="235"/>
      <c r="W37" s="235"/>
      <c r="X37" s="251"/>
      <c r="Y37" s="960"/>
      <c r="Z37" s="961"/>
      <c r="AA37" s="961"/>
      <c r="AB37" s="961"/>
      <c r="AC37" s="962"/>
      <c r="AD37" s="960"/>
      <c r="AE37" s="961"/>
      <c r="AF37" s="961"/>
      <c r="AG37" s="961"/>
      <c r="AH37" s="962"/>
      <c r="AI37" s="1"/>
      <c r="AJ37" s="1"/>
      <c r="AK37" s="1"/>
      <c r="AL37" s="1"/>
      <c r="AM37" s="1"/>
      <c r="AN37" s="1"/>
      <c r="AO37" s="1"/>
      <c r="AP37" s="1"/>
      <c r="AQ37" s="1"/>
      <c r="AR37" s="1"/>
      <c r="AS37" s="1"/>
      <c r="AT37" s="1"/>
      <c r="AU37" s="1"/>
      <c r="AV37" s="1"/>
      <c r="AW37" s="1"/>
      <c r="AX37" s="1"/>
      <c r="AY37" s="1"/>
      <c r="AZ37" s="1"/>
      <c r="BA37" s="1"/>
      <c r="BB37" s="1"/>
      <c r="BC37" s="1"/>
    </row>
    <row r="38" spans="1:55" ht="12.75" customHeight="1">
      <c r="A38" s="8"/>
      <c r="B38" s="1004" t="s">
        <v>1601</v>
      </c>
      <c r="C38" s="921"/>
      <c r="D38" s="921"/>
      <c r="E38" s="921"/>
      <c r="F38" s="921"/>
      <c r="G38" s="921"/>
      <c r="H38" s="921"/>
      <c r="I38" s="921"/>
      <c r="J38" s="921"/>
      <c r="K38" s="921"/>
      <c r="L38" s="921"/>
      <c r="M38" s="921"/>
      <c r="N38" s="921"/>
      <c r="O38" s="921"/>
      <c r="P38" s="921"/>
      <c r="Q38" s="921"/>
      <c r="R38" s="921"/>
      <c r="S38" s="921"/>
      <c r="T38" s="921"/>
      <c r="U38" s="921"/>
      <c r="V38" s="921"/>
      <c r="W38" s="921"/>
      <c r="X38" s="943"/>
      <c r="Y38" s="953">
        <f>IF(T24&gt;=(T23+Y23+AD23+AI23),T28+Y28,0)</f>
        <v>31233727</v>
      </c>
      <c r="Z38" s="921"/>
      <c r="AA38" s="921"/>
      <c r="AB38" s="921"/>
      <c r="AC38" s="943"/>
      <c r="AD38" s="953">
        <f>IF(T24&gt;=(T23+Y23+AD23+AI23),AD28+AI28,0)</f>
        <v>57308057</v>
      </c>
      <c r="AE38" s="921"/>
      <c r="AF38" s="921"/>
      <c r="AG38" s="921"/>
      <c r="AH38" s="943"/>
      <c r="AI38" s="1"/>
      <c r="AJ38" s="1"/>
      <c r="AK38" s="1"/>
      <c r="AL38" s="1"/>
      <c r="AM38" s="1"/>
      <c r="AN38" s="1"/>
      <c r="AO38" s="1"/>
      <c r="AP38" s="1"/>
      <c r="AQ38" s="1"/>
      <c r="AR38" s="1"/>
      <c r="AS38" s="1"/>
      <c r="AT38" s="1"/>
      <c r="AU38" s="1"/>
      <c r="AV38" s="1"/>
      <c r="AW38" s="1"/>
      <c r="AX38" s="1"/>
      <c r="AY38" s="1"/>
      <c r="AZ38" s="1"/>
      <c r="BA38" s="1"/>
      <c r="BB38" s="1"/>
      <c r="BC38" s="1"/>
    </row>
    <row r="39" spans="1:55" ht="12.75" customHeight="1">
      <c r="A39" s="1"/>
      <c r="B39" s="1004" t="s">
        <v>1620</v>
      </c>
      <c r="C39" s="921"/>
      <c r="D39" s="921"/>
      <c r="E39" s="921"/>
      <c r="F39" s="921"/>
      <c r="G39" s="921"/>
      <c r="H39" s="921"/>
      <c r="I39" s="921"/>
      <c r="J39" s="921"/>
      <c r="K39" s="921"/>
      <c r="L39" s="921"/>
      <c r="M39" s="921"/>
      <c r="N39" s="921"/>
      <c r="O39" s="921"/>
      <c r="P39" s="921"/>
      <c r="Q39" s="921"/>
      <c r="R39" s="921"/>
      <c r="S39" s="921"/>
      <c r="T39" s="921"/>
      <c r="U39" s="921"/>
      <c r="V39" s="921"/>
      <c r="W39" s="921"/>
      <c r="X39" s="943"/>
      <c r="Y39" s="1359">
        <v>0.04</v>
      </c>
      <c r="Z39" s="921"/>
      <c r="AA39" s="921"/>
      <c r="AB39" s="921"/>
      <c r="AC39" s="943"/>
      <c r="AD39" s="1359">
        <v>0.04</v>
      </c>
      <c r="AE39" s="921"/>
      <c r="AF39" s="921"/>
      <c r="AG39" s="921"/>
      <c r="AH39" s="943"/>
      <c r="AI39" s="1"/>
      <c r="AJ39" s="1"/>
      <c r="AK39" s="1"/>
      <c r="AL39" s="1"/>
      <c r="AM39" s="1"/>
      <c r="AN39" s="1"/>
      <c r="AO39" s="1"/>
      <c r="AP39" s="1"/>
      <c r="AQ39" s="1"/>
      <c r="AR39" s="1"/>
      <c r="AS39" s="1"/>
      <c r="AT39" s="1"/>
      <c r="AU39" s="1"/>
      <c r="AV39" s="1"/>
      <c r="AW39" s="1"/>
      <c r="AX39" s="1"/>
      <c r="AY39" s="1"/>
      <c r="AZ39" s="1"/>
      <c r="BA39" s="1"/>
      <c r="BB39" s="1"/>
      <c r="BC39" s="1"/>
    </row>
    <row r="40" spans="1:55" ht="12.75" customHeight="1">
      <c r="A40" s="8"/>
      <c r="B40" s="1004" t="s">
        <v>1623</v>
      </c>
      <c r="C40" s="921"/>
      <c r="D40" s="921"/>
      <c r="E40" s="921"/>
      <c r="F40" s="921"/>
      <c r="G40" s="921"/>
      <c r="H40" s="921"/>
      <c r="I40" s="921"/>
      <c r="J40" s="921"/>
      <c r="K40" s="921"/>
      <c r="L40" s="921"/>
      <c r="M40" s="921"/>
      <c r="N40" s="921"/>
      <c r="O40" s="921"/>
      <c r="P40" s="921"/>
      <c r="Q40" s="921"/>
      <c r="R40" s="921"/>
      <c r="S40" s="921"/>
      <c r="T40" s="921"/>
      <c r="U40" s="921"/>
      <c r="V40" s="921"/>
      <c r="W40" s="921"/>
      <c r="X40" s="943"/>
      <c r="Y40" s="953">
        <f>ROUND(Y38*Y39,0)</f>
        <v>1249349</v>
      </c>
      <c r="Z40" s="921"/>
      <c r="AA40" s="921"/>
      <c r="AB40" s="921"/>
      <c r="AC40" s="943"/>
      <c r="AD40" s="1135">
        <f>ROUND(AD38*AD39,0)</f>
        <v>2292322</v>
      </c>
      <c r="AE40" s="921"/>
      <c r="AF40" s="921"/>
      <c r="AG40" s="921"/>
      <c r="AH40" s="943"/>
      <c r="AI40" s="1"/>
      <c r="AJ40" s="1"/>
      <c r="AK40" s="1"/>
      <c r="AL40" s="1"/>
      <c r="AM40" s="1"/>
      <c r="AN40" s="1"/>
      <c r="AO40" s="1"/>
      <c r="AP40" s="1"/>
      <c r="AQ40" s="1"/>
      <c r="AR40" s="1"/>
      <c r="AS40" s="1"/>
      <c r="AT40" s="1"/>
      <c r="AU40" s="1"/>
      <c r="AV40" s="1"/>
      <c r="AW40" s="1"/>
      <c r="AX40" s="1"/>
      <c r="AY40" s="1"/>
      <c r="AZ40" s="1"/>
      <c r="BA40" s="1"/>
      <c r="BB40" s="1"/>
      <c r="BC40" s="1"/>
    </row>
    <row r="41" spans="1:55" ht="12.75" customHeight="1">
      <c r="A41" s="1"/>
      <c r="B41" s="1004" t="s">
        <v>1625</v>
      </c>
      <c r="C41" s="921"/>
      <c r="D41" s="921"/>
      <c r="E41" s="921"/>
      <c r="F41" s="921"/>
      <c r="G41" s="921"/>
      <c r="H41" s="921"/>
      <c r="I41" s="921"/>
      <c r="J41" s="921"/>
      <c r="K41" s="921"/>
      <c r="L41" s="921"/>
      <c r="M41" s="921"/>
      <c r="N41" s="921"/>
      <c r="O41" s="921"/>
      <c r="P41" s="921"/>
      <c r="Q41" s="921"/>
      <c r="R41" s="921"/>
      <c r="S41" s="921"/>
      <c r="T41" s="921"/>
      <c r="U41" s="921"/>
      <c r="V41" s="921"/>
      <c r="W41" s="921"/>
      <c r="X41" s="943"/>
      <c r="Y41" s="953">
        <f>Y40+AD40</f>
        <v>3541671</v>
      </c>
      <c r="Z41" s="921"/>
      <c r="AA41" s="921"/>
      <c r="AB41" s="921"/>
      <c r="AC41" s="921"/>
      <c r="AD41" s="921"/>
      <c r="AE41" s="921"/>
      <c r="AF41" s="921"/>
      <c r="AG41" s="921"/>
      <c r="AH41" s="943"/>
      <c r="AI41" s="1"/>
      <c r="AJ41" s="1"/>
      <c r="AK41" s="1"/>
      <c r="AL41" s="1"/>
      <c r="AM41" s="1"/>
      <c r="AN41" s="1"/>
      <c r="AO41" s="1"/>
      <c r="AP41" s="1"/>
      <c r="AQ41" s="1"/>
      <c r="AR41" s="1"/>
      <c r="AS41" s="1"/>
      <c r="AT41" s="1"/>
      <c r="AU41" s="1"/>
      <c r="AV41" s="1"/>
      <c r="AW41" s="1"/>
      <c r="AX41" s="1"/>
      <c r="AY41" s="1"/>
      <c r="AZ41" s="1"/>
      <c r="BA41" s="1"/>
      <c r="BB41" s="1"/>
      <c r="BC41" s="1"/>
    </row>
    <row r="42" spans="1:55" ht="12.75" customHeight="1">
      <c r="A42" s="8"/>
      <c r="B42" s="299"/>
      <c r="C42" s="299"/>
      <c r="D42" s="299"/>
      <c r="E42" s="299"/>
      <c r="F42" s="299"/>
      <c r="G42" s="299"/>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299"/>
      <c r="AG42" s="299"/>
      <c r="AH42" s="299"/>
      <c r="AI42" s="1"/>
      <c r="AJ42" s="1"/>
      <c r="AK42" s="1"/>
      <c r="AL42" s="1"/>
      <c r="AM42" s="1"/>
      <c r="AN42" s="1"/>
      <c r="AO42" s="1"/>
      <c r="AP42" s="1"/>
      <c r="AQ42" s="1"/>
      <c r="AR42" s="1"/>
      <c r="AS42" s="1"/>
      <c r="AT42" s="1"/>
      <c r="AU42" s="1"/>
      <c r="AV42" s="1"/>
      <c r="AW42" s="1"/>
      <c r="AX42" s="1"/>
      <c r="AY42" s="1"/>
      <c r="AZ42" s="1"/>
      <c r="BA42" s="1"/>
      <c r="BB42" s="1"/>
      <c r="BC42" s="1"/>
    </row>
    <row r="43" spans="1:55" ht="12.75" customHeight="1">
      <c r="A43" s="1"/>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1"/>
      <c r="AJ43" s="1"/>
      <c r="AK43" s="1"/>
      <c r="AL43" s="1"/>
      <c r="AM43" s="1"/>
      <c r="AN43" s="1"/>
      <c r="AO43" s="1"/>
      <c r="AP43" s="1"/>
      <c r="AQ43" s="1"/>
      <c r="AR43" s="1"/>
      <c r="AS43" s="1"/>
      <c r="AT43" s="1"/>
      <c r="AU43" s="1"/>
      <c r="AV43" s="1"/>
      <c r="AW43" s="1"/>
      <c r="AX43" s="1"/>
      <c r="AY43" s="1"/>
      <c r="AZ43" s="1"/>
      <c r="BA43" s="1"/>
      <c r="BB43" s="1"/>
      <c r="BC43" s="1"/>
    </row>
    <row r="44" spans="1:55" ht="12.75" customHeight="1">
      <c r="A44" s="1352" t="s">
        <v>1628</v>
      </c>
      <c r="B44" s="904"/>
      <c r="C44" s="904"/>
      <c r="D44" s="904"/>
      <c r="E44" s="904"/>
      <c r="F44" s="904"/>
      <c r="G44" s="904"/>
      <c r="H44" s="904"/>
      <c r="I44" s="904"/>
      <c r="J44" s="904"/>
      <c r="K44" s="904"/>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4"/>
      <c r="AP44" s="904"/>
      <c r="AQ44" s="904"/>
      <c r="AR44" s="904"/>
      <c r="AS44" s="904"/>
      <c r="AT44" s="904"/>
      <c r="AU44" s="904"/>
      <c r="AV44" s="904"/>
      <c r="AW44" s="904"/>
      <c r="AX44" s="904"/>
      <c r="AY44" s="904"/>
      <c r="AZ44" s="904"/>
      <c r="BA44" s="904"/>
      <c r="BB44" s="904"/>
      <c r="BC44" s="904"/>
    </row>
    <row r="45" spans="1:5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row>
    <row r="46" spans="1:55" ht="12.75" customHeight="1">
      <c r="A46" s="8" t="s">
        <v>1119</v>
      </c>
      <c r="B46" s="1"/>
      <c r="C46" s="8" t="s">
        <v>353</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row>
    <row r="47" spans="1:55" ht="12.75" customHeight="1">
      <c r="A47" s="1"/>
      <c r="B47" s="1"/>
      <c r="C47" s="1"/>
      <c r="D47" s="8" t="s">
        <v>411</v>
      </c>
      <c r="E47" s="1"/>
      <c r="F47" s="1"/>
      <c r="G47" s="1"/>
      <c r="H47" s="1"/>
      <c r="I47" s="1"/>
      <c r="J47" s="1"/>
      <c r="K47" s="1"/>
      <c r="L47" s="1"/>
      <c r="M47" s="1"/>
      <c r="N47" s="1"/>
      <c r="O47" s="1"/>
      <c r="P47" s="1"/>
      <c r="Q47" s="1"/>
      <c r="R47" s="1"/>
      <c r="S47" s="1"/>
      <c r="T47" s="1"/>
      <c r="U47" s="1"/>
      <c r="V47" s="1"/>
      <c r="W47" s="1"/>
      <c r="X47" s="1"/>
      <c r="Y47" s="1"/>
      <c r="Z47" s="1"/>
      <c r="AA47" s="1"/>
      <c r="AB47" s="1000">
        <f>'Sources and Uses Budget'!B105-MAX(IF('Sources and Uses Budget'!B15="",0,'Sources and Uses Budget'!B15),IF(Application!AG403="",0,Application!AG403))</f>
        <v>99176513</v>
      </c>
      <c r="AC47" s="921"/>
      <c r="AD47" s="921"/>
      <c r="AE47" s="921"/>
      <c r="AF47" s="943"/>
      <c r="AG47" s="1"/>
      <c r="AH47" s="1"/>
      <c r="AI47" s="1"/>
      <c r="AJ47" s="1"/>
      <c r="AK47" s="1"/>
      <c r="AL47" s="1"/>
      <c r="AM47" s="1"/>
      <c r="AN47" s="1"/>
      <c r="AO47" s="1"/>
      <c r="AP47" s="1"/>
      <c r="AQ47" s="1"/>
      <c r="AR47" s="1"/>
      <c r="AS47" s="1"/>
      <c r="AT47" s="1"/>
      <c r="AU47" s="1"/>
      <c r="AV47" s="1"/>
      <c r="AW47" s="1"/>
      <c r="AX47" s="1"/>
      <c r="AY47" s="1"/>
      <c r="AZ47" s="1"/>
      <c r="BA47" s="1"/>
      <c r="BB47" s="1"/>
      <c r="BC47" s="1"/>
    </row>
    <row r="48" spans="1:55" ht="12.75" customHeight="1">
      <c r="A48" s="1"/>
      <c r="B48" s="1"/>
      <c r="C48" s="1"/>
      <c r="D48" s="8" t="s">
        <v>222</v>
      </c>
      <c r="E48" s="1"/>
      <c r="F48" s="1"/>
      <c r="G48" s="1"/>
      <c r="H48" s="1"/>
      <c r="I48" s="1"/>
      <c r="J48" s="1"/>
      <c r="K48" s="1"/>
      <c r="L48" s="1"/>
      <c r="M48" s="1"/>
      <c r="N48" s="1"/>
      <c r="O48" s="1"/>
      <c r="P48" s="1"/>
      <c r="Q48" s="1"/>
      <c r="R48" s="1"/>
      <c r="S48" s="1"/>
      <c r="T48" s="1"/>
      <c r="U48" s="1"/>
      <c r="V48" s="1"/>
      <c r="W48" s="1"/>
      <c r="X48" s="1"/>
      <c r="Y48" s="1"/>
      <c r="Z48" s="1"/>
      <c r="AA48" s="1"/>
      <c r="AB48" s="1000">
        <f>Application!AO647-MAX(IF('Sources and Uses Budget'!B15="",0,'Sources and Uses Budget'!B15),IF(Application!AG403="",0,Application!AG403))</f>
        <v>70488978</v>
      </c>
      <c r="AC48" s="921"/>
      <c r="AD48" s="921"/>
      <c r="AE48" s="921"/>
      <c r="AF48" s="943"/>
      <c r="AG48" s="1"/>
      <c r="AH48" s="1"/>
      <c r="AI48" s="1"/>
      <c r="AJ48" s="1"/>
      <c r="AK48" s="1"/>
      <c r="AL48" s="1"/>
      <c r="AM48" s="1"/>
      <c r="AN48" s="1"/>
      <c r="AO48" s="1"/>
      <c r="AP48" s="1"/>
      <c r="AQ48" s="1"/>
      <c r="AR48" s="1"/>
      <c r="AS48" s="1"/>
      <c r="AT48" s="1"/>
      <c r="AU48" s="1"/>
      <c r="AV48" s="1"/>
      <c r="AW48" s="1"/>
      <c r="AX48" s="1"/>
      <c r="AY48" s="1"/>
      <c r="AZ48" s="1"/>
      <c r="BA48" s="1"/>
      <c r="BB48" s="1"/>
      <c r="BC48" s="1"/>
    </row>
    <row r="49" spans="1:55" ht="12.75" customHeight="1">
      <c r="A49" s="1"/>
      <c r="B49" s="1"/>
      <c r="C49" s="1"/>
      <c r="D49" s="8" t="s">
        <v>1634</v>
      </c>
      <c r="E49" s="1"/>
      <c r="F49" s="1"/>
      <c r="G49" s="1"/>
      <c r="H49" s="1"/>
      <c r="I49" s="1"/>
      <c r="J49" s="1"/>
      <c r="K49" s="1"/>
      <c r="L49" s="1"/>
      <c r="M49" s="1"/>
      <c r="N49" s="1"/>
      <c r="O49" s="1"/>
      <c r="P49" s="1"/>
      <c r="Q49" s="1"/>
      <c r="R49" s="1"/>
      <c r="S49" s="1"/>
      <c r="T49" s="1"/>
      <c r="U49" s="1"/>
      <c r="V49" s="1"/>
      <c r="W49" s="1"/>
      <c r="X49" s="1"/>
      <c r="Y49" s="1"/>
      <c r="Z49" s="1"/>
      <c r="AA49" s="1"/>
      <c r="AB49" s="1000">
        <f>AB47-AB48</f>
        <v>28687535</v>
      </c>
      <c r="AC49" s="921"/>
      <c r="AD49" s="921"/>
      <c r="AE49" s="921"/>
      <c r="AF49" s="943"/>
      <c r="AG49" s="1"/>
      <c r="AH49" s="1"/>
      <c r="AI49" s="1"/>
      <c r="AJ49" s="1"/>
      <c r="AK49" s="1"/>
      <c r="AL49" s="1"/>
      <c r="AM49" s="1"/>
      <c r="AN49" s="1"/>
      <c r="AO49" s="1"/>
      <c r="AP49" s="1"/>
      <c r="AQ49" s="1"/>
      <c r="AR49" s="1"/>
      <c r="AS49" s="1"/>
      <c r="AT49" s="1"/>
      <c r="AU49" s="1"/>
      <c r="AV49" s="1"/>
      <c r="AW49" s="1"/>
      <c r="AX49" s="1"/>
      <c r="AY49" s="1"/>
      <c r="AZ49" s="1"/>
      <c r="BA49" s="1"/>
      <c r="BB49" s="1"/>
      <c r="BC49" s="1"/>
    </row>
    <row r="50" spans="1:55" ht="12.75" customHeight="1">
      <c r="A50" s="1"/>
      <c r="B50" s="1"/>
      <c r="C50" s="1"/>
      <c r="D50" s="8" t="s">
        <v>1635</v>
      </c>
      <c r="E50" s="1"/>
      <c r="F50" s="1"/>
      <c r="G50" s="1"/>
      <c r="H50" s="1"/>
      <c r="I50" s="1"/>
      <c r="J50" s="1"/>
      <c r="K50" s="1"/>
      <c r="L50" s="1"/>
      <c r="M50" s="1"/>
      <c r="N50" s="1"/>
      <c r="O50" s="1"/>
      <c r="P50" s="1"/>
      <c r="Q50" s="1"/>
      <c r="R50" s="1"/>
      <c r="S50" s="1"/>
      <c r="T50" s="1"/>
      <c r="U50" s="1"/>
      <c r="V50" s="1"/>
      <c r="W50" s="1"/>
      <c r="X50" s="1"/>
      <c r="Y50" s="1"/>
      <c r="Z50" s="1"/>
      <c r="AA50" s="33"/>
      <c r="AB50" s="1357">
        <v>0.81</v>
      </c>
      <c r="AC50" s="921"/>
      <c r="AD50" s="921"/>
      <c r="AE50" s="921"/>
      <c r="AF50" s="943"/>
      <c r="AG50" s="1"/>
      <c r="AH50" s="1"/>
      <c r="AI50" s="1"/>
      <c r="AJ50" s="1"/>
      <c r="AK50" s="1"/>
      <c r="AL50" s="1"/>
      <c r="AM50" s="1"/>
      <c r="AN50" s="1"/>
      <c r="AO50" s="1"/>
      <c r="AP50" s="1"/>
      <c r="AQ50" s="1"/>
      <c r="AR50" s="1"/>
      <c r="AS50" s="1"/>
      <c r="AT50" s="1"/>
      <c r="AU50" s="1"/>
      <c r="AV50" s="1"/>
      <c r="AW50" s="1"/>
      <c r="AX50" s="1"/>
      <c r="AY50" s="1"/>
      <c r="AZ50" s="1"/>
      <c r="BA50" s="1"/>
      <c r="BB50" s="1"/>
      <c r="BC50" s="1"/>
    </row>
    <row r="51" spans="1:55" ht="12.75" customHeight="1">
      <c r="A51" s="1"/>
      <c r="B51" s="1"/>
      <c r="C51" s="1"/>
      <c r="D51" s="1"/>
      <c r="E51" s="1351" t="s">
        <v>1637</v>
      </c>
      <c r="F51" s="893"/>
      <c r="G51" s="893"/>
      <c r="H51" s="893"/>
      <c r="I51" s="893"/>
      <c r="J51" s="893"/>
      <c r="K51" s="893"/>
      <c r="L51" s="893"/>
      <c r="M51" s="893"/>
      <c r="N51" s="893"/>
      <c r="O51" s="893"/>
      <c r="P51" s="893"/>
      <c r="Q51" s="893"/>
      <c r="R51" s="893"/>
      <c r="S51" s="893"/>
      <c r="T51" s="893"/>
      <c r="U51" s="893"/>
      <c r="V51" s="893"/>
      <c r="W51" s="893"/>
      <c r="X51" s="893"/>
      <c r="Y51" s="893"/>
      <c r="Z51" s="893"/>
      <c r="AA51" s="3"/>
      <c r="AB51" s="3"/>
      <c r="AC51" s="3"/>
      <c r="AD51" s="3"/>
      <c r="AE51" s="3"/>
      <c r="AF51" s="3"/>
      <c r="AG51" s="1"/>
      <c r="AH51" s="1"/>
      <c r="AI51" s="1"/>
      <c r="AJ51" s="1"/>
      <c r="AK51" s="1"/>
      <c r="AL51" s="1"/>
      <c r="AM51" s="1"/>
      <c r="AN51" s="1"/>
      <c r="AO51" s="52"/>
      <c r="AP51" s="52"/>
      <c r="AQ51" s="52"/>
      <c r="AR51" s="52"/>
      <c r="AS51" s="52"/>
      <c r="AT51" s="52"/>
      <c r="AU51" s="52"/>
      <c r="AV51" s="52"/>
      <c r="AW51" s="52"/>
      <c r="AX51" s="52"/>
      <c r="AY51" s="52"/>
      <c r="AZ51" s="52"/>
      <c r="BA51" s="52"/>
      <c r="BB51" s="52"/>
      <c r="BC51" s="52"/>
    </row>
    <row r="52" spans="1:55" ht="12.75" customHeight="1">
      <c r="A52" s="1"/>
      <c r="B52" s="1"/>
      <c r="C52" s="1"/>
      <c r="D52" s="1"/>
      <c r="E52" s="893"/>
      <c r="F52" s="893"/>
      <c r="G52" s="893"/>
      <c r="H52" s="893"/>
      <c r="I52" s="893"/>
      <c r="J52" s="893"/>
      <c r="K52" s="893"/>
      <c r="L52" s="893"/>
      <c r="M52" s="893"/>
      <c r="N52" s="893"/>
      <c r="O52" s="893"/>
      <c r="P52" s="893"/>
      <c r="Q52" s="893"/>
      <c r="R52" s="893"/>
      <c r="S52" s="893"/>
      <c r="T52" s="893"/>
      <c r="U52" s="893"/>
      <c r="V52" s="893"/>
      <c r="W52" s="893"/>
      <c r="X52" s="893"/>
      <c r="Y52" s="893"/>
      <c r="Z52" s="893"/>
      <c r="AA52" s="304"/>
      <c r="AB52" s="304"/>
      <c r="AC52" s="304"/>
      <c r="AD52" s="304"/>
      <c r="AE52" s="304"/>
      <c r="AF52" s="304"/>
      <c r="AG52" s="306"/>
      <c r="AH52" s="1"/>
      <c r="AI52" s="1"/>
      <c r="AJ52" s="1"/>
      <c r="AK52" s="1"/>
      <c r="AL52" s="1"/>
      <c r="AM52" s="1"/>
      <c r="AN52" s="1"/>
      <c r="AO52" s="52"/>
      <c r="AP52" s="52"/>
      <c r="AQ52" s="52"/>
      <c r="AR52" s="52"/>
      <c r="AS52" s="52"/>
      <c r="AT52" s="52"/>
      <c r="AU52" s="52"/>
      <c r="AV52" s="52"/>
      <c r="AW52" s="52"/>
      <c r="AX52" s="52"/>
      <c r="AY52" s="52"/>
      <c r="AZ52" s="52"/>
      <c r="BA52" s="52"/>
      <c r="BB52" s="52"/>
      <c r="BC52" s="52"/>
    </row>
    <row r="53" spans="1:55" ht="12.75" customHeight="1">
      <c r="A53" s="1"/>
      <c r="B53" s="1"/>
      <c r="C53" s="1"/>
      <c r="D53" s="1"/>
      <c r="E53" s="3"/>
      <c r="F53" s="3"/>
      <c r="G53" s="3"/>
      <c r="H53" s="3"/>
      <c r="I53" s="3"/>
      <c r="J53" s="3"/>
      <c r="K53" s="3"/>
      <c r="L53" s="3"/>
      <c r="M53" s="3"/>
      <c r="N53" s="3"/>
      <c r="O53" s="3"/>
      <c r="P53" s="3"/>
      <c r="Q53" s="3"/>
      <c r="R53" s="3"/>
      <c r="S53" s="3"/>
      <c r="T53" s="3"/>
      <c r="U53" s="3"/>
      <c r="V53" s="3"/>
      <c r="W53" s="3"/>
      <c r="X53" s="3"/>
      <c r="Y53" s="3"/>
      <c r="Z53" s="3"/>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row>
    <row r="54" spans="1:55" ht="12.75" customHeight="1">
      <c r="A54" s="1"/>
      <c r="B54" s="1"/>
      <c r="C54" s="1"/>
      <c r="D54" s="8" t="s">
        <v>1640</v>
      </c>
      <c r="E54" s="1"/>
      <c r="F54" s="1"/>
      <c r="G54" s="1"/>
      <c r="H54" s="1"/>
      <c r="I54" s="1"/>
      <c r="J54" s="1"/>
      <c r="K54" s="1"/>
      <c r="L54" s="1"/>
      <c r="M54" s="1"/>
      <c r="N54" s="1"/>
      <c r="O54" s="1"/>
      <c r="P54" s="1"/>
      <c r="Q54" s="1"/>
      <c r="R54" s="1"/>
      <c r="S54" s="1"/>
      <c r="T54" s="1"/>
      <c r="U54" s="1"/>
      <c r="V54" s="1"/>
      <c r="W54" s="1"/>
      <c r="X54" s="1"/>
      <c r="Y54" s="1"/>
      <c r="Z54" s="1"/>
      <c r="AA54" s="1"/>
      <c r="AB54" s="1000">
        <f>ROUND(IF(ISERROR((AB49/AB50)),0,(AB49/AB50)),0)</f>
        <v>35416710</v>
      </c>
      <c r="AC54" s="921"/>
      <c r="AD54" s="921"/>
      <c r="AE54" s="921"/>
      <c r="AF54" s="943"/>
      <c r="AG54" s="1"/>
      <c r="AH54" s="1"/>
      <c r="AI54" s="1"/>
      <c r="AJ54" s="1"/>
      <c r="AK54" s="1"/>
      <c r="AL54" s="1"/>
      <c r="AM54" s="1"/>
      <c r="AN54" s="1"/>
      <c r="AO54" s="1"/>
      <c r="AP54" s="1"/>
      <c r="AQ54" s="1"/>
      <c r="AR54" s="1"/>
      <c r="AS54" s="1"/>
      <c r="AT54" s="1"/>
      <c r="AU54" s="1"/>
      <c r="AV54" s="1"/>
      <c r="AW54" s="1"/>
      <c r="AX54" s="1"/>
      <c r="AY54" s="1"/>
      <c r="AZ54" s="1"/>
      <c r="BA54" s="1"/>
      <c r="BB54" s="1"/>
      <c r="BC54" s="1"/>
    </row>
    <row r="55" spans="1:55" ht="12.75" customHeight="1">
      <c r="A55" s="1"/>
      <c r="B55" s="1"/>
      <c r="C55" s="1"/>
      <c r="D55" s="8" t="s">
        <v>1641</v>
      </c>
      <c r="E55" s="1"/>
      <c r="F55" s="1"/>
      <c r="G55" s="1"/>
      <c r="H55" s="1"/>
      <c r="I55" s="1"/>
      <c r="J55" s="1"/>
      <c r="K55" s="1"/>
      <c r="L55" s="1"/>
      <c r="M55" s="1"/>
      <c r="N55" s="1"/>
      <c r="O55" s="1"/>
      <c r="P55" s="1"/>
      <c r="Q55" s="1"/>
      <c r="R55" s="1"/>
      <c r="S55" s="1"/>
      <c r="T55" s="1"/>
      <c r="U55" s="1"/>
      <c r="V55" s="1"/>
      <c r="W55" s="1"/>
      <c r="X55" s="1"/>
      <c r="Y55" s="1"/>
      <c r="Z55" s="1"/>
      <c r="AA55" s="1"/>
      <c r="AB55" s="1000">
        <f>(AB54/10)</f>
        <v>3541671</v>
      </c>
      <c r="AC55" s="921"/>
      <c r="AD55" s="921"/>
      <c r="AE55" s="921"/>
      <c r="AF55" s="943"/>
      <c r="AG55" s="1"/>
      <c r="AH55" s="1"/>
      <c r="AI55" s="1"/>
      <c r="AJ55" s="1"/>
      <c r="AK55" s="1"/>
      <c r="AL55" s="1"/>
      <c r="AM55" s="1"/>
      <c r="AN55" s="1"/>
      <c r="AO55" s="1"/>
      <c r="AP55" s="1"/>
      <c r="AQ55" s="1"/>
      <c r="AR55" s="1"/>
      <c r="AS55" s="1"/>
      <c r="AT55" s="1"/>
      <c r="AU55" s="1"/>
      <c r="AV55" s="1"/>
      <c r="AW55" s="1"/>
      <c r="AX55" s="1"/>
      <c r="AY55" s="1"/>
      <c r="AZ55" s="1"/>
      <c r="BA55" s="1"/>
      <c r="BB55" s="1"/>
      <c r="BC55" s="1"/>
    </row>
    <row r="56" spans="1:55" ht="12.75" customHeight="1">
      <c r="A56" s="1"/>
      <c r="B56" s="1"/>
      <c r="C56" s="1"/>
      <c r="D56" s="8" t="s">
        <v>1642</v>
      </c>
      <c r="E56" s="1"/>
      <c r="F56" s="1"/>
      <c r="G56" s="1"/>
      <c r="H56" s="1"/>
      <c r="I56" s="1"/>
      <c r="J56" s="1"/>
      <c r="K56" s="1"/>
      <c r="L56" s="1"/>
      <c r="M56" s="1"/>
      <c r="N56" s="1"/>
      <c r="O56" s="1"/>
      <c r="P56" s="1"/>
      <c r="Q56" s="1"/>
      <c r="R56" s="1"/>
      <c r="S56" s="1"/>
      <c r="T56" s="1"/>
      <c r="U56" s="1"/>
      <c r="V56" s="1"/>
      <c r="W56" s="1"/>
      <c r="X56" s="1"/>
      <c r="Y56" s="1"/>
      <c r="Z56" s="1"/>
      <c r="AA56" s="1"/>
      <c r="AB56" s="1000">
        <f>ROUND((IF((Y41&lt;AB55),Y41,AB55)),0)</f>
        <v>3541671</v>
      </c>
      <c r="AC56" s="921"/>
      <c r="AD56" s="921"/>
      <c r="AE56" s="921"/>
      <c r="AF56" s="943"/>
      <c r="AG56" s="1"/>
      <c r="AH56" s="1"/>
      <c r="AI56" s="1"/>
      <c r="AJ56" s="1"/>
      <c r="AK56" s="1"/>
      <c r="AL56" s="1"/>
      <c r="AM56" s="1"/>
      <c r="AN56" s="1"/>
      <c r="AO56" s="1"/>
      <c r="AP56" s="1"/>
      <c r="AQ56" s="1"/>
      <c r="AR56" s="1"/>
      <c r="AS56" s="1"/>
      <c r="AT56" s="1"/>
      <c r="AU56" s="1"/>
      <c r="AV56" s="1"/>
      <c r="AW56" s="1"/>
      <c r="AX56" s="1"/>
      <c r="AY56" s="1"/>
      <c r="AZ56" s="1"/>
      <c r="BA56" s="1"/>
      <c r="BB56" s="1"/>
      <c r="BC56" s="1"/>
    </row>
    <row r="57" spans="1:55" ht="12.75" customHeight="1">
      <c r="A57" s="1"/>
      <c r="B57" s="1"/>
      <c r="C57" s="1"/>
      <c r="D57" s="8" t="s">
        <v>1643</v>
      </c>
      <c r="E57" s="1"/>
      <c r="F57" s="1"/>
      <c r="G57" s="1"/>
      <c r="H57" s="1"/>
      <c r="I57" s="1"/>
      <c r="J57" s="1"/>
      <c r="K57" s="1"/>
      <c r="L57" s="1"/>
      <c r="M57" s="1"/>
      <c r="N57" s="1"/>
      <c r="O57" s="1"/>
      <c r="P57" s="1"/>
      <c r="Q57" s="1"/>
      <c r="R57" s="1"/>
      <c r="S57" s="1"/>
      <c r="T57" s="1"/>
      <c r="U57" s="1"/>
      <c r="V57" s="1"/>
      <c r="W57" s="1"/>
      <c r="X57" s="1"/>
      <c r="Y57" s="1"/>
      <c r="Z57" s="1"/>
      <c r="AA57" s="1"/>
      <c r="AB57" s="1000">
        <f>ROUND((10*AB56*AB50),0)</f>
        <v>28687535</v>
      </c>
      <c r="AC57" s="921"/>
      <c r="AD57" s="921"/>
      <c r="AE57" s="921"/>
      <c r="AF57" s="943"/>
      <c r="AG57" s="1"/>
      <c r="AH57" s="1"/>
      <c r="AI57" s="1"/>
      <c r="AJ57" s="1"/>
      <c r="AK57" s="1"/>
      <c r="AL57" s="1"/>
      <c r="AM57" s="1"/>
      <c r="AN57" s="1"/>
      <c r="AO57" s="1"/>
      <c r="AP57" s="1"/>
      <c r="AQ57" s="1"/>
      <c r="AR57" s="1"/>
      <c r="AS57" s="1"/>
      <c r="AT57" s="1"/>
      <c r="AU57" s="1"/>
      <c r="AV57" s="1"/>
      <c r="AW57" s="1"/>
      <c r="AX57" s="1"/>
      <c r="AY57" s="1"/>
      <c r="AZ57" s="1"/>
      <c r="BA57" s="1"/>
      <c r="BB57" s="1"/>
      <c r="BC57" s="1"/>
    </row>
    <row r="58" spans="1:55" ht="12.75" customHeight="1">
      <c r="A58" s="1"/>
      <c r="B58" s="1"/>
      <c r="C58" s="1"/>
      <c r="D58" s="8"/>
      <c r="E58" s="1"/>
      <c r="F58" s="1"/>
      <c r="G58" s="1"/>
      <c r="H58" s="1"/>
      <c r="I58" s="1"/>
      <c r="J58" s="1"/>
      <c r="K58" s="1"/>
      <c r="L58" s="1"/>
      <c r="M58" s="1"/>
      <c r="N58" s="1"/>
      <c r="O58" s="1"/>
      <c r="P58" s="1"/>
      <c r="Q58" s="1"/>
      <c r="R58" s="1"/>
      <c r="S58" s="1"/>
      <c r="T58" s="1"/>
      <c r="U58" s="1"/>
      <c r="V58" s="1"/>
      <c r="W58" s="1"/>
      <c r="X58" s="1"/>
      <c r="Y58" s="1"/>
      <c r="Z58" s="1"/>
      <c r="AA58" s="1"/>
      <c r="AB58" s="263"/>
      <c r="AC58" s="263"/>
      <c r="AD58" s="263"/>
      <c r="AE58" s="263"/>
      <c r="AF58" s="263"/>
      <c r="AG58" s="1"/>
      <c r="AH58" s="1"/>
      <c r="AI58" s="1"/>
      <c r="AJ58" s="1"/>
      <c r="AK58" s="1"/>
      <c r="AL58" s="1"/>
      <c r="AM58" s="1"/>
      <c r="AN58" s="1"/>
      <c r="AO58" s="1"/>
      <c r="AP58" s="1"/>
      <c r="AQ58" s="1"/>
      <c r="AR58" s="1"/>
      <c r="AS58" s="1"/>
      <c r="AT58" s="1"/>
      <c r="AU58" s="1"/>
      <c r="AV58" s="1"/>
      <c r="AW58" s="1"/>
      <c r="AX58" s="1"/>
      <c r="AY58" s="1"/>
      <c r="AZ58" s="1"/>
      <c r="BA58" s="1"/>
      <c r="BB58" s="1"/>
      <c r="BC58" s="1"/>
    </row>
    <row r="59" spans="1:55" ht="12.75" customHeight="1">
      <c r="A59" s="1"/>
      <c r="B59" s="1"/>
      <c r="C59" s="1"/>
      <c r="D59" s="8" t="s">
        <v>1645</v>
      </c>
      <c r="E59" s="1"/>
      <c r="F59" s="1"/>
      <c r="G59" s="1"/>
      <c r="H59" s="1"/>
      <c r="I59" s="1"/>
      <c r="J59" s="1"/>
      <c r="K59" s="1"/>
      <c r="L59" s="1"/>
      <c r="M59" s="1"/>
      <c r="N59" s="1"/>
      <c r="O59" s="1"/>
      <c r="P59" s="1"/>
      <c r="Q59" s="1"/>
      <c r="R59" s="1"/>
      <c r="S59" s="1"/>
      <c r="T59" s="1"/>
      <c r="U59" s="1"/>
      <c r="V59" s="1"/>
      <c r="W59" s="1"/>
      <c r="X59" s="1"/>
      <c r="Y59" s="1"/>
      <c r="Z59" s="1"/>
      <c r="AA59" s="1"/>
      <c r="AB59" s="1000">
        <f>AB49-AB57</f>
        <v>0</v>
      </c>
      <c r="AC59" s="921"/>
      <c r="AD59" s="921"/>
      <c r="AE59" s="921"/>
      <c r="AF59" s="943"/>
      <c r="AG59" s="1"/>
      <c r="AH59" s="1"/>
      <c r="AI59" s="1"/>
      <c r="AJ59" s="1"/>
      <c r="AK59" s="1"/>
      <c r="AL59" s="1"/>
      <c r="AM59" s="1"/>
      <c r="AN59" s="1"/>
      <c r="AO59" s="1"/>
      <c r="AP59" s="1"/>
      <c r="AQ59" s="1"/>
      <c r="AR59" s="1"/>
      <c r="AS59" s="1"/>
      <c r="AT59" s="1"/>
      <c r="AU59" s="1"/>
      <c r="AV59" s="1"/>
      <c r="AW59" s="1"/>
      <c r="AX59" s="1"/>
      <c r="AY59" s="1"/>
      <c r="AZ59" s="1"/>
      <c r="BA59" s="1"/>
      <c r="BB59" s="1"/>
      <c r="BC59" s="1"/>
    </row>
    <row r="60" spans="1:55" ht="12.75" customHeight="1">
      <c r="A60" s="1"/>
      <c r="B60" s="1"/>
      <c r="C60" s="1"/>
      <c r="D60" s="8"/>
      <c r="E60" s="1"/>
      <c r="F60" s="1"/>
      <c r="G60" s="1"/>
      <c r="H60" s="1"/>
      <c r="I60" s="1"/>
      <c r="J60" s="1"/>
      <c r="K60" s="1"/>
      <c r="L60" s="1"/>
      <c r="M60" s="1"/>
      <c r="N60" s="1"/>
      <c r="O60" s="1"/>
      <c r="P60" s="1"/>
      <c r="Q60" s="1"/>
      <c r="R60" s="1"/>
      <c r="S60" s="1"/>
      <c r="T60" s="1"/>
      <c r="U60" s="1"/>
      <c r="V60" s="1"/>
      <c r="W60" s="1"/>
      <c r="X60" s="1"/>
      <c r="Y60" s="1"/>
      <c r="Z60" s="1"/>
      <c r="AA60" s="1"/>
      <c r="AB60" s="263"/>
      <c r="AC60" s="263"/>
      <c r="AD60" s="263"/>
      <c r="AE60" s="263"/>
      <c r="AF60" s="263"/>
      <c r="AG60" s="1"/>
      <c r="AH60" s="1"/>
      <c r="AI60" s="1"/>
      <c r="AJ60" s="1"/>
      <c r="AK60" s="1"/>
      <c r="AL60" s="1"/>
      <c r="AM60" s="1"/>
      <c r="AN60" s="1"/>
      <c r="AO60" s="1"/>
      <c r="AP60" s="1"/>
      <c r="AQ60" s="1"/>
      <c r="AR60" s="1"/>
      <c r="AS60" s="1"/>
      <c r="AT60" s="1"/>
      <c r="AU60" s="1"/>
      <c r="AV60" s="1"/>
      <c r="AW60" s="1"/>
      <c r="AX60" s="1"/>
      <c r="AY60" s="1"/>
      <c r="AZ60" s="1"/>
      <c r="BA60" s="1"/>
      <c r="BB60" s="1"/>
      <c r="BC60" s="1"/>
    </row>
    <row r="61" spans="1:55" ht="12.75" customHeight="1">
      <c r="A61" s="1352" t="str">
        <f>IF(Application!AP205="yes","Farmworker State Credit", "State Credit" )</f>
        <v>State Credit</v>
      </c>
      <c r="B61" s="904"/>
      <c r="C61" s="904"/>
      <c r="D61" s="904"/>
      <c r="E61" s="904"/>
      <c r="F61" s="904"/>
      <c r="G61" s="904"/>
      <c r="H61" s="904"/>
      <c r="I61" s="904"/>
      <c r="J61" s="904"/>
      <c r="K61" s="904"/>
      <c r="L61" s="904"/>
      <c r="M61" s="904"/>
      <c r="N61" s="904"/>
      <c r="O61" s="904"/>
      <c r="P61" s="904"/>
      <c r="Q61" s="904"/>
      <c r="R61" s="904"/>
      <c r="S61" s="904"/>
      <c r="T61" s="904"/>
      <c r="U61" s="904"/>
      <c r="V61" s="904"/>
      <c r="W61" s="904"/>
      <c r="X61" s="904"/>
      <c r="Y61" s="904"/>
      <c r="Z61" s="904"/>
      <c r="AA61" s="904"/>
      <c r="AB61" s="904"/>
      <c r="AC61" s="904"/>
      <c r="AD61" s="904"/>
      <c r="AE61" s="904"/>
      <c r="AF61" s="904"/>
      <c r="AG61" s="904"/>
      <c r="AH61" s="904"/>
      <c r="AI61" s="904"/>
      <c r="AJ61" s="904"/>
      <c r="AK61" s="904"/>
      <c r="AL61" s="904"/>
      <c r="AM61" s="904"/>
      <c r="AN61" s="904"/>
      <c r="AO61" s="904"/>
      <c r="AP61" s="904"/>
      <c r="AQ61" s="904"/>
      <c r="AR61" s="904"/>
      <c r="AS61" s="904"/>
      <c r="AT61" s="904"/>
      <c r="AU61" s="904"/>
      <c r="AV61" s="904"/>
      <c r="AW61" s="904"/>
      <c r="AX61" s="904"/>
      <c r="AY61" s="904"/>
      <c r="AZ61" s="904"/>
      <c r="BA61" s="904"/>
      <c r="BB61" s="904"/>
      <c r="BC61" s="904"/>
    </row>
    <row r="62" spans="1:55"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row>
    <row r="63" spans="1:55" ht="12.75" customHeight="1">
      <c r="A63" s="8" t="s">
        <v>1151</v>
      </c>
      <c r="B63" s="1"/>
      <c r="C63" s="8" t="s">
        <v>1648</v>
      </c>
      <c r="D63" s="1"/>
      <c r="E63" s="1"/>
      <c r="F63" s="1"/>
      <c r="G63" s="1"/>
      <c r="H63" s="1"/>
      <c r="I63" s="1"/>
      <c r="J63" s="1"/>
      <c r="K63" s="1"/>
      <c r="L63" s="1"/>
      <c r="M63" s="1"/>
      <c r="N63" s="1"/>
      <c r="O63" s="1"/>
      <c r="P63" s="1"/>
      <c r="Q63" s="1"/>
      <c r="R63" s="1"/>
      <c r="S63" s="1"/>
      <c r="T63" s="1"/>
      <c r="U63" s="1"/>
      <c r="V63" s="1"/>
      <c r="W63" s="1"/>
      <c r="X63" s="1"/>
      <c r="Y63" s="995" t="s">
        <v>1649</v>
      </c>
      <c r="Z63" s="961"/>
      <c r="AA63" s="961"/>
      <c r="AB63" s="961"/>
      <c r="AC63" s="961"/>
      <c r="AD63" s="995" t="s">
        <v>1614</v>
      </c>
      <c r="AE63" s="961"/>
      <c r="AF63" s="961"/>
      <c r="AG63" s="961"/>
      <c r="AH63" s="961"/>
      <c r="AI63" s="1"/>
      <c r="AJ63" s="1"/>
      <c r="AK63" s="1"/>
      <c r="AL63" s="1"/>
      <c r="AM63" s="1"/>
      <c r="AN63" s="1"/>
      <c r="AO63" s="1"/>
      <c r="AP63" s="1"/>
      <c r="AQ63" s="1"/>
      <c r="AR63" s="1"/>
      <c r="AS63" s="1"/>
      <c r="AT63" s="1"/>
      <c r="AU63" s="1"/>
      <c r="AV63" s="1"/>
      <c r="AW63" s="1"/>
      <c r="AX63" s="1"/>
      <c r="AY63" s="1"/>
      <c r="AZ63" s="1"/>
      <c r="BA63" s="1"/>
      <c r="BB63" s="1"/>
      <c r="BC63" s="1"/>
    </row>
    <row r="64" spans="1:55" ht="12.75" customHeight="1">
      <c r="A64" s="1"/>
      <c r="B64" s="1"/>
      <c r="C64" s="8"/>
      <c r="D64" s="19" t="s">
        <v>1651</v>
      </c>
      <c r="E64" s="132"/>
      <c r="F64" s="132"/>
      <c r="G64" s="132"/>
      <c r="H64" s="132"/>
      <c r="I64" s="132"/>
      <c r="J64" s="132"/>
      <c r="K64" s="132"/>
      <c r="L64" s="132"/>
      <c r="M64" s="132"/>
      <c r="N64" s="132"/>
      <c r="O64" s="132"/>
      <c r="P64" s="132"/>
      <c r="Q64" s="132"/>
      <c r="R64" s="132"/>
      <c r="S64" s="132"/>
      <c r="T64" s="132"/>
      <c r="U64" s="132"/>
      <c r="V64" s="132"/>
      <c r="W64" s="132"/>
      <c r="X64" s="132"/>
      <c r="Y64" s="953">
        <f>IF(Application!$Z$205="(select)",0,((T23*T27)+Y28))</f>
        <v>0</v>
      </c>
      <c r="Z64" s="921"/>
      <c r="AA64" s="921"/>
      <c r="AB64" s="921"/>
      <c r="AC64" s="943"/>
      <c r="AD64" s="953">
        <f>IF(AND(OR(Application!D211="At-Risk",Application!D211="At-Risk and Special Needs"),Application!M367="yes"),AD28+AI28,0)</f>
        <v>57308057</v>
      </c>
      <c r="AE64" s="921"/>
      <c r="AF64" s="921"/>
      <c r="AG64" s="921"/>
      <c r="AH64" s="943"/>
      <c r="AI64" s="1"/>
      <c r="AJ64" s="1"/>
      <c r="AK64" s="1"/>
      <c r="AL64" s="1"/>
      <c r="AM64" s="1"/>
      <c r="AN64" s="1"/>
      <c r="AO64" s="1"/>
      <c r="AP64" s="1"/>
      <c r="AQ64" s="1"/>
      <c r="AR64" s="1"/>
      <c r="AS64" s="1"/>
      <c r="AT64" s="1"/>
      <c r="AU64" s="1"/>
      <c r="AV64" s="1"/>
      <c r="AW64" s="1"/>
      <c r="AX64" s="1"/>
      <c r="AY64" s="1"/>
      <c r="AZ64" s="1"/>
      <c r="BA64" s="1"/>
      <c r="BB64" s="1"/>
      <c r="BC64" s="1"/>
    </row>
    <row r="65" spans="1:55" ht="12.75" customHeight="1">
      <c r="A65" s="1"/>
      <c r="B65" s="1"/>
      <c r="C65" s="8"/>
      <c r="D65" s="1"/>
      <c r="E65" s="121" t="s">
        <v>1652</v>
      </c>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
      <c r="AL65" s="1"/>
      <c r="AM65" s="1"/>
      <c r="AN65" s="1"/>
      <c r="AO65" s="1"/>
      <c r="AP65" s="1"/>
      <c r="AQ65" s="1"/>
      <c r="AR65" s="1"/>
      <c r="AS65" s="1"/>
      <c r="AT65" s="1"/>
      <c r="AU65" s="1"/>
      <c r="AV65" s="1"/>
      <c r="AW65" s="1"/>
      <c r="AX65" s="1"/>
      <c r="AY65" s="1"/>
      <c r="AZ65" s="1"/>
      <c r="BA65" s="1"/>
      <c r="BB65" s="1"/>
      <c r="BC65" s="1"/>
    </row>
    <row r="66" spans="1:55" ht="22.5" customHeight="1">
      <c r="A66" s="1"/>
      <c r="B66" s="1"/>
      <c r="C66" s="8"/>
      <c r="D66" s="1"/>
      <c r="E66" s="121" t="s">
        <v>1653</v>
      </c>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
      <c r="AL66" s="1"/>
      <c r="AM66" s="1"/>
      <c r="AN66" s="1"/>
      <c r="AO66" s="1"/>
      <c r="AP66" s="1"/>
      <c r="AQ66" s="1"/>
      <c r="AR66" s="1"/>
      <c r="AS66" s="1"/>
      <c r="AT66" s="1"/>
      <c r="AU66" s="1"/>
      <c r="AV66" s="1"/>
      <c r="AW66" s="1"/>
      <c r="AX66" s="1"/>
      <c r="AY66" s="1"/>
      <c r="AZ66" s="1"/>
      <c r="BA66" s="1"/>
      <c r="BB66" s="1"/>
      <c r="BC66" s="1"/>
    </row>
    <row r="67" spans="1:55" ht="12.75" customHeight="1">
      <c r="A67" s="1"/>
      <c r="B67" s="1"/>
      <c r="C67" s="8"/>
      <c r="D67" s="8" t="s">
        <v>1654</v>
      </c>
      <c r="E67" s="320"/>
      <c r="F67" s="320"/>
      <c r="G67" s="320"/>
      <c r="H67" s="320"/>
      <c r="I67" s="320"/>
      <c r="J67" s="320"/>
      <c r="K67" s="320"/>
      <c r="L67" s="320"/>
      <c r="M67" s="320"/>
      <c r="N67" s="320"/>
      <c r="O67" s="320"/>
      <c r="P67" s="320"/>
      <c r="Q67" s="320"/>
      <c r="R67" s="320"/>
      <c r="S67" s="320"/>
      <c r="T67" s="320"/>
      <c r="U67" s="320"/>
      <c r="V67" s="320"/>
      <c r="W67" s="320"/>
      <c r="X67" s="320"/>
      <c r="Y67" s="1356">
        <f>IF(OR(Application!Z205="State Farmworker Credit",Application!Z205="$500M (Farmworker Housing)"),0.75,IF(Application!Z205="15% set-aside",0.13,IF(Application!Z205="15% set-aside with qualifying low value rehab",0.95,IF(Application!Z205="$500M",0.3,0))))</f>
        <v>0</v>
      </c>
      <c r="Z67" s="947"/>
      <c r="AA67" s="947"/>
      <c r="AB67" s="947"/>
      <c r="AC67" s="948"/>
      <c r="AD67" s="1356">
        <f>IF(Application!Z205="15% set-aside with qualifying low value rehab", 0.95,IF(OR(Application!D211="At-Risk",'Points System'!B26="Yes"),0.13,0))</f>
        <v>0.13</v>
      </c>
      <c r="AE67" s="947"/>
      <c r="AF67" s="947"/>
      <c r="AG67" s="947"/>
      <c r="AH67" s="948"/>
      <c r="AI67" s="1"/>
      <c r="AJ67" s="1"/>
      <c r="AK67" s="1"/>
      <c r="AL67" s="1"/>
      <c r="AM67" s="1"/>
      <c r="AN67" s="1"/>
      <c r="AO67" s="1"/>
      <c r="AP67" s="1"/>
      <c r="AQ67" s="1"/>
      <c r="AR67" s="1"/>
      <c r="AS67" s="1"/>
      <c r="AT67" s="1"/>
      <c r="AU67" s="1"/>
      <c r="AV67" s="1"/>
      <c r="AW67" s="1"/>
      <c r="AX67" s="1"/>
      <c r="AY67" s="1"/>
      <c r="AZ67" s="1"/>
      <c r="BA67" s="1"/>
      <c r="BB67" s="1"/>
      <c r="BC67" s="1"/>
    </row>
    <row r="68" spans="1:55" ht="12.75" customHeight="1">
      <c r="A68" s="1"/>
      <c r="B68" s="1"/>
      <c r="C68" s="8"/>
      <c r="D68" s="8" t="s">
        <v>1657</v>
      </c>
      <c r="E68" s="1"/>
      <c r="F68" s="1"/>
      <c r="G68" s="1"/>
      <c r="H68" s="1"/>
      <c r="I68" s="1"/>
      <c r="J68" s="1"/>
      <c r="K68" s="1"/>
      <c r="L68" s="1"/>
      <c r="M68" s="1"/>
      <c r="N68" s="1"/>
      <c r="O68" s="1"/>
      <c r="P68" s="1"/>
      <c r="Q68" s="1"/>
      <c r="R68" s="1"/>
      <c r="S68" s="1"/>
      <c r="T68" s="1"/>
      <c r="U68" s="1"/>
      <c r="V68" s="1"/>
      <c r="W68" s="1"/>
      <c r="X68" s="1"/>
      <c r="Y68" s="953">
        <f>IF(AND(T25=1.3,OR(Y67=0.13,Y67=0.95),NOT(Application!T212&gt;=50%)),0,ROUND(Y64*Y67,0))</f>
        <v>0</v>
      </c>
      <c r="Z68" s="921"/>
      <c r="AA68" s="921"/>
      <c r="AB68" s="921"/>
      <c r="AC68" s="943"/>
      <c r="AD68" s="953">
        <f>IF(AND(T25=1.3,AD67&gt;0,NOT(Application!T212&gt;=50%)),0,ROUND(AD64*AD67,0))</f>
        <v>7450047</v>
      </c>
      <c r="AE68" s="921"/>
      <c r="AF68" s="921"/>
      <c r="AG68" s="921"/>
      <c r="AH68" s="943"/>
      <c r="AI68" s="1"/>
      <c r="AJ68" s="1"/>
      <c r="AK68" s="1"/>
      <c r="AL68" s="1"/>
      <c r="AM68" s="1"/>
      <c r="AN68" s="1"/>
      <c r="AO68" s="1"/>
      <c r="AP68" s="1"/>
      <c r="AQ68" s="1"/>
      <c r="AR68" s="1"/>
      <c r="AS68" s="1"/>
      <c r="AT68" s="1"/>
      <c r="AU68" s="1"/>
      <c r="AV68" s="1"/>
      <c r="AW68" s="1"/>
      <c r="AX68" s="1"/>
      <c r="AY68" s="1"/>
      <c r="AZ68" s="1"/>
      <c r="BA68" s="1"/>
      <c r="BB68" s="1"/>
      <c r="BC68" s="1"/>
    </row>
    <row r="69" spans="1:55" ht="12.75" customHeight="1">
      <c r="A69" s="1"/>
      <c r="B69" s="1"/>
      <c r="C69" s="8"/>
      <c r="D69" s="8" t="s">
        <v>1658</v>
      </c>
      <c r="E69" s="1"/>
      <c r="F69" s="1"/>
      <c r="G69" s="1"/>
      <c r="H69" s="1"/>
      <c r="I69" s="1"/>
      <c r="J69" s="1"/>
      <c r="K69" s="1"/>
      <c r="L69" s="1"/>
      <c r="M69" s="1"/>
      <c r="N69" s="1"/>
      <c r="O69" s="1"/>
      <c r="P69" s="1"/>
      <c r="Q69" s="1"/>
      <c r="R69" s="1"/>
      <c r="S69" s="1"/>
      <c r="T69" s="1"/>
      <c r="U69" s="1"/>
      <c r="V69" s="1"/>
      <c r="W69" s="1"/>
      <c r="X69" s="1"/>
      <c r="Y69" s="953">
        <f>IF(OR(Application!Z205="State Farmworker Credit",Application!Z205="$500M (Farmworker Housing)"),Y68+AD68,MIN(Y68+AD68,200000*(Application!G759+Application!O783)))</f>
        <v>7450047</v>
      </c>
      <c r="Z69" s="921"/>
      <c r="AA69" s="921"/>
      <c r="AB69" s="921"/>
      <c r="AC69" s="921"/>
      <c r="AD69" s="921"/>
      <c r="AE69" s="921"/>
      <c r="AF69" s="921"/>
      <c r="AG69" s="921"/>
      <c r="AH69" s="943"/>
      <c r="AI69" s="1"/>
      <c r="AJ69" s="1"/>
      <c r="AK69" s="1"/>
      <c r="AL69" s="1"/>
      <c r="AM69" s="1"/>
      <c r="AN69" s="1"/>
      <c r="AO69" s="1"/>
      <c r="AP69" s="1"/>
      <c r="AQ69" s="1"/>
      <c r="AR69" s="1"/>
      <c r="AS69" s="1"/>
      <c r="AT69" s="1"/>
      <c r="AU69" s="1"/>
      <c r="AV69" s="1"/>
      <c r="AW69" s="1"/>
      <c r="AX69" s="1"/>
      <c r="AY69" s="1"/>
      <c r="AZ69" s="1"/>
      <c r="BA69" s="1"/>
      <c r="BB69" s="1"/>
      <c r="BC69" s="1"/>
    </row>
    <row r="70" spans="1:55" ht="12.75" customHeight="1">
      <c r="A70" s="1"/>
      <c r="B70" s="1"/>
      <c r="C70" s="8"/>
      <c r="D70" s="1"/>
      <c r="E70" s="8"/>
      <c r="F70" s="1"/>
      <c r="G70" s="1"/>
      <c r="H70" s="1"/>
      <c r="I70" s="1"/>
      <c r="J70" s="1"/>
      <c r="K70" s="1"/>
      <c r="L70" s="1"/>
      <c r="M70" s="1"/>
      <c r="N70" s="1"/>
      <c r="O70" s="1"/>
      <c r="P70" s="1"/>
      <c r="Q70" s="1"/>
      <c r="R70" s="1"/>
      <c r="S70" s="1"/>
      <c r="T70" s="1"/>
      <c r="U70" s="1"/>
      <c r="V70" s="1"/>
      <c r="W70" s="1"/>
      <c r="X70" s="1"/>
      <c r="Y70" s="1"/>
      <c r="Z70" s="1"/>
      <c r="AA70" s="1"/>
      <c r="AB70" s="322"/>
      <c r="AC70" s="322"/>
      <c r="AD70" s="322"/>
      <c r="AE70" s="322"/>
      <c r="AF70" s="322"/>
      <c r="AG70" s="1"/>
      <c r="AH70" s="1"/>
      <c r="AI70" s="1"/>
      <c r="AJ70" s="1"/>
      <c r="AK70" s="1"/>
      <c r="AL70" s="1"/>
      <c r="AM70" s="1"/>
      <c r="AN70" s="1"/>
      <c r="AO70" s="1"/>
      <c r="AP70" s="1"/>
      <c r="AQ70" s="1"/>
      <c r="AR70" s="1"/>
      <c r="AS70" s="1"/>
      <c r="AT70" s="1"/>
      <c r="AU70" s="1"/>
      <c r="AV70" s="1"/>
      <c r="AW70" s="1"/>
      <c r="AX70" s="1"/>
      <c r="AY70" s="1"/>
      <c r="AZ70" s="1"/>
      <c r="BA70" s="1"/>
      <c r="BB70" s="1"/>
      <c r="BC70" s="1"/>
    </row>
    <row r="71" spans="1:55" ht="12.75" customHeight="1">
      <c r="A71" s="8" t="s">
        <v>1166</v>
      </c>
      <c r="B71" s="1"/>
      <c r="C71" s="8" t="s">
        <v>365</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row>
    <row r="72" spans="1:55" ht="12.75" customHeight="1">
      <c r="A72" s="8"/>
      <c r="B72" s="1"/>
      <c r="C72" s="8"/>
      <c r="D72" s="8" t="s">
        <v>552</v>
      </c>
      <c r="E72" s="1"/>
      <c r="F72" s="1"/>
      <c r="G72" s="1"/>
      <c r="H72" s="1"/>
      <c r="I72" s="1"/>
      <c r="J72" s="1"/>
      <c r="K72" s="1"/>
      <c r="L72" s="1"/>
      <c r="M72" s="1"/>
      <c r="N72" s="1"/>
      <c r="O72" s="1"/>
      <c r="P72" s="1"/>
      <c r="Q72" s="1"/>
      <c r="R72" s="1"/>
      <c r="S72" s="1"/>
      <c r="T72" s="1"/>
      <c r="U72" s="1"/>
      <c r="V72" s="1"/>
      <c r="W72" s="1"/>
      <c r="X72" s="1"/>
      <c r="Y72" s="1"/>
      <c r="Z72" s="1"/>
      <c r="AA72" s="1"/>
      <c r="AB72" s="1357"/>
      <c r="AC72" s="921"/>
      <c r="AD72" s="921"/>
      <c r="AE72" s="921"/>
      <c r="AF72" s="943"/>
      <c r="AG72" s="1"/>
      <c r="AH72" s="1"/>
      <c r="AI72" s="1"/>
      <c r="AJ72" s="1"/>
      <c r="AK72" s="1"/>
      <c r="AL72" s="1"/>
      <c r="AM72" s="1"/>
      <c r="AN72" s="1"/>
      <c r="AO72" s="1"/>
      <c r="AP72" s="1"/>
      <c r="AQ72" s="1"/>
      <c r="AR72" s="1"/>
      <c r="AS72" s="1"/>
      <c r="AT72" s="1"/>
      <c r="AU72" s="1"/>
      <c r="AV72" s="1"/>
      <c r="AW72" s="1"/>
      <c r="AX72" s="1"/>
      <c r="AY72" s="1"/>
      <c r="AZ72" s="1"/>
      <c r="BA72" s="1"/>
      <c r="BB72" s="1"/>
      <c r="BC72" s="1"/>
    </row>
    <row r="73" spans="1:55" ht="12.75" customHeight="1">
      <c r="A73" s="8"/>
      <c r="B73" s="1"/>
      <c r="C73" s="8"/>
      <c r="D73" s="8"/>
      <c r="E73" s="1358" t="s">
        <v>1662</v>
      </c>
      <c r="F73" s="893"/>
      <c r="G73" s="893"/>
      <c r="H73" s="893"/>
      <c r="I73" s="893"/>
      <c r="J73" s="893"/>
      <c r="K73" s="893"/>
      <c r="L73" s="893"/>
      <c r="M73" s="893"/>
      <c r="N73" s="893"/>
      <c r="O73" s="893"/>
      <c r="P73" s="893"/>
      <c r="Q73" s="893"/>
      <c r="R73" s="893"/>
      <c r="S73" s="893"/>
      <c r="T73" s="893"/>
      <c r="U73" s="893"/>
      <c r="V73" s="893"/>
      <c r="W73" s="893"/>
      <c r="X73" s="893"/>
      <c r="Y73" s="893"/>
      <c r="Z73" s="893"/>
      <c r="AA73" s="893"/>
      <c r="AB73" s="324"/>
      <c r="AC73" s="324"/>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row>
    <row r="74" spans="1:55" ht="12.75" customHeight="1">
      <c r="A74" s="8"/>
      <c r="B74" s="1"/>
      <c r="C74" s="8"/>
      <c r="D74" s="8"/>
      <c r="E74" s="893"/>
      <c r="F74" s="893"/>
      <c r="G74" s="893"/>
      <c r="H74" s="893"/>
      <c r="I74" s="893"/>
      <c r="J74" s="893"/>
      <c r="K74" s="893"/>
      <c r="L74" s="893"/>
      <c r="M74" s="893"/>
      <c r="N74" s="893"/>
      <c r="O74" s="893"/>
      <c r="P74" s="893"/>
      <c r="Q74" s="893"/>
      <c r="R74" s="893"/>
      <c r="S74" s="893"/>
      <c r="T74" s="893"/>
      <c r="U74" s="893"/>
      <c r="V74" s="893"/>
      <c r="W74" s="893"/>
      <c r="X74" s="893"/>
      <c r="Y74" s="893"/>
      <c r="Z74" s="893"/>
      <c r="AA74" s="893"/>
      <c r="AB74" s="324"/>
      <c r="AC74" s="324"/>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55" ht="12.75" customHeight="1">
      <c r="A75" s="8"/>
      <c r="B75" s="1"/>
      <c r="C75" s="8"/>
      <c r="D75" s="8"/>
      <c r="E75" s="893"/>
      <c r="F75" s="893"/>
      <c r="G75" s="893"/>
      <c r="H75" s="893"/>
      <c r="I75" s="893"/>
      <c r="J75" s="893"/>
      <c r="K75" s="893"/>
      <c r="L75" s="893"/>
      <c r="M75" s="893"/>
      <c r="N75" s="893"/>
      <c r="O75" s="893"/>
      <c r="P75" s="893"/>
      <c r="Q75" s="893"/>
      <c r="R75" s="893"/>
      <c r="S75" s="893"/>
      <c r="T75" s="893"/>
      <c r="U75" s="893"/>
      <c r="V75" s="893"/>
      <c r="W75" s="893"/>
      <c r="X75" s="893"/>
      <c r="Y75" s="893"/>
      <c r="Z75" s="893"/>
      <c r="AA75" s="893"/>
      <c r="AB75" s="324"/>
      <c r="AC75" s="324"/>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55" ht="12.75" customHeight="1">
      <c r="A76" s="8"/>
      <c r="B76" s="1"/>
      <c r="C76" s="8"/>
      <c r="D76" s="8"/>
      <c r="E76" s="323"/>
      <c r="F76" s="323"/>
      <c r="G76" s="323"/>
      <c r="H76" s="323"/>
      <c r="I76" s="323"/>
      <c r="J76" s="323"/>
      <c r="K76" s="323"/>
      <c r="L76" s="323"/>
      <c r="M76" s="323"/>
      <c r="N76" s="323"/>
      <c r="O76" s="323"/>
      <c r="P76" s="323"/>
      <c r="Q76" s="323"/>
      <c r="R76" s="323"/>
      <c r="S76" s="323"/>
      <c r="T76" s="323"/>
      <c r="U76" s="323"/>
      <c r="V76" s="323"/>
      <c r="W76" s="323"/>
      <c r="X76" s="323"/>
      <c r="Y76" s="323"/>
      <c r="Z76" s="323"/>
      <c r="AA76" s="120"/>
      <c r="AB76" s="120"/>
      <c r="AC76" s="120"/>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55" ht="12.75" customHeight="1">
      <c r="A77" s="1"/>
      <c r="B77" s="1"/>
      <c r="C77" s="8"/>
      <c r="D77" s="8" t="s">
        <v>1666</v>
      </c>
      <c r="E77" s="1"/>
      <c r="F77" s="1"/>
      <c r="G77" s="1"/>
      <c r="H77" s="1"/>
      <c r="I77" s="1"/>
      <c r="J77" s="1"/>
      <c r="K77" s="1"/>
      <c r="L77" s="1"/>
      <c r="M77" s="1"/>
      <c r="N77" s="1"/>
      <c r="O77" s="1"/>
      <c r="P77" s="1"/>
      <c r="Q77" s="1"/>
      <c r="R77" s="1"/>
      <c r="S77" s="1"/>
      <c r="T77" s="1"/>
      <c r="U77" s="1"/>
      <c r="V77" s="1"/>
      <c r="W77" s="1"/>
      <c r="X77" s="1"/>
      <c r="Y77" s="1"/>
      <c r="Z77" s="1"/>
      <c r="AA77" s="1"/>
      <c r="AB77" s="999">
        <f>ROUND(IF(ISERROR((AB59/AB72)),0,(AB59/AB72)),0)</f>
        <v>0</v>
      </c>
      <c r="AC77" s="921"/>
      <c r="AD77" s="921"/>
      <c r="AE77" s="921"/>
      <c r="AF77" s="943"/>
      <c r="AG77" s="1"/>
      <c r="AH77" s="1"/>
      <c r="AI77" s="1"/>
      <c r="AJ77" s="1"/>
      <c r="AK77" s="1"/>
      <c r="AL77" s="1"/>
      <c r="AM77" s="1"/>
      <c r="AN77" s="1"/>
      <c r="AO77" s="1"/>
      <c r="AP77" s="1"/>
      <c r="AQ77" s="1"/>
      <c r="AR77" s="1"/>
      <c r="AS77" s="1"/>
      <c r="AT77" s="1"/>
      <c r="AU77" s="1"/>
      <c r="AV77" s="1"/>
      <c r="AW77" s="1"/>
      <c r="AX77" s="1"/>
      <c r="AY77" s="1"/>
      <c r="AZ77" s="1"/>
      <c r="BA77" s="1"/>
      <c r="BB77" s="1"/>
      <c r="BC77" s="1"/>
    </row>
    <row r="78" spans="1:55" ht="12.75" customHeight="1">
      <c r="A78" s="1"/>
      <c r="B78" s="1"/>
      <c r="C78" s="8"/>
      <c r="D78" s="8" t="s">
        <v>1670</v>
      </c>
      <c r="E78" s="1"/>
      <c r="F78" s="1"/>
      <c r="G78" s="1"/>
      <c r="H78" s="1"/>
      <c r="I78" s="1"/>
      <c r="J78" s="1"/>
      <c r="K78" s="1"/>
      <c r="L78" s="1"/>
      <c r="M78" s="1"/>
      <c r="N78" s="1"/>
      <c r="O78" s="1"/>
      <c r="P78" s="1"/>
      <c r="Q78" s="1"/>
      <c r="R78" s="1"/>
      <c r="S78" s="1"/>
      <c r="T78" s="1"/>
      <c r="U78" s="1"/>
      <c r="V78" s="1"/>
      <c r="W78" s="1"/>
      <c r="X78" s="1"/>
      <c r="Y78" s="1"/>
      <c r="Z78" s="1"/>
      <c r="AA78" s="1"/>
      <c r="AB78" s="999">
        <f>ROUNDUP(MIN(Y69,AB77),0)</f>
        <v>0</v>
      </c>
      <c r="AC78" s="921"/>
      <c r="AD78" s="921"/>
      <c r="AE78" s="921"/>
      <c r="AF78" s="943"/>
      <c r="AG78" s="1"/>
      <c r="AH78" s="1"/>
      <c r="AI78" s="1"/>
      <c r="AJ78" s="1"/>
      <c r="AK78" s="1"/>
      <c r="AL78" s="1"/>
      <c r="AM78" s="1"/>
      <c r="AN78" s="1"/>
      <c r="AO78" s="1"/>
      <c r="AP78" s="1"/>
      <c r="AQ78" s="1"/>
      <c r="AR78" s="1"/>
      <c r="AS78" s="1"/>
      <c r="AT78" s="1"/>
      <c r="AU78" s="1"/>
      <c r="AV78" s="1"/>
      <c r="AW78" s="1"/>
      <c r="AX78" s="1"/>
      <c r="AY78" s="1"/>
      <c r="AZ78" s="1"/>
      <c r="BA78" s="1"/>
      <c r="BB78" s="1"/>
      <c r="BC78" s="1"/>
    </row>
    <row r="79" spans="1:55" ht="12.75" customHeight="1">
      <c r="A79" s="1"/>
      <c r="B79" s="1"/>
      <c r="C79" s="8"/>
      <c r="D79" s="8" t="s">
        <v>1672</v>
      </c>
      <c r="E79" s="1"/>
      <c r="F79" s="1"/>
      <c r="G79" s="1"/>
      <c r="H79" s="1"/>
      <c r="I79" s="1"/>
      <c r="J79" s="1"/>
      <c r="K79" s="1"/>
      <c r="L79" s="1"/>
      <c r="M79" s="1"/>
      <c r="N79" s="1"/>
      <c r="O79" s="1"/>
      <c r="P79" s="1"/>
      <c r="Q79" s="1"/>
      <c r="R79" s="1"/>
      <c r="S79" s="1"/>
      <c r="T79" s="1"/>
      <c r="U79" s="1"/>
      <c r="V79" s="1"/>
      <c r="W79" s="1"/>
      <c r="X79" s="1"/>
      <c r="Y79" s="1"/>
      <c r="Z79" s="1"/>
      <c r="AA79" s="1"/>
      <c r="AB79" s="1353">
        <f>AB78*AB72</f>
        <v>0</v>
      </c>
      <c r="AC79" s="921"/>
      <c r="AD79" s="921"/>
      <c r="AE79" s="921"/>
      <c r="AF79" s="943"/>
      <c r="AG79" s="1"/>
      <c r="AH79" s="1"/>
      <c r="AI79" s="1"/>
      <c r="AJ79" s="1"/>
      <c r="AK79" s="1"/>
      <c r="AL79" s="1"/>
      <c r="AM79" s="1"/>
      <c r="AN79" s="1"/>
      <c r="AO79" s="1"/>
      <c r="AP79" s="1"/>
      <c r="AQ79" s="1"/>
      <c r="AR79" s="1"/>
      <c r="AS79" s="1"/>
      <c r="AT79" s="1"/>
      <c r="AU79" s="1"/>
      <c r="AV79" s="1"/>
      <c r="AW79" s="1"/>
      <c r="AX79" s="1"/>
      <c r="AY79" s="1"/>
      <c r="AZ79" s="1"/>
      <c r="BA79" s="1"/>
      <c r="BB79" s="1"/>
      <c r="BC79" s="1"/>
    </row>
    <row r="80" spans="1:55" ht="12.75" customHeight="1">
      <c r="A80" s="1"/>
      <c r="B80" s="1"/>
      <c r="C80" s="8"/>
      <c r="D80" s="8"/>
      <c r="E80" s="1"/>
      <c r="F80" s="1"/>
      <c r="G80" s="1"/>
      <c r="H80" s="1"/>
      <c r="I80" s="1"/>
      <c r="J80" s="1"/>
      <c r="K80" s="1"/>
      <c r="L80" s="1"/>
      <c r="M80" s="1"/>
      <c r="N80" s="1"/>
      <c r="O80" s="1"/>
      <c r="P80" s="1"/>
      <c r="Q80" s="1"/>
      <c r="R80" s="1"/>
      <c r="S80" s="1"/>
      <c r="T80" s="1"/>
      <c r="U80" s="1"/>
      <c r="V80" s="1"/>
      <c r="W80" s="1"/>
      <c r="X80" s="1"/>
      <c r="Y80" s="1"/>
      <c r="Z80" s="1"/>
      <c r="AA80" s="1"/>
      <c r="AB80" s="327"/>
      <c r="AC80" s="327"/>
      <c r="AD80" s="327"/>
      <c r="AE80" s="327"/>
      <c r="AF80" s="327"/>
      <c r="AG80" s="1"/>
      <c r="AH80" s="1"/>
      <c r="AI80" s="1"/>
      <c r="AJ80" s="1"/>
      <c r="AK80" s="1"/>
      <c r="AL80" s="1"/>
      <c r="AM80" s="1"/>
      <c r="AN80" s="1"/>
      <c r="AO80" s="1"/>
      <c r="AP80" s="1"/>
      <c r="AQ80" s="1"/>
      <c r="AR80" s="1"/>
      <c r="AS80" s="1"/>
      <c r="AT80" s="1"/>
      <c r="AU80" s="1"/>
      <c r="AV80" s="1"/>
      <c r="AW80" s="1"/>
      <c r="AX80" s="1"/>
      <c r="AY80" s="1"/>
      <c r="AZ80" s="1"/>
      <c r="BA80" s="1"/>
      <c r="BB80" s="1"/>
      <c r="BC80" s="1"/>
    </row>
    <row r="81" spans="1:55" ht="12.75" customHeight="1">
      <c r="A81" s="1"/>
      <c r="B81" s="1"/>
      <c r="C81" s="1"/>
      <c r="D81" s="8" t="s">
        <v>1645</v>
      </c>
      <c r="E81" s="1"/>
      <c r="F81" s="1"/>
      <c r="G81" s="1"/>
      <c r="H81" s="1"/>
      <c r="I81" s="1"/>
      <c r="J81" s="1"/>
      <c r="K81" s="1"/>
      <c r="L81" s="1"/>
      <c r="M81" s="1"/>
      <c r="N81" s="1"/>
      <c r="O81" s="1"/>
      <c r="P81" s="1"/>
      <c r="Q81" s="1"/>
      <c r="R81" s="1"/>
      <c r="S81" s="1"/>
      <c r="T81" s="1"/>
      <c r="U81" s="1"/>
      <c r="V81" s="1"/>
      <c r="W81" s="1"/>
      <c r="X81" s="1"/>
      <c r="Y81" s="1"/>
      <c r="Z81" s="1"/>
      <c r="AA81" s="1"/>
      <c r="AB81" s="1000">
        <f>AB49-(AB57+AB79)</f>
        <v>0</v>
      </c>
      <c r="AC81" s="921"/>
      <c r="AD81" s="921"/>
      <c r="AE81" s="921"/>
      <c r="AF81" s="943"/>
      <c r="AG81" s="1"/>
      <c r="AH81" s="1"/>
      <c r="AI81" s="1"/>
      <c r="AJ81" s="1"/>
      <c r="AK81" s="1"/>
      <c r="AL81" s="1"/>
      <c r="AM81" s="1"/>
      <c r="AN81" s="1"/>
      <c r="AO81" s="1"/>
      <c r="AP81" s="1"/>
      <c r="AQ81" s="1"/>
      <c r="AR81" s="1"/>
      <c r="AS81" s="1"/>
      <c r="AT81" s="1"/>
      <c r="AU81" s="1"/>
      <c r="AV81" s="1"/>
      <c r="AW81" s="1"/>
      <c r="AX81" s="1"/>
      <c r="AY81" s="1"/>
      <c r="AZ81" s="1"/>
      <c r="BA81" s="1"/>
      <c r="BB81" s="1"/>
      <c r="BC81" s="1"/>
    </row>
    <row r="82" spans="1:55" ht="12.75" customHeight="1">
      <c r="A82" s="1"/>
      <c r="B82" s="1"/>
      <c r="C82" s="1"/>
      <c r="D82" s="1"/>
      <c r="E82" s="1"/>
      <c r="F82" s="328"/>
      <c r="G82" s="1"/>
      <c r="H82" s="1"/>
      <c r="I82" s="1"/>
      <c r="J82" s="328" t="str">
        <f>IF(AB81&gt;0,"FUNDING GAP MUST NOT EXCEED ZERO","")</f>
        <v/>
      </c>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ht="12.75" customHeight="1">
      <c r="A83" s="1"/>
      <c r="B83" s="1"/>
      <c r="C83" s="1"/>
      <c r="D83" s="329"/>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ht="12.75" customHeight="1">
      <c r="A84" s="1352"/>
      <c r="B84" s="904"/>
      <c r="C84" s="904"/>
      <c r="D84" s="904"/>
      <c r="E84" s="904"/>
      <c r="F84" s="904"/>
      <c r="G84" s="904"/>
      <c r="H84" s="904"/>
      <c r="I84" s="904"/>
      <c r="J84" s="904"/>
      <c r="K84" s="904"/>
      <c r="L84" s="904"/>
      <c r="M84" s="904"/>
      <c r="N84" s="904"/>
      <c r="O84" s="904"/>
      <c r="P84" s="904"/>
      <c r="Q84" s="904"/>
      <c r="R84" s="904"/>
      <c r="S84" s="904"/>
      <c r="T84" s="904"/>
      <c r="U84" s="904"/>
      <c r="V84" s="904"/>
      <c r="W84" s="904"/>
      <c r="X84" s="904"/>
      <c r="Y84" s="904"/>
      <c r="Z84" s="904"/>
      <c r="AA84" s="904"/>
      <c r="AB84" s="904"/>
      <c r="AC84" s="904"/>
      <c r="AD84" s="904"/>
      <c r="AE84" s="904"/>
      <c r="AF84" s="904"/>
      <c r="AG84" s="904"/>
      <c r="AH84" s="904"/>
      <c r="AI84" s="904"/>
      <c r="AJ84" s="904"/>
      <c r="AK84" s="904"/>
      <c r="AL84" s="904"/>
      <c r="AM84" s="904"/>
      <c r="AN84" s="904"/>
      <c r="AO84" s="904"/>
      <c r="AP84" s="904"/>
      <c r="AQ84" s="904"/>
      <c r="AR84" s="904"/>
      <c r="AS84" s="904"/>
      <c r="AT84" s="904"/>
      <c r="AU84" s="904"/>
      <c r="AV84" s="904"/>
      <c r="AW84" s="904"/>
      <c r="AX84" s="904"/>
      <c r="AY84" s="904"/>
      <c r="AZ84" s="904"/>
      <c r="BA84" s="904"/>
      <c r="BB84" s="904"/>
      <c r="BC84" s="904"/>
    </row>
    <row r="85" spans="1:5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ht="12.75" hidden="1" customHeight="1">
      <c r="A86" s="8"/>
      <c r="B86" s="1"/>
      <c r="C86" s="8"/>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ht="12.75" hidden="1" customHeight="1">
      <c r="A87" s="1"/>
      <c r="B87" s="1"/>
      <c r="C87" s="1"/>
      <c r="D87" s="8"/>
      <c r="E87" s="1"/>
      <c r="F87" s="1"/>
      <c r="G87" s="1"/>
      <c r="H87" s="1"/>
      <c r="I87" s="1"/>
      <c r="J87" s="1"/>
      <c r="K87" s="1"/>
      <c r="L87" s="1"/>
      <c r="M87" s="1"/>
      <c r="N87" s="1"/>
      <c r="O87" s="1"/>
      <c r="P87" s="1"/>
      <c r="Q87" s="1"/>
      <c r="R87" s="1"/>
      <c r="S87" s="1"/>
      <c r="T87" s="1"/>
      <c r="U87" s="1"/>
      <c r="V87" s="1"/>
      <c r="W87" s="1"/>
      <c r="X87" s="1"/>
      <c r="Y87" s="1"/>
      <c r="Z87" s="1"/>
      <c r="AA87" s="1"/>
      <c r="AB87" s="1354"/>
      <c r="AC87" s="893"/>
      <c r="AD87" s="893"/>
      <c r="AE87" s="893"/>
      <c r="AF87" s="893"/>
      <c r="AG87" s="1"/>
      <c r="AH87" s="1"/>
      <c r="AI87" s="1"/>
      <c r="AJ87" s="1"/>
      <c r="AK87" s="1"/>
      <c r="AL87" s="1"/>
      <c r="AM87" s="1"/>
      <c r="AN87" s="1"/>
      <c r="AO87" s="1"/>
      <c r="AP87" s="1"/>
      <c r="AQ87" s="1"/>
      <c r="AR87" s="1"/>
      <c r="AS87" s="1"/>
      <c r="AT87" s="1"/>
      <c r="AU87" s="1"/>
      <c r="AV87" s="1"/>
      <c r="AW87" s="1"/>
      <c r="AX87" s="1"/>
      <c r="AY87" s="1"/>
      <c r="AZ87" s="1"/>
      <c r="BA87" s="1"/>
      <c r="BB87" s="1"/>
      <c r="BC87" s="1"/>
    </row>
    <row r="88" spans="1:55" ht="12.75" hidden="1" customHeight="1">
      <c r="A88" s="1"/>
      <c r="B88" s="1"/>
      <c r="C88" s="1"/>
      <c r="D88" s="8"/>
      <c r="E88" s="1"/>
      <c r="F88" s="1"/>
      <c r="G88" s="1"/>
      <c r="H88" s="1"/>
      <c r="I88" s="1"/>
      <c r="J88" s="1"/>
      <c r="K88" s="1"/>
      <c r="L88" s="1"/>
      <c r="M88" s="1"/>
      <c r="N88" s="1"/>
      <c r="O88" s="1"/>
      <c r="P88" s="1"/>
      <c r="Q88" s="1"/>
      <c r="R88" s="1"/>
      <c r="S88" s="1"/>
      <c r="T88" s="1"/>
      <c r="U88" s="1"/>
      <c r="V88" s="1"/>
      <c r="W88" s="1"/>
      <c r="X88" s="1"/>
      <c r="Y88" s="1"/>
      <c r="Z88" s="1"/>
      <c r="AA88" s="1"/>
      <c r="AB88" s="1355"/>
      <c r="AC88" s="893"/>
      <c r="AD88" s="893"/>
      <c r="AE88" s="893"/>
      <c r="AF88" s="893"/>
      <c r="AG88" s="1"/>
      <c r="AH88" s="1"/>
      <c r="AI88" s="1"/>
      <c r="AJ88" s="1"/>
      <c r="AK88" s="1"/>
      <c r="AL88" s="1"/>
      <c r="AM88" s="1"/>
      <c r="AN88" s="1"/>
      <c r="AO88" s="330"/>
      <c r="AP88" s="330"/>
      <c r="AQ88" s="330"/>
      <c r="AR88" s="330"/>
      <c r="AS88" s="330"/>
      <c r="AT88" s="330"/>
      <c r="AU88" s="330"/>
      <c r="AV88" s="330"/>
      <c r="AW88" s="330"/>
      <c r="AX88" s="330"/>
      <c r="AY88" s="330"/>
      <c r="AZ88" s="330"/>
      <c r="BA88" s="330"/>
      <c r="BB88" s="330"/>
      <c r="BC88" s="330"/>
    </row>
    <row r="89" spans="1:55" ht="12.7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row r="147" spans="1:55"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row>
    <row r="148" spans="1:55"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row>
    <row r="149" spans="1:55"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row>
    <row r="150" spans="1:55"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row>
    <row r="151" spans="1:55"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row>
    <row r="152" spans="1:55"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row>
    <row r="153" spans="1:55"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row>
    <row r="154" spans="1:55"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row>
    <row r="155" spans="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row>
    <row r="156" spans="1:55"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row>
    <row r="157" spans="1:55"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row>
    <row r="158" spans="1:55"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row>
    <row r="159" spans="1:55"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row>
    <row r="160" spans="1:55"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row>
    <row r="161" spans="1:55"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row>
    <row r="162" spans="1:55"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row>
    <row r="163" spans="1:55"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row>
    <row r="164" spans="1:55"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row>
    <row r="165" spans="1:5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row>
    <row r="166" spans="1:55"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row>
    <row r="167" spans="1:55"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row>
    <row r="168" spans="1:55"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row>
    <row r="169" spans="1:55"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row>
    <row r="170" spans="1:55"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row>
    <row r="171" spans="1:55"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row>
    <row r="172" spans="1:55"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row>
    <row r="173" spans="1:55"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row>
    <row r="174" spans="1:55"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row>
    <row r="175" spans="1:5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row>
    <row r="176" spans="1:55"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row>
    <row r="177" spans="1:55"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row>
    <row r="178" spans="1:55"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row>
    <row r="179" spans="1:55"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row>
    <row r="180" spans="1:55"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row>
    <row r="181" spans="1:55"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row>
    <row r="182" spans="1:55"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row>
    <row r="183" spans="1:55"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row>
    <row r="184" spans="1:55"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row>
    <row r="185" spans="1:5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row>
    <row r="186" spans="1:55"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row>
    <row r="187" spans="1:55"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row>
    <row r="188" spans="1:55"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row>
    <row r="189" spans="1:55"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row>
    <row r="190" spans="1:55"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row>
    <row r="191" spans="1:55"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row>
    <row r="192" spans="1:55"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row>
    <row r="193" spans="1:55"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row>
    <row r="194" spans="1:55"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row>
    <row r="195" spans="1:5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row>
    <row r="196" spans="1:55"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row>
    <row r="197" spans="1:55"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row>
    <row r="198" spans="1:55"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row>
    <row r="199" spans="1:55"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row>
    <row r="200" spans="1:55"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row>
    <row r="201" spans="1:55"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row>
    <row r="202" spans="1:55"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row>
    <row r="203" spans="1:55"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row>
    <row r="204" spans="1:55"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row>
    <row r="205" spans="1:5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row>
    <row r="206" spans="1:55"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row>
    <row r="207" spans="1:55"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row>
    <row r="208" spans="1:55"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row>
    <row r="209" spans="1:55"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row>
    <row r="210" spans="1:55"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row>
    <row r="211" spans="1:55"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row>
    <row r="212" spans="1:55"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row>
    <row r="213" spans="1:55"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row>
    <row r="214" spans="1:55"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row>
    <row r="215" spans="1:5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row>
    <row r="216" spans="1:55"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row>
    <row r="217" spans="1:55"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row>
    <row r="218" spans="1:55"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row>
    <row r="219" spans="1:55"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row>
    <row r="220" spans="1:55"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row>
    <row r="221" spans="1:55"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row>
    <row r="222" spans="1:55"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row>
    <row r="223" spans="1:55"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row>
    <row r="224" spans="1:55"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row>
    <row r="225" spans="1:5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row>
    <row r="226" spans="1:55"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row>
    <row r="227" spans="1:55"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row>
    <row r="228" spans="1:55"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row>
    <row r="229" spans="1:55"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row>
    <row r="230" spans="1:55"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row>
    <row r="231" spans="1:55"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row>
    <row r="232" spans="1:55"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row>
    <row r="233" spans="1:55"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row>
    <row r="234" spans="1:55"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row>
    <row r="235" spans="1:5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row>
    <row r="236" spans="1:55"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row>
    <row r="237" spans="1:55"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row>
    <row r="238" spans="1:55"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row>
    <row r="239" spans="1:55"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row>
    <row r="240" spans="1:55"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row>
    <row r="241" spans="1:55"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row>
    <row r="242" spans="1:55"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row>
    <row r="243" spans="1:55"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row>
    <row r="244" spans="1:55"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row>
    <row r="245" spans="1:5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row>
    <row r="246" spans="1:55"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row>
    <row r="247" spans="1:55"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row>
    <row r="248" spans="1:55"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row>
    <row r="249" spans="1:55"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row>
    <row r="250" spans="1:55"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row>
    <row r="251" spans="1:55"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row>
    <row r="252" spans="1:55"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row>
    <row r="253" spans="1:55"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row>
    <row r="254" spans="1:55"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row>
    <row r="255" spans="1: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row>
    <row r="256" spans="1:55"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row>
    <row r="257" spans="1:55"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row>
    <row r="258" spans="1:55"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row>
    <row r="259" spans="1:55"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row>
    <row r="260" spans="1:55"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row>
    <row r="261" spans="1:55"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row>
    <row r="262" spans="1:55"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row>
    <row r="263" spans="1:55"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row>
    <row r="264" spans="1:55"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row>
    <row r="265" spans="1:5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row>
    <row r="266" spans="1:55"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row>
    <row r="267" spans="1:55"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row>
    <row r="268" spans="1:55"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row>
    <row r="269" spans="1:55"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row>
    <row r="270" spans="1:55"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row>
    <row r="271" spans="1:55"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row>
    <row r="272" spans="1:55"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row>
    <row r="273" spans="1:55"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row>
    <row r="274" spans="1:55"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row>
    <row r="275" spans="1:5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row>
    <row r="276" spans="1:55"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row>
    <row r="277" spans="1:55"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row>
    <row r="278" spans="1:55"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row>
    <row r="279" spans="1:55"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row>
    <row r="280" spans="1:55"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row>
    <row r="281" spans="1:55"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row>
    <row r="282" spans="1:55"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row>
    <row r="283" spans="1:55"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row>
    <row r="284" spans="1:55"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row>
    <row r="285" spans="1:5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row>
    <row r="286" spans="1:55"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row>
    <row r="287" spans="1:55"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row>
    <row r="288" spans="1:55"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row>
    <row r="289" spans="1:55"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row>
    <row r="290" spans="1:55"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row>
    <row r="291" spans="1:55"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row>
    <row r="292" spans="1:55"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row>
    <row r="293" spans="1:55"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row>
    <row r="294" spans="1:55"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row>
    <row r="295" spans="1:5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row>
    <row r="296" spans="1:55"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row>
    <row r="297" spans="1:55"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row>
    <row r="298" spans="1:55"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row>
    <row r="299" spans="1:55"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row>
    <row r="300" spans="1:55"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row>
    <row r="301" spans="1:55"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row>
    <row r="302" spans="1:55"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row>
    <row r="303" spans="1:55"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row>
    <row r="304" spans="1:55"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row>
    <row r="305" spans="1:5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row>
    <row r="306" spans="1:55"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row>
    <row r="307" spans="1:55"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row>
    <row r="308" spans="1:55"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row>
    <row r="309" spans="1:55"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row>
    <row r="310" spans="1:55"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row>
    <row r="311" spans="1:55"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row>
    <row r="312" spans="1:55"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row>
    <row r="313" spans="1:55"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row>
    <row r="314" spans="1:55"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row>
    <row r="315" spans="1:5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row>
    <row r="316" spans="1:55"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row>
    <row r="317" spans="1:55"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row>
    <row r="318" spans="1:55"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row>
    <row r="319" spans="1:55"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row>
    <row r="320" spans="1:55"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row>
    <row r="321" spans="1:55"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row>
    <row r="322" spans="1:55"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row>
    <row r="323" spans="1:55"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row>
    <row r="324" spans="1:55"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row>
    <row r="325" spans="1:5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row>
    <row r="326" spans="1:55"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row>
    <row r="327" spans="1:55"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row>
    <row r="328" spans="1:55"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row>
    <row r="329" spans="1:55"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row>
    <row r="330" spans="1:55"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row>
    <row r="331" spans="1:55"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row>
    <row r="332" spans="1:55"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row>
    <row r="333" spans="1:55"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row>
    <row r="334" spans="1:55"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row>
    <row r="335" spans="1:5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row>
    <row r="336" spans="1:55"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row>
    <row r="337" spans="1:55"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row>
    <row r="338" spans="1:55"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row>
    <row r="339" spans="1:55"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row>
    <row r="340" spans="1:55"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row>
    <row r="341" spans="1:55"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row>
    <row r="342" spans="1:55"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row>
    <row r="343" spans="1:55"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row>
    <row r="344" spans="1:55"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row>
    <row r="345" spans="1:5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row>
    <row r="346" spans="1:55"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row>
    <row r="347" spans="1:55"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row>
    <row r="348" spans="1:55"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row>
    <row r="349" spans="1:55"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row>
    <row r="350" spans="1:55"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row>
    <row r="351" spans="1:55"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row>
    <row r="352" spans="1:55"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row>
    <row r="353" spans="1:55"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row>
    <row r="354" spans="1:55"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row>
    <row r="355" spans="1: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row>
    <row r="356" spans="1:55"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row>
    <row r="357" spans="1:55"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row>
    <row r="358" spans="1:55"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row>
    <row r="359" spans="1:55"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row>
    <row r="360" spans="1:55"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row>
    <row r="361" spans="1:55"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row>
    <row r="362" spans="1:55"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row>
    <row r="363" spans="1:55"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row>
    <row r="364" spans="1:55"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row>
    <row r="365" spans="1:5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row>
    <row r="366" spans="1:55"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row>
    <row r="367" spans="1:55"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row>
    <row r="368" spans="1:55"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row>
    <row r="369" spans="1:55"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row>
    <row r="370" spans="1:55"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row>
    <row r="371" spans="1:55"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row>
    <row r="372" spans="1:55"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row>
    <row r="373" spans="1:55"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row>
    <row r="374" spans="1:55"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row>
    <row r="375" spans="1:5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row>
    <row r="376" spans="1:55"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row>
    <row r="377" spans="1:55"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row>
    <row r="378" spans="1:55"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row>
    <row r="379" spans="1:55"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row>
    <row r="380" spans="1:55"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row>
    <row r="381" spans="1:55"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row>
    <row r="382" spans="1:55"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row>
    <row r="383" spans="1:55"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row>
    <row r="384" spans="1:55"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row>
    <row r="385" spans="1:5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row>
    <row r="386" spans="1:55"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row>
    <row r="387" spans="1:55"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row>
    <row r="388" spans="1:55"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row>
    <row r="389" spans="1:55"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row>
    <row r="390" spans="1:55"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row>
    <row r="391" spans="1:55"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row>
    <row r="392" spans="1:55"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row>
    <row r="393" spans="1:55"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row>
    <row r="394" spans="1:55"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row>
    <row r="395" spans="1:5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row>
    <row r="396" spans="1:55"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row>
    <row r="397" spans="1:55"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row>
    <row r="398" spans="1:55"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row>
    <row r="399" spans="1:55"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row>
    <row r="400" spans="1:55"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row>
    <row r="401" spans="1:55"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row>
    <row r="402" spans="1:55"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row>
    <row r="403" spans="1:55"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row>
    <row r="404" spans="1:55"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row>
    <row r="405" spans="1:5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row>
    <row r="406" spans="1:55"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row>
    <row r="407" spans="1:55"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row>
    <row r="408" spans="1:55"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row>
    <row r="409" spans="1:55"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row>
    <row r="410" spans="1:55"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row>
    <row r="411" spans="1:55"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row>
    <row r="412" spans="1:55"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row>
    <row r="413" spans="1:55"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row>
    <row r="414" spans="1:55"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row>
    <row r="415" spans="1:5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row>
    <row r="416" spans="1:55"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row>
    <row r="417" spans="1:55"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row>
    <row r="418" spans="1:55"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row>
    <row r="419" spans="1:55"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row>
    <row r="420" spans="1:55"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row>
    <row r="421" spans="1:55"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row>
    <row r="422" spans="1:55"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row>
    <row r="423" spans="1:55"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row>
    <row r="424" spans="1:55"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row>
    <row r="425" spans="1:5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row>
    <row r="426" spans="1:55"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row>
    <row r="427" spans="1:55"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row>
    <row r="428" spans="1:55"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row>
    <row r="429" spans="1:55"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row>
    <row r="430" spans="1:55"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row>
    <row r="431" spans="1:55"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row>
    <row r="432" spans="1:55"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row>
    <row r="433" spans="1:55"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row>
    <row r="434" spans="1:55"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row>
    <row r="435" spans="1:5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row>
    <row r="436" spans="1:55"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row>
    <row r="437" spans="1:55"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row>
    <row r="438" spans="1:55"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row>
    <row r="439" spans="1:55"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row>
    <row r="440" spans="1:55"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row>
    <row r="441" spans="1:55"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row>
    <row r="442" spans="1:55"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row>
    <row r="443" spans="1:55"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row>
    <row r="444" spans="1:55"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row>
    <row r="445" spans="1:5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row>
    <row r="446" spans="1:55"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row>
    <row r="447" spans="1:55"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row>
    <row r="448" spans="1:55"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row>
    <row r="449" spans="1:55"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row>
    <row r="450" spans="1:55"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row>
    <row r="451" spans="1:55"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row>
    <row r="452" spans="1:55"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row>
    <row r="453" spans="1:55"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row>
    <row r="454" spans="1:55"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row>
    <row r="455" spans="1: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row>
    <row r="456" spans="1:55"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row>
    <row r="457" spans="1:55"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row>
    <row r="458" spans="1:55"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row>
    <row r="459" spans="1:55"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row>
    <row r="460" spans="1:55"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row>
    <row r="461" spans="1:55"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row>
    <row r="462" spans="1:55"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row>
    <row r="463" spans="1:55"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row>
    <row r="464" spans="1:55"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row>
    <row r="465" spans="1:5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row>
    <row r="466" spans="1:55"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row>
    <row r="467" spans="1:55"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row>
    <row r="468" spans="1:55"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row>
    <row r="469" spans="1:55"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row>
    <row r="470" spans="1:55"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row>
    <row r="471" spans="1:55"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row>
    <row r="472" spans="1:55"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row>
    <row r="473" spans="1:55"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row>
    <row r="474" spans="1:55"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row>
    <row r="475" spans="1:5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row>
    <row r="476" spans="1:55"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row>
    <row r="477" spans="1:55"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row>
    <row r="478" spans="1:55"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row>
    <row r="479" spans="1:55"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row>
    <row r="480" spans="1:55"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row>
    <row r="481" spans="1:55"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row>
    <row r="482" spans="1:55"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row>
    <row r="483" spans="1:55"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row>
    <row r="484" spans="1:55"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row>
    <row r="485" spans="1:5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row>
    <row r="486" spans="1:55"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row>
    <row r="487" spans="1:55"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row>
    <row r="488" spans="1:55"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row>
    <row r="489" spans="1:55"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row>
    <row r="490" spans="1:55"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row>
    <row r="491" spans="1:55"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row>
    <row r="492" spans="1:55"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row>
    <row r="493" spans="1:55"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row>
    <row r="494" spans="1:55"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row>
    <row r="495" spans="1:5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row>
    <row r="496" spans="1:55"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row>
    <row r="497" spans="1:55"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row>
    <row r="498" spans="1:55"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row>
    <row r="499" spans="1:55"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row>
    <row r="500" spans="1:55"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row>
    <row r="501" spans="1:55"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row>
    <row r="502" spans="1:55"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row>
    <row r="503" spans="1:55"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row>
    <row r="504" spans="1:55"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row>
    <row r="505" spans="1:5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row>
    <row r="506" spans="1:55"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row>
    <row r="507" spans="1:55"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row>
    <row r="508" spans="1:55"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row>
    <row r="509" spans="1:55"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row>
    <row r="510" spans="1:55"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row>
    <row r="511" spans="1:55"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row>
    <row r="512" spans="1:55"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row>
    <row r="513" spans="1:55"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row>
    <row r="514" spans="1:55"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row>
    <row r="515" spans="1:5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row>
    <row r="516" spans="1:55"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row>
    <row r="517" spans="1:55"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row>
    <row r="518" spans="1:55"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row>
    <row r="519" spans="1:55"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row>
    <row r="520" spans="1:55"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row>
    <row r="521" spans="1:55"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row>
    <row r="522" spans="1:55"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row>
    <row r="523" spans="1:55"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row>
    <row r="524" spans="1:55"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row>
    <row r="525" spans="1:5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row>
    <row r="526" spans="1:55"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row>
    <row r="527" spans="1:55"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row>
    <row r="528" spans="1:55"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row>
    <row r="529" spans="1:55"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row>
    <row r="530" spans="1:55"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row>
    <row r="531" spans="1:55"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row>
    <row r="532" spans="1:55"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row>
    <row r="533" spans="1:55"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row>
    <row r="534" spans="1:55"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row>
    <row r="535" spans="1:5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row>
    <row r="536" spans="1:55"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row>
    <row r="537" spans="1:55"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row>
    <row r="538" spans="1:55"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row>
    <row r="539" spans="1:55"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row>
    <row r="540" spans="1:55"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row>
    <row r="541" spans="1:55"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row>
    <row r="542" spans="1:55"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row>
    <row r="543" spans="1:55"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row>
    <row r="544" spans="1:55"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row>
    <row r="545" spans="1:5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row>
    <row r="546" spans="1:55"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row>
    <row r="547" spans="1:55"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row>
    <row r="548" spans="1:55"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row>
    <row r="549" spans="1:55"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row>
    <row r="550" spans="1:55"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row>
    <row r="551" spans="1:55"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row>
    <row r="552" spans="1:55"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row>
    <row r="553" spans="1:55"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row>
    <row r="554" spans="1:55"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row>
    <row r="555" spans="1: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row>
    <row r="556" spans="1:55"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row>
    <row r="557" spans="1:55"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row>
    <row r="558" spans="1:55"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row>
    <row r="559" spans="1:55"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row>
    <row r="560" spans="1:55"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row>
    <row r="561" spans="1:55"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row>
    <row r="562" spans="1:55"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row>
    <row r="563" spans="1:55"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row>
    <row r="564" spans="1:55"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row>
    <row r="565" spans="1:5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row>
    <row r="566" spans="1:55"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row>
    <row r="567" spans="1:55"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row>
    <row r="568" spans="1:55"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row>
    <row r="569" spans="1:55"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row>
    <row r="570" spans="1:55"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row>
    <row r="571" spans="1:55"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row>
    <row r="572" spans="1:55"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row>
    <row r="573" spans="1:55"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row>
    <row r="574" spans="1:55"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row>
    <row r="575" spans="1:5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row>
    <row r="576" spans="1:55"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row>
    <row r="577" spans="1:55"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row>
    <row r="578" spans="1:55"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row>
    <row r="579" spans="1:55"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row>
    <row r="580" spans="1:55"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row>
    <row r="581" spans="1:55"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row>
    <row r="582" spans="1:55"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row>
    <row r="583" spans="1:55"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row>
    <row r="584" spans="1:55"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row>
    <row r="585" spans="1:5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row>
    <row r="586" spans="1:55"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row>
    <row r="587" spans="1:55"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row>
    <row r="588" spans="1:55"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row>
    <row r="589" spans="1:55"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row>
    <row r="590" spans="1:55"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row>
    <row r="591" spans="1:55"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row>
    <row r="592" spans="1:55"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row>
    <row r="593" spans="1:55"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row>
    <row r="594" spans="1:55"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row>
    <row r="595" spans="1:5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row>
    <row r="596" spans="1:55"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row>
    <row r="597" spans="1:55"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row>
    <row r="598" spans="1:55"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row>
    <row r="599" spans="1:55"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row>
    <row r="600" spans="1:55"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row>
    <row r="601" spans="1:55"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row>
    <row r="602" spans="1:55"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row>
    <row r="603" spans="1:55"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row>
    <row r="604" spans="1:55"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row>
    <row r="605" spans="1:5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row>
    <row r="606" spans="1:55"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row>
    <row r="607" spans="1:55"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row>
    <row r="608" spans="1:55"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row>
    <row r="609" spans="1:55"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row>
    <row r="610" spans="1:55"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row>
    <row r="611" spans="1:55"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row>
    <row r="612" spans="1:55"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row>
    <row r="613" spans="1:55"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row>
    <row r="614" spans="1:55"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row>
    <row r="615" spans="1:5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row>
    <row r="616" spans="1:55"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row>
    <row r="617" spans="1:55"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row>
    <row r="618" spans="1:55"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row>
    <row r="619" spans="1:55"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row>
    <row r="620" spans="1:55"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row>
    <row r="621" spans="1:55"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row>
    <row r="622" spans="1:55"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row>
    <row r="623" spans="1:55"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row>
    <row r="624" spans="1:55"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row>
    <row r="625" spans="1:5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row>
    <row r="626" spans="1:55"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row>
    <row r="627" spans="1:55"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row>
    <row r="628" spans="1:55"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row>
    <row r="629" spans="1:55"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row>
    <row r="630" spans="1:55"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row>
    <row r="631" spans="1:55"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row>
    <row r="632" spans="1:55"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row>
    <row r="633" spans="1:55"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row>
    <row r="634" spans="1:55"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row>
    <row r="635" spans="1:5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row>
    <row r="636" spans="1:55"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row>
    <row r="637" spans="1:55"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row>
    <row r="638" spans="1:55"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row>
    <row r="639" spans="1:55"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row>
    <row r="640" spans="1:55"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row>
    <row r="641" spans="1:55"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row>
    <row r="642" spans="1:55"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row>
    <row r="643" spans="1:55"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row>
    <row r="644" spans="1:55"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row>
    <row r="645" spans="1:5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row>
    <row r="646" spans="1:55"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row>
    <row r="647" spans="1:55"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row>
    <row r="648" spans="1:55"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row>
    <row r="649" spans="1:55"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row>
    <row r="650" spans="1:55"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row>
    <row r="651" spans="1:55"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row>
    <row r="652" spans="1:55"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row>
    <row r="653" spans="1:55"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row>
    <row r="654" spans="1:55"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row>
    <row r="655" spans="1: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row>
    <row r="656" spans="1:55"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row>
    <row r="657" spans="1:55"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row>
    <row r="658" spans="1:55"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row>
    <row r="659" spans="1:55"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row>
    <row r="660" spans="1:55"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row>
    <row r="661" spans="1:55"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row>
    <row r="662" spans="1:55"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row>
    <row r="663" spans="1:55"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row>
    <row r="664" spans="1:55"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row>
    <row r="665" spans="1:5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row>
    <row r="666" spans="1:55"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row>
    <row r="667" spans="1:55"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row>
    <row r="668" spans="1:55"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row>
    <row r="669" spans="1:55"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row>
    <row r="670" spans="1:55"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row>
    <row r="671" spans="1:55"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row>
    <row r="672" spans="1:55"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row>
    <row r="673" spans="1:55"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row>
    <row r="674" spans="1:55"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row>
    <row r="675" spans="1:5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row>
    <row r="676" spans="1:55"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row>
    <row r="677" spans="1:55"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row>
    <row r="678" spans="1:55"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row>
    <row r="679" spans="1:55"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row>
    <row r="680" spans="1:55"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row>
    <row r="681" spans="1:55"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row>
    <row r="682" spans="1:55"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row>
    <row r="683" spans="1:55"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row>
    <row r="684" spans="1:55"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row>
    <row r="685" spans="1:5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row>
    <row r="686" spans="1:55"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row>
    <row r="687" spans="1:55"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row>
    <row r="688" spans="1:55"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row>
    <row r="689" spans="1:55"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row>
    <row r="690" spans="1:55"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row>
    <row r="691" spans="1:55"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row>
    <row r="692" spans="1:55"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row>
    <row r="693" spans="1:55"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row>
    <row r="694" spans="1:55"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row>
    <row r="695" spans="1:5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row>
    <row r="696" spans="1:55"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row>
    <row r="697" spans="1:55"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row>
    <row r="698" spans="1:55"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row>
    <row r="699" spans="1:55"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row>
    <row r="700" spans="1:55"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row>
    <row r="701" spans="1:55"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row>
    <row r="702" spans="1:55"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row>
    <row r="703" spans="1:55"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row>
    <row r="704" spans="1:55"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row>
    <row r="705" spans="1:5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row>
    <row r="706" spans="1:55"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row>
    <row r="707" spans="1:55"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row>
    <row r="708" spans="1:55"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row>
    <row r="709" spans="1:55"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row>
    <row r="710" spans="1:55"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row>
    <row r="711" spans="1:55"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row>
    <row r="712" spans="1:55"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row>
    <row r="713" spans="1:55"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row>
    <row r="714" spans="1:55"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row>
    <row r="715" spans="1:5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row>
    <row r="716" spans="1:55"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row>
    <row r="717" spans="1:55"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row>
    <row r="718" spans="1:55"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row>
    <row r="719" spans="1:55"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row>
    <row r="720" spans="1:55"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row>
    <row r="721" spans="1:55"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row>
    <row r="722" spans="1:55"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row>
    <row r="723" spans="1:55"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row>
    <row r="724" spans="1:55"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row>
    <row r="725" spans="1:5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row>
    <row r="726" spans="1:55"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row>
    <row r="727" spans="1:55"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row>
    <row r="728" spans="1:55"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row>
    <row r="729" spans="1:55"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row>
    <row r="730" spans="1:55"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row>
    <row r="731" spans="1:55"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row>
    <row r="732" spans="1:55"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row>
    <row r="733" spans="1:55"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row>
    <row r="734" spans="1:55"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row>
    <row r="735" spans="1:5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row>
    <row r="736" spans="1:55"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row>
    <row r="737" spans="1:55"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row>
    <row r="738" spans="1:55"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row>
    <row r="739" spans="1:55"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row>
    <row r="740" spans="1:55"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row>
    <row r="741" spans="1:55"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row>
    <row r="742" spans="1:55"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row>
    <row r="743" spans="1:55"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row>
    <row r="744" spans="1:55"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row>
    <row r="745" spans="1:5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row>
    <row r="746" spans="1:55"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row>
    <row r="747" spans="1:55"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row>
    <row r="748" spans="1:55"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row>
    <row r="749" spans="1:55"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row>
    <row r="750" spans="1:55"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row>
    <row r="751" spans="1:55"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row>
    <row r="752" spans="1:55"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row>
    <row r="753" spans="1:55"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row>
    <row r="754" spans="1:55"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row>
    <row r="755" spans="1: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row>
    <row r="756" spans="1:55"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row>
    <row r="757" spans="1:55"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row>
    <row r="758" spans="1:55"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row>
    <row r="759" spans="1:55"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row>
    <row r="760" spans="1:55"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row>
    <row r="761" spans="1:55"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row>
    <row r="762" spans="1:55"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row>
    <row r="763" spans="1:55"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row>
    <row r="764" spans="1:55"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row>
    <row r="765" spans="1:5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row>
    <row r="766" spans="1:55"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row>
    <row r="767" spans="1:55"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row>
    <row r="768" spans="1:55"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row>
    <row r="769" spans="1:55"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row>
    <row r="770" spans="1:55"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row>
    <row r="771" spans="1:55"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row>
    <row r="772" spans="1:55"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row>
    <row r="773" spans="1:55"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row>
    <row r="774" spans="1:55"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row>
    <row r="775" spans="1:5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row>
    <row r="776" spans="1:55"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row>
    <row r="777" spans="1:55"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row>
    <row r="778" spans="1:55"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row>
    <row r="779" spans="1:55"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row>
    <row r="780" spans="1:55"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row>
    <row r="781" spans="1:55"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row>
    <row r="782" spans="1:55"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row>
    <row r="783" spans="1:55"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row>
    <row r="784" spans="1:55"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row>
    <row r="785" spans="1:5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row>
    <row r="786" spans="1:55"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row>
    <row r="787" spans="1:55"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row>
    <row r="788" spans="1:55"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row>
    <row r="789" spans="1:55"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row>
    <row r="790" spans="1:55"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row>
    <row r="791" spans="1:55"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row>
    <row r="792" spans="1:55"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row>
    <row r="793" spans="1:55"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row>
    <row r="794" spans="1:55"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row>
    <row r="795" spans="1:5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row>
    <row r="796" spans="1:55"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row>
    <row r="797" spans="1:55"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row>
    <row r="798" spans="1:55"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row>
    <row r="799" spans="1:55"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row>
    <row r="800" spans="1:55"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row>
    <row r="801" spans="1:55"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row>
    <row r="802" spans="1:55"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row>
    <row r="803" spans="1:55"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row>
    <row r="804" spans="1:55"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row>
    <row r="805" spans="1:5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row>
    <row r="806" spans="1:55"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row>
    <row r="807" spans="1:55"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row>
    <row r="808" spans="1:55"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row>
    <row r="809" spans="1:55"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row>
    <row r="810" spans="1:55"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row>
    <row r="811" spans="1:55"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row>
    <row r="812" spans="1:55"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row>
    <row r="813" spans="1:55"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row>
    <row r="814" spans="1:55"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row>
    <row r="815" spans="1:5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row>
    <row r="816" spans="1:55"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row>
    <row r="817" spans="1:55"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row>
    <row r="818" spans="1:55"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row>
    <row r="819" spans="1:55"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row>
    <row r="820" spans="1:55"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row>
    <row r="821" spans="1:55"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row>
    <row r="822" spans="1:55"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row>
    <row r="823" spans="1:55"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row>
    <row r="824" spans="1:55"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row>
    <row r="825" spans="1:5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row>
    <row r="826" spans="1:55"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row>
    <row r="827" spans="1:55"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row>
    <row r="828" spans="1:55"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row>
    <row r="829" spans="1:55"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row>
    <row r="830" spans="1:55"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row>
    <row r="831" spans="1:55"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row>
    <row r="832" spans="1:55"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row>
    <row r="833" spans="1:55"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row>
    <row r="834" spans="1:55"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row>
    <row r="835" spans="1:5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row>
    <row r="836" spans="1:55"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row>
    <row r="837" spans="1:55"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row>
    <row r="838" spans="1:55"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row>
    <row r="839" spans="1:55"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row>
    <row r="840" spans="1:55"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row>
    <row r="841" spans="1:55"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row>
    <row r="842" spans="1:55"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row>
    <row r="843" spans="1:55"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row>
    <row r="844" spans="1:55"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row>
    <row r="845" spans="1:5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row>
    <row r="846" spans="1:55"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row>
    <row r="847" spans="1:55"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row>
    <row r="848" spans="1:55"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row>
    <row r="849" spans="1:55"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row>
    <row r="850" spans="1:55"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row>
    <row r="851" spans="1:55"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row>
    <row r="852" spans="1:55"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row>
    <row r="853" spans="1:55"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row>
    <row r="854" spans="1:55"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row>
    <row r="855" spans="1: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row>
    <row r="856" spans="1:55"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row>
    <row r="857" spans="1:55"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row>
    <row r="858" spans="1:55"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row>
    <row r="859" spans="1:55"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row>
    <row r="860" spans="1:55"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row>
    <row r="861" spans="1:55"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row>
    <row r="862" spans="1:55"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row>
    <row r="863" spans="1:55"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row>
    <row r="864" spans="1:55"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row>
    <row r="865" spans="1:5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row>
    <row r="866" spans="1:55"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row>
    <row r="867" spans="1:55"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row>
    <row r="868" spans="1:55"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row>
    <row r="869" spans="1:55"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row>
    <row r="870" spans="1:55"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row>
    <row r="871" spans="1:55"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row>
    <row r="872" spans="1:55"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row>
    <row r="873" spans="1:55"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row>
    <row r="874" spans="1:55"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row>
    <row r="875" spans="1:5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row>
    <row r="876" spans="1:55"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row>
    <row r="877" spans="1:55"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row>
    <row r="878" spans="1:55"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row>
    <row r="879" spans="1:55"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row>
    <row r="880" spans="1:55"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row>
    <row r="881" spans="1:55"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row>
    <row r="882" spans="1:55"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row>
    <row r="883" spans="1:55"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row>
    <row r="884" spans="1:55"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row>
    <row r="885" spans="1:5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row>
    <row r="886" spans="1:55"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row>
    <row r="887" spans="1:55"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row>
    <row r="888" spans="1:55"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row>
    <row r="889" spans="1:55"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row>
    <row r="890" spans="1:55"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row>
    <row r="891" spans="1:55"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row>
    <row r="892" spans="1:55"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row>
    <row r="893" spans="1:55"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row>
    <row r="894" spans="1:55"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row>
    <row r="895" spans="1:5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row>
    <row r="896" spans="1:55"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row>
    <row r="897" spans="1:55"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row>
    <row r="898" spans="1:55"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row>
    <row r="899" spans="1:55"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row>
    <row r="900" spans="1:55"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row>
    <row r="901" spans="1:55"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row>
    <row r="902" spans="1:55"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row>
    <row r="903" spans="1:55"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row>
    <row r="904" spans="1:55"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row>
    <row r="905" spans="1:5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row>
    <row r="906" spans="1:55"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row>
    <row r="907" spans="1:55"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row>
    <row r="908" spans="1:55"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row>
    <row r="909" spans="1:55"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row>
    <row r="910" spans="1:55"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row>
    <row r="911" spans="1:55"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row>
    <row r="912" spans="1:55"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row>
    <row r="913" spans="1:55"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row>
    <row r="914" spans="1:55"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row>
    <row r="915" spans="1:5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row>
    <row r="916" spans="1:55"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row>
    <row r="917" spans="1:55"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row>
    <row r="918" spans="1:55"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row>
    <row r="919" spans="1:55"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row>
    <row r="920" spans="1:55"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row>
    <row r="921" spans="1:55"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row>
    <row r="922" spans="1:55"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row>
    <row r="923" spans="1:55"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row>
    <row r="924" spans="1:55"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row>
    <row r="925" spans="1:5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row>
    <row r="926" spans="1:55"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row>
    <row r="927" spans="1:55"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row>
    <row r="928" spans="1:55"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row>
    <row r="929" spans="1:55"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row>
    <row r="930" spans="1:55"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row>
    <row r="931" spans="1:55"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row>
    <row r="932" spans="1:55"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row>
    <row r="933" spans="1:55"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row>
    <row r="934" spans="1:55"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row>
    <row r="935" spans="1:5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row>
    <row r="936" spans="1:55"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row>
    <row r="937" spans="1:55"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row>
    <row r="938" spans="1:55"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row>
    <row r="939" spans="1:55"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row>
    <row r="940" spans="1:55"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row>
    <row r="941" spans="1:55"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row>
    <row r="942" spans="1:55"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row>
    <row r="943" spans="1:55"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row>
    <row r="944" spans="1:55"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row>
    <row r="945" spans="1:5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row>
    <row r="946" spans="1:55"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row>
    <row r="947" spans="1:55"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row>
    <row r="948" spans="1:55"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row>
    <row r="949" spans="1:55"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row>
    <row r="950" spans="1:55"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row>
    <row r="951" spans="1:55"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row>
    <row r="952" spans="1:55"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row>
    <row r="953" spans="1:55"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row>
    <row r="954" spans="1:55"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row>
    <row r="955" spans="1: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row>
    <row r="956" spans="1:55"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row>
    <row r="957" spans="1:55"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row>
    <row r="958" spans="1:55"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row>
    <row r="959" spans="1:55"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row>
    <row r="960" spans="1:55"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row>
    <row r="961" spans="1:55"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row>
    <row r="962" spans="1:55"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row>
    <row r="963" spans="1:55"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row>
    <row r="964" spans="1:55"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row>
    <row r="965" spans="1:5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row>
    <row r="966" spans="1:55"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row>
    <row r="967" spans="1:55"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row>
    <row r="968" spans="1:55"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row>
    <row r="969" spans="1:55"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row>
    <row r="970" spans="1:55"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row>
    <row r="971" spans="1:55"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row>
    <row r="972" spans="1:55"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row>
    <row r="973" spans="1:55"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row>
    <row r="974" spans="1:55"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row>
    <row r="975" spans="1:5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row>
    <row r="976" spans="1:55"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row>
    <row r="977" spans="1:55"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row>
    <row r="978" spans="1:55"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row>
    <row r="979" spans="1:55"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row>
    <row r="980" spans="1:55"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row>
    <row r="981" spans="1:55"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row>
    <row r="982" spans="1:55"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row>
    <row r="983" spans="1:55"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row>
    <row r="984" spans="1:55"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row>
    <row r="985" spans="1:5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row>
    <row r="986" spans="1:55"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row>
    <row r="987" spans="1:55"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row>
    <row r="988" spans="1:55"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row>
    <row r="989" spans="1:55"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row>
    <row r="990" spans="1:55"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row>
    <row r="991" spans="1:55"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row>
    <row r="992" spans="1:55"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row>
    <row r="993" spans="1:55"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row>
    <row r="994" spans="1:55"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row>
    <row r="995" spans="1:5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row>
    <row r="996" spans="1:55"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row>
    <row r="997" spans="1:55"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row>
    <row r="998" spans="1:55"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row>
    <row r="999" spans="1:55"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row>
    <row r="1000" spans="1:55"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row>
  </sheetData>
  <mergeCells count="139">
    <mergeCell ref="A1:AN2"/>
    <mergeCell ref="T7:X10"/>
    <mergeCell ref="Y7:AC10"/>
    <mergeCell ref="AD7:AH10"/>
    <mergeCell ref="AI7:AM10"/>
    <mergeCell ref="T11:X11"/>
    <mergeCell ref="AI11:AM11"/>
    <mergeCell ref="B11:S11"/>
    <mergeCell ref="B12:S12"/>
    <mergeCell ref="T12:X12"/>
    <mergeCell ref="Y12:AC12"/>
    <mergeCell ref="AD12:AH12"/>
    <mergeCell ref="AI12:AM12"/>
    <mergeCell ref="C13:S13"/>
    <mergeCell ref="Y11:AC11"/>
    <mergeCell ref="AD11:AH11"/>
    <mergeCell ref="C18:S18"/>
    <mergeCell ref="T18:X18"/>
    <mergeCell ref="Y18:AC18"/>
    <mergeCell ref="AD18:AH18"/>
    <mergeCell ref="AI18:AM18"/>
    <mergeCell ref="T13:X13"/>
    <mergeCell ref="Y13:AC13"/>
    <mergeCell ref="AD13:AH13"/>
    <mergeCell ref="AI13:AM13"/>
    <mergeCell ref="C14:S14"/>
    <mergeCell ref="T14:X14"/>
    <mergeCell ref="Y14:AC14"/>
    <mergeCell ref="AD14:AH14"/>
    <mergeCell ref="AI14:AM14"/>
    <mergeCell ref="T15:X15"/>
    <mergeCell ref="AI15:AM15"/>
    <mergeCell ref="AD17:AH17"/>
    <mergeCell ref="AI17:AM17"/>
    <mergeCell ref="C15:S15"/>
    <mergeCell ref="C16:S16"/>
    <mergeCell ref="T16:X16"/>
    <mergeCell ref="T19:X19"/>
    <mergeCell ref="AI19:AM19"/>
    <mergeCell ref="C19:S19"/>
    <mergeCell ref="B20:S20"/>
    <mergeCell ref="T20:X20"/>
    <mergeCell ref="Y20:AC20"/>
    <mergeCell ref="AD20:AH20"/>
    <mergeCell ref="AI20:AM20"/>
    <mergeCell ref="B21:S21"/>
    <mergeCell ref="Y19:AC19"/>
    <mergeCell ref="AD19:AH19"/>
    <mergeCell ref="T21:X21"/>
    <mergeCell ref="Y21:AC21"/>
    <mergeCell ref="AD21:AH21"/>
    <mergeCell ref="AI21:AM21"/>
    <mergeCell ref="Y23:AC23"/>
    <mergeCell ref="AD23:AH23"/>
    <mergeCell ref="B22:S22"/>
    <mergeCell ref="T22:X22"/>
    <mergeCell ref="Y22:AC22"/>
    <mergeCell ref="AD22:AH22"/>
    <mergeCell ref="AI22:AM22"/>
    <mergeCell ref="T23:X23"/>
    <mergeCell ref="AI23:AM23"/>
    <mergeCell ref="B23:S23"/>
    <mergeCell ref="Y16:AC16"/>
    <mergeCell ref="AD16:AH16"/>
    <mergeCell ref="AI16:AM16"/>
    <mergeCell ref="C17:S17"/>
    <mergeCell ref="Y15:AC15"/>
    <mergeCell ref="AD15:AH15"/>
    <mergeCell ref="T17:X17"/>
    <mergeCell ref="Y17:AC17"/>
    <mergeCell ref="B31:AM31"/>
    <mergeCell ref="B24:S24"/>
    <mergeCell ref="T24:AM24"/>
    <mergeCell ref="T25:X25"/>
    <mergeCell ref="Y25:AC25"/>
    <mergeCell ref="AD25:AH25"/>
    <mergeCell ref="AI25:AM25"/>
    <mergeCell ref="B25:S25"/>
    <mergeCell ref="B26:S26"/>
    <mergeCell ref="T26:X26"/>
    <mergeCell ref="Y26:AC26"/>
    <mergeCell ref="AD26:AH26"/>
    <mergeCell ref="AI26:AM26"/>
    <mergeCell ref="B27:S27"/>
    <mergeCell ref="B28:S28"/>
    <mergeCell ref="T28:X28"/>
    <mergeCell ref="B38:X38"/>
    <mergeCell ref="Y38:AC38"/>
    <mergeCell ref="AD38:AH38"/>
    <mergeCell ref="Y39:AC39"/>
    <mergeCell ref="AD39:AH39"/>
    <mergeCell ref="Y35:AC37"/>
    <mergeCell ref="AD35:AH37"/>
    <mergeCell ref="AB47:AF47"/>
    <mergeCell ref="Y63:AC63"/>
    <mergeCell ref="B39:X39"/>
    <mergeCell ref="B40:X40"/>
    <mergeCell ref="Y40:AC40"/>
    <mergeCell ref="AD40:AH40"/>
    <mergeCell ref="B41:X41"/>
    <mergeCell ref="Y41:AH41"/>
    <mergeCell ref="A44:BC44"/>
    <mergeCell ref="AB48:AF48"/>
    <mergeCell ref="AB49:AF49"/>
    <mergeCell ref="AB50:AF50"/>
    <mergeCell ref="AB54:AF54"/>
    <mergeCell ref="AB55:AF55"/>
    <mergeCell ref="AB56:AF56"/>
    <mergeCell ref="AB57:AF57"/>
    <mergeCell ref="AB59:AF59"/>
    <mergeCell ref="AD63:AH63"/>
    <mergeCell ref="E51:Z52"/>
    <mergeCell ref="A61:BC61"/>
    <mergeCell ref="AB78:AF78"/>
    <mergeCell ref="AB79:AF79"/>
    <mergeCell ref="AB81:AF81"/>
    <mergeCell ref="A84:BC84"/>
    <mergeCell ref="AB87:AF87"/>
    <mergeCell ref="AB88:AF88"/>
    <mergeCell ref="AD64:AH64"/>
    <mergeCell ref="AD67:AH67"/>
    <mergeCell ref="AD68:AH68"/>
    <mergeCell ref="Y69:AH69"/>
    <mergeCell ref="AB72:AF72"/>
    <mergeCell ref="E73:AA75"/>
    <mergeCell ref="AB77:AF77"/>
    <mergeCell ref="Y64:AC64"/>
    <mergeCell ref="Y67:AC67"/>
    <mergeCell ref="Y68:AC68"/>
    <mergeCell ref="Y28:AC28"/>
    <mergeCell ref="AD28:AH28"/>
    <mergeCell ref="AI28:AM28"/>
    <mergeCell ref="B29:S29"/>
    <mergeCell ref="T29:AM29"/>
    <mergeCell ref="B30:AM30"/>
    <mergeCell ref="AD27:AH27"/>
    <mergeCell ref="AI27:AM27"/>
    <mergeCell ref="T27:X27"/>
    <mergeCell ref="Y27:AC27"/>
  </mergeCells>
  <conditionalFormatting sqref="B18:B19">
    <cfRule type="expression" dxfId="18" priority="1">
      <formula>AND($T$18&gt;0,OR($C$18="",$C$18="Subtract (specify other ineligible amounts):"))</formula>
    </cfRule>
  </conditionalFormatting>
  <conditionalFormatting sqref="C18:S19">
    <cfRule type="expression" dxfId="17" priority="2">
      <formula>AND(T18&gt;0,OR(C18="",C18="Subtract (specify other ineligible amounts):"))</formula>
    </cfRule>
  </conditionalFormatting>
  <conditionalFormatting sqref="AB59:AF60 AB81:AF81">
    <cfRule type="cellIs" dxfId="16" priority="3" stopIfTrue="1" operator="greaterThan">
      <formula>0</formula>
    </cfRule>
  </conditionalFormatting>
  <dataValidations count="4">
    <dataValidation type="decimal" operator="greaterThanOrEqual" allowBlank="1" showErrorMessage="1" sqref="T13:T19 Y13:Y19 AD13:AD19 AI13:AI19 AD21 AI21" xr:uid="{00000000-0002-0000-0700-000000000000}">
      <formula1>0</formula1>
    </dataValidation>
    <dataValidation type="decimal" allowBlank="1" showInputMessage="1" showErrorMessage="1" prompt="Federal Tax Credit Factor - Federal Tax Credit Factor must be within stated range." sqref="AB50" xr:uid="{00000000-0002-0000-0700-000001000000}">
      <formula1>0.75</formula1>
      <formula2>1.5</formula2>
    </dataValidation>
    <dataValidation type="decimal" operator="greaterThanOrEqual" allowBlank="1" showInputMessage="1" showErrorMessage="1" prompt="Voluntary Exclusions of Eligible Basis must be a positive number." sqref="T21 Y21" xr:uid="{00000000-0002-0000-0700-000002000000}">
      <formula1>0</formula1>
    </dataValidation>
    <dataValidation type="decimal" allowBlank="1" showInputMessage="1" showErrorMessage="1" prompt="State Tax Credit Factor - State Farmworker Tax Credit Factor must be within stated range." sqref="AB72" xr:uid="{00000000-0002-0000-0700-000003000000}">
      <formula1>0.7</formula1>
      <formula2>1.25</formula2>
    </dataValidation>
  </dataValidations>
  <pageMargins left="0.5" right="0.5" top="1" bottom="1" header="0" footer="0"/>
  <pageSetup orientation="portrait"/>
  <headerFooter>
    <oddFooter>&amp;C&amp;P&amp;R&amp;A</oddFoot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A897"/>
  <sheetViews>
    <sheetView showGridLines="0" topLeftCell="A812" workbookViewId="0">
      <selection activeCell="H823" sqref="H823:R823"/>
    </sheetView>
  </sheetViews>
  <sheetFormatPr defaultColWidth="12.6328125" defaultRowHeight="15" customHeight="1"/>
  <cols>
    <col min="1" max="1" width="2.7265625" customWidth="1"/>
    <col min="2" max="3" width="2.36328125" customWidth="1"/>
    <col min="4" max="4" width="3.08984375" customWidth="1"/>
    <col min="5" max="5" width="3.36328125" customWidth="1"/>
    <col min="6" max="6" width="2.90625" customWidth="1"/>
    <col min="7" max="14" width="2.36328125" customWidth="1"/>
    <col min="15" max="15" width="2.90625" customWidth="1"/>
    <col min="16" max="16" width="2.36328125" customWidth="1"/>
    <col min="17" max="17" width="3.90625" customWidth="1"/>
    <col min="18" max="18" width="4.6328125" customWidth="1"/>
    <col min="19" max="19" width="3.26953125" customWidth="1"/>
    <col min="20" max="26" width="2.36328125" customWidth="1"/>
    <col min="27" max="30" width="2.6328125" customWidth="1"/>
    <col min="31" max="32" width="2.36328125" customWidth="1"/>
    <col min="33" max="33" width="3.36328125" customWidth="1"/>
    <col min="34" max="36" width="2.36328125" customWidth="1"/>
    <col min="37" max="37" width="5.6328125" customWidth="1"/>
    <col min="38" max="38" width="2.36328125" customWidth="1"/>
    <col min="39" max="39" width="3.36328125" customWidth="1"/>
    <col min="40" max="40" width="5.6328125" customWidth="1"/>
    <col min="41" max="45" width="5.6328125" hidden="1" customWidth="1"/>
    <col min="46" max="46" width="10.90625" hidden="1" customWidth="1"/>
    <col min="47" max="48" width="5.6328125" hidden="1" customWidth="1"/>
    <col min="49" max="49" width="8.7265625" hidden="1" customWidth="1"/>
    <col min="50" max="50" width="7.36328125" hidden="1" customWidth="1"/>
    <col min="51" max="79" width="5.6328125" hidden="1" customWidth="1"/>
  </cols>
  <sheetData>
    <row r="1" spans="1:79" ht="15.75" customHeight="1">
      <c r="A1" s="1373" t="s">
        <v>1767</v>
      </c>
      <c r="B1" s="947"/>
      <c r="C1" s="947"/>
      <c r="D1" s="947"/>
      <c r="E1" s="947"/>
      <c r="F1" s="947"/>
      <c r="G1" s="947"/>
      <c r="H1" s="947"/>
      <c r="I1" s="947"/>
      <c r="J1" s="947"/>
      <c r="K1" s="947"/>
      <c r="L1" s="947"/>
      <c r="M1" s="947"/>
      <c r="N1" s="947"/>
      <c r="O1" s="947"/>
      <c r="P1" s="947"/>
      <c r="Q1" s="947"/>
      <c r="R1" s="947"/>
      <c r="S1" s="947"/>
      <c r="T1" s="947"/>
      <c r="U1" s="947"/>
      <c r="V1" s="947"/>
      <c r="W1" s="947"/>
      <c r="X1" s="947"/>
      <c r="Y1" s="947"/>
      <c r="Z1" s="947"/>
      <c r="AA1" s="947"/>
      <c r="AB1" s="947"/>
      <c r="AC1" s="947"/>
      <c r="AD1" s="947"/>
      <c r="AE1" s="947"/>
      <c r="AF1" s="947"/>
      <c r="AG1" s="947"/>
      <c r="AH1" s="947"/>
      <c r="AI1" s="947"/>
      <c r="AJ1" s="947"/>
      <c r="AK1" s="947"/>
      <c r="AL1" s="947"/>
      <c r="AM1" s="1374"/>
      <c r="AN1" s="345"/>
      <c r="AO1" s="203"/>
      <c r="AP1" s="1"/>
      <c r="AQ1" s="1"/>
      <c r="AR1" s="1"/>
      <c r="AS1" s="1"/>
      <c r="AT1" s="1"/>
      <c r="AU1" s="1"/>
      <c r="AV1" s="1"/>
      <c r="AW1" s="1"/>
      <c r="AX1" s="1"/>
      <c r="AY1" s="1"/>
      <c r="AZ1" s="1"/>
      <c r="BA1" s="1"/>
      <c r="BB1" s="1"/>
      <c r="BC1" s="1"/>
      <c r="BD1" s="126"/>
      <c r="BE1" s="126"/>
      <c r="BF1" s="126"/>
      <c r="BG1" s="126"/>
      <c r="BH1" s="126"/>
      <c r="BI1" s="1"/>
      <c r="BJ1" s="1"/>
      <c r="BK1" s="1"/>
      <c r="BL1" s="1"/>
      <c r="BM1" s="1"/>
      <c r="BN1" s="1"/>
      <c r="BO1" s="1"/>
      <c r="BP1" s="1"/>
      <c r="BQ1" s="1"/>
      <c r="BR1" s="1"/>
      <c r="BS1" s="1"/>
      <c r="BT1" s="1"/>
      <c r="BU1" s="1"/>
      <c r="BV1" s="1"/>
      <c r="BW1" s="1"/>
      <c r="BX1" s="1"/>
      <c r="BY1" s="1"/>
      <c r="BZ1" s="1"/>
      <c r="CA1" s="1"/>
    </row>
    <row r="2" spans="1:79" ht="12.75" customHeight="1">
      <c r="A2" s="903"/>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c r="AL2" s="904"/>
      <c r="AM2" s="905"/>
      <c r="AN2" s="267"/>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12.75" customHeight="1">
      <c r="A3" s="191"/>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267"/>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12.75" customHeight="1">
      <c r="A4" s="62" t="s">
        <v>1775</v>
      </c>
      <c r="B4" s="8" t="s">
        <v>1776</v>
      </c>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267"/>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12.75" customHeight="1">
      <c r="A5" s="62"/>
      <c r="B5" s="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267"/>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12.75" customHeight="1">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50"/>
      <c r="AN6" s="267"/>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12.75" customHeight="1">
      <c r="A7" s="62" t="s">
        <v>1787</v>
      </c>
      <c r="B7" s="8" t="s">
        <v>1788</v>
      </c>
      <c r="C7" s="8"/>
      <c r="D7" s="8"/>
      <c r="E7" s="8"/>
      <c r="F7" s="8"/>
      <c r="G7" s="8"/>
      <c r="H7" s="8"/>
      <c r="I7" s="8"/>
      <c r="J7" s="8"/>
      <c r="K7" s="8"/>
      <c r="L7" s="8"/>
      <c r="M7" s="8"/>
      <c r="N7" s="8"/>
      <c r="O7" s="8"/>
      <c r="P7" s="8"/>
      <c r="Q7" s="8"/>
      <c r="R7" s="8"/>
      <c r="S7" s="8"/>
      <c r="T7" s="8"/>
      <c r="U7" s="8"/>
      <c r="V7" s="8"/>
      <c r="W7" s="8"/>
      <c r="X7" s="8"/>
      <c r="Y7" s="8"/>
      <c r="Z7" s="8"/>
      <c r="AA7" s="8"/>
      <c r="AB7" s="8"/>
      <c r="AC7" s="8"/>
      <c r="AD7" s="8"/>
      <c r="AE7" s="1396" t="s">
        <v>1790</v>
      </c>
      <c r="AF7" s="893"/>
      <c r="AG7" s="893"/>
      <c r="AH7" s="893"/>
      <c r="AI7" s="893"/>
      <c r="AJ7" s="893"/>
      <c r="AK7" s="893"/>
      <c r="AL7" s="348"/>
      <c r="AM7" s="348"/>
      <c r="AN7" s="267"/>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2.7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345"/>
      <c r="AO8" s="203"/>
      <c r="AP8" s="1"/>
      <c r="AQ8" s="1"/>
      <c r="AR8" s="1"/>
      <c r="AS8" s="1"/>
      <c r="AT8" s="1"/>
      <c r="AU8" s="1"/>
      <c r="AV8" s="1"/>
      <c r="AW8" s="1"/>
      <c r="AX8" s="1"/>
      <c r="AY8" s="1"/>
      <c r="AZ8" s="1"/>
      <c r="BA8" s="1"/>
      <c r="BB8" s="1"/>
      <c r="BC8" s="1"/>
      <c r="BD8" s="126"/>
      <c r="BE8" s="126"/>
      <c r="BF8" s="126"/>
      <c r="BG8" s="126"/>
      <c r="BH8" s="126"/>
      <c r="BI8" s="1"/>
      <c r="BJ8" s="1"/>
      <c r="BK8" s="1"/>
      <c r="BL8" s="1"/>
      <c r="BM8" s="1"/>
      <c r="BN8" s="1"/>
      <c r="BO8" s="1"/>
      <c r="BP8" s="1"/>
      <c r="BQ8" s="1"/>
      <c r="BR8" s="1"/>
      <c r="BS8" s="1"/>
      <c r="BT8" s="1"/>
      <c r="BU8" s="1"/>
      <c r="BV8" s="1"/>
      <c r="BW8" s="1"/>
      <c r="BX8" s="1"/>
      <c r="BY8" s="1"/>
      <c r="BZ8" s="1"/>
      <c r="CA8" s="1"/>
    </row>
    <row r="9" spans="1:79" ht="12.75" customHeight="1">
      <c r="A9" s="8"/>
      <c r="B9" s="8" t="s">
        <v>1792</v>
      </c>
      <c r="C9" s="352"/>
      <c r="D9" s="352"/>
      <c r="E9" s="1"/>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267"/>
      <c r="AO9" s="354"/>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12.75" customHeight="1">
      <c r="A10" s="352"/>
      <c r="B10" s="352"/>
      <c r="C10" s="352"/>
      <c r="D10" s="352"/>
      <c r="E10" s="52"/>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267"/>
      <c r="AO10" s="354"/>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12.75" customHeight="1">
      <c r="A11" s="348"/>
      <c r="B11" s="973" t="s">
        <v>855</v>
      </c>
      <c r="C11" s="969"/>
      <c r="D11" s="348"/>
      <c r="E11" s="1427" t="s">
        <v>1794</v>
      </c>
      <c r="F11" s="1384"/>
      <c r="G11" s="1384"/>
      <c r="H11" s="1384"/>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c r="AJ11" s="1385"/>
      <c r="AK11" s="348"/>
      <c r="AL11" s="348"/>
      <c r="AM11" s="348"/>
      <c r="AN11" s="267"/>
      <c r="AO11" s="354"/>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12.75" customHeight="1">
      <c r="A12" s="348"/>
      <c r="B12" s="1"/>
      <c r="C12" s="1"/>
      <c r="D12" s="352"/>
      <c r="E12" s="1386"/>
      <c r="F12" s="893"/>
      <c r="G12" s="893"/>
      <c r="H12" s="893"/>
      <c r="I12" s="893"/>
      <c r="J12" s="893"/>
      <c r="K12" s="893"/>
      <c r="L12" s="893"/>
      <c r="M12" s="893"/>
      <c r="N12" s="893"/>
      <c r="O12" s="893"/>
      <c r="P12" s="893"/>
      <c r="Q12" s="893"/>
      <c r="R12" s="893"/>
      <c r="S12" s="893"/>
      <c r="T12" s="893"/>
      <c r="U12" s="893"/>
      <c r="V12" s="893"/>
      <c r="W12" s="893"/>
      <c r="X12" s="893"/>
      <c r="Y12" s="893"/>
      <c r="Z12" s="893"/>
      <c r="AA12" s="893"/>
      <c r="AB12" s="893"/>
      <c r="AC12" s="893"/>
      <c r="AD12" s="893"/>
      <c r="AE12" s="893"/>
      <c r="AF12" s="893"/>
      <c r="AG12" s="893"/>
      <c r="AH12" s="893"/>
      <c r="AI12" s="893"/>
      <c r="AJ12" s="1387"/>
      <c r="AK12" s="348"/>
      <c r="AL12" s="348"/>
      <c r="AM12" s="348"/>
      <c r="AN12" s="267"/>
      <c r="AO12" s="354"/>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12.75" customHeight="1">
      <c r="A13" s="348"/>
      <c r="B13" s="1"/>
      <c r="C13" s="1"/>
      <c r="D13" s="348"/>
      <c r="E13" s="1388"/>
      <c r="F13" s="1389"/>
      <c r="G13" s="1389"/>
      <c r="H13" s="1389"/>
      <c r="I13" s="1389"/>
      <c r="J13" s="1389"/>
      <c r="K13" s="1389"/>
      <c r="L13" s="1389"/>
      <c r="M13" s="1389"/>
      <c r="N13" s="1389"/>
      <c r="O13" s="1389"/>
      <c r="P13" s="1389"/>
      <c r="Q13" s="1389"/>
      <c r="R13" s="1389"/>
      <c r="S13" s="1389"/>
      <c r="T13" s="1389"/>
      <c r="U13" s="1389"/>
      <c r="V13" s="1389"/>
      <c r="W13" s="1389"/>
      <c r="X13" s="1389"/>
      <c r="Y13" s="1389"/>
      <c r="Z13" s="1389"/>
      <c r="AA13" s="1389"/>
      <c r="AB13" s="1389"/>
      <c r="AC13" s="1389"/>
      <c r="AD13" s="1389"/>
      <c r="AE13" s="1389"/>
      <c r="AF13" s="1389"/>
      <c r="AG13" s="1389"/>
      <c r="AH13" s="1389"/>
      <c r="AI13" s="1389"/>
      <c r="AJ13" s="1390"/>
      <c r="AK13" s="348"/>
      <c r="AL13" s="348"/>
      <c r="AM13" s="348"/>
      <c r="AN13" s="267"/>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12.75" customHeight="1">
      <c r="A14" s="348"/>
      <c r="B14" s="348"/>
      <c r="C14" s="348"/>
      <c r="D14" s="352"/>
      <c r="E14" s="52"/>
      <c r="F14" s="354"/>
      <c r="G14" s="354"/>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267"/>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12.75" customHeight="1">
      <c r="A15" s="348"/>
      <c r="B15" s="973" t="s">
        <v>855</v>
      </c>
      <c r="C15" s="969"/>
      <c r="D15" s="348"/>
      <c r="E15" s="1427" t="s">
        <v>1798</v>
      </c>
      <c r="F15" s="1384"/>
      <c r="G15" s="1384"/>
      <c r="H15" s="1384"/>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c r="AJ15" s="1385"/>
      <c r="AK15" s="348"/>
      <c r="AL15" s="348"/>
      <c r="AM15" s="348"/>
      <c r="AN15" s="267"/>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12.75" customHeight="1">
      <c r="A16" s="348"/>
      <c r="B16" s="348"/>
      <c r="C16" s="348"/>
      <c r="D16" s="348"/>
      <c r="E16" s="1386"/>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c r="AE16" s="893"/>
      <c r="AF16" s="893"/>
      <c r="AG16" s="893"/>
      <c r="AH16" s="893"/>
      <c r="AI16" s="893"/>
      <c r="AJ16" s="1387"/>
      <c r="AK16" s="348"/>
      <c r="AL16" s="348"/>
      <c r="AM16" s="348"/>
      <c r="AN16" s="267"/>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12.75" customHeight="1">
      <c r="A17" s="348"/>
      <c r="B17" s="348"/>
      <c r="C17" s="357"/>
      <c r="D17" s="348"/>
      <c r="E17" s="1388"/>
      <c r="F17" s="1389"/>
      <c r="G17" s="1389"/>
      <c r="H17" s="1389"/>
      <c r="I17" s="1389"/>
      <c r="J17" s="1389"/>
      <c r="K17" s="1389"/>
      <c r="L17" s="1389"/>
      <c r="M17" s="1389"/>
      <c r="N17" s="1389"/>
      <c r="O17" s="1389"/>
      <c r="P17" s="1389"/>
      <c r="Q17" s="1389"/>
      <c r="R17" s="1389"/>
      <c r="S17" s="1389"/>
      <c r="T17" s="1389"/>
      <c r="U17" s="1389"/>
      <c r="V17" s="1389"/>
      <c r="W17" s="1389"/>
      <c r="X17" s="1389"/>
      <c r="Y17" s="1389"/>
      <c r="Z17" s="1389"/>
      <c r="AA17" s="1389"/>
      <c r="AB17" s="1389"/>
      <c r="AC17" s="1389"/>
      <c r="AD17" s="1389"/>
      <c r="AE17" s="1389"/>
      <c r="AF17" s="1389"/>
      <c r="AG17" s="1389"/>
      <c r="AH17" s="1389"/>
      <c r="AI17" s="1389"/>
      <c r="AJ17" s="1390"/>
      <c r="AK17" s="348"/>
      <c r="AL17" s="348"/>
      <c r="AM17" s="348"/>
      <c r="AN17" s="267"/>
      <c r="AO17" s="354"/>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12.75" customHeight="1">
      <c r="A18" s="348"/>
      <c r="B18" s="348"/>
      <c r="C18" s="348"/>
      <c r="D18" s="352"/>
      <c r="E18" s="52"/>
      <c r="F18" s="354"/>
      <c r="G18" s="354"/>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267"/>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12.75" customHeight="1">
      <c r="A19" s="348"/>
      <c r="B19" s="973" t="s">
        <v>855</v>
      </c>
      <c r="C19" s="969"/>
      <c r="D19" s="348"/>
      <c r="E19" s="1427" t="s">
        <v>1801</v>
      </c>
      <c r="F19" s="1384"/>
      <c r="G19" s="1384"/>
      <c r="H19" s="1384"/>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c r="AJ19" s="1385"/>
      <c r="AK19" s="348"/>
      <c r="AL19" s="348"/>
      <c r="AM19" s="348"/>
      <c r="AN19" s="267"/>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12.75" customHeight="1">
      <c r="A20" s="348"/>
      <c r="B20" s="352"/>
      <c r="C20" s="352"/>
      <c r="D20" s="352"/>
      <c r="E20" s="1388"/>
      <c r="F20" s="1389"/>
      <c r="G20" s="1389"/>
      <c r="H20" s="1389"/>
      <c r="I20" s="1389"/>
      <c r="J20" s="1389"/>
      <c r="K20" s="1389"/>
      <c r="L20" s="1389"/>
      <c r="M20" s="1389"/>
      <c r="N20" s="1389"/>
      <c r="O20" s="1389"/>
      <c r="P20" s="1389"/>
      <c r="Q20" s="1389"/>
      <c r="R20" s="1389"/>
      <c r="S20" s="1389"/>
      <c r="T20" s="1389"/>
      <c r="U20" s="1389"/>
      <c r="V20" s="1389"/>
      <c r="W20" s="1389"/>
      <c r="X20" s="1389"/>
      <c r="Y20" s="1389"/>
      <c r="Z20" s="1389"/>
      <c r="AA20" s="1389"/>
      <c r="AB20" s="1389"/>
      <c r="AC20" s="1389"/>
      <c r="AD20" s="1389"/>
      <c r="AE20" s="1389"/>
      <c r="AF20" s="1389"/>
      <c r="AG20" s="1389"/>
      <c r="AH20" s="1389"/>
      <c r="AI20" s="1389"/>
      <c r="AJ20" s="1390"/>
      <c r="AK20" s="348"/>
      <c r="AL20" s="348"/>
      <c r="AM20" s="348"/>
      <c r="AN20" s="267"/>
      <c r="AO20" s="1">
        <f>IF(AND(B11="Yes",B15="Yes",B19="Yes"),10,0)</f>
        <v>0</v>
      </c>
      <c r="AP20" s="1" t="s">
        <v>1806</v>
      </c>
      <c r="AQ20" s="1"/>
      <c r="AR20" s="1"/>
      <c r="AS20" s="1"/>
      <c r="AT20" s="1"/>
      <c r="AU20" s="1"/>
      <c r="AV20" s="1"/>
      <c r="AW20" s="1"/>
      <c r="AX20" s="8"/>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12.75" customHeight="1">
      <c r="A21" s="348"/>
      <c r="B21" s="352"/>
      <c r="C21" s="352"/>
      <c r="D21" s="352"/>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8"/>
      <c r="AL21" s="348"/>
      <c r="AM21" s="348"/>
      <c r="AN21" s="267"/>
      <c r="AO21" s="1"/>
      <c r="AP21" s="1"/>
      <c r="AQ21" s="1"/>
      <c r="AR21" s="1"/>
      <c r="AS21" s="1"/>
      <c r="AT21" s="1"/>
      <c r="AU21" s="1"/>
      <c r="AV21" s="1"/>
      <c r="AW21" s="1"/>
      <c r="AX21" s="8"/>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12.75" customHeight="1">
      <c r="A22" s="62"/>
      <c r="B22" s="8" t="s">
        <v>1809</v>
      </c>
      <c r="C22" s="1"/>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237"/>
      <c r="AF22" s="237"/>
      <c r="AG22" s="237"/>
      <c r="AH22" s="237"/>
      <c r="AI22" s="237"/>
      <c r="AJ22" s="237"/>
      <c r="AK22" s="237"/>
      <c r="AL22" s="348"/>
      <c r="AM22" s="348"/>
      <c r="AN22" s="267"/>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12.75" customHeight="1">
      <c r="A23" s="348"/>
      <c r="B23" s="352"/>
      <c r="C23" s="352"/>
      <c r="D23" s="352"/>
      <c r="E23" s="52"/>
      <c r="F23" s="348"/>
      <c r="G23" s="348"/>
      <c r="H23" s="348"/>
      <c r="I23" s="348"/>
      <c r="J23" s="348"/>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48"/>
      <c r="AI23" s="348"/>
      <c r="AJ23" s="348"/>
      <c r="AK23" s="348"/>
      <c r="AL23" s="348"/>
      <c r="AM23" s="348"/>
      <c r="AN23" s="267"/>
      <c r="AO23" s="1"/>
      <c r="AP23" s="1"/>
      <c r="AQ23" s="1"/>
      <c r="AR23" s="1"/>
      <c r="AS23" s="1"/>
      <c r="AT23" s="1"/>
      <c r="AU23" s="1"/>
      <c r="AV23" s="1"/>
      <c r="AW23" s="1"/>
      <c r="AX23" s="8"/>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12.75" customHeight="1">
      <c r="A24" s="62"/>
      <c r="B24" s="1"/>
      <c r="C24" s="362" t="s">
        <v>1810</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237"/>
      <c r="AF24" s="237"/>
      <c r="AG24" s="237"/>
      <c r="AH24" s="237"/>
      <c r="AI24" s="237"/>
      <c r="AJ24" s="237"/>
      <c r="AK24" s="237"/>
      <c r="AL24" s="348"/>
      <c r="AM24" s="348"/>
      <c r="AN24" s="267"/>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12.75" customHeight="1">
      <c r="A25" s="348"/>
      <c r="B25" s="1"/>
      <c r="C25" s="1"/>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48"/>
      <c r="AL25" s="348"/>
      <c r="AM25" s="348"/>
      <c r="AN25" s="267"/>
      <c r="AO25" s="17"/>
      <c r="AP25" s="7"/>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12.75" customHeight="1">
      <c r="A26" s="348"/>
      <c r="B26" s="973" t="s">
        <v>901</v>
      </c>
      <c r="C26" s="969"/>
      <c r="D26" s="352"/>
      <c r="E26" s="363" t="s">
        <v>1812</v>
      </c>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1470"/>
      <c r="AH26" s="1465"/>
      <c r="AI26" s="1465"/>
      <c r="AJ26" s="1466"/>
      <c r="AK26" s="348"/>
      <c r="AL26" s="348"/>
      <c r="AM26" s="348"/>
      <c r="AN26" s="267"/>
      <c r="AO26" s="1">
        <f>IF($B26="yes",20,0)</f>
        <v>20</v>
      </c>
      <c r="AP26" s="1" t="s">
        <v>1806</v>
      </c>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12.75" customHeight="1">
      <c r="A27" s="348"/>
      <c r="B27" s="348"/>
      <c r="C27" s="348"/>
      <c r="D27" s="1"/>
      <c r="E27" s="348"/>
      <c r="F27" s="348"/>
      <c r="G27" s="348"/>
      <c r="H27" s="348"/>
      <c r="I27" s="348"/>
      <c r="J27" s="348"/>
      <c r="K27" s="348"/>
      <c r="L27" s="348"/>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c r="AJ27" s="348"/>
      <c r="AK27" s="348"/>
      <c r="AL27" s="348"/>
      <c r="AM27" s="348"/>
      <c r="AN27" s="267"/>
      <c r="AO27" s="117"/>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12.75" customHeight="1">
      <c r="A28" s="348"/>
      <c r="B28" s="348"/>
      <c r="C28" s="365" t="s">
        <v>1818</v>
      </c>
      <c r="D28" s="117"/>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c r="AM28" s="348"/>
      <c r="AN28" s="267"/>
      <c r="AO28" s="117"/>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12.75" customHeight="1">
      <c r="A29" s="348"/>
      <c r="B29" s="348"/>
      <c r="C29" s="365"/>
      <c r="D29" s="117"/>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8"/>
      <c r="AN29" s="267"/>
      <c r="AO29" s="117"/>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12.75" customHeight="1">
      <c r="A30" s="348"/>
      <c r="B30" s="973" t="s">
        <v>855</v>
      </c>
      <c r="C30" s="969"/>
      <c r="D30" s="352"/>
      <c r="E30" s="1469" t="s">
        <v>1823</v>
      </c>
      <c r="F30" s="1384"/>
      <c r="G30" s="1384"/>
      <c r="H30" s="1384"/>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c r="AJ30" s="1385"/>
      <c r="AK30" s="348"/>
      <c r="AL30" s="348"/>
      <c r="AM30" s="348"/>
      <c r="AN30" s="267"/>
      <c r="AO30" s="117">
        <f>IF($B30="yes",9,0)</f>
        <v>0</v>
      </c>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12.75" customHeight="1">
      <c r="A31" s="348"/>
      <c r="B31" s="348"/>
      <c r="C31" s="348"/>
      <c r="D31" s="1"/>
      <c r="E31" s="1388"/>
      <c r="F31" s="1389"/>
      <c r="G31" s="1389"/>
      <c r="H31" s="1389"/>
      <c r="I31" s="1389"/>
      <c r="J31" s="1389"/>
      <c r="K31" s="1389"/>
      <c r="L31" s="1389"/>
      <c r="M31" s="1389"/>
      <c r="N31" s="1389"/>
      <c r="O31" s="1389"/>
      <c r="P31" s="1389"/>
      <c r="Q31" s="1389"/>
      <c r="R31" s="1389"/>
      <c r="S31" s="1389"/>
      <c r="T31" s="1389"/>
      <c r="U31" s="1389"/>
      <c r="V31" s="1389"/>
      <c r="W31" s="1389"/>
      <c r="X31" s="1389"/>
      <c r="Y31" s="1389"/>
      <c r="Z31" s="1389"/>
      <c r="AA31" s="1389"/>
      <c r="AB31" s="1389"/>
      <c r="AC31" s="1389"/>
      <c r="AD31" s="1389"/>
      <c r="AE31" s="1389"/>
      <c r="AF31" s="1389"/>
      <c r="AG31" s="1389"/>
      <c r="AH31" s="1389"/>
      <c r="AI31" s="1389"/>
      <c r="AJ31" s="1390"/>
      <c r="AK31" s="348"/>
      <c r="AL31" s="348"/>
      <c r="AM31" s="348"/>
      <c r="AN31" s="267"/>
      <c r="AO31" s="117">
        <f>IF($B33="yes",9,0)</f>
        <v>0</v>
      </c>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12.75" customHeight="1">
      <c r="A32" s="348"/>
      <c r="B32" s="348"/>
      <c r="C32" s="348"/>
      <c r="D32" s="1"/>
      <c r="E32" s="1"/>
      <c r="F32" s="366"/>
      <c r="G32" s="366"/>
      <c r="H32" s="366"/>
      <c r="I32" s="366"/>
      <c r="J32" s="366"/>
      <c r="K32" s="366"/>
      <c r="L32" s="366"/>
      <c r="M32" s="366"/>
      <c r="N32" s="366"/>
      <c r="O32" s="366"/>
      <c r="P32" s="366"/>
      <c r="Q32" s="366"/>
      <c r="R32" s="366"/>
      <c r="S32" s="366"/>
      <c r="T32" s="366"/>
      <c r="U32" s="366"/>
      <c r="V32" s="366"/>
      <c r="W32" s="366"/>
      <c r="X32" s="366"/>
      <c r="Y32" s="366"/>
      <c r="Z32" s="366"/>
      <c r="AA32" s="366"/>
      <c r="AB32" s="366"/>
      <c r="AC32" s="366"/>
      <c r="AD32" s="366"/>
      <c r="AE32" s="366"/>
      <c r="AF32" s="366"/>
      <c r="AG32" s="366"/>
      <c r="AH32" s="366"/>
      <c r="AI32" s="366"/>
      <c r="AJ32" s="366"/>
      <c r="AK32" s="348"/>
      <c r="AL32" s="348"/>
      <c r="AM32" s="348"/>
      <c r="AN32" s="267"/>
      <c r="AO32" s="117">
        <f>IF($B37="yes",9,0)</f>
        <v>0</v>
      </c>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12.75" customHeight="1">
      <c r="A33" s="348"/>
      <c r="B33" s="973" t="s">
        <v>855</v>
      </c>
      <c r="C33" s="969"/>
      <c r="D33" s="352"/>
      <c r="E33" s="1469" t="s">
        <v>1830</v>
      </c>
      <c r="F33" s="1384"/>
      <c r="G33" s="1384"/>
      <c r="H33" s="1384"/>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c r="AJ33" s="1385"/>
      <c r="AK33" s="348"/>
      <c r="AL33" s="348"/>
      <c r="AM33" s="348"/>
      <c r="AN33" s="267"/>
      <c r="AO33" s="117">
        <f>IF($B39="yes",9,0)</f>
        <v>0</v>
      </c>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12.75" customHeight="1">
      <c r="A34" s="348"/>
      <c r="B34" s="348"/>
      <c r="C34" s="348"/>
      <c r="D34" s="352"/>
      <c r="E34" s="1386"/>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c r="AE34" s="893"/>
      <c r="AF34" s="893"/>
      <c r="AG34" s="893"/>
      <c r="AH34" s="893"/>
      <c r="AI34" s="893"/>
      <c r="AJ34" s="1387"/>
      <c r="AK34" s="348"/>
      <c r="AL34" s="348"/>
      <c r="AM34" s="348"/>
      <c r="AN34" s="267"/>
      <c r="AO34" s="1">
        <f>MAX(AO30,AO31,AO32,AO33)</f>
        <v>0</v>
      </c>
      <c r="AP34" s="1" t="s">
        <v>1806</v>
      </c>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12.75" customHeight="1">
      <c r="A35" s="348"/>
      <c r="B35" s="348"/>
      <c r="C35" s="348"/>
      <c r="D35" s="1"/>
      <c r="E35" s="1388"/>
      <c r="F35" s="1389"/>
      <c r="G35" s="1389"/>
      <c r="H35" s="1389"/>
      <c r="I35" s="1389"/>
      <c r="J35" s="1389"/>
      <c r="K35" s="1389"/>
      <c r="L35" s="1389"/>
      <c r="M35" s="1389"/>
      <c r="N35" s="1389"/>
      <c r="O35" s="1389"/>
      <c r="P35" s="1389"/>
      <c r="Q35" s="1389"/>
      <c r="R35" s="1389"/>
      <c r="S35" s="1389"/>
      <c r="T35" s="1389"/>
      <c r="U35" s="1389"/>
      <c r="V35" s="1389"/>
      <c r="W35" s="1389"/>
      <c r="X35" s="1389"/>
      <c r="Y35" s="1389"/>
      <c r="Z35" s="1389"/>
      <c r="AA35" s="1389"/>
      <c r="AB35" s="1389"/>
      <c r="AC35" s="1389"/>
      <c r="AD35" s="1389"/>
      <c r="AE35" s="1389"/>
      <c r="AF35" s="1389"/>
      <c r="AG35" s="1389"/>
      <c r="AH35" s="1389"/>
      <c r="AI35" s="1389"/>
      <c r="AJ35" s="1390"/>
      <c r="AK35" s="348"/>
      <c r="AL35" s="348"/>
      <c r="AM35" s="348"/>
      <c r="AN35" s="267"/>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12.75" customHeight="1">
      <c r="A36" s="348"/>
      <c r="B36" s="348"/>
      <c r="C36" s="348"/>
      <c r="D36" s="1"/>
      <c r="E36" s="1"/>
      <c r="F36" s="366"/>
      <c r="G36" s="366"/>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366"/>
      <c r="AH36" s="366"/>
      <c r="AI36" s="366"/>
      <c r="AJ36" s="366"/>
      <c r="AK36" s="348"/>
      <c r="AL36" s="348"/>
      <c r="AM36" s="348"/>
      <c r="AN36" s="267"/>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12.75" customHeight="1">
      <c r="A37" s="348"/>
      <c r="B37" s="973" t="s">
        <v>855</v>
      </c>
      <c r="C37" s="969"/>
      <c r="D37" s="221"/>
      <c r="E37" s="1464" t="s">
        <v>1840</v>
      </c>
      <c r="F37" s="1465"/>
      <c r="G37" s="1465"/>
      <c r="H37" s="1465"/>
      <c r="I37" s="1465"/>
      <c r="J37" s="1465"/>
      <c r="K37" s="1465"/>
      <c r="L37" s="1465"/>
      <c r="M37" s="1465"/>
      <c r="N37" s="1465"/>
      <c r="O37" s="1465"/>
      <c r="P37" s="1465"/>
      <c r="Q37" s="1465"/>
      <c r="R37" s="1465"/>
      <c r="S37" s="1465"/>
      <c r="T37" s="1465"/>
      <c r="U37" s="1465"/>
      <c r="V37" s="1465"/>
      <c r="W37" s="1465"/>
      <c r="X37" s="1465"/>
      <c r="Y37" s="1465"/>
      <c r="Z37" s="1465"/>
      <c r="AA37" s="1465"/>
      <c r="AB37" s="1465"/>
      <c r="AC37" s="1465"/>
      <c r="AD37" s="1465"/>
      <c r="AE37" s="1465"/>
      <c r="AF37" s="1465"/>
      <c r="AG37" s="1465"/>
      <c r="AH37" s="1465"/>
      <c r="AI37" s="1465"/>
      <c r="AJ37" s="1466"/>
      <c r="AK37" s="221"/>
      <c r="AL37" s="348"/>
      <c r="AM37" s="348"/>
      <c r="AN37" s="267"/>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12.75" customHeight="1">
      <c r="A38" s="348"/>
      <c r="B38" s="348"/>
      <c r="C38" s="348"/>
      <c r="D38" s="1"/>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c r="AF38" s="348"/>
      <c r="AG38" s="348"/>
      <c r="AH38" s="348"/>
      <c r="AI38" s="348"/>
      <c r="AJ38" s="348"/>
      <c r="AK38" s="348"/>
      <c r="AL38" s="348"/>
      <c r="AM38" s="348"/>
      <c r="AN38" s="267"/>
      <c r="AO38" s="354"/>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12.75" customHeight="1">
      <c r="A39" s="348"/>
      <c r="B39" s="973" t="s">
        <v>855</v>
      </c>
      <c r="C39" s="969"/>
      <c r="D39" s="221"/>
      <c r="E39" s="1464" t="s">
        <v>1843</v>
      </c>
      <c r="F39" s="1465"/>
      <c r="G39" s="1465"/>
      <c r="H39" s="1465"/>
      <c r="I39" s="1465"/>
      <c r="J39" s="1465"/>
      <c r="K39" s="1465"/>
      <c r="L39" s="1465"/>
      <c r="M39" s="1465"/>
      <c r="N39" s="1465"/>
      <c r="O39" s="1465"/>
      <c r="P39" s="1465"/>
      <c r="Q39" s="1465"/>
      <c r="R39" s="1465"/>
      <c r="S39" s="1465"/>
      <c r="T39" s="1465"/>
      <c r="U39" s="1465"/>
      <c r="V39" s="1465"/>
      <c r="W39" s="1465"/>
      <c r="X39" s="1465"/>
      <c r="Y39" s="1465"/>
      <c r="Z39" s="1465"/>
      <c r="AA39" s="1465"/>
      <c r="AB39" s="1465"/>
      <c r="AC39" s="1465"/>
      <c r="AD39" s="1465"/>
      <c r="AE39" s="1465"/>
      <c r="AF39" s="1465"/>
      <c r="AG39" s="1465"/>
      <c r="AH39" s="1465"/>
      <c r="AI39" s="1465"/>
      <c r="AJ39" s="1466"/>
      <c r="AK39" s="221"/>
      <c r="AL39" s="348"/>
      <c r="AM39" s="348"/>
      <c r="AN39" s="267"/>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12.75" customHeight="1">
      <c r="A40" s="348"/>
      <c r="B40" s="348"/>
      <c r="C40" s="348"/>
      <c r="D40" s="1"/>
      <c r="E40" s="348"/>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8"/>
      <c r="AE40" s="348"/>
      <c r="AF40" s="348"/>
      <c r="AG40" s="348"/>
      <c r="AH40" s="348"/>
      <c r="AI40" s="348"/>
      <c r="AJ40" s="348"/>
      <c r="AK40" s="348"/>
      <c r="AL40" s="348"/>
      <c r="AM40" s="348"/>
      <c r="AN40" s="267"/>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12.75" customHeight="1">
      <c r="A41" s="348"/>
      <c r="B41" s="348"/>
      <c r="C41" s="365" t="s">
        <v>1844</v>
      </c>
      <c r="D41" s="117"/>
      <c r="E41" s="348"/>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8"/>
      <c r="AE41" s="348"/>
      <c r="AF41" s="348"/>
      <c r="AG41" s="348"/>
      <c r="AH41" s="348"/>
      <c r="AI41" s="348"/>
      <c r="AJ41" s="348"/>
      <c r="AK41" s="348"/>
      <c r="AL41" s="348"/>
      <c r="AM41" s="348"/>
      <c r="AN41" s="267"/>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12.75" customHeight="1">
      <c r="A42" s="348"/>
      <c r="B42" s="348"/>
      <c r="C42" s="365"/>
      <c r="D42" s="117"/>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267"/>
      <c r="AO42" s="117"/>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12.75" customHeight="1">
      <c r="A43" s="348"/>
      <c r="B43" s="973" t="s">
        <v>855</v>
      </c>
      <c r="C43" s="969"/>
      <c r="D43" s="352"/>
      <c r="E43" s="1456" t="s">
        <v>1846</v>
      </c>
      <c r="F43" s="1384"/>
      <c r="G43" s="1384"/>
      <c r="H43" s="1384"/>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c r="AJ43" s="1385"/>
      <c r="AK43" s="348"/>
      <c r="AL43" s="348"/>
      <c r="AM43" s="348"/>
      <c r="AN43" s="267"/>
      <c r="AO43" s="117">
        <f>IF($B43="yes",8,0)</f>
        <v>0</v>
      </c>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12.75" customHeight="1">
      <c r="A44" s="348"/>
      <c r="B44" s="348"/>
      <c r="C44" s="348"/>
      <c r="D44" s="76"/>
      <c r="E44" s="1388"/>
      <c r="F44" s="1389"/>
      <c r="G44" s="1389"/>
      <c r="H44" s="1389"/>
      <c r="I44" s="1389"/>
      <c r="J44" s="1389"/>
      <c r="K44" s="1389"/>
      <c r="L44" s="1389"/>
      <c r="M44" s="1389"/>
      <c r="N44" s="1389"/>
      <c r="O44" s="1389"/>
      <c r="P44" s="1389"/>
      <c r="Q44" s="1389"/>
      <c r="R44" s="1389"/>
      <c r="S44" s="1389"/>
      <c r="T44" s="1389"/>
      <c r="U44" s="1389"/>
      <c r="V44" s="1389"/>
      <c r="W44" s="1389"/>
      <c r="X44" s="1389"/>
      <c r="Y44" s="1389"/>
      <c r="Z44" s="1389"/>
      <c r="AA44" s="1389"/>
      <c r="AB44" s="1389"/>
      <c r="AC44" s="1389"/>
      <c r="AD44" s="1389"/>
      <c r="AE44" s="1389"/>
      <c r="AF44" s="1389"/>
      <c r="AG44" s="1389"/>
      <c r="AH44" s="1389"/>
      <c r="AI44" s="1389"/>
      <c r="AJ44" s="1390"/>
      <c r="AK44" s="348"/>
      <c r="AL44" s="348"/>
      <c r="AM44" s="348"/>
      <c r="AN44" s="267"/>
      <c r="AO44" s="117">
        <f>IF($B46="yes",8,0)</f>
        <v>0</v>
      </c>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12.75" customHeight="1">
      <c r="A45" s="348"/>
      <c r="B45" s="348"/>
      <c r="C45" s="348"/>
      <c r="D45" s="1"/>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267"/>
      <c r="AO45" s="117">
        <f>IF($B49="yes",8,0)</f>
        <v>0</v>
      </c>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12.75" customHeight="1">
      <c r="A46" s="348"/>
      <c r="B46" s="973" t="s">
        <v>855</v>
      </c>
      <c r="C46" s="969"/>
      <c r="D46" s="352"/>
      <c r="E46" s="1469" t="s">
        <v>1849</v>
      </c>
      <c r="F46" s="1384"/>
      <c r="G46" s="1384"/>
      <c r="H46" s="1384"/>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c r="AJ46" s="1385"/>
      <c r="AK46" s="348"/>
      <c r="AL46" s="348"/>
      <c r="AM46" s="348"/>
      <c r="AN46" s="267"/>
      <c r="AO46" s="117">
        <f>IF($B52="yes",8,0)</f>
        <v>0</v>
      </c>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12.75" customHeight="1">
      <c r="A47" s="348"/>
      <c r="B47" s="348"/>
      <c r="C47" s="348"/>
      <c r="D47" s="117"/>
      <c r="E47" s="1388"/>
      <c r="F47" s="1389"/>
      <c r="G47" s="1389"/>
      <c r="H47" s="1389"/>
      <c r="I47" s="1389"/>
      <c r="J47" s="1389"/>
      <c r="K47" s="1389"/>
      <c r="L47" s="1389"/>
      <c r="M47" s="1389"/>
      <c r="N47" s="1389"/>
      <c r="O47" s="1389"/>
      <c r="P47" s="1389"/>
      <c r="Q47" s="1389"/>
      <c r="R47" s="1389"/>
      <c r="S47" s="1389"/>
      <c r="T47" s="1389"/>
      <c r="U47" s="1389"/>
      <c r="V47" s="1389"/>
      <c r="W47" s="1389"/>
      <c r="X47" s="1389"/>
      <c r="Y47" s="1389"/>
      <c r="Z47" s="1389"/>
      <c r="AA47" s="1389"/>
      <c r="AB47" s="1389"/>
      <c r="AC47" s="1389"/>
      <c r="AD47" s="1389"/>
      <c r="AE47" s="1389"/>
      <c r="AF47" s="1389"/>
      <c r="AG47" s="1389"/>
      <c r="AH47" s="1389"/>
      <c r="AI47" s="1389"/>
      <c r="AJ47" s="1390"/>
      <c r="AK47" s="348"/>
      <c r="AL47" s="348"/>
      <c r="AM47" s="348"/>
      <c r="AN47" s="267"/>
      <c r="AO47" s="1">
        <f>MAX(AO43,AO44,AO45,AO46)</f>
        <v>0</v>
      </c>
      <c r="AP47" s="1" t="s">
        <v>1806</v>
      </c>
      <c r="AQ47" s="354"/>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12.75" customHeight="1">
      <c r="A48" s="348"/>
      <c r="B48" s="348"/>
      <c r="C48" s="348"/>
      <c r="D48" s="76"/>
      <c r="E48" s="348"/>
      <c r="F48" s="348"/>
      <c r="G48" s="348"/>
      <c r="H48" s="348"/>
      <c r="I48" s="34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348"/>
      <c r="AL48" s="348"/>
      <c r="AM48" s="348"/>
      <c r="AN48" s="267"/>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12.75" hidden="1" customHeight="1">
      <c r="A49" s="348"/>
      <c r="B49" s="973" t="s">
        <v>855</v>
      </c>
      <c r="C49" s="969"/>
      <c r="D49" s="352"/>
      <c r="E49" s="1427" t="s">
        <v>1856</v>
      </c>
      <c r="F49" s="1384"/>
      <c r="G49" s="1384"/>
      <c r="H49" s="1384"/>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c r="AJ49" s="1385"/>
      <c r="AK49" s="348"/>
      <c r="AL49" s="348"/>
      <c r="AM49" s="348"/>
      <c r="AN49" s="267"/>
      <c r="AO49" s="117"/>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12.75" hidden="1" customHeight="1">
      <c r="A50" s="348"/>
      <c r="B50" s="348"/>
      <c r="C50" s="348"/>
      <c r="D50" s="117"/>
      <c r="E50" s="1388"/>
      <c r="F50" s="1389"/>
      <c r="G50" s="1389"/>
      <c r="H50" s="1389"/>
      <c r="I50" s="1389"/>
      <c r="J50" s="1389"/>
      <c r="K50" s="1389"/>
      <c r="L50" s="1389"/>
      <c r="M50" s="1389"/>
      <c r="N50" s="1389"/>
      <c r="O50" s="1389"/>
      <c r="P50" s="1389"/>
      <c r="Q50" s="1389"/>
      <c r="R50" s="1389"/>
      <c r="S50" s="1389"/>
      <c r="T50" s="1389"/>
      <c r="U50" s="1389"/>
      <c r="V50" s="1389"/>
      <c r="W50" s="1389"/>
      <c r="X50" s="1389"/>
      <c r="Y50" s="1389"/>
      <c r="Z50" s="1389"/>
      <c r="AA50" s="1389"/>
      <c r="AB50" s="1389"/>
      <c r="AC50" s="1389"/>
      <c r="AD50" s="1389"/>
      <c r="AE50" s="1389"/>
      <c r="AF50" s="1389"/>
      <c r="AG50" s="1389"/>
      <c r="AH50" s="1389"/>
      <c r="AI50" s="1389"/>
      <c r="AJ50" s="1390"/>
      <c r="AK50" s="348"/>
      <c r="AL50" s="348"/>
      <c r="AM50" s="348"/>
      <c r="AN50" s="267"/>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12.75" hidden="1" customHeight="1">
      <c r="A51" s="348"/>
      <c r="B51" s="348"/>
      <c r="C51" s="348"/>
      <c r="D51" s="117"/>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267"/>
      <c r="AO51" s="117"/>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12.75" hidden="1" customHeight="1">
      <c r="A52" s="348"/>
      <c r="B52" s="973" t="s">
        <v>855</v>
      </c>
      <c r="C52" s="969"/>
      <c r="D52" s="352"/>
      <c r="E52" s="1464" t="s">
        <v>1857</v>
      </c>
      <c r="F52" s="1465"/>
      <c r="G52" s="1465"/>
      <c r="H52" s="1465"/>
      <c r="I52" s="1465"/>
      <c r="J52" s="1465"/>
      <c r="K52" s="1465"/>
      <c r="L52" s="1465"/>
      <c r="M52" s="1465"/>
      <c r="N52" s="1465"/>
      <c r="O52" s="1465"/>
      <c r="P52" s="1465"/>
      <c r="Q52" s="1465"/>
      <c r="R52" s="1465"/>
      <c r="S52" s="1465"/>
      <c r="T52" s="1465"/>
      <c r="U52" s="1465"/>
      <c r="V52" s="1465"/>
      <c r="W52" s="1465"/>
      <c r="X52" s="1465"/>
      <c r="Y52" s="1465"/>
      <c r="Z52" s="1465"/>
      <c r="AA52" s="1465"/>
      <c r="AB52" s="1465"/>
      <c r="AC52" s="1465"/>
      <c r="AD52" s="1465"/>
      <c r="AE52" s="1465"/>
      <c r="AF52" s="1465"/>
      <c r="AG52" s="1465"/>
      <c r="AH52" s="1465"/>
      <c r="AI52" s="1465"/>
      <c r="AJ52" s="1466"/>
      <c r="AK52" s="348"/>
      <c r="AL52" s="348"/>
      <c r="AM52" s="348"/>
      <c r="AN52" s="267"/>
      <c r="AO52" s="117"/>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12.75" hidden="1" customHeight="1">
      <c r="A53" s="348"/>
      <c r="B53" s="348"/>
      <c r="C53" s="348"/>
      <c r="D53" s="117"/>
      <c r="E53" s="348"/>
      <c r="F53" s="348"/>
      <c r="G53" s="348"/>
      <c r="H53" s="348"/>
      <c r="I53" s="348"/>
      <c r="J53" s="348"/>
      <c r="K53" s="348"/>
      <c r="L53" s="348"/>
      <c r="M53" s="348"/>
      <c r="N53" s="348"/>
      <c r="O53" s="348"/>
      <c r="P53" s="348"/>
      <c r="Q53" s="348"/>
      <c r="R53" s="348"/>
      <c r="S53" s="348"/>
      <c r="T53" s="348"/>
      <c r="U53" s="348"/>
      <c r="V53" s="348"/>
      <c r="W53" s="348"/>
      <c r="X53" s="348"/>
      <c r="Y53" s="348"/>
      <c r="Z53" s="348"/>
      <c r="AA53" s="348"/>
      <c r="AB53" s="348"/>
      <c r="AC53" s="348"/>
      <c r="AD53" s="348"/>
      <c r="AE53" s="348"/>
      <c r="AF53" s="348"/>
      <c r="AG53" s="348"/>
      <c r="AH53" s="348"/>
      <c r="AI53" s="348"/>
      <c r="AJ53" s="348"/>
      <c r="AK53" s="348"/>
      <c r="AL53" s="348"/>
      <c r="AM53" s="348"/>
      <c r="AN53" s="267"/>
      <c r="AO53" s="117"/>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12.75" customHeight="1">
      <c r="A54" s="348"/>
      <c r="B54" s="348"/>
      <c r="C54" s="365" t="s">
        <v>1858</v>
      </c>
      <c r="D54" s="117"/>
      <c r="E54" s="348"/>
      <c r="F54" s="348"/>
      <c r="G54" s="348"/>
      <c r="H54" s="348"/>
      <c r="I54" s="348"/>
      <c r="J54" s="348"/>
      <c r="K54" s="348"/>
      <c r="L54" s="348"/>
      <c r="M54" s="348"/>
      <c r="N54" s="348"/>
      <c r="O54" s="348"/>
      <c r="P54" s="348"/>
      <c r="Q54" s="348"/>
      <c r="R54" s="348"/>
      <c r="S54" s="348"/>
      <c r="T54" s="348"/>
      <c r="U54" s="348"/>
      <c r="V54" s="348"/>
      <c r="W54" s="348"/>
      <c r="X54" s="348"/>
      <c r="Y54" s="348"/>
      <c r="Z54" s="348"/>
      <c r="AA54" s="348"/>
      <c r="AB54" s="348"/>
      <c r="AC54" s="348"/>
      <c r="AD54" s="348"/>
      <c r="AE54" s="348"/>
      <c r="AF54" s="348"/>
      <c r="AG54" s="348"/>
      <c r="AH54" s="348"/>
      <c r="AI54" s="348"/>
      <c r="AJ54" s="348"/>
      <c r="AK54" s="348"/>
      <c r="AL54" s="348"/>
      <c r="AM54" s="348"/>
      <c r="AN54" s="267"/>
      <c r="AO54" s="117"/>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12.75" customHeight="1">
      <c r="A55" s="348"/>
      <c r="B55" s="348"/>
      <c r="C55" s="365"/>
      <c r="D55" s="117"/>
      <c r="E55" s="348"/>
      <c r="F55" s="348"/>
      <c r="G55" s="348"/>
      <c r="H55" s="348"/>
      <c r="I55" s="348"/>
      <c r="J55" s="348"/>
      <c r="K55" s="348"/>
      <c r="L55" s="348"/>
      <c r="M55" s="348"/>
      <c r="N55" s="348"/>
      <c r="O55" s="348"/>
      <c r="P55" s="348"/>
      <c r="Q55" s="348"/>
      <c r="R55" s="348"/>
      <c r="S55" s="348"/>
      <c r="T55" s="348"/>
      <c r="U55" s="348"/>
      <c r="V55" s="348"/>
      <c r="W55" s="348"/>
      <c r="X55" s="348"/>
      <c r="Y55" s="348"/>
      <c r="Z55" s="348"/>
      <c r="AA55" s="348"/>
      <c r="AB55" s="348"/>
      <c r="AC55" s="348"/>
      <c r="AD55" s="348"/>
      <c r="AE55" s="348"/>
      <c r="AF55" s="348"/>
      <c r="AG55" s="348"/>
      <c r="AH55" s="348"/>
      <c r="AI55" s="348"/>
      <c r="AJ55" s="348"/>
      <c r="AK55" s="348"/>
      <c r="AL55" s="348"/>
      <c r="AM55" s="348"/>
      <c r="AN55" s="267"/>
      <c r="AO55" s="117">
        <f>IF($B56="yes",7,0)</f>
        <v>0</v>
      </c>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12.75" customHeight="1">
      <c r="A56" s="348"/>
      <c r="B56" s="973" t="s">
        <v>855</v>
      </c>
      <c r="C56" s="969"/>
      <c r="D56" s="352"/>
      <c r="E56" s="1427" t="s">
        <v>1861</v>
      </c>
      <c r="F56" s="1384"/>
      <c r="G56" s="1384"/>
      <c r="H56" s="1384"/>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c r="AJ56" s="1385"/>
      <c r="AK56" s="348"/>
      <c r="AL56" s="348"/>
      <c r="AM56" s="348"/>
      <c r="AN56" s="267"/>
      <c r="AO56" s="117">
        <f>IF($B59="yes",7,0)</f>
        <v>0</v>
      </c>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12.75" customHeight="1">
      <c r="A57" s="348"/>
      <c r="B57" s="348"/>
      <c r="C57" s="348"/>
      <c r="D57" s="117"/>
      <c r="E57" s="1388"/>
      <c r="F57" s="1389"/>
      <c r="G57" s="1389"/>
      <c r="H57" s="1389"/>
      <c r="I57" s="1389"/>
      <c r="J57" s="1389"/>
      <c r="K57" s="1389"/>
      <c r="L57" s="1389"/>
      <c r="M57" s="1389"/>
      <c r="N57" s="1389"/>
      <c r="O57" s="1389"/>
      <c r="P57" s="1389"/>
      <c r="Q57" s="1389"/>
      <c r="R57" s="1389"/>
      <c r="S57" s="1389"/>
      <c r="T57" s="1389"/>
      <c r="U57" s="1389"/>
      <c r="V57" s="1389"/>
      <c r="W57" s="1389"/>
      <c r="X57" s="1389"/>
      <c r="Y57" s="1389"/>
      <c r="Z57" s="1389"/>
      <c r="AA57" s="1389"/>
      <c r="AB57" s="1389"/>
      <c r="AC57" s="1389"/>
      <c r="AD57" s="1389"/>
      <c r="AE57" s="1389"/>
      <c r="AF57" s="1389"/>
      <c r="AG57" s="1389"/>
      <c r="AH57" s="1389"/>
      <c r="AI57" s="1389"/>
      <c r="AJ57" s="1390"/>
      <c r="AK57" s="348"/>
      <c r="AL57" s="348"/>
      <c r="AM57" s="348"/>
      <c r="AN57" s="267"/>
      <c r="AO57" s="1">
        <f>MAX(AO55:AO56)</f>
        <v>0</v>
      </c>
      <c r="AP57" s="1" t="s">
        <v>1806</v>
      </c>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12.75" customHeight="1">
      <c r="A58" s="348"/>
      <c r="B58" s="348"/>
      <c r="C58" s="348"/>
      <c r="D58" s="117"/>
      <c r="E58" s="348"/>
      <c r="F58" s="348"/>
      <c r="G58" s="348"/>
      <c r="H58" s="348"/>
      <c r="I58" s="348"/>
      <c r="J58" s="348"/>
      <c r="K58" s="348"/>
      <c r="L58" s="348"/>
      <c r="M58" s="348"/>
      <c r="N58" s="348"/>
      <c r="O58" s="348"/>
      <c r="P58" s="348"/>
      <c r="Q58" s="348"/>
      <c r="R58" s="348"/>
      <c r="S58" s="348"/>
      <c r="T58" s="348"/>
      <c r="U58" s="348"/>
      <c r="V58" s="348"/>
      <c r="W58" s="348"/>
      <c r="X58" s="348"/>
      <c r="Y58" s="348"/>
      <c r="Z58" s="348"/>
      <c r="AA58" s="348"/>
      <c r="AB58" s="348"/>
      <c r="AC58" s="348"/>
      <c r="AD58" s="348"/>
      <c r="AE58" s="348"/>
      <c r="AF58" s="348"/>
      <c r="AG58" s="348"/>
      <c r="AH58" s="348"/>
      <c r="AI58" s="348"/>
      <c r="AJ58" s="348"/>
      <c r="AK58" s="348"/>
      <c r="AL58" s="348"/>
      <c r="AM58" s="348"/>
      <c r="AN58" s="267"/>
      <c r="AO58" s="117"/>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12.75" customHeight="1">
      <c r="A59" s="348"/>
      <c r="B59" s="973" t="s">
        <v>855</v>
      </c>
      <c r="C59" s="969"/>
      <c r="D59" s="352"/>
      <c r="E59" s="1464" t="s">
        <v>1864</v>
      </c>
      <c r="F59" s="1465"/>
      <c r="G59" s="1465"/>
      <c r="H59" s="1465"/>
      <c r="I59" s="1465"/>
      <c r="J59" s="1465"/>
      <c r="K59" s="1465"/>
      <c r="L59" s="1465"/>
      <c r="M59" s="1465"/>
      <c r="N59" s="1465"/>
      <c r="O59" s="1465"/>
      <c r="P59" s="1465"/>
      <c r="Q59" s="1465"/>
      <c r="R59" s="1465"/>
      <c r="S59" s="1465"/>
      <c r="T59" s="1465"/>
      <c r="U59" s="1465"/>
      <c r="V59" s="1465"/>
      <c r="W59" s="1465"/>
      <c r="X59" s="1465"/>
      <c r="Y59" s="1465"/>
      <c r="Z59" s="1465"/>
      <c r="AA59" s="1465"/>
      <c r="AB59" s="1465"/>
      <c r="AC59" s="1465"/>
      <c r="AD59" s="1465"/>
      <c r="AE59" s="1465"/>
      <c r="AF59" s="1465"/>
      <c r="AG59" s="1465"/>
      <c r="AH59" s="1465"/>
      <c r="AI59" s="1465"/>
      <c r="AJ59" s="1466"/>
      <c r="AK59" s="348"/>
      <c r="AL59" s="348"/>
      <c r="AM59" s="348"/>
      <c r="AN59" s="267"/>
      <c r="AO59" s="117"/>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12.75" customHeight="1">
      <c r="A60" s="348"/>
      <c r="B60" s="348"/>
      <c r="C60" s="348"/>
      <c r="D60" s="1"/>
      <c r="E60" s="348"/>
      <c r="F60" s="348"/>
      <c r="G60" s="348"/>
      <c r="H60" s="348"/>
      <c r="I60" s="348"/>
      <c r="J60" s="348"/>
      <c r="K60" s="348"/>
      <c r="L60" s="348"/>
      <c r="M60" s="348"/>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8"/>
      <c r="AL60" s="348"/>
      <c r="AM60" s="348"/>
      <c r="AN60" s="267"/>
      <c r="AO60" s="1">
        <f>IF(AO26&gt;0,AO26,SUM(AO20,MAX(AO34,AO47,AO57)))</f>
        <v>20</v>
      </c>
      <c r="AP60" s="1" t="s">
        <v>1806</v>
      </c>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12.75" customHeight="1">
      <c r="A61" s="368"/>
      <c r="B61" s="369"/>
      <c r="C61" s="369"/>
      <c r="D61" s="369"/>
      <c r="E61" s="369"/>
      <c r="F61" s="369"/>
      <c r="G61" s="370"/>
      <c r="H61" s="371"/>
      <c r="I61" s="371"/>
      <c r="J61" s="371"/>
      <c r="K61" s="371"/>
      <c r="L61" s="371"/>
      <c r="M61" s="371"/>
      <c r="N61" s="371"/>
      <c r="O61" s="371"/>
      <c r="P61" s="371"/>
      <c r="Q61" s="371"/>
      <c r="R61" s="371"/>
      <c r="S61" s="371"/>
      <c r="T61" s="371"/>
      <c r="U61" s="371"/>
      <c r="V61" s="371"/>
      <c r="W61" s="371"/>
      <c r="X61" s="371"/>
      <c r="Y61" s="371"/>
      <c r="Z61" s="371"/>
      <c r="AA61" s="371"/>
      <c r="AB61" s="371"/>
      <c r="AC61" s="371"/>
      <c r="AD61" s="371"/>
      <c r="AE61" s="371"/>
      <c r="AF61" s="371"/>
      <c r="AG61" s="371"/>
      <c r="AH61" s="371"/>
      <c r="AI61" s="372"/>
      <c r="AJ61" s="372" t="s">
        <v>1867</v>
      </c>
      <c r="AK61" s="956">
        <f>AO60</f>
        <v>20</v>
      </c>
      <c r="AL61" s="921"/>
      <c r="AM61" s="943"/>
      <c r="AN61" s="267"/>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12.75" customHeight="1">
      <c r="A62" s="92"/>
      <c r="B62" s="373"/>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4"/>
      <c r="AJ62" s="374"/>
      <c r="AK62" s="374"/>
      <c r="AL62" s="374"/>
      <c r="AM62" s="375"/>
      <c r="AN62" s="267"/>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12.75" customHeight="1">
      <c r="A63" s="1"/>
      <c r="B63" s="15"/>
      <c r="C63" s="99"/>
      <c r="D63" s="99"/>
      <c r="E63" s="99"/>
      <c r="F63" s="99"/>
      <c r="G63" s="99"/>
      <c r="H63" s="99"/>
      <c r="I63" s="320"/>
      <c r="J63" s="320"/>
      <c r="K63" s="320"/>
      <c r="L63" s="320"/>
      <c r="M63" s="320"/>
      <c r="N63" s="320"/>
      <c r="O63" s="320"/>
      <c r="P63" s="320"/>
      <c r="Q63" s="320"/>
      <c r="R63" s="1"/>
      <c r="S63" s="8"/>
      <c r="T63" s="8"/>
      <c r="U63" s="8"/>
      <c r="V63" s="8"/>
      <c r="W63" s="8"/>
      <c r="X63" s="8"/>
      <c r="Y63" s="8"/>
      <c r="Z63" s="8"/>
      <c r="AA63" s="8"/>
      <c r="AB63" s="8"/>
      <c r="AC63" s="8"/>
      <c r="AD63" s="8"/>
      <c r="AE63" s="8"/>
      <c r="AF63" s="1"/>
      <c r="AG63" s="8"/>
      <c r="AH63" s="8"/>
      <c r="AI63" s="8"/>
      <c r="AJ63" s="8"/>
      <c r="AK63" s="117"/>
      <c r="AL63" s="117"/>
      <c r="AM63" s="117"/>
      <c r="AN63" s="267"/>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12.75" customHeight="1">
      <c r="A64" s="62" t="s">
        <v>1870</v>
      </c>
      <c r="B64" s="8" t="s">
        <v>1156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1396" t="s">
        <v>1871</v>
      </c>
      <c r="AF64" s="893"/>
      <c r="AG64" s="893"/>
      <c r="AH64" s="893"/>
      <c r="AI64" s="893"/>
      <c r="AJ64" s="893"/>
      <c r="AK64" s="893"/>
      <c r="AL64" s="348"/>
      <c r="AM64" s="348"/>
      <c r="AN64" s="267"/>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12.75" customHeight="1">
      <c r="A65" s="62"/>
      <c r="B65" s="8" t="s">
        <v>1872</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237"/>
      <c r="AF65" s="237"/>
      <c r="AG65" s="237"/>
      <c r="AH65" s="237"/>
      <c r="AI65" s="237"/>
      <c r="AJ65" s="237"/>
      <c r="AK65" s="237"/>
      <c r="AL65" s="348"/>
      <c r="AM65" s="348"/>
      <c r="AN65" s="267"/>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12.75" customHeight="1">
      <c r="A66" s="62"/>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237"/>
      <c r="AF66" s="237"/>
      <c r="AG66" s="237"/>
      <c r="AH66" s="237"/>
      <c r="AI66" s="237"/>
      <c r="AJ66" s="237"/>
      <c r="AK66" s="237"/>
      <c r="AL66" s="348"/>
      <c r="AM66" s="348"/>
      <c r="AN66" s="267"/>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12.75" customHeight="1">
      <c r="A67" s="62"/>
      <c r="B67" s="973" t="s">
        <v>855</v>
      </c>
      <c r="C67" s="969"/>
      <c r="D67" s="352" t="s">
        <v>1874</v>
      </c>
      <c r="E67" s="1456" t="s">
        <v>1875</v>
      </c>
      <c r="F67" s="1384"/>
      <c r="G67" s="1384"/>
      <c r="H67" s="1384"/>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c r="AJ67" s="1385"/>
      <c r="AK67" s="237"/>
      <c r="AL67" s="348"/>
      <c r="AM67" s="348"/>
      <c r="AN67" s="267"/>
      <c r="AO67" s="117">
        <f>IF($B67="yes",10,0)</f>
        <v>0</v>
      </c>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12.75" customHeight="1">
      <c r="A68" s="62"/>
      <c r="B68" s="348"/>
      <c r="C68" s="348"/>
      <c r="D68" s="76"/>
      <c r="E68" s="1386"/>
      <c r="F68" s="893"/>
      <c r="G68" s="893"/>
      <c r="H68" s="893"/>
      <c r="I68" s="893"/>
      <c r="J68" s="893"/>
      <c r="K68" s="893"/>
      <c r="L68" s="893"/>
      <c r="M68" s="893"/>
      <c r="N68" s="893"/>
      <c r="O68" s="893"/>
      <c r="P68" s="893"/>
      <c r="Q68" s="893"/>
      <c r="R68" s="893"/>
      <c r="S68" s="893"/>
      <c r="T68" s="893"/>
      <c r="U68" s="893"/>
      <c r="V68" s="893"/>
      <c r="W68" s="893"/>
      <c r="X68" s="893"/>
      <c r="Y68" s="893"/>
      <c r="Z68" s="893"/>
      <c r="AA68" s="893"/>
      <c r="AB68" s="893"/>
      <c r="AC68" s="893"/>
      <c r="AD68" s="893"/>
      <c r="AE68" s="893"/>
      <c r="AF68" s="893"/>
      <c r="AG68" s="893"/>
      <c r="AH68" s="893"/>
      <c r="AI68" s="893"/>
      <c r="AJ68" s="1387"/>
      <c r="AK68" s="237"/>
      <c r="AL68" s="348"/>
      <c r="AM68" s="348"/>
      <c r="AN68" s="267"/>
      <c r="AO68" s="117">
        <f>IF(AND($B73="yes",OR(E74="Yes",E75="Yes",E76="Yes")),10,0)</f>
        <v>0</v>
      </c>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12.75" customHeight="1">
      <c r="A69" s="62"/>
      <c r="B69" s="348"/>
      <c r="C69" s="348"/>
      <c r="D69" s="76"/>
      <c r="E69" s="1386"/>
      <c r="F69" s="893"/>
      <c r="G69" s="893"/>
      <c r="H69" s="893"/>
      <c r="I69" s="893"/>
      <c r="J69" s="893"/>
      <c r="K69" s="893"/>
      <c r="L69" s="893"/>
      <c r="M69" s="893"/>
      <c r="N69" s="893"/>
      <c r="O69" s="893"/>
      <c r="P69" s="893"/>
      <c r="Q69" s="893"/>
      <c r="R69" s="893"/>
      <c r="S69" s="893"/>
      <c r="T69" s="893"/>
      <c r="U69" s="893"/>
      <c r="V69" s="893"/>
      <c r="W69" s="893"/>
      <c r="X69" s="893"/>
      <c r="Y69" s="893"/>
      <c r="Z69" s="893"/>
      <c r="AA69" s="893"/>
      <c r="AB69" s="893"/>
      <c r="AC69" s="893"/>
      <c r="AD69" s="893"/>
      <c r="AE69" s="893"/>
      <c r="AF69" s="893"/>
      <c r="AG69" s="893"/>
      <c r="AH69" s="893"/>
      <c r="AI69" s="893"/>
      <c r="AJ69" s="1387"/>
      <c r="AK69" s="237"/>
      <c r="AL69" s="348"/>
      <c r="AM69" s="348"/>
      <c r="AN69" s="267"/>
      <c r="AO69" s="117">
        <f>IF($B78="yes",10,0)</f>
        <v>0</v>
      </c>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12.75" customHeight="1">
      <c r="A70" s="62"/>
      <c r="B70" s="348"/>
      <c r="C70" s="348"/>
      <c r="D70" s="76"/>
      <c r="E70" s="1386"/>
      <c r="F70" s="893"/>
      <c r="G70" s="893"/>
      <c r="H70" s="893"/>
      <c r="I70" s="893"/>
      <c r="J70" s="893"/>
      <c r="K70" s="893"/>
      <c r="L70" s="893"/>
      <c r="M70" s="893"/>
      <c r="N70" s="893"/>
      <c r="O70" s="893"/>
      <c r="P70" s="893"/>
      <c r="Q70" s="893"/>
      <c r="R70" s="893"/>
      <c r="S70" s="893"/>
      <c r="T70" s="893"/>
      <c r="U70" s="893"/>
      <c r="V70" s="893"/>
      <c r="W70" s="893"/>
      <c r="X70" s="893"/>
      <c r="Y70" s="893"/>
      <c r="Z70" s="893"/>
      <c r="AA70" s="893"/>
      <c r="AB70" s="893"/>
      <c r="AC70" s="893"/>
      <c r="AD70" s="893"/>
      <c r="AE70" s="893"/>
      <c r="AF70" s="893"/>
      <c r="AG70" s="893"/>
      <c r="AH70" s="893"/>
      <c r="AI70" s="893"/>
      <c r="AJ70" s="1387"/>
      <c r="AK70" s="237"/>
      <c r="AL70" s="348"/>
      <c r="AM70" s="348"/>
      <c r="AN70" s="267"/>
      <c r="AO70" s="117">
        <f>IF($B81="yes",10,0)</f>
        <v>0</v>
      </c>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12.75" customHeight="1">
      <c r="A71" s="62"/>
      <c r="B71" s="348"/>
      <c r="C71" s="348"/>
      <c r="D71" s="76"/>
      <c r="E71" s="1388"/>
      <c r="F71" s="1389"/>
      <c r="G71" s="1389"/>
      <c r="H71" s="1389"/>
      <c r="I71" s="1389"/>
      <c r="J71" s="1389"/>
      <c r="K71" s="1389"/>
      <c r="L71" s="1389"/>
      <c r="M71" s="1389"/>
      <c r="N71" s="1389"/>
      <c r="O71" s="1389"/>
      <c r="P71" s="1389"/>
      <c r="Q71" s="1389"/>
      <c r="R71" s="1389"/>
      <c r="S71" s="1389"/>
      <c r="T71" s="1389"/>
      <c r="U71" s="1389"/>
      <c r="V71" s="1389"/>
      <c r="W71" s="1389"/>
      <c r="X71" s="1389"/>
      <c r="Y71" s="1389"/>
      <c r="Z71" s="1389"/>
      <c r="AA71" s="1389"/>
      <c r="AB71" s="1389"/>
      <c r="AC71" s="1389"/>
      <c r="AD71" s="1389"/>
      <c r="AE71" s="1389"/>
      <c r="AF71" s="1389"/>
      <c r="AG71" s="1389"/>
      <c r="AH71" s="1389"/>
      <c r="AI71" s="1389"/>
      <c r="AJ71" s="1390"/>
      <c r="AK71" s="237"/>
      <c r="AL71" s="348"/>
      <c r="AM71" s="348"/>
      <c r="AN71" s="267"/>
      <c r="AO71" s="1">
        <f>IF(SUM(AO67:AO70)&gt;10,10,(SUM(AO67:AO70)))</f>
        <v>0</v>
      </c>
      <c r="AP71" s="378" t="s">
        <v>1878</v>
      </c>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12.75" customHeight="1">
      <c r="A72" s="62"/>
      <c r="B72" s="348"/>
      <c r="C72" s="348"/>
      <c r="D72" s="1"/>
      <c r="E72" s="348"/>
      <c r="F72" s="348"/>
      <c r="G72" s="348"/>
      <c r="H72" s="348"/>
      <c r="I72" s="348"/>
      <c r="J72" s="348"/>
      <c r="K72" s="348"/>
      <c r="L72" s="348"/>
      <c r="M72" s="348"/>
      <c r="N72" s="348"/>
      <c r="O72" s="348"/>
      <c r="P72" s="348"/>
      <c r="Q72" s="348"/>
      <c r="R72" s="348"/>
      <c r="S72" s="348"/>
      <c r="T72" s="348"/>
      <c r="U72" s="348"/>
      <c r="V72" s="348"/>
      <c r="W72" s="348"/>
      <c r="X72" s="348"/>
      <c r="Y72" s="348"/>
      <c r="Z72" s="348"/>
      <c r="AA72" s="348"/>
      <c r="AB72" s="348"/>
      <c r="AC72" s="348"/>
      <c r="AD72" s="348"/>
      <c r="AE72" s="348"/>
      <c r="AF72" s="348"/>
      <c r="AG72" s="348"/>
      <c r="AH72" s="348"/>
      <c r="AI72" s="348"/>
      <c r="AJ72" s="348"/>
      <c r="AK72" s="237"/>
      <c r="AL72" s="348"/>
      <c r="AM72" s="348"/>
      <c r="AN72" s="267"/>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12.75" customHeight="1">
      <c r="A73" s="62"/>
      <c r="B73" s="973" t="s">
        <v>855</v>
      </c>
      <c r="C73" s="969"/>
      <c r="D73" s="352" t="s">
        <v>1880</v>
      </c>
      <c r="E73" s="379" t="s">
        <v>1881</v>
      </c>
      <c r="F73" s="380"/>
      <c r="G73" s="380"/>
      <c r="H73" s="380"/>
      <c r="I73" s="380"/>
      <c r="J73" s="380"/>
      <c r="K73" s="380"/>
      <c r="L73" s="380"/>
      <c r="M73" s="380"/>
      <c r="N73" s="380"/>
      <c r="O73" s="380"/>
      <c r="P73" s="380"/>
      <c r="Q73" s="380"/>
      <c r="R73" s="380"/>
      <c r="S73" s="380"/>
      <c r="T73" s="380"/>
      <c r="U73" s="380"/>
      <c r="V73" s="380"/>
      <c r="W73" s="380"/>
      <c r="X73" s="380"/>
      <c r="Y73" s="380"/>
      <c r="Z73" s="380"/>
      <c r="AA73" s="380"/>
      <c r="AB73" s="380"/>
      <c r="AC73" s="380"/>
      <c r="AD73" s="380"/>
      <c r="AE73" s="380"/>
      <c r="AF73" s="380"/>
      <c r="AG73" s="380"/>
      <c r="AH73" s="380"/>
      <c r="AI73" s="380"/>
      <c r="AJ73" s="381"/>
      <c r="AK73" s="237"/>
      <c r="AL73" s="348"/>
      <c r="AM73" s="348"/>
      <c r="AN73" s="267"/>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12.75" customHeight="1">
      <c r="A74" s="62"/>
      <c r="B74" s="348"/>
      <c r="C74" s="348"/>
      <c r="D74" s="117"/>
      <c r="E74" s="1401" t="s">
        <v>855</v>
      </c>
      <c r="F74" s="969"/>
      <c r="G74" s="221"/>
      <c r="H74" s="52" t="s">
        <v>1883</v>
      </c>
      <c r="I74" s="34"/>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382"/>
      <c r="AK74" s="237"/>
      <c r="AL74" s="348"/>
      <c r="AM74" s="348"/>
      <c r="AN74" s="267"/>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12.75" customHeight="1">
      <c r="A75" s="62"/>
      <c r="B75" s="348"/>
      <c r="C75" s="348"/>
      <c r="D75" s="117"/>
      <c r="E75" s="1463" t="s">
        <v>855</v>
      </c>
      <c r="F75" s="971"/>
      <c r="G75" s="221"/>
      <c r="H75" s="52" t="s">
        <v>1885</v>
      </c>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382"/>
      <c r="AK75" s="237"/>
      <c r="AL75" s="348"/>
      <c r="AM75" s="348"/>
      <c r="AN75" s="267"/>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12.75" customHeight="1">
      <c r="A76" s="62"/>
      <c r="B76" s="348"/>
      <c r="C76" s="348"/>
      <c r="D76" s="117"/>
      <c r="E76" s="1463" t="s">
        <v>855</v>
      </c>
      <c r="F76" s="971"/>
      <c r="G76" s="366"/>
      <c r="H76" s="383" t="s">
        <v>1886</v>
      </c>
      <c r="I76" s="366"/>
      <c r="J76" s="366"/>
      <c r="K76" s="366"/>
      <c r="L76" s="366"/>
      <c r="M76" s="366"/>
      <c r="N76" s="366"/>
      <c r="O76" s="366"/>
      <c r="P76" s="366"/>
      <c r="Q76" s="366"/>
      <c r="R76" s="366"/>
      <c r="S76" s="366"/>
      <c r="T76" s="366"/>
      <c r="U76" s="366"/>
      <c r="V76" s="366"/>
      <c r="W76" s="366"/>
      <c r="X76" s="366"/>
      <c r="Y76" s="366"/>
      <c r="Z76" s="366"/>
      <c r="AA76" s="366"/>
      <c r="AB76" s="366"/>
      <c r="AC76" s="366"/>
      <c r="AD76" s="366"/>
      <c r="AE76" s="366"/>
      <c r="AF76" s="366"/>
      <c r="AG76" s="366"/>
      <c r="AH76" s="366"/>
      <c r="AI76" s="366"/>
      <c r="AJ76" s="386"/>
      <c r="AK76" s="237"/>
      <c r="AL76" s="348"/>
      <c r="AM76" s="348"/>
      <c r="AN76" s="267"/>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12.75" customHeight="1">
      <c r="A77" s="62"/>
      <c r="B77" s="348"/>
      <c r="C77" s="348"/>
      <c r="D77" s="76"/>
      <c r="E77" s="348"/>
      <c r="F77" s="348"/>
      <c r="G77" s="348"/>
      <c r="H77" s="348"/>
      <c r="I77" s="348"/>
      <c r="J77" s="348"/>
      <c r="K77" s="348"/>
      <c r="L77" s="348"/>
      <c r="M77" s="348"/>
      <c r="N77" s="348"/>
      <c r="O77" s="348"/>
      <c r="P77" s="348"/>
      <c r="Q77" s="348"/>
      <c r="R77" s="348"/>
      <c r="S77" s="348"/>
      <c r="T77" s="348"/>
      <c r="U77" s="348"/>
      <c r="V77" s="348"/>
      <c r="W77" s="348"/>
      <c r="X77" s="348"/>
      <c r="Y77" s="348"/>
      <c r="Z77" s="348"/>
      <c r="AA77" s="348"/>
      <c r="AB77" s="348"/>
      <c r="AC77" s="348"/>
      <c r="AD77" s="348"/>
      <c r="AE77" s="348"/>
      <c r="AF77" s="348"/>
      <c r="AG77" s="348"/>
      <c r="AH77" s="348"/>
      <c r="AI77" s="348"/>
      <c r="AJ77" s="348"/>
      <c r="AK77" s="237"/>
      <c r="AL77" s="348"/>
      <c r="AM77" s="348"/>
      <c r="AN77" s="267"/>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12.75" customHeight="1">
      <c r="A78" s="62"/>
      <c r="B78" s="973" t="s">
        <v>855</v>
      </c>
      <c r="C78" s="969"/>
      <c r="D78" s="352" t="s">
        <v>1888</v>
      </c>
      <c r="E78" s="1427" t="s">
        <v>1889</v>
      </c>
      <c r="F78" s="1384"/>
      <c r="G78" s="1384"/>
      <c r="H78" s="1384"/>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c r="AJ78" s="1385"/>
      <c r="AK78" s="237"/>
      <c r="AL78" s="348"/>
      <c r="AM78" s="348"/>
      <c r="AN78" s="267"/>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12.75" customHeight="1">
      <c r="A79" s="62"/>
      <c r="B79" s="348"/>
      <c r="C79" s="348"/>
      <c r="D79" s="1"/>
      <c r="E79" s="1388"/>
      <c r="F79" s="1389"/>
      <c r="G79" s="1389"/>
      <c r="H79" s="1389"/>
      <c r="I79" s="1389"/>
      <c r="J79" s="1389"/>
      <c r="K79" s="1389"/>
      <c r="L79" s="1389"/>
      <c r="M79" s="1389"/>
      <c r="N79" s="1389"/>
      <c r="O79" s="1389"/>
      <c r="P79" s="1389"/>
      <c r="Q79" s="1389"/>
      <c r="R79" s="1389"/>
      <c r="S79" s="1389"/>
      <c r="T79" s="1389"/>
      <c r="U79" s="1389"/>
      <c r="V79" s="1389"/>
      <c r="W79" s="1389"/>
      <c r="X79" s="1389"/>
      <c r="Y79" s="1389"/>
      <c r="Z79" s="1389"/>
      <c r="AA79" s="1389"/>
      <c r="AB79" s="1389"/>
      <c r="AC79" s="1389"/>
      <c r="AD79" s="1389"/>
      <c r="AE79" s="1389"/>
      <c r="AF79" s="1389"/>
      <c r="AG79" s="1389"/>
      <c r="AH79" s="1389"/>
      <c r="AI79" s="1389"/>
      <c r="AJ79" s="1390"/>
      <c r="AK79" s="237"/>
      <c r="AL79" s="348"/>
      <c r="AM79" s="348"/>
      <c r="AN79" s="267"/>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12.75" customHeight="1">
      <c r="A80" s="62"/>
      <c r="B80" s="348"/>
      <c r="C80" s="348"/>
      <c r="D80" s="117"/>
      <c r="E80" s="117"/>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382"/>
      <c r="AK80" s="237"/>
      <c r="AL80" s="348"/>
      <c r="AM80" s="348"/>
      <c r="AN80" s="267"/>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12.75" customHeight="1">
      <c r="A81" s="62"/>
      <c r="B81" s="973" t="s">
        <v>855</v>
      </c>
      <c r="C81" s="969"/>
      <c r="D81" s="352" t="s">
        <v>1891</v>
      </c>
      <c r="E81" s="1464" t="s">
        <v>1892</v>
      </c>
      <c r="F81" s="1465"/>
      <c r="G81" s="1465"/>
      <c r="H81" s="1465"/>
      <c r="I81" s="1465"/>
      <c r="J81" s="1465"/>
      <c r="K81" s="1465"/>
      <c r="L81" s="1465"/>
      <c r="M81" s="1465"/>
      <c r="N81" s="1465"/>
      <c r="O81" s="1465"/>
      <c r="P81" s="1465"/>
      <c r="Q81" s="1465"/>
      <c r="R81" s="1465"/>
      <c r="S81" s="1465"/>
      <c r="T81" s="1465"/>
      <c r="U81" s="1465"/>
      <c r="V81" s="1465"/>
      <c r="W81" s="1465"/>
      <c r="X81" s="1465"/>
      <c r="Y81" s="1465"/>
      <c r="Z81" s="1465"/>
      <c r="AA81" s="1465"/>
      <c r="AB81" s="1465"/>
      <c r="AC81" s="1465"/>
      <c r="AD81" s="1465"/>
      <c r="AE81" s="1465"/>
      <c r="AF81" s="1465"/>
      <c r="AG81" s="1465"/>
      <c r="AH81" s="1465"/>
      <c r="AI81" s="1465"/>
      <c r="AJ81" s="1466"/>
      <c r="AK81" s="237"/>
      <c r="AL81" s="348"/>
      <c r="AM81" s="348"/>
      <c r="AN81" s="267"/>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12.75" customHeight="1">
      <c r="A82" s="62"/>
      <c r="B82" s="348"/>
      <c r="C82" s="348"/>
      <c r="D82" s="117"/>
      <c r="E82" s="348"/>
      <c r="F82" s="348"/>
      <c r="G82" s="348"/>
      <c r="H82" s="348"/>
      <c r="I82" s="348"/>
      <c r="J82" s="348"/>
      <c r="K82" s="348"/>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c r="AJ82" s="348"/>
      <c r="AK82" s="237"/>
      <c r="AL82" s="348"/>
      <c r="AM82" s="348"/>
      <c r="AN82" s="267"/>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12.75" customHeight="1">
      <c r="A83" s="368"/>
      <c r="B83" s="369"/>
      <c r="C83" s="369"/>
      <c r="D83" s="369"/>
      <c r="E83" s="369"/>
      <c r="F83" s="369"/>
      <c r="G83" s="370"/>
      <c r="H83" s="371"/>
      <c r="I83" s="371"/>
      <c r="J83" s="371"/>
      <c r="K83" s="371"/>
      <c r="L83" s="371"/>
      <c r="M83" s="371"/>
      <c r="N83" s="371"/>
      <c r="O83" s="371"/>
      <c r="P83" s="371"/>
      <c r="Q83" s="371"/>
      <c r="R83" s="371"/>
      <c r="S83" s="371"/>
      <c r="T83" s="371"/>
      <c r="U83" s="371"/>
      <c r="V83" s="371"/>
      <c r="W83" s="371"/>
      <c r="X83" s="371"/>
      <c r="Y83" s="371"/>
      <c r="Z83" s="371"/>
      <c r="AA83" s="371"/>
      <c r="AB83" s="371"/>
      <c r="AC83" s="371"/>
      <c r="AD83" s="371"/>
      <c r="AE83" s="371"/>
      <c r="AF83" s="371"/>
      <c r="AG83" s="371"/>
      <c r="AH83" s="371"/>
      <c r="AI83" s="372"/>
      <c r="AJ83" s="372" t="s">
        <v>1893</v>
      </c>
      <c r="AK83" s="956">
        <f>IF(AK61&gt;0,0,AO71)</f>
        <v>0</v>
      </c>
      <c r="AL83" s="921"/>
      <c r="AM83" s="943"/>
      <c r="AN83" s="267"/>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12.75" customHeight="1">
      <c r="A84" s="92"/>
      <c r="B84" s="373"/>
      <c r="C84" s="374"/>
      <c r="D84" s="374"/>
      <c r="E84" s="374"/>
      <c r="F84" s="374"/>
      <c r="G84" s="374"/>
      <c r="H84" s="374"/>
      <c r="I84" s="374"/>
      <c r="J84" s="374"/>
      <c r="K84" s="374"/>
      <c r="L84" s="374"/>
      <c r="M84" s="374"/>
      <c r="N84" s="374"/>
      <c r="O84" s="374"/>
      <c r="P84" s="374"/>
      <c r="Q84" s="374"/>
      <c r="R84" s="374"/>
      <c r="S84" s="374"/>
      <c r="T84" s="374"/>
      <c r="U84" s="374"/>
      <c r="V84" s="374"/>
      <c r="W84" s="374"/>
      <c r="X84" s="374"/>
      <c r="Y84" s="374"/>
      <c r="Z84" s="374"/>
      <c r="AA84" s="374"/>
      <c r="AB84" s="374"/>
      <c r="AC84" s="374"/>
      <c r="AD84" s="374"/>
      <c r="AE84" s="374"/>
      <c r="AF84" s="374"/>
      <c r="AG84" s="374"/>
      <c r="AH84" s="374"/>
      <c r="AI84" s="374"/>
      <c r="AJ84" s="374"/>
      <c r="AK84" s="374"/>
      <c r="AL84" s="374"/>
      <c r="AM84" s="375"/>
      <c r="AN84" s="267"/>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12.75" customHeight="1">
      <c r="A85" s="1"/>
      <c r="B85" s="15"/>
      <c r="C85" s="99"/>
      <c r="D85" s="99"/>
      <c r="E85" s="99"/>
      <c r="F85" s="99"/>
      <c r="G85" s="99"/>
      <c r="H85" s="99"/>
      <c r="I85" s="320"/>
      <c r="J85" s="320"/>
      <c r="K85" s="320"/>
      <c r="L85" s="320"/>
      <c r="M85" s="320"/>
      <c r="N85" s="320"/>
      <c r="O85" s="320"/>
      <c r="P85" s="320"/>
      <c r="Q85" s="320"/>
      <c r="R85" s="1"/>
      <c r="S85" s="8"/>
      <c r="T85" s="8"/>
      <c r="U85" s="8"/>
      <c r="V85" s="8"/>
      <c r="W85" s="8"/>
      <c r="X85" s="8"/>
      <c r="Y85" s="8"/>
      <c r="Z85" s="8"/>
      <c r="AA85" s="8"/>
      <c r="AB85" s="8"/>
      <c r="AC85" s="8"/>
      <c r="AD85" s="8"/>
      <c r="AE85" s="8"/>
      <c r="AF85" s="1"/>
      <c r="AG85" s="8"/>
      <c r="AH85" s="8"/>
      <c r="AI85" s="8"/>
      <c r="AJ85" s="8"/>
      <c r="AK85" s="117"/>
      <c r="AL85" s="117"/>
      <c r="AM85" s="117"/>
      <c r="AN85" s="267"/>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12.75" customHeight="1">
      <c r="A86" s="62" t="s">
        <v>1894</v>
      </c>
      <c r="B86" s="8" t="s">
        <v>1895</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1396" t="s">
        <v>1790</v>
      </c>
      <c r="AF86" s="893"/>
      <c r="AG86" s="893"/>
      <c r="AH86" s="893"/>
      <c r="AI86" s="893"/>
      <c r="AJ86" s="893"/>
      <c r="AK86" s="893"/>
      <c r="AL86" s="348"/>
      <c r="AM86" s="348"/>
      <c r="AN86" s="267"/>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12.75" customHeight="1">
      <c r="A87" s="62"/>
      <c r="B87" s="8" t="s">
        <v>1896</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237"/>
      <c r="AF87" s="237"/>
      <c r="AG87" s="237"/>
      <c r="AH87" s="237"/>
      <c r="AI87" s="237"/>
      <c r="AJ87" s="237"/>
      <c r="AK87" s="237"/>
      <c r="AL87" s="348"/>
      <c r="AM87" s="348"/>
      <c r="AN87" s="267"/>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12.75" customHeight="1">
      <c r="A88" s="62"/>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237"/>
      <c r="AF88" s="237"/>
      <c r="AG88" s="237"/>
      <c r="AH88" s="237"/>
      <c r="AI88" s="237"/>
      <c r="AJ88" s="237"/>
      <c r="AK88" s="237"/>
      <c r="AL88" s="348"/>
      <c r="AM88" s="348"/>
      <c r="AN88" s="267"/>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12.75" customHeight="1">
      <c r="A89" s="62"/>
      <c r="B89" s="973" t="s">
        <v>855</v>
      </c>
      <c r="C89" s="969"/>
      <c r="D89" s="352" t="s">
        <v>1874</v>
      </c>
      <c r="E89" s="1456" t="s">
        <v>1898</v>
      </c>
      <c r="F89" s="1384"/>
      <c r="G89" s="1384"/>
      <c r="H89" s="1384"/>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c r="AJ89" s="1385"/>
      <c r="AK89" s="237"/>
      <c r="AL89" s="348"/>
      <c r="AM89" s="348"/>
      <c r="AN89" s="267"/>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12.75" customHeight="1">
      <c r="A90" s="62"/>
      <c r="B90" s="8"/>
      <c r="C90" s="8"/>
      <c r="D90" s="8"/>
      <c r="E90" s="1386"/>
      <c r="F90" s="893"/>
      <c r="G90" s="893"/>
      <c r="H90" s="893"/>
      <c r="I90" s="893"/>
      <c r="J90" s="893"/>
      <c r="K90" s="893"/>
      <c r="L90" s="893"/>
      <c r="M90" s="893"/>
      <c r="N90" s="893"/>
      <c r="O90" s="893"/>
      <c r="P90" s="893"/>
      <c r="Q90" s="893"/>
      <c r="R90" s="893"/>
      <c r="S90" s="893"/>
      <c r="T90" s="893"/>
      <c r="U90" s="893"/>
      <c r="V90" s="893"/>
      <c r="W90" s="893"/>
      <c r="X90" s="893"/>
      <c r="Y90" s="893"/>
      <c r="Z90" s="893"/>
      <c r="AA90" s="893"/>
      <c r="AB90" s="893"/>
      <c r="AC90" s="893"/>
      <c r="AD90" s="893"/>
      <c r="AE90" s="893"/>
      <c r="AF90" s="893"/>
      <c r="AG90" s="893"/>
      <c r="AH90" s="893"/>
      <c r="AI90" s="893"/>
      <c r="AJ90" s="1387"/>
      <c r="AK90" s="237"/>
      <c r="AL90" s="348"/>
      <c r="AM90" s="348"/>
      <c r="AN90" s="267"/>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12.75" customHeight="1">
      <c r="A91" s="62"/>
      <c r="B91" s="8"/>
      <c r="C91" s="8"/>
      <c r="D91" s="8"/>
      <c r="E91" s="391"/>
      <c r="F91" s="4"/>
      <c r="G91" s="4"/>
      <c r="H91" s="4"/>
      <c r="I91" s="4"/>
      <c r="J91" s="4"/>
      <c r="K91" s="4"/>
      <c r="L91" s="4"/>
      <c r="M91" s="4"/>
      <c r="N91" s="4"/>
      <c r="O91" s="4"/>
      <c r="P91" s="4"/>
      <c r="Q91" s="4"/>
      <c r="R91" s="4"/>
      <c r="S91" s="4"/>
      <c r="T91" s="4"/>
      <c r="U91" s="4"/>
      <c r="V91" s="4"/>
      <c r="W91" s="4"/>
      <c r="X91" s="4"/>
      <c r="Y91" s="4"/>
      <c r="Z91" s="392"/>
      <c r="AA91" s="392"/>
      <c r="AB91" s="392"/>
      <c r="AC91" s="4"/>
      <c r="AD91" s="4"/>
      <c r="AE91" s="4"/>
      <c r="AF91" s="4"/>
      <c r="AG91" s="4"/>
      <c r="AH91" s="4"/>
      <c r="AI91" s="4"/>
      <c r="AJ91" s="393"/>
      <c r="AK91" s="237"/>
      <c r="AL91" s="348"/>
      <c r="AM91" s="348"/>
      <c r="AN91" s="267"/>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12.75" customHeight="1">
      <c r="A92" s="62"/>
      <c r="B92" s="8"/>
      <c r="C92" s="8"/>
      <c r="D92" s="8"/>
      <c r="E92" s="1457">
        <f>Application!AC759</f>
        <v>0.55517241379310334</v>
      </c>
      <c r="F92" s="961"/>
      <c r="G92" s="961"/>
      <c r="H92" s="961"/>
      <c r="I92" s="4"/>
      <c r="J92" s="41" t="s">
        <v>1900</v>
      </c>
      <c r="K92" s="4"/>
      <c r="L92" s="4"/>
      <c r="M92" s="4"/>
      <c r="N92" s="4"/>
      <c r="O92" s="4"/>
      <c r="P92" s="4"/>
      <c r="Q92" s="4"/>
      <c r="R92" s="4"/>
      <c r="S92" s="4"/>
      <c r="T92" s="4"/>
      <c r="U92" s="4"/>
      <c r="V92" s="4"/>
      <c r="W92" s="4"/>
      <c r="X92" s="4"/>
      <c r="Y92" s="4"/>
      <c r="Z92" s="394"/>
      <c r="AA92" s="394"/>
      <c r="AB92" s="394"/>
      <c r="AC92" s="4"/>
      <c r="AD92" s="4"/>
      <c r="AE92" s="4"/>
      <c r="AF92" s="4"/>
      <c r="AG92" s="4"/>
      <c r="AH92" s="4"/>
      <c r="AI92" s="4"/>
      <c r="AJ92" s="393"/>
      <c r="AK92" s="237"/>
      <c r="AL92" s="348"/>
      <c r="AM92" s="348"/>
      <c r="AN92" s="267"/>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12.75" customHeight="1">
      <c r="A93" s="62"/>
      <c r="B93" s="8"/>
      <c r="C93" s="8"/>
      <c r="D93" s="8"/>
      <c r="E93" s="1467">
        <f>0.6-ROUNDUP(E92,2)</f>
        <v>3.9999999999999925E-2</v>
      </c>
      <c r="F93" s="921"/>
      <c r="G93" s="921"/>
      <c r="H93" s="921"/>
      <c r="I93" s="4"/>
      <c r="J93" s="41" t="s">
        <v>1901</v>
      </c>
      <c r="K93" s="4"/>
      <c r="L93" s="4"/>
      <c r="M93" s="4"/>
      <c r="N93" s="4"/>
      <c r="O93" s="4"/>
      <c r="P93" s="4"/>
      <c r="Q93" s="4"/>
      <c r="R93" s="4"/>
      <c r="S93" s="4"/>
      <c r="T93" s="4"/>
      <c r="U93" s="4"/>
      <c r="V93" s="4"/>
      <c r="W93" s="4"/>
      <c r="X93" s="4"/>
      <c r="Y93" s="4"/>
      <c r="Z93" s="4"/>
      <c r="AA93" s="4"/>
      <c r="AB93" s="4"/>
      <c r="AC93" s="4"/>
      <c r="AD93" s="4"/>
      <c r="AE93" s="4"/>
      <c r="AF93" s="4"/>
      <c r="AG93" s="4"/>
      <c r="AH93" s="4"/>
      <c r="AI93" s="4"/>
      <c r="AJ93" s="393"/>
      <c r="AK93" s="237"/>
      <c r="AL93" s="348"/>
      <c r="AM93" s="348"/>
      <c r="AN93" s="267"/>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12.75" customHeight="1">
      <c r="A94" s="62"/>
      <c r="B94" s="8"/>
      <c r="C94" s="8"/>
      <c r="D94" s="8"/>
      <c r="E94" s="1468">
        <f>IF(E93*200&gt;20,20,E93*200)</f>
        <v>7.9999999999999849</v>
      </c>
      <c r="F94" s="961"/>
      <c r="G94" s="961"/>
      <c r="H94" s="961"/>
      <c r="I94" s="4"/>
      <c r="J94" s="41" t="s">
        <v>1902</v>
      </c>
      <c r="K94" s="4"/>
      <c r="L94" s="4"/>
      <c r="M94" s="4"/>
      <c r="N94" s="4"/>
      <c r="O94" s="4"/>
      <c r="P94" s="4"/>
      <c r="Q94" s="4"/>
      <c r="R94" s="4"/>
      <c r="S94" s="4"/>
      <c r="T94" s="4"/>
      <c r="U94" s="4"/>
      <c r="V94" s="4"/>
      <c r="W94" s="4"/>
      <c r="X94" s="4"/>
      <c r="Y94" s="4"/>
      <c r="Z94" s="4"/>
      <c r="AA94" s="4"/>
      <c r="AB94" s="4"/>
      <c r="AC94" s="4"/>
      <c r="AD94" s="4"/>
      <c r="AE94" s="4"/>
      <c r="AF94" s="4"/>
      <c r="AG94" s="4"/>
      <c r="AH94" s="4"/>
      <c r="AI94" s="4"/>
      <c r="AJ94" s="393"/>
      <c r="AK94" s="237"/>
      <c r="AL94" s="348"/>
      <c r="AM94" s="348"/>
      <c r="AN94" s="267"/>
      <c r="AO94" s="1"/>
      <c r="AP94" s="1">
        <f>IF(B89="yes",E94,0)</f>
        <v>0</v>
      </c>
      <c r="AQ94" s="1" t="s">
        <v>1806</v>
      </c>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12.75" customHeight="1">
      <c r="A95" s="62"/>
      <c r="B95" s="8"/>
      <c r="C95" s="8"/>
      <c r="D95" s="8"/>
      <c r="E95" s="398"/>
      <c r="F95" s="399"/>
      <c r="G95" s="399"/>
      <c r="H95" s="399"/>
      <c r="I95" s="399"/>
      <c r="J95" s="399"/>
      <c r="K95" s="399"/>
      <c r="L95" s="399"/>
      <c r="M95" s="399"/>
      <c r="N95" s="399"/>
      <c r="O95" s="399"/>
      <c r="P95" s="399"/>
      <c r="Q95" s="399"/>
      <c r="R95" s="399"/>
      <c r="S95" s="399"/>
      <c r="T95" s="399"/>
      <c r="U95" s="399"/>
      <c r="V95" s="399"/>
      <c r="W95" s="399"/>
      <c r="X95" s="399"/>
      <c r="Y95" s="399"/>
      <c r="Z95" s="399"/>
      <c r="AA95" s="399"/>
      <c r="AB95" s="399"/>
      <c r="AC95" s="399"/>
      <c r="AD95" s="399"/>
      <c r="AE95" s="400"/>
      <c r="AF95" s="400"/>
      <c r="AG95" s="400"/>
      <c r="AH95" s="400"/>
      <c r="AI95" s="400"/>
      <c r="AJ95" s="402"/>
      <c r="AK95" s="237"/>
      <c r="AL95" s="348"/>
      <c r="AM95" s="348"/>
      <c r="AN95" s="267"/>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12.75" customHeight="1">
      <c r="A96" s="62"/>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237"/>
      <c r="AF96" s="237"/>
      <c r="AG96" s="237"/>
      <c r="AH96" s="237"/>
      <c r="AI96" s="237"/>
      <c r="AJ96" s="237"/>
      <c r="AK96" s="237"/>
      <c r="AL96" s="348"/>
      <c r="AM96" s="348"/>
      <c r="AN96" s="267"/>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12.75" customHeight="1">
      <c r="A97" s="62"/>
      <c r="B97" s="973" t="s">
        <v>901</v>
      </c>
      <c r="C97" s="969"/>
      <c r="D97" s="352" t="s">
        <v>1880</v>
      </c>
      <c r="E97" s="1456" t="s">
        <v>1903</v>
      </c>
      <c r="F97" s="1384"/>
      <c r="G97" s="1384"/>
      <c r="H97" s="1384"/>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c r="AJ97" s="1385"/>
      <c r="AK97" s="237"/>
      <c r="AL97" s="348"/>
      <c r="AM97" s="348"/>
      <c r="AN97" s="267"/>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12.75" customHeight="1">
      <c r="A98" s="62"/>
      <c r="B98" s="8"/>
      <c r="C98" s="8"/>
      <c r="D98" s="8"/>
      <c r="E98" s="1386"/>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c r="AE98" s="893"/>
      <c r="AF98" s="893"/>
      <c r="AG98" s="893"/>
      <c r="AH98" s="893"/>
      <c r="AI98" s="893"/>
      <c r="AJ98" s="1387"/>
      <c r="AK98" s="237"/>
      <c r="AL98" s="348"/>
      <c r="AM98" s="348"/>
      <c r="AN98" s="267"/>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12.75" customHeight="1">
      <c r="A99" s="62"/>
      <c r="B99" s="8"/>
      <c r="C99" s="8"/>
      <c r="D99" s="8"/>
      <c r="E99" s="1386"/>
      <c r="F99" s="893"/>
      <c r="G99" s="893"/>
      <c r="H99" s="893"/>
      <c r="I99" s="893"/>
      <c r="J99" s="893"/>
      <c r="K99" s="893"/>
      <c r="L99" s="893"/>
      <c r="M99" s="893"/>
      <c r="N99" s="893"/>
      <c r="O99" s="893"/>
      <c r="P99" s="893"/>
      <c r="Q99" s="893"/>
      <c r="R99" s="893"/>
      <c r="S99" s="893"/>
      <c r="T99" s="893"/>
      <c r="U99" s="893"/>
      <c r="V99" s="893"/>
      <c r="W99" s="893"/>
      <c r="X99" s="893"/>
      <c r="Y99" s="893"/>
      <c r="Z99" s="893"/>
      <c r="AA99" s="893"/>
      <c r="AB99" s="893"/>
      <c r="AC99" s="893"/>
      <c r="AD99" s="893"/>
      <c r="AE99" s="893"/>
      <c r="AF99" s="893"/>
      <c r="AG99" s="893"/>
      <c r="AH99" s="893"/>
      <c r="AI99" s="893"/>
      <c r="AJ99" s="1387"/>
      <c r="AK99" s="237"/>
      <c r="AL99" s="348"/>
      <c r="AM99" s="348"/>
      <c r="AN99" s="267"/>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12.75" customHeight="1">
      <c r="A100" s="62"/>
      <c r="B100" s="8"/>
      <c r="C100" s="8"/>
      <c r="D100" s="8"/>
      <c r="E100" s="1386"/>
      <c r="F100" s="893"/>
      <c r="G100" s="893"/>
      <c r="H100" s="893"/>
      <c r="I100" s="893"/>
      <c r="J100" s="893"/>
      <c r="K100" s="893"/>
      <c r="L100" s="893"/>
      <c r="M100" s="893"/>
      <c r="N100" s="893"/>
      <c r="O100" s="893"/>
      <c r="P100" s="893"/>
      <c r="Q100" s="893"/>
      <c r="R100" s="893"/>
      <c r="S100" s="893"/>
      <c r="T100" s="893"/>
      <c r="U100" s="893"/>
      <c r="V100" s="893"/>
      <c r="W100" s="893"/>
      <c r="X100" s="893"/>
      <c r="Y100" s="893"/>
      <c r="Z100" s="893"/>
      <c r="AA100" s="893"/>
      <c r="AB100" s="893"/>
      <c r="AC100" s="893"/>
      <c r="AD100" s="893"/>
      <c r="AE100" s="893"/>
      <c r="AF100" s="893"/>
      <c r="AG100" s="893"/>
      <c r="AH100" s="893"/>
      <c r="AI100" s="893"/>
      <c r="AJ100" s="1387"/>
      <c r="AK100" s="237"/>
      <c r="AL100" s="348"/>
      <c r="AM100" s="348"/>
      <c r="AN100" s="267"/>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12.75" customHeight="1">
      <c r="A101" s="62"/>
      <c r="B101" s="8"/>
      <c r="C101" s="8"/>
      <c r="D101" s="8"/>
      <c r="E101" s="403"/>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404"/>
      <c r="AK101" s="237"/>
      <c r="AL101" s="348"/>
      <c r="AM101" s="348"/>
      <c r="AN101" s="267"/>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12.75" customHeight="1">
      <c r="A102" s="62"/>
      <c r="B102" s="8"/>
      <c r="C102" s="8"/>
      <c r="D102" s="8"/>
      <c r="E102" s="1457">
        <f>Application!AC759</f>
        <v>0.55517241379310334</v>
      </c>
      <c r="F102" s="961"/>
      <c r="G102" s="961"/>
      <c r="H102" s="961"/>
      <c r="I102" s="4"/>
      <c r="J102" s="41" t="s">
        <v>1900</v>
      </c>
      <c r="K102" s="4"/>
      <c r="L102" s="4"/>
      <c r="M102" s="4"/>
      <c r="N102" s="4"/>
      <c r="O102" s="4"/>
      <c r="P102" s="4"/>
      <c r="Q102" s="4"/>
      <c r="R102" s="11"/>
      <c r="S102" s="11"/>
      <c r="T102" s="11"/>
      <c r="U102" s="11"/>
      <c r="V102" s="11"/>
      <c r="W102" s="11"/>
      <c r="X102" s="11"/>
      <c r="Y102" s="11"/>
      <c r="Z102" s="11"/>
      <c r="AA102" s="11"/>
      <c r="AB102" s="11"/>
      <c r="AC102" s="11"/>
      <c r="AD102" s="11"/>
      <c r="AE102" s="11"/>
      <c r="AF102" s="11"/>
      <c r="AG102" s="11"/>
      <c r="AH102" s="11"/>
      <c r="AI102" s="11"/>
      <c r="AJ102" s="404"/>
      <c r="AK102" s="237"/>
      <c r="AL102" s="348"/>
      <c r="AM102" s="348"/>
      <c r="AN102" s="267"/>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12.75" customHeight="1">
      <c r="A103" s="62"/>
      <c r="B103" s="8"/>
      <c r="C103" s="8"/>
      <c r="D103" s="8"/>
      <c r="E103" s="1457">
        <f ca="1">SUMIF(Application!AC726:AG758,0.2,Application!G726:J758)/Application!G759+SUMIF(Application!AC726:AG758,0.25,Application!G726:J758)/Application!G759+SUMIF(Application!AC726:AG758,0.3,Application!G726:J758)/Application!G759</f>
        <v>0.11206896551724138</v>
      </c>
      <c r="F103" s="961"/>
      <c r="G103" s="961"/>
      <c r="H103" s="961"/>
      <c r="I103" s="4"/>
      <c r="J103" s="41" t="s">
        <v>1904</v>
      </c>
      <c r="K103" s="4"/>
      <c r="L103" s="4"/>
      <c r="M103" s="4"/>
      <c r="N103" s="4"/>
      <c r="O103" s="4"/>
      <c r="P103" s="4"/>
      <c r="Q103" s="4"/>
      <c r="R103" s="11"/>
      <c r="S103" s="11"/>
      <c r="T103" s="11"/>
      <c r="U103" s="11"/>
      <c r="V103" s="11"/>
      <c r="W103" s="11"/>
      <c r="X103" s="11"/>
      <c r="Y103" s="11"/>
      <c r="Z103" s="11"/>
      <c r="AA103" s="11"/>
      <c r="AB103" s="11"/>
      <c r="AC103" s="11"/>
      <c r="AD103" s="11"/>
      <c r="AE103" s="11"/>
      <c r="AF103" s="11"/>
      <c r="AG103" s="11"/>
      <c r="AH103" s="11"/>
      <c r="AI103" s="11"/>
      <c r="AJ103" s="404"/>
      <c r="AK103" s="237"/>
      <c r="AL103" s="348"/>
      <c r="AM103" s="348"/>
      <c r="AN103" s="267"/>
      <c r="AO103" s="1"/>
      <c r="AP103" s="1"/>
      <c r="AQ103" s="1"/>
      <c r="AR103" s="1"/>
      <c r="AS103" s="1"/>
      <c r="AT103" s="1"/>
      <c r="AU103" s="405"/>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12.75" customHeight="1">
      <c r="A104" s="62"/>
      <c r="B104" s="8"/>
      <c r="C104" s="8"/>
      <c r="D104" s="8"/>
      <c r="E104" s="1457">
        <f ca="1">SUMIF(Application!AC726:AG758,0.35,Application!G726:J758)/Application!G759+SUMIF(Application!AC726:AG758,0.4,Application!G726:J758)/Application!G759+SUMIF(Application!AC726:AG758,0.45,Application!G726:J758)/Application!G759+SUMIF(Application!AC726:AG758,0.5,Application!G726:J758)/Application!G759</f>
        <v>0.11206896551724138</v>
      </c>
      <c r="F104" s="961"/>
      <c r="G104" s="961"/>
      <c r="H104" s="961"/>
      <c r="I104" s="4"/>
      <c r="J104" s="41" t="s">
        <v>1905</v>
      </c>
      <c r="K104" s="4"/>
      <c r="L104" s="4"/>
      <c r="M104" s="4"/>
      <c r="N104" s="4"/>
      <c r="O104" s="4"/>
      <c r="P104" s="4"/>
      <c r="Q104" s="4"/>
      <c r="R104" s="11"/>
      <c r="S104" s="11"/>
      <c r="T104" s="11"/>
      <c r="U104" s="11"/>
      <c r="V104" s="11"/>
      <c r="W104" s="11"/>
      <c r="X104" s="11"/>
      <c r="Y104" s="11"/>
      <c r="Z104" s="11"/>
      <c r="AA104" s="11"/>
      <c r="AB104" s="11"/>
      <c r="AC104" s="11"/>
      <c r="AD104" s="11"/>
      <c r="AE104" s="11"/>
      <c r="AF104" s="11"/>
      <c r="AG104" s="11"/>
      <c r="AH104" s="11"/>
      <c r="AI104" s="11"/>
      <c r="AJ104" s="404"/>
      <c r="AK104" s="237"/>
      <c r="AL104" s="348"/>
      <c r="AM104" s="348"/>
      <c r="AN104" s="267"/>
      <c r="AO104" s="1"/>
      <c r="AP104" s="1"/>
      <c r="AQ104" s="1"/>
      <c r="AR104" s="1"/>
      <c r="AS104" s="1"/>
      <c r="AT104" s="1"/>
      <c r="AU104" s="405"/>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12.75" customHeight="1">
      <c r="A105" s="62"/>
      <c r="B105" s="8"/>
      <c r="C105" s="8"/>
      <c r="D105" s="8"/>
      <c r="E105" s="1454">
        <f ca="1">IF(AND(E102&lt;=0.6,OR(AND(E103&gt;=0.1,E104&gt;=0.1),AND(E103&gt;0.1,(E103+E104)&gt;=0.2))),20,0)</f>
        <v>20</v>
      </c>
      <c r="F105" s="961"/>
      <c r="G105" s="961"/>
      <c r="H105" s="961"/>
      <c r="I105" s="11"/>
      <c r="J105" s="14" t="s">
        <v>1902</v>
      </c>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404"/>
      <c r="AK105" s="237"/>
      <c r="AL105" s="348"/>
      <c r="AM105" s="348"/>
      <c r="AN105" s="267"/>
      <c r="AO105" s="1"/>
      <c r="AP105" s="406">
        <f ca="1">IF(B97="yes",E105,0)</f>
        <v>20</v>
      </c>
      <c r="AQ105" s="1" t="s">
        <v>1806</v>
      </c>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12.75" customHeight="1">
      <c r="A106" s="62"/>
      <c r="B106" s="8"/>
      <c r="C106" s="8"/>
      <c r="D106" s="8"/>
      <c r="E106" s="398"/>
      <c r="F106" s="399"/>
      <c r="G106" s="399"/>
      <c r="H106" s="399"/>
      <c r="I106" s="399"/>
      <c r="J106" s="399"/>
      <c r="K106" s="399"/>
      <c r="L106" s="399"/>
      <c r="M106" s="399"/>
      <c r="N106" s="399"/>
      <c r="O106" s="399"/>
      <c r="P106" s="399"/>
      <c r="Q106" s="399"/>
      <c r="R106" s="399"/>
      <c r="S106" s="399"/>
      <c r="T106" s="399"/>
      <c r="U106" s="399"/>
      <c r="V106" s="399"/>
      <c r="W106" s="399"/>
      <c r="X106" s="399"/>
      <c r="Y106" s="399"/>
      <c r="Z106" s="399"/>
      <c r="AA106" s="399"/>
      <c r="AB106" s="399"/>
      <c r="AC106" s="399"/>
      <c r="AD106" s="399"/>
      <c r="AE106" s="400"/>
      <c r="AF106" s="400"/>
      <c r="AG106" s="400"/>
      <c r="AH106" s="400"/>
      <c r="AI106" s="400"/>
      <c r="AJ106" s="402"/>
      <c r="AK106" s="237"/>
      <c r="AL106" s="348"/>
      <c r="AM106" s="348"/>
      <c r="AN106" s="267"/>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12.75" customHeight="1">
      <c r="A107" s="62"/>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237"/>
      <c r="AF107" s="237"/>
      <c r="AG107" s="237"/>
      <c r="AH107" s="237"/>
      <c r="AI107" s="237"/>
      <c r="AJ107" s="237"/>
      <c r="AK107" s="237"/>
      <c r="AL107" s="348"/>
      <c r="AM107" s="348"/>
      <c r="AN107" s="267"/>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12.75" customHeight="1">
      <c r="A108" s="368"/>
      <c r="B108" s="369"/>
      <c r="C108" s="369"/>
      <c r="D108" s="369"/>
      <c r="E108" s="369"/>
      <c r="F108" s="369"/>
      <c r="G108" s="370"/>
      <c r="H108" s="371"/>
      <c r="I108" s="371"/>
      <c r="J108" s="371"/>
      <c r="K108" s="371"/>
      <c r="L108" s="371"/>
      <c r="M108" s="371"/>
      <c r="N108" s="371"/>
      <c r="O108" s="371"/>
      <c r="P108" s="371"/>
      <c r="Q108" s="371"/>
      <c r="R108" s="371"/>
      <c r="S108" s="371"/>
      <c r="T108" s="371"/>
      <c r="U108" s="371"/>
      <c r="V108" s="371"/>
      <c r="W108" s="371"/>
      <c r="X108" s="371"/>
      <c r="Y108" s="371"/>
      <c r="Z108" s="371"/>
      <c r="AA108" s="371"/>
      <c r="AB108" s="371"/>
      <c r="AC108" s="371"/>
      <c r="AD108" s="371"/>
      <c r="AE108" s="371"/>
      <c r="AF108" s="371"/>
      <c r="AG108" s="371"/>
      <c r="AH108" s="371"/>
      <c r="AI108" s="372"/>
      <c r="AJ108" s="372" t="s">
        <v>1906</v>
      </c>
      <c r="AK108" s="956">
        <f ca="1">MAX(AP94,AP105)</f>
        <v>20</v>
      </c>
      <c r="AL108" s="921"/>
      <c r="AM108" s="943"/>
      <c r="AN108" s="267"/>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12.75" customHeight="1">
      <c r="A109" s="92"/>
      <c r="B109" s="373"/>
      <c r="C109" s="374"/>
      <c r="D109" s="374"/>
      <c r="E109" s="374"/>
      <c r="F109" s="374"/>
      <c r="G109" s="374"/>
      <c r="H109" s="374"/>
      <c r="I109" s="374"/>
      <c r="J109" s="374"/>
      <c r="K109" s="374"/>
      <c r="L109" s="374"/>
      <c r="M109" s="374"/>
      <c r="N109" s="374"/>
      <c r="O109" s="374"/>
      <c r="P109" s="374"/>
      <c r="Q109" s="374"/>
      <c r="R109" s="374"/>
      <c r="S109" s="374"/>
      <c r="T109" s="374"/>
      <c r="U109" s="374"/>
      <c r="V109" s="374"/>
      <c r="W109" s="374"/>
      <c r="X109" s="374"/>
      <c r="Y109" s="374"/>
      <c r="Z109" s="374"/>
      <c r="AA109" s="374"/>
      <c r="AB109" s="374"/>
      <c r="AC109" s="374"/>
      <c r="AD109" s="374"/>
      <c r="AE109" s="374"/>
      <c r="AF109" s="374"/>
      <c r="AG109" s="374"/>
      <c r="AH109" s="374"/>
      <c r="AI109" s="374"/>
      <c r="AJ109" s="374"/>
      <c r="AK109" s="374"/>
      <c r="AL109" s="374"/>
      <c r="AM109" s="375"/>
      <c r="AN109" s="267"/>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12.75" customHeight="1">
      <c r="A110" s="1"/>
      <c r="B110" s="15"/>
      <c r="C110" s="99"/>
      <c r="D110" s="99"/>
      <c r="E110" s="99"/>
      <c r="F110" s="99"/>
      <c r="G110" s="99"/>
      <c r="H110" s="99"/>
      <c r="I110" s="320"/>
      <c r="J110" s="320"/>
      <c r="K110" s="320"/>
      <c r="L110" s="320"/>
      <c r="M110" s="320"/>
      <c r="N110" s="320"/>
      <c r="O110" s="320"/>
      <c r="P110" s="320"/>
      <c r="Q110" s="320"/>
      <c r="R110" s="1"/>
      <c r="S110" s="8"/>
      <c r="T110" s="8"/>
      <c r="U110" s="8"/>
      <c r="V110" s="8"/>
      <c r="W110" s="8"/>
      <c r="X110" s="8"/>
      <c r="Y110" s="8"/>
      <c r="Z110" s="8"/>
      <c r="AA110" s="8"/>
      <c r="AB110" s="8"/>
      <c r="AC110" s="8"/>
      <c r="AD110" s="8"/>
      <c r="AE110" s="8"/>
      <c r="AF110" s="1"/>
      <c r="AG110" s="8"/>
      <c r="AH110" s="8"/>
      <c r="AI110" s="8"/>
      <c r="AJ110" s="8"/>
      <c r="AK110" s="117"/>
      <c r="AL110" s="117"/>
      <c r="AM110" s="117"/>
      <c r="AN110" s="267"/>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12.75" customHeight="1">
      <c r="A111" s="62" t="s">
        <v>1907</v>
      </c>
      <c r="B111" s="8" t="s">
        <v>1908</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1396" t="s">
        <v>1871</v>
      </c>
      <c r="AF111" s="893"/>
      <c r="AG111" s="893"/>
      <c r="AH111" s="893"/>
      <c r="AI111" s="893"/>
      <c r="AJ111" s="893"/>
      <c r="AK111" s="893"/>
      <c r="AL111" s="348"/>
      <c r="AM111" s="348"/>
      <c r="AN111" s="267"/>
      <c r="AO111" s="1" t="str">
        <f>Application!B726</f>
        <v>1 Bedroom</v>
      </c>
      <c r="AP111" s="1"/>
      <c r="AQ111" s="126">
        <f>Application!O726</f>
        <v>880</v>
      </c>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12.75" customHeight="1">
      <c r="A112" s="348"/>
      <c r="B112" s="8" t="s">
        <v>1896</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237"/>
      <c r="AF112" s="237"/>
      <c r="AG112" s="237"/>
      <c r="AH112" s="237"/>
      <c r="AI112" s="237"/>
      <c r="AJ112" s="237"/>
      <c r="AK112" s="348"/>
      <c r="AL112" s="348"/>
      <c r="AM112" s="348"/>
      <c r="AN112" s="267"/>
      <c r="AO112" s="1" t="str">
        <f>Application!B727</f>
        <v>1 Bedroom</v>
      </c>
      <c r="AP112" s="1"/>
      <c r="AQ112" s="126">
        <f>Application!O727</f>
        <v>1536</v>
      </c>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12.75" customHeight="1">
      <c r="A113" s="348"/>
      <c r="B113" s="8"/>
      <c r="C113" s="8"/>
      <c r="D113" s="8"/>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348"/>
      <c r="AL113" s="348"/>
      <c r="AM113" s="348"/>
      <c r="AN113" s="267"/>
      <c r="AO113" s="1" t="str">
        <f>Application!B728</f>
        <v>1 Bedroom</v>
      </c>
      <c r="AP113" s="1"/>
      <c r="AQ113" s="126">
        <f>Application!O728</f>
        <v>1864</v>
      </c>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12.75" customHeight="1">
      <c r="A114" s="348"/>
      <c r="B114" s="973" t="s">
        <v>855</v>
      </c>
      <c r="C114" s="969"/>
      <c r="D114" s="352" t="s">
        <v>1874</v>
      </c>
      <c r="E114" s="1456" t="s">
        <v>1910</v>
      </c>
      <c r="F114" s="1384"/>
      <c r="G114" s="1384"/>
      <c r="H114" s="1384"/>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c r="AJ114" s="1385"/>
      <c r="AK114" s="348"/>
      <c r="AL114" s="348"/>
      <c r="AM114" s="348"/>
      <c r="AN114" s="267"/>
      <c r="AO114" s="1" t="e">
        <f>Application!#REF!</f>
        <v>#REF!</v>
      </c>
      <c r="AP114" s="1"/>
      <c r="AQ114" s="126" t="e">
        <f>Application!#REF!</f>
        <v>#REF!</v>
      </c>
      <c r="AR114" s="1"/>
      <c r="AS114" s="1"/>
      <c r="AT114" s="1"/>
      <c r="AU114" s="1" t="s">
        <v>1911</v>
      </c>
      <c r="AV114" s="7" t="s">
        <v>1912</v>
      </c>
      <c r="AW114" s="1" t="s">
        <v>1913</v>
      </c>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12.75" customHeight="1">
      <c r="A115" s="348"/>
      <c r="B115" s="8"/>
      <c r="C115" s="8"/>
      <c r="D115" s="8"/>
      <c r="E115" s="1386"/>
      <c r="F115" s="893"/>
      <c r="G115" s="893"/>
      <c r="H115" s="893"/>
      <c r="I115" s="893"/>
      <c r="J115" s="893"/>
      <c r="K115" s="893"/>
      <c r="L115" s="893"/>
      <c r="M115" s="893"/>
      <c r="N115" s="893"/>
      <c r="O115" s="893"/>
      <c r="P115" s="893"/>
      <c r="Q115" s="893"/>
      <c r="R115" s="893"/>
      <c r="S115" s="893"/>
      <c r="T115" s="893"/>
      <c r="U115" s="893"/>
      <c r="V115" s="893"/>
      <c r="W115" s="893"/>
      <c r="X115" s="893"/>
      <c r="Y115" s="893"/>
      <c r="Z115" s="893"/>
      <c r="AA115" s="893"/>
      <c r="AB115" s="893"/>
      <c r="AC115" s="893"/>
      <c r="AD115" s="893"/>
      <c r="AE115" s="893"/>
      <c r="AF115" s="893"/>
      <c r="AG115" s="893"/>
      <c r="AH115" s="893"/>
      <c r="AI115" s="893"/>
      <c r="AJ115" s="1387"/>
      <c r="AK115" s="348"/>
      <c r="AL115" s="348"/>
      <c r="AM115" s="348"/>
      <c r="AN115" s="267"/>
      <c r="AO115" s="1" t="str">
        <f>Application!B729</f>
        <v>2 Bedrooms</v>
      </c>
      <c r="AP115" s="1"/>
      <c r="AQ115" s="126">
        <f>Application!O729</f>
        <v>1043</v>
      </c>
      <c r="AR115" s="1"/>
      <c r="AS115" s="1"/>
      <c r="AT115" s="1"/>
      <c r="AU115" s="407" t="str">
        <f>E123</f>
        <v>Studio/SRO</v>
      </c>
      <c r="AV115" s="1">
        <f t="array" ref="AV115">SUM(IF(Application!B726:F758="SRO/Studio",Application!G726:J758))</f>
        <v>0</v>
      </c>
      <c r="AW115" s="203">
        <f>AV115/AV121</f>
        <v>0</v>
      </c>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12.75" customHeight="1">
      <c r="A116" s="348"/>
      <c r="B116" s="8"/>
      <c r="C116" s="8"/>
      <c r="D116" s="8"/>
      <c r="E116" s="1386"/>
      <c r="F116" s="893"/>
      <c r="G116" s="893"/>
      <c r="H116" s="893"/>
      <c r="I116" s="893"/>
      <c r="J116" s="893"/>
      <c r="K116" s="893"/>
      <c r="L116" s="893"/>
      <c r="M116" s="893"/>
      <c r="N116" s="893"/>
      <c r="O116" s="893"/>
      <c r="P116" s="893"/>
      <c r="Q116" s="893"/>
      <c r="R116" s="893"/>
      <c r="S116" s="893"/>
      <c r="T116" s="893"/>
      <c r="U116" s="893"/>
      <c r="V116" s="893"/>
      <c r="W116" s="893"/>
      <c r="X116" s="893"/>
      <c r="Y116" s="893"/>
      <c r="Z116" s="893"/>
      <c r="AA116" s="893"/>
      <c r="AB116" s="893"/>
      <c r="AC116" s="893"/>
      <c r="AD116" s="893"/>
      <c r="AE116" s="893"/>
      <c r="AF116" s="893"/>
      <c r="AG116" s="893"/>
      <c r="AH116" s="893"/>
      <c r="AI116" s="893"/>
      <c r="AJ116" s="1387"/>
      <c r="AK116" s="348"/>
      <c r="AL116" s="348"/>
      <c r="AM116" s="348"/>
      <c r="AN116" s="267"/>
      <c r="AO116" s="1" t="str">
        <f>Application!B730</f>
        <v>2 Bedrooms</v>
      </c>
      <c r="AP116" s="1"/>
      <c r="AQ116" s="126">
        <f>Application!O730</f>
        <v>1830</v>
      </c>
      <c r="AR116" s="1"/>
      <c r="AS116" s="1"/>
      <c r="AT116" s="1"/>
      <c r="AU116" s="407" t="str">
        <f>J123</f>
        <v>1-bedroom</v>
      </c>
      <c r="AV116" s="1">
        <f t="array" ref="AV116">SUM(IF(Application!B726:F758="1 Bedroom",Application!G726:J758))</f>
        <v>119</v>
      </c>
      <c r="AW116" s="203">
        <f>AV116/AV121</f>
        <v>0.51293103448275867</v>
      </c>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12.75" customHeight="1">
      <c r="A117" s="348"/>
      <c r="B117" s="8"/>
      <c r="C117" s="8"/>
      <c r="D117" s="8"/>
      <c r="E117" s="1386"/>
      <c r="F117" s="893"/>
      <c r="G117" s="893"/>
      <c r="H117" s="893"/>
      <c r="I117" s="893"/>
      <c r="J117" s="893"/>
      <c r="K117" s="893"/>
      <c r="L117" s="893"/>
      <c r="M117" s="893"/>
      <c r="N117" s="893"/>
      <c r="O117" s="893"/>
      <c r="P117" s="893"/>
      <c r="Q117" s="893"/>
      <c r="R117" s="893"/>
      <c r="S117" s="893"/>
      <c r="T117" s="893"/>
      <c r="U117" s="893"/>
      <c r="V117" s="893"/>
      <c r="W117" s="893"/>
      <c r="X117" s="893"/>
      <c r="Y117" s="893"/>
      <c r="Z117" s="893"/>
      <c r="AA117" s="893"/>
      <c r="AB117" s="893"/>
      <c r="AC117" s="893"/>
      <c r="AD117" s="893"/>
      <c r="AE117" s="893"/>
      <c r="AF117" s="893"/>
      <c r="AG117" s="893"/>
      <c r="AH117" s="893"/>
      <c r="AI117" s="893"/>
      <c r="AJ117" s="1387"/>
      <c r="AK117" s="348"/>
      <c r="AL117" s="348"/>
      <c r="AM117" s="348"/>
      <c r="AN117" s="267"/>
      <c r="AO117" s="1" t="str">
        <f>Application!B731</f>
        <v>2 Bedrooms</v>
      </c>
      <c r="AP117" s="1"/>
      <c r="AQ117" s="126">
        <f>Application!O731</f>
        <v>2224</v>
      </c>
      <c r="AR117" s="1"/>
      <c r="AS117" s="1"/>
      <c r="AT117" s="1"/>
      <c r="AU117" s="407" t="str">
        <f>O123</f>
        <v>2-bedroom</v>
      </c>
      <c r="AV117" s="1">
        <f t="array" ref="AV117">SUM(IF(Application!B726:F758="2 Bedrooms",Application!G726:J758))</f>
        <v>68</v>
      </c>
      <c r="AW117" s="203">
        <f>AV117/AV121</f>
        <v>0.29310344827586204</v>
      </c>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12.75" customHeight="1">
      <c r="A118" s="348"/>
      <c r="B118" s="8"/>
      <c r="C118" s="8"/>
      <c r="D118" s="8"/>
      <c r="E118" s="1386"/>
      <c r="F118" s="893"/>
      <c r="G118" s="893"/>
      <c r="H118" s="893"/>
      <c r="I118" s="893"/>
      <c r="J118" s="893"/>
      <c r="K118" s="893"/>
      <c r="L118" s="893"/>
      <c r="M118" s="893"/>
      <c r="N118" s="893"/>
      <c r="O118" s="893"/>
      <c r="P118" s="893"/>
      <c r="Q118" s="893"/>
      <c r="R118" s="893"/>
      <c r="S118" s="893"/>
      <c r="T118" s="893"/>
      <c r="U118" s="893"/>
      <c r="V118" s="893"/>
      <c r="W118" s="893"/>
      <c r="X118" s="893"/>
      <c r="Y118" s="893"/>
      <c r="Z118" s="893"/>
      <c r="AA118" s="893"/>
      <c r="AB118" s="893"/>
      <c r="AC118" s="893"/>
      <c r="AD118" s="893"/>
      <c r="AE118" s="893"/>
      <c r="AF118" s="893"/>
      <c r="AG118" s="893"/>
      <c r="AH118" s="893"/>
      <c r="AI118" s="893"/>
      <c r="AJ118" s="1387"/>
      <c r="AK118" s="348"/>
      <c r="AL118" s="348"/>
      <c r="AM118" s="348"/>
      <c r="AN118" s="267"/>
      <c r="AO118" s="1" t="str">
        <f>Application!B732</f>
        <v>1 Bedroom</v>
      </c>
      <c r="AP118" s="1"/>
      <c r="AQ118" s="126">
        <f>Application!O732</f>
        <v>880</v>
      </c>
      <c r="AR118" s="1"/>
      <c r="AS118" s="1"/>
      <c r="AT118" s="1"/>
      <c r="AU118" s="407" t="str">
        <f>T123</f>
        <v>3-bedroom</v>
      </c>
      <c r="AV118" s="1">
        <f t="array" ref="AV118">SUM(IF(Application!B726:F758="3 Bedrooms",Application!G726:J758))</f>
        <v>45</v>
      </c>
      <c r="AW118" s="203">
        <f>AV118/AV121</f>
        <v>0.19396551724137931</v>
      </c>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12.75" customHeight="1">
      <c r="A119" s="348"/>
      <c r="B119" s="8"/>
      <c r="C119" s="8"/>
      <c r="D119" s="8"/>
      <c r="E119" s="1386"/>
      <c r="F119" s="893"/>
      <c r="G119" s="893"/>
      <c r="H119" s="893"/>
      <c r="I119" s="893"/>
      <c r="J119" s="893"/>
      <c r="K119" s="893"/>
      <c r="L119" s="893"/>
      <c r="M119" s="893"/>
      <c r="N119" s="893"/>
      <c r="O119" s="893"/>
      <c r="P119" s="893"/>
      <c r="Q119" s="893"/>
      <c r="R119" s="893"/>
      <c r="S119" s="893"/>
      <c r="T119" s="893"/>
      <c r="U119" s="893"/>
      <c r="V119" s="893"/>
      <c r="W119" s="893"/>
      <c r="X119" s="893"/>
      <c r="Y119" s="893"/>
      <c r="Z119" s="893"/>
      <c r="AA119" s="893"/>
      <c r="AB119" s="893"/>
      <c r="AC119" s="893"/>
      <c r="AD119" s="893"/>
      <c r="AE119" s="893"/>
      <c r="AF119" s="893"/>
      <c r="AG119" s="893"/>
      <c r="AH119" s="893"/>
      <c r="AI119" s="893"/>
      <c r="AJ119" s="1387"/>
      <c r="AK119" s="348"/>
      <c r="AL119" s="348"/>
      <c r="AM119" s="348"/>
      <c r="AN119" s="267"/>
      <c r="AO119" s="1" t="str">
        <f>Application!B733</f>
        <v>1 Bedroom</v>
      </c>
      <c r="AP119" s="1"/>
      <c r="AQ119" s="126">
        <f>Application!O733</f>
        <v>1536</v>
      </c>
      <c r="AR119" s="1"/>
      <c r="AS119" s="1"/>
      <c r="AT119" s="1"/>
      <c r="AU119" s="407" t="str">
        <f>Y123</f>
        <v>4-bedroom</v>
      </c>
      <c r="AV119" s="1">
        <f t="array" ref="AV119">SUM(IF(Application!B726:F758="4 Bedrooms",Application!G726:J758))</f>
        <v>0</v>
      </c>
      <c r="AW119" s="203">
        <f>AV119/AV121</f>
        <v>0</v>
      </c>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12.75" customHeight="1">
      <c r="A120" s="348"/>
      <c r="B120" s="8"/>
      <c r="C120" s="8"/>
      <c r="D120" s="8"/>
      <c r="E120" s="1386"/>
      <c r="F120" s="893"/>
      <c r="G120" s="893"/>
      <c r="H120" s="893"/>
      <c r="I120" s="893"/>
      <c r="J120" s="893"/>
      <c r="K120" s="893"/>
      <c r="L120" s="893"/>
      <c r="M120" s="893"/>
      <c r="N120" s="893"/>
      <c r="O120" s="893"/>
      <c r="P120" s="893"/>
      <c r="Q120" s="893"/>
      <c r="R120" s="893"/>
      <c r="S120" s="893"/>
      <c r="T120" s="893"/>
      <c r="U120" s="893"/>
      <c r="V120" s="893"/>
      <c r="W120" s="893"/>
      <c r="X120" s="893"/>
      <c r="Y120" s="893"/>
      <c r="Z120" s="893"/>
      <c r="AA120" s="893"/>
      <c r="AB120" s="893"/>
      <c r="AC120" s="893"/>
      <c r="AD120" s="893"/>
      <c r="AE120" s="893"/>
      <c r="AF120" s="893"/>
      <c r="AG120" s="893"/>
      <c r="AH120" s="893"/>
      <c r="AI120" s="893"/>
      <c r="AJ120" s="1387"/>
      <c r="AK120" s="348"/>
      <c r="AL120" s="348"/>
      <c r="AM120" s="348"/>
      <c r="AN120" s="267"/>
      <c r="AO120" s="1" t="str">
        <f>Application!B734</f>
        <v>1 Bedroom</v>
      </c>
      <c r="AP120" s="1"/>
      <c r="AQ120" s="126">
        <f>Application!O734</f>
        <v>1864</v>
      </c>
      <c r="AR120" s="1"/>
      <c r="AS120" s="1"/>
      <c r="AT120" s="1"/>
      <c r="AU120" s="407" t="str">
        <f>AD123</f>
        <v>5-bedroom</v>
      </c>
      <c r="AV120" s="1">
        <f t="array" ref="AV120">SUM(IF(Application!B726:F758="5 Bedrooms",Application!G726:J758))</f>
        <v>0</v>
      </c>
      <c r="AW120" s="203">
        <f>AV120/AV121</f>
        <v>0</v>
      </c>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12.75" customHeight="1">
      <c r="A121" s="348"/>
      <c r="B121" s="8"/>
      <c r="C121" s="8"/>
      <c r="D121" s="8"/>
      <c r="E121" s="1386"/>
      <c r="F121" s="893"/>
      <c r="G121" s="893"/>
      <c r="H121" s="893"/>
      <c r="I121" s="893"/>
      <c r="J121" s="893"/>
      <c r="K121" s="893"/>
      <c r="L121" s="893"/>
      <c r="M121" s="893"/>
      <c r="N121" s="893"/>
      <c r="O121" s="893"/>
      <c r="P121" s="893"/>
      <c r="Q121" s="893"/>
      <c r="R121" s="893"/>
      <c r="S121" s="893"/>
      <c r="T121" s="893"/>
      <c r="U121" s="893"/>
      <c r="V121" s="893"/>
      <c r="W121" s="893"/>
      <c r="X121" s="893"/>
      <c r="Y121" s="893"/>
      <c r="Z121" s="893"/>
      <c r="AA121" s="893"/>
      <c r="AB121" s="893"/>
      <c r="AC121" s="893"/>
      <c r="AD121" s="893"/>
      <c r="AE121" s="893"/>
      <c r="AF121" s="893"/>
      <c r="AG121" s="893"/>
      <c r="AH121" s="893"/>
      <c r="AI121" s="893"/>
      <c r="AJ121" s="1387"/>
      <c r="AK121" s="348"/>
      <c r="AL121" s="348"/>
      <c r="AM121" s="348"/>
      <c r="AN121" s="267"/>
      <c r="AO121" s="1" t="e">
        <f>Application!#REF!</f>
        <v>#REF!</v>
      </c>
      <c r="AP121" s="1"/>
      <c r="AQ121" s="126" t="e">
        <f>Application!#REF!</f>
        <v>#REF!</v>
      </c>
      <c r="AR121" s="1"/>
      <c r="AS121" s="1"/>
      <c r="AT121" s="1"/>
      <c r="AU121" s="1"/>
      <c r="AV121" s="1">
        <f t="shared" ref="AV121:AW121" si="0">SUM(AV115:AV120)</f>
        <v>232</v>
      </c>
      <c r="AW121" s="203">
        <f t="shared" si="0"/>
        <v>1</v>
      </c>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12.75" customHeight="1">
      <c r="A122" s="348"/>
      <c r="B122" s="8"/>
      <c r="C122" s="8"/>
      <c r="D122" s="8"/>
      <c r="E122" s="403"/>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404"/>
      <c r="AK122" s="348"/>
      <c r="AL122" s="348"/>
      <c r="AM122" s="348"/>
      <c r="AN122" s="267"/>
      <c r="AO122" s="1" t="str">
        <f>Application!B735</f>
        <v>2 Bedrooms</v>
      </c>
      <c r="AP122" s="1"/>
      <c r="AQ122" s="126">
        <f>Application!O735</f>
        <v>1043</v>
      </c>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12.75" customHeight="1">
      <c r="A123" s="348"/>
      <c r="B123" s="8"/>
      <c r="C123" s="348"/>
      <c r="D123" s="348"/>
      <c r="E123" s="1457" t="s">
        <v>1921</v>
      </c>
      <c r="F123" s="961"/>
      <c r="G123" s="961"/>
      <c r="H123" s="961"/>
      <c r="I123" s="4"/>
      <c r="J123" s="1459" t="s">
        <v>1923</v>
      </c>
      <c r="K123" s="961"/>
      <c r="L123" s="961"/>
      <c r="M123" s="961"/>
      <c r="N123" s="4"/>
      <c r="O123" s="1459" t="s">
        <v>1924</v>
      </c>
      <c r="P123" s="961"/>
      <c r="Q123" s="961"/>
      <c r="R123" s="961"/>
      <c r="S123" s="4"/>
      <c r="T123" s="1459" t="s">
        <v>1925</v>
      </c>
      <c r="U123" s="961"/>
      <c r="V123" s="961"/>
      <c r="W123" s="961"/>
      <c r="X123" s="4"/>
      <c r="Y123" s="1459" t="s">
        <v>1926</v>
      </c>
      <c r="Z123" s="961"/>
      <c r="AA123" s="961"/>
      <c r="AB123" s="961"/>
      <c r="AC123" s="4"/>
      <c r="AD123" s="1459" t="s">
        <v>1927</v>
      </c>
      <c r="AE123" s="961"/>
      <c r="AF123" s="961"/>
      <c r="AG123" s="961"/>
      <c r="AH123" s="4"/>
      <c r="AI123" s="4"/>
      <c r="AJ123" s="393"/>
      <c r="AK123" s="348"/>
      <c r="AL123" s="348"/>
      <c r="AM123" s="348"/>
      <c r="AN123" s="267"/>
      <c r="AO123" s="1" t="str">
        <f>Application!B736</f>
        <v>2 Bedrooms</v>
      </c>
      <c r="AP123" s="1"/>
      <c r="AQ123" s="126">
        <f>Application!O736</f>
        <v>1830</v>
      </c>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12.75" customHeight="1">
      <c r="A124" s="348"/>
      <c r="B124" s="8"/>
      <c r="C124" s="348"/>
      <c r="D124" s="348"/>
      <c r="E124" s="408"/>
      <c r="F124" s="409"/>
      <c r="G124" s="409"/>
      <c r="H124" s="409"/>
      <c r="I124" s="4"/>
      <c r="J124" s="409"/>
      <c r="K124" s="409"/>
      <c r="L124" s="409"/>
      <c r="M124" s="409"/>
      <c r="N124" s="4"/>
      <c r="O124" s="409"/>
      <c r="P124" s="409"/>
      <c r="Q124" s="409"/>
      <c r="R124" s="409"/>
      <c r="S124" s="4"/>
      <c r="T124" s="409"/>
      <c r="U124" s="409"/>
      <c r="V124" s="409"/>
      <c r="W124" s="409"/>
      <c r="X124" s="4"/>
      <c r="Y124" s="409"/>
      <c r="Z124" s="409"/>
      <c r="AA124" s="409"/>
      <c r="AB124" s="409"/>
      <c r="AC124" s="4"/>
      <c r="AD124" s="409"/>
      <c r="AE124" s="409"/>
      <c r="AF124" s="409"/>
      <c r="AG124" s="409"/>
      <c r="AH124" s="4"/>
      <c r="AI124" s="4"/>
      <c r="AJ124" s="393"/>
      <c r="AK124" s="348"/>
      <c r="AL124" s="348"/>
      <c r="AM124" s="348"/>
      <c r="AN124" s="267"/>
      <c r="AO124" s="1" t="str">
        <f>Application!B737</f>
        <v>2 Bedrooms</v>
      </c>
      <c r="AP124" s="1"/>
      <c r="AQ124" s="126">
        <f>Application!O737</f>
        <v>2224</v>
      </c>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12.75" customHeight="1">
      <c r="A125" s="348"/>
      <c r="B125" s="8"/>
      <c r="C125" s="348"/>
      <c r="D125" s="348"/>
      <c r="E125" s="410" t="s">
        <v>1928</v>
      </c>
      <c r="F125" s="409"/>
      <c r="G125" s="409"/>
      <c r="H125" s="409"/>
      <c r="I125" s="4"/>
      <c r="J125" s="409"/>
      <c r="K125" s="409"/>
      <c r="L125" s="409"/>
      <c r="M125" s="409"/>
      <c r="N125" s="4"/>
      <c r="O125" s="409"/>
      <c r="P125" s="409"/>
      <c r="Q125" s="409"/>
      <c r="R125" s="409"/>
      <c r="S125" s="4"/>
      <c r="T125" s="409"/>
      <c r="U125" s="409"/>
      <c r="V125" s="409"/>
      <c r="W125" s="409"/>
      <c r="X125" s="4"/>
      <c r="Y125" s="409"/>
      <c r="Z125" s="409"/>
      <c r="AA125" s="409"/>
      <c r="AB125" s="409"/>
      <c r="AC125" s="4"/>
      <c r="AD125" s="409"/>
      <c r="AE125" s="409"/>
      <c r="AF125" s="409"/>
      <c r="AG125" s="409"/>
      <c r="AH125" s="4"/>
      <c r="AI125" s="4"/>
      <c r="AJ125" s="393"/>
      <c r="AK125" s="348"/>
      <c r="AL125" s="348"/>
      <c r="AM125" s="348"/>
      <c r="AN125" s="267"/>
      <c r="AO125" s="1" t="str">
        <f>Application!B738</f>
        <v>3 Bedrooms</v>
      </c>
      <c r="AP125" s="1"/>
      <c r="AQ125" s="126">
        <f>Application!O738</f>
        <v>1186</v>
      </c>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12.75" customHeight="1">
      <c r="A126" s="348"/>
      <c r="B126" s="8"/>
      <c r="C126" s="348"/>
      <c r="D126" s="348"/>
      <c r="E126" s="1461"/>
      <c r="F126" s="968"/>
      <c r="G126" s="968"/>
      <c r="H126" s="969"/>
      <c r="I126" s="411"/>
      <c r="J126" s="1460">
        <v>2238</v>
      </c>
      <c r="K126" s="968"/>
      <c r="L126" s="968"/>
      <c r="M126" s="969"/>
      <c r="N126" s="411"/>
      <c r="O126" s="1460">
        <v>2733</v>
      </c>
      <c r="P126" s="968"/>
      <c r="Q126" s="968"/>
      <c r="R126" s="969"/>
      <c r="S126" s="411"/>
      <c r="T126" s="1460">
        <v>3408</v>
      </c>
      <c r="U126" s="968"/>
      <c r="V126" s="968"/>
      <c r="W126" s="969"/>
      <c r="X126" s="411"/>
      <c r="Y126" s="1460">
        <v>3769</v>
      </c>
      <c r="Z126" s="968"/>
      <c r="AA126" s="968"/>
      <c r="AB126" s="969"/>
      <c r="AC126" s="411"/>
      <c r="AD126" s="1460"/>
      <c r="AE126" s="968"/>
      <c r="AF126" s="968"/>
      <c r="AG126" s="969"/>
      <c r="AH126" s="4"/>
      <c r="AI126" s="4"/>
      <c r="AJ126" s="393"/>
      <c r="AK126" s="348"/>
      <c r="AL126" s="348"/>
      <c r="AM126" s="348"/>
      <c r="AN126" s="267"/>
      <c r="AO126" s="1" t="str">
        <f>Application!B739</f>
        <v>3 Bedrooms</v>
      </c>
      <c r="AP126" s="1"/>
      <c r="AQ126" s="126">
        <f>Application!O739</f>
        <v>2095</v>
      </c>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12.75" customHeight="1">
      <c r="A127" s="348"/>
      <c r="B127" s="8"/>
      <c r="C127" s="348"/>
      <c r="D127" s="348"/>
      <c r="E127" s="408"/>
      <c r="F127" s="409"/>
      <c r="G127" s="409"/>
      <c r="H127" s="409"/>
      <c r="I127" s="4"/>
      <c r="J127" s="409"/>
      <c r="K127" s="409"/>
      <c r="L127" s="409"/>
      <c r="M127" s="409"/>
      <c r="N127" s="4"/>
      <c r="O127" s="409"/>
      <c r="P127" s="409"/>
      <c r="Q127" s="409"/>
      <c r="R127" s="409"/>
      <c r="S127" s="4"/>
      <c r="T127" s="409"/>
      <c r="U127" s="409"/>
      <c r="V127" s="409"/>
      <c r="W127" s="409"/>
      <c r="X127" s="4"/>
      <c r="Y127" s="409"/>
      <c r="Z127" s="409"/>
      <c r="AA127" s="409"/>
      <c r="AB127" s="409"/>
      <c r="AC127" s="4"/>
      <c r="AD127" s="409"/>
      <c r="AE127" s="409"/>
      <c r="AF127" s="409"/>
      <c r="AG127" s="409"/>
      <c r="AH127" s="4"/>
      <c r="AI127" s="4"/>
      <c r="AJ127" s="393"/>
      <c r="AK127" s="348"/>
      <c r="AL127" s="348"/>
      <c r="AM127" s="348"/>
      <c r="AN127" s="267"/>
      <c r="AO127" s="1" t="str">
        <f>Application!B740</f>
        <v>3 Bedrooms</v>
      </c>
      <c r="AP127" s="1"/>
      <c r="AQ127" s="126">
        <f>Application!O740</f>
        <v>2550</v>
      </c>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12.75" customHeight="1">
      <c r="A128" s="348"/>
      <c r="B128" s="8"/>
      <c r="C128" s="348"/>
      <c r="D128" s="348"/>
      <c r="E128" s="410" t="s">
        <v>1929</v>
      </c>
      <c r="F128" s="409"/>
      <c r="G128" s="409"/>
      <c r="H128" s="409"/>
      <c r="I128" s="4"/>
      <c r="J128" s="409"/>
      <c r="K128" s="409"/>
      <c r="L128" s="409"/>
      <c r="M128" s="409"/>
      <c r="N128" s="4"/>
      <c r="O128" s="409"/>
      <c r="P128" s="409"/>
      <c r="Q128" s="409"/>
      <c r="R128" s="409"/>
      <c r="S128" s="4"/>
      <c r="T128" s="409"/>
      <c r="U128" s="409"/>
      <c r="V128" s="409"/>
      <c r="W128" s="409"/>
      <c r="X128" s="4"/>
      <c r="Y128" s="409"/>
      <c r="Z128" s="409"/>
      <c r="AA128" s="409"/>
      <c r="AB128" s="409"/>
      <c r="AC128" s="4"/>
      <c r="AD128" s="409"/>
      <c r="AE128" s="409"/>
      <c r="AF128" s="409"/>
      <c r="AG128" s="409"/>
      <c r="AH128" s="4"/>
      <c r="AI128" s="4"/>
      <c r="AJ128" s="393"/>
      <c r="AK128" s="348"/>
      <c r="AL128" s="348"/>
      <c r="AM128" s="348"/>
      <c r="AN128" s="267"/>
      <c r="AO128" s="1" t="str">
        <f>Application!B741</f>
        <v>3 Bedrooms</v>
      </c>
      <c r="AP128" s="1"/>
      <c r="AQ128" s="126">
        <f>Application!O741</f>
        <v>1186</v>
      </c>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12.75" customHeight="1">
      <c r="A129" s="348"/>
      <c r="B129" s="8"/>
      <c r="C129" s="348"/>
      <c r="D129" s="348"/>
      <c r="E129" s="1462">
        <f>Application!DX678</f>
        <v>0</v>
      </c>
      <c r="F129" s="961"/>
      <c r="G129" s="961"/>
      <c r="H129" s="961"/>
      <c r="I129" s="411"/>
      <c r="J129" s="1458">
        <f>Application!EC678</f>
        <v>1731.6974789915967</v>
      </c>
      <c r="K129" s="961"/>
      <c r="L129" s="961"/>
      <c r="M129" s="961"/>
      <c r="N129" s="411"/>
      <c r="O129" s="1458">
        <f>Application!EH678</f>
        <v>2038.705882352941</v>
      </c>
      <c r="P129" s="961"/>
      <c r="Q129" s="961"/>
      <c r="R129" s="961"/>
      <c r="S129" s="311"/>
      <c r="T129" s="1458">
        <f>Application!EM678</f>
        <v>2307.4666666666662</v>
      </c>
      <c r="U129" s="961"/>
      <c r="V129" s="961"/>
      <c r="W129" s="961"/>
      <c r="X129" s="311"/>
      <c r="Y129" s="1458">
        <f>Application!ER678</f>
        <v>0</v>
      </c>
      <c r="Z129" s="961"/>
      <c r="AA129" s="961"/>
      <c r="AB129" s="961"/>
      <c r="AC129" s="311"/>
      <c r="AD129" s="1458">
        <f>Application!EW678</f>
        <v>0</v>
      </c>
      <c r="AE129" s="961"/>
      <c r="AF129" s="961"/>
      <c r="AG129" s="961"/>
      <c r="AH129" s="4"/>
      <c r="AI129" s="4"/>
      <c r="AJ129" s="393"/>
      <c r="AK129" s="348"/>
      <c r="AL129" s="348"/>
      <c r="AM129" s="348"/>
      <c r="AN129" s="267"/>
      <c r="AO129" s="1" t="str">
        <f>Application!B742</f>
        <v>3 Bedrooms</v>
      </c>
      <c r="AP129" s="1"/>
      <c r="AQ129" s="126">
        <f>Application!O742</f>
        <v>2095</v>
      </c>
      <c r="AR129" s="1"/>
      <c r="AS129" s="1"/>
      <c r="AT129" s="1"/>
      <c r="AU129" s="1"/>
      <c r="AV129" s="1"/>
      <c r="AW129" s="412"/>
      <c r="AX129" s="412"/>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12.75" customHeight="1">
      <c r="A130" s="348"/>
      <c r="B130" s="8"/>
      <c r="C130" s="348"/>
      <c r="D130" s="348"/>
      <c r="E130" s="413"/>
      <c r="F130" s="409"/>
      <c r="G130" s="409"/>
      <c r="H130" s="409"/>
      <c r="I130" s="4"/>
      <c r="J130" s="41"/>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393"/>
      <c r="AK130" s="348"/>
      <c r="AL130" s="348"/>
      <c r="AM130" s="348"/>
      <c r="AN130" s="267"/>
      <c r="AO130" s="1" t="str">
        <f>Application!B743</f>
        <v>3 Bedrooms</v>
      </c>
      <c r="AP130" s="1"/>
      <c r="AQ130" s="126">
        <f>Application!O743</f>
        <v>2550</v>
      </c>
      <c r="AR130" s="1"/>
      <c r="AS130" s="1"/>
      <c r="AT130" s="1"/>
      <c r="AU130" s="1"/>
      <c r="AV130" s="1"/>
      <c r="AW130" s="412"/>
      <c r="AX130" s="412"/>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12.75" customHeight="1">
      <c r="A131" s="348"/>
      <c r="B131" s="8"/>
      <c r="C131" s="348"/>
      <c r="D131" s="348"/>
      <c r="E131" s="410" t="s">
        <v>1930</v>
      </c>
      <c r="F131" s="409"/>
      <c r="G131" s="409"/>
      <c r="H131" s="409"/>
      <c r="I131" s="4"/>
      <c r="J131" s="41"/>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393"/>
      <c r="AK131" s="348"/>
      <c r="AL131" s="348"/>
      <c r="AM131" s="348"/>
      <c r="AN131" s="267"/>
      <c r="AO131" s="1">
        <f>Application!B744</f>
        <v>0</v>
      </c>
      <c r="AP131" s="1"/>
      <c r="AQ131" s="126">
        <f>Application!O744</f>
        <v>0</v>
      </c>
      <c r="AR131" s="1"/>
      <c r="AS131" s="1"/>
      <c r="AT131" s="1"/>
      <c r="AU131" s="1"/>
      <c r="AV131" s="1"/>
      <c r="AW131" s="412"/>
      <c r="AX131" s="412"/>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12.75" customHeight="1">
      <c r="A132" s="348"/>
      <c r="B132" s="8"/>
      <c r="C132" s="348"/>
      <c r="D132" s="348"/>
      <c r="E132" s="1450" t="e">
        <f>(E126-E129)/E126</f>
        <v>#DIV/0!</v>
      </c>
      <c r="F132" s="921"/>
      <c r="G132" s="921"/>
      <c r="H132" s="943"/>
      <c r="I132" s="4"/>
      <c r="J132" s="1450">
        <f>(J126-J129)/J126</f>
        <v>0.22622990214852695</v>
      </c>
      <c r="K132" s="921"/>
      <c r="L132" s="921"/>
      <c r="M132" s="943"/>
      <c r="N132" s="4"/>
      <c r="O132" s="1450">
        <f>(O126-O129)/O126</f>
        <v>0.25404102365424774</v>
      </c>
      <c r="P132" s="921"/>
      <c r="Q132" s="921"/>
      <c r="R132" s="943"/>
      <c r="S132" s="4"/>
      <c r="T132" s="1450">
        <f>(T126-T129)/T126</f>
        <v>0.32292644757433503</v>
      </c>
      <c r="U132" s="921"/>
      <c r="V132" s="921"/>
      <c r="W132" s="943"/>
      <c r="X132" s="4"/>
      <c r="Y132" s="1450">
        <f>(Y126-Y129)/Y126</f>
        <v>1</v>
      </c>
      <c r="Z132" s="921"/>
      <c r="AA132" s="921"/>
      <c r="AB132" s="943"/>
      <c r="AC132" s="4"/>
      <c r="AD132" s="1450" t="e">
        <f>(AD126-AD129)/AD126</f>
        <v>#DIV/0!</v>
      </c>
      <c r="AE132" s="921"/>
      <c r="AF132" s="921"/>
      <c r="AG132" s="943"/>
      <c r="AH132" s="4"/>
      <c r="AI132" s="4"/>
      <c r="AJ132" s="393"/>
      <c r="AK132" s="348"/>
      <c r="AL132" s="348"/>
      <c r="AM132" s="348"/>
      <c r="AN132" s="267"/>
      <c r="AO132" s="1">
        <f>Application!B745</f>
        <v>0</v>
      </c>
      <c r="AP132" s="1"/>
      <c r="AQ132" s="126">
        <f>Application!O745</f>
        <v>0</v>
      </c>
      <c r="AR132" s="1"/>
      <c r="AS132" s="1"/>
      <c r="AT132" s="1"/>
      <c r="AU132" s="1"/>
      <c r="AV132" s="1"/>
      <c r="AW132" s="412"/>
      <c r="AX132" s="412"/>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12.75" customHeight="1">
      <c r="A133" s="348"/>
      <c r="B133" s="8"/>
      <c r="C133" s="348"/>
      <c r="D133" s="348"/>
      <c r="E133" s="414"/>
      <c r="F133" s="415"/>
      <c r="G133" s="415"/>
      <c r="H133" s="415"/>
      <c r="I133" s="4"/>
      <c r="J133" s="415"/>
      <c r="K133" s="415"/>
      <c r="L133" s="415"/>
      <c r="M133" s="415"/>
      <c r="N133" s="4"/>
      <c r="O133" s="415"/>
      <c r="P133" s="415"/>
      <c r="Q133" s="415"/>
      <c r="R133" s="415"/>
      <c r="S133" s="4"/>
      <c r="T133" s="415"/>
      <c r="U133" s="415"/>
      <c r="V133" s="415"/>
      <c r="W133" s="415"/>
      <c r="X133" s="4"/>
      <c r="Y133" s="415"/>
      <c r="Z133" s="415"/>
      <c r="AA133" s="415"/>
      <c r="AB133" s="415"/>
      <c r="AC133" s="4"/>
      <c r="AD133" s="415"/>
      <c r="AE133" s="415"/>
      <c r="AF133" s="415"/>
      <c r="AG133" s="415"/>
      <c r="AH133" s="4"/>
      <c r="AI133" s="4"/>
      <c r="AJ133" s="393"/>
      <c r="AK133" s="348"/>
      <c r="AL133" s="348"/>
      <c r="AM133" s="348"/>
      <c r="AN133" s="267"/>
      <c r="AO133" s="1">
        <f>Application!B746</f>
        <v>0</v>
      </c>
      <c r="AP133" s="1"/>
      <c r="AQ133" s="126">
        <f>Application!O746</f>
        <v>0</v>
      </c>
      <c r="AR133" s="1"/>
      <c r="AS133" s="1"/>
      <c r="AT133" s="1"/>
      <c r="AU133" s="1"/>
      <c r="AV133" s="1"/>
      <c r="AW133" s="412"/>
      <c r="AX133" s="412"/>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12.75" customHeight="1">
      <c r="A134" s="348"/>
      <c r="B134" s="8"/>
      <c r="C134" s="348"/>
      <c r="D134" s="348"/>
      <c r="E134" s="416" t="s">
        <v>1932</v>
      </c>
      <c r="F134" s="415"/>
      <c r="G134" s="415"/>
      <c r="H134" s="415"/>
      <c r="I134" s="4"/>
      <c r="J134" s="415"/>
      <c r="K134" s="415"/>
      <c r="L134" s="415"/>
      <c r="M134" s="415"/>
      <c r="N134" s="4"/>
      <c r="O134" s="415"/>
      <c r="P134" s="415"/>
      <c r="Q134" s="415"/>
      <c r="R134" s="415"/>
      <c r="S134" s="4"/>
      <c r="T134" s="415"/>
      <c r="U134" s="415"/>
      <c r="V134" s="415"/>
      <c r="W134" s="415"/>
      <c r="X134" s="4"/>
      <c r="Y134" s="415"/>
      <c r="Z134" s="415"/>
      <c r="AA134" s="415"/>
      <c r="AB134" s="415"/>
      <c r="AC134" s="4"/>
      <c r="AD134" s="415"/>
      <c r="AE134" s="415"/>
      <c r="AF134" s="415"/>
      <c r="AG134" s="415"/>
      <c r="AH134" s="4"/>
      <c r="AI134" s="4"/>
      <c r="AJ134" s="393"/>
      <c r="AK134" s="348"/>
      <c r="AL134" s="348"/>
      <c r="AM134" s="348"/>
      <c r="AN134" s="267"/>
      <c r="AO134" s="1">
        <f>Application!B747</f>
        <v>0</v>
      </c>
      <c r="AP134" s="1"/>
      <c r="AQ134" s="126">
        <f>Application!O747</f>
        <v>0</v>
      </c>
      <c r="AR134" s="1"/>
      <c r="AS134" s="1"/>
      <c r="AT134" s="1"/>
      <c r="AU134" s="412"/>
      <c r="AV134" s="1"/>
      <c r="AW134" s="412"/>
      <c r="AX134" s="412"/>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12.75" customHeight="1">
      <c r="A135" s="348"/>
      <c r="B135" s="8"/>
      <c r="C135" s="348"/>
      <c r="D135" s="348"/>
      <c r="E135" s="1451" t="e">
        <f>IF(((E132-0.1)*AW115)&gt;0,((E132-0.1)*AW115),0)</f>
        <v>#DIV/0!</v>
      </c>
      <c r="F135" s="921"/>
      <c r="G135" s="921"/>
      <c r="H135" s="943"/>
      <c r="I135" s="4"/>
      <c r="J135" s="1451">
        <f>IF(((J132-0.1)*AW116)&gt;0,((J132-0.1)*AW116),0)</f>
        <v>6.474723429170133E-2</v>
      </c>
      <c r="K135" s="921"/>
      <c r="L135" s="921"/>
      <c r="M135" s="943"/>
      <c r="N135" s="4"/>
      <c r="O135" s="1451">
        <f>IF(((O132-0.1)*AW117)&gt;0,((O132-0.1)*AW117),0)</f>
        <v>4.5149955209003646E-2</v>
      </c>
      <c r="P135" s="921"/>
      <c r="Q135" s="921"/>
      <c r="R135" s="943"/>
      <c r="S135" s="4"/>
      <c r="T135" s="1451">
        <f>IF(((T132-0.1)*AW118)&gt;0,((T132-0.1)*AW118),0)</f>
        <v>4.3240043710539119E-2</v>
      </c>
      <c r="U135" s="921"/>
      <c r="V135" s="921"/>
      <c r="W135" s="943"/>
      <c r="X135" s="4"/>
      <c r="Y135" s="1451">
        <f>IF(((Y132-0.1)*AW119)&gt;0,((Y132-0.1)*AW119),0)</f>
        <v>0</v>
      </c>
      <c r="Z135" s="921"/>
      <c r="AA135" s="921"/>
      <c r="AB135" s="943"/>
      <c r="AC135" s="4"/>
      <c r="AD135" s="1451" t="e">
        <f>IF(((AD132-0.1)*AW120)&gt;0,((AD132-0.1)*AW120),0)</f>
        <v>#DIV/0!</v>
      </c>
      <c r="AE135" s="921"/>
      <c r="AF135" s="921"/>
      <c r="AG135" s="943"/>
      <c r="AH135" s="4"/>
      <c r="AI135" s="4"/>
      <c r="AJ135" s="393"/>
      <c r="AK135" s="348"/>
      <c r="AL135" s="348"/>
      <c r="AM135" s="348"/>
      <c r="AN135" s="267"/>
      <c r="AO135" s="1">
        <f>Application!B758</f>
        <v>0</v>
      </c>
      <c r="AP135" s="1"/>
      <c r="AQ135" s="126">
        <f>Application!O758</f>
        <v>0</v>
      </c>
      <c r="AR135" s="1"/>
      <c r="AS135" s="1"/>
      <c r="AT135" s="1"/>
      <c r="AU135" s="1"/>
      <c r="AV135" s="1"/>
      <c r="AW135" s="1"/>
      <c r="AX135" s="412"/>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12.75" customHeight="1">
      <c r="A136" s="348"/>
      <c r="B136" s="8"/>
      <c r="C136" s="348"/>
      <c r="D136" s="348"/>
      <c r="E136" s="413"/>
      <c r="F136" s="409"/>
      <c r="G136" s="409"/>
      <c r="H136" s="409"/>
      <c r="I136" s="4"/>
      <c r="J136" s="41"/>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393"/>
      <c r="AK136" s="348"/>
      <c r="AL136" s="348"/>
      <c r="AM136" s="348"/>
      <c r="AN136" s="267"/>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12.75" customHeight="1">
      <c r="A137" s="348"/>
      <c r="B137" s="8"/>
      <c r="C137" s="348"/>
      <c r="D137" s="348"/>
      <c r="E137" s="1450">
        <f>ROUNDDOWN(SUMIF(E135:AG135,"&gt;0"),2)</f>
        <v>0.15</v>
      </c>
      <c r="F137" s="921"/>
      <c r="G137" s="921"/>
      <c r="H137" s="943"/>
      <c r="I137" s="4"/>
      <c r="J137" s="41" t="s">
        <v>1933</v>
      </c>
      <c r="K137" s="4"/>
      <c r="L137" s="4"/>
      <c r="M137" s="4"/>
      <c r="N137" s="4"/>
      <c r="O137" s="4"/>
      <c r="P137" s="4"/>
      <c r="Q137" s="4"/>
      <c r="R137" s="4"/>
      <c r="S137" s="4"/>
      <c r="T137" s="4"/>
      <c r="U137" s="4"/>
      <c r="V137" s="4"/>
      <c r="W137" s="4"/>
      <c r="X137" s="4"/>
      <c r="Y137" s="4"/>
      <c r="Z137" s="4"/>
      <c r="AA137" s="4"/>
      <c r="AB137" s="4"/>
      <c r="AC137" s="4"/>
      <c r="AD137" s="417"/>
      <c r="AE137" s="417"/>
      <c r="AF137" s="417"/>
      <c r="AG137" s="417"/>
      <c r="AH137" s="4"/>
      <c r="AI137" s="4"/>
      <c r="AJ137" s="393"/>
      <c r="AK137" s="348"/>
      <c r="AL137" s="348"/>
      <c r="AM137" s="348"/>
      <c r="AN137" s="267"/>
      <c r="AO137" s="1"/>
      <c r="AP137" s="1"/>
      <c r="AQ137" s="1"/>
      <c r="AR137" s="1"/>
      <c r="AS137" s="1"/>
      <c r="AT137" s="1"/>
      <c r="AU137" s="1"/>
      <c r="AV137" s="1"/>
      <c r="AW137" s="1"/>
      <c r="AX137" s="412"/>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12.75" customHeight="1">
      <c r="A138" s="348"/>
      <c r="B138" s="8"/>
      <c r="C138" s="348"/>
      <c r="D138" s="348"/>
      <c r="E138" s="956">
        <f>IF((E137*100)&gt;10,10,E137*100)</f>
        <v>10</v>
      </c>
      <c r="F138" s="921"/>
      <c r="G138" s="921"/>
      <c r="H138" s="943"/>
      <c r="I138" s="4"/>
      <c r="J138" s="41" t="s">
        <v>1902</v>
      </c>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393"/>
      <c r="AK138" s="348"/>
      <c r="AL138" s="348"/>
      <c r="AM138" s="348"/>
      <c r="AN138" s="267"/>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12.75" customHeight="1">
      <c r="A139" s="348"/>
      <c r="B139" s="348"/>
      <c r="C139" s="348"/>
      <c r="D139" s="348"/>
      <c r="E139" s="418"/>
      <c r="F139" s="419"/>
      <c r="G139" s="419"/>
      <c r="H139" s="419"/>
      <c r="I139" s="419"/>
      <c r="J139" s="419"/>
      <c r="K139" s="419"/>
      <c r="L139" s="419"/>
      <c r="M139" s="419"/>
      <c r="N139" s="419"/>
      <c r="O139" s="419"/>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20"/>
      <c r="AK139" s="348"/>
      <c r="AL139" s="348"/>
      <c r="AM139" s="348"/>
      <c r="AN139" s="267"/>
      <c r="AO139" s="1"/>
      <c r="AP139" s="1"/>
      <c r="AQ139" s="1"/>
      <c r="AR139" s="1"/>
      <c r="AS139" s="1"/>
      <c r="AT139" s="412"/>
      <c r="AU139" s="1"/>
      <c r="AV139" s="1"/>
      <c r="AW139" s="412"/>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12.75" customHeight="1">
      <c r="A140" s="348"/>
      <c r="B140" s="348"/>
      <c r="C140" s="348"/>
      <c r="D140" s="348"/>
      <c r="E140" s="348"/>
      <c r="F140" s="348"/>
      <c r="G140" s="348"/>
      <c r="H140" s="348"/>
      <c r="I140" s="348"/>
      <c r="J140" s="348"/>
      <c r="K140" s="348"/>
      <c r="L140" s="348"/>
      <c r="M140" s="348"/>
      <c r="N140" s="348"/>
      <c r="O140" s="348"/>
      <c r="P140" s="348"/>
      <c r="Q140" s="348"/>
      <c r="R140" s="348"/>
      <c r="S140" s="348"/>
      <c r="T140" s="348"/>
      <c r="U140" s="348"/>
      <c r="V140" s="348"/>
      <c r="W140" s="348"/>
      <c r="X140" s="348"/>
      <c r="Y140" s="348"/>
      <c r="Z140" s="348"/>
      <c r="AA140" s="348"/>
      <c r="AB140" s="348"/>
      <c r="AC140" s="348"/>
      <c r="AD140" s="348"/>
      <c r="AE140" s="348"/>
      <c r="AF140" s="348"/>
      <c r="AG140" s="348"/>
      <c r="AH140" s="348"/>
      <c r="AI140" s="348"/>
      <c r="AJ140" s="348"/>
      <c r="AK140" s="348"/>
      <c r="AL140" s="348"/>
      <c r="AM140" s="348"/>
      <c r="AN140" s="267"/>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12.75" customHeight="1">
      <c r="A141" s="348"/>
      <c r="B141" s="348"/>
      <c r="C141" s="348"/>
      <c r="D141" s="348"/>
      <c r="E141" s="348"/>
      <c r="F141" s="348"/>
      <c r="G141" s="348"/>
      <c r="H141" s="348"/>
      <c r="I141" s="348"/>
      <c r="J141" s="348"/>
      <c r="K141" s="348"/>
      <c r="L141" s="348"/>
      <c r="M141" s="348"/>
      <c r="N141" s="348"/>
      <c r="O141" s="348"/>
      <c r="P141" s="348"/>
      <c r="Q141" s="348"/>
      <c r="R141" s="348"/>
      <c r="S141" s="348"/>
      <c r="T141" s="348"/>
      <c r="U141" s="348"/>
      <c r="V141" s="348"/>
      <c r="W141" s="348"/>
      <c r="X141" s="348"/>
      <c r="Y141" s="348"/>
      <c r="Z141" s="348"/>
      <c r="AA141" s="348"/>
      <c r="AB141" s="348"/>
      <c r="AC141" s="348"/>
      <c r="AD141" s="348"/>
      <c r="AE141" s="348"/>
      <c r="AF141" s="348"/>
      <c r="AG141" s="348"/>
      <c r="AH141" s="348"/>
      <c r="AI141" s="348"/>
      <c r="AJ141" s="348"/>
      <c r="AK141" s="348"/>
      <c r="AL141" s="348"/>
      <c r="AM141" s="348"/>
      <c r="AN141" s="267"/>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12.75" customHeight="1">
      <c r="A142" s="368"/>
      <c r="B142" s="369"/>
      <c r="C142" s="369"/>
      <c r="D142" s="369"/>
      <c r="E142" s="369"/>
      <c r="F142" s="369"/>
      <c r="G142" s="370"/>
      <c r="H142" s="371"/>
      <c r="I142" s="371"/>
      <c r="J142" s="371"/>
      <c r="K142" s="371"/>
      <c r="L142" s="371"/>
      <c r="M142" s="371"/>
      <c r="N142" s="371"/>
      <c r="O142" s="371"/>
      <c r="P142" s="371"/>
      <c r="Q142" s="371"/>
      <c r="R142" s="371"/>
      <c r="S142" s="371"/>
      <c r="T142" s="371"/>
      <c r="U142" s="371"/>
      <c r="V142" s="371"/>
      <c r="W142" s="371"/>
      <c r="X142" s="371"/>
      <c r="Y142" s="371"/>
      <c r="Z142" s="371"/>
      <c r="AA142" s="371"/>
      <c r="AB142" s="371"/>
      <c r="AC142" s="371"/>
      <c r="AD142" s="371"/>
      <c r="AE142" s="371"/>
      <c r="AF142" s="371"/>
      <c r="AG142" s="371"/>
      <c r="AH142" s="371"/>
      <c r="AI142" s="372"/>
      <c r="AJ142" s="372" t="s">
        <v>1935</v>
      </c>
      <c r="AK142" s="956">
        <f>E138</f>
        <v>10</v>
      </c>
      <c r="AL142" s="921"/>
      <c r="AM142" s="943"/>
      <c r="AN142" s="267"/>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12.75" customHeight="1">
      <c r="A143" s="92"/>
      <c r="B143" s="373"/>
      <c r="C143" s="374"/>
      <c r="D143" s="374"/>
      <c r="E143" s="374"/>
      <c r="F143" s="374"/>
      <c r="G143" s="374"/>
      <c r="H143" s="374"/>
      <c r="I143" s="374"/>
      <c r="J143" s="374"/>
      <c r="K143" s="374"/>
      <c r="L143" s="374"/>
      <c r="M143" s="374"/>
      <c r="N143" s="374"/>
      <c r="O143" s="374"/>
      <c r="P143" s="374"/>
      <c r="Q143" s="374"/>
      <c r="R143" s="374"/>
      <c r="S143" s="374"/>
      <c r="T143" s="374"/>
      <c r="U143" s="374"/>
      <c r="V143" s="374"/>
      <c r="W143" s="374"/>
      <c r="X143" s="374"/>
      <c r="Y143" s="374"/>
      <c r="Z143" s="374"/>
      <c r="AA143" s="374"/>
      <c r="AB143" s="374"/>
      <c r="AC143" s="374"/>
      <c r="AD143" s="374"/>
      <c r="AE143" s="374"/>
      <c r="AF143" s="374"/>
      <c r="AG143" s="374"/>
      <c r="AH143" s="374"/>
      <c r="AI143" s="374"/>
      <c r="AJ143" s="374"/>
      <c r="AK143" s="374"/>
      <c r="AL143" s="374"/>
      <c r="AM143" s="375"/>
      <c r="AN143" s="267"/>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12.75" customHeight="1">
      <c r="A144" s="1"/>
      <c r="B144" s="15"/>
      <c r="C144" s="99"/>
      <c r="D144" s="99"/>
      <c r="E144" s="99"/>
      <c r="F144" s="99"/>
      <c r="G144" s="99"/>
      <c r="H144" s="99"/>
      <c r="I144" s="320"/>
      <c r="J144" s="320"/>
      <c r="K144" s="320"/>
      <c r="L144" s="320"/>
      <c r="M144" s="320"/>
      <c r="N144" s="320"/>
      <c r="O144" s="320"/>
      <c r="P144" s="320"/>
      <c r="Q144" s="320"/>
      <c r="R144" s="1"/>
      <c r="S144" s="8"/>
      <c r="T144" s="8"/>
      <c r="U144" s="8"/>
      <c r="V144" s="8"/>
      <c r="W144" s="8"/>
      <c r="X144" s="8"/>
      <c r="Y144" s="8"/>
      <c r="Z144" s="8"/>
      <c r="AA144" s="8"/>
      <c r="AB144" s="8"/>
      <c r="AC144" s="8"/>
      <c r="AD144" s="8"/>
      <c r="AE144" s="8"/>
      <c r="AF144" s="1"/>
      <c r="AG144" s="8"/>
      <c r="AH144" s="8"/>
      <c r="AI144" s="8"/>
      <c r="AJ144" s="8"/>
      <c r="AK144" s="117"/>
      <c r="AL144" s="117"/>
      <c r="AM144" s="117"/>
      <c r="AN144" s="267"/>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12.75" customHeight="1">
      <c r="A145" s="62" t="s">
        <v>1937</v>
      </c>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1396" t="s">
        <v>1871</v>
      </c>
      <c r="AF145" s="893"/>
      <c r="AG145" s="893"/>
      <c r="AH145" s="893"/>
      <c r="AI145" s="893"/>
      <c r="AJ145" s="893"/>
      <c r="AK145" s="893"/>
      <c r="AL145" s="10"/>
      <c r="AM145" s="8"/>
      <c r="AN145" s="421"/>
      <c r="AO145" s="1"/>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row>
    <row r="146" spans="1:79" ht="12.75" customHeight="1">
      <c r="A146" s="62"/>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10"/>
      <c r="AF146" s="10"/>
      <c r="AG146" s="10"/>
      <c r="AH146" s="10"/>
      <c r="AI146" s="10"/>
      <c r="AJ146" s="10"/>
      <c r="AK146" s="10"/>
      <c r="AL146" s="10"/>
      <c r="AM146" s="8"/>
      <c r="AN146" s="421"/>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row>
    <row r="147" spans="1:79" ht="12.75" customHeight="1">
      <c r="A147" s="62"/>
      <c r="B147" s="62" t="s">
        <v>1939</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1"/>
      <c r="AF147" s="1376" t="s">
        <v>1940</v>
      </c>
      <c r="AG147" s="893"/>
      <c r="AH147" s="893"/>
      <c r="AI147" s="893"/>
      <c r="AJ147" s="893"/>
      <c r="AK147" s="893"/>
      <c r="AL147" s="893"/>
      <c r="AM147" s="8"/>
      <c r="AN147" s="267"/>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12.75" customHeight="1">
      <c r="A148" s="62"/>
      <c r="B148" s="62" t="s">
        <v>1275</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8"/>
      <c r="AE148" s="1"/>
      <c r="AF148" s="1"/>
      <c r="AG148" s="1"/>
      <c r="AH148" s="1"/>
      <c r="AI148" s="1"/>
      <c r="AJ148" s="1"/>
      <c r="AK148" s="1"/>
      <c r="AL148" s="422"/>
      <c r="AM148" s="8"/>
      <c r="AN148" s="267"/>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15" customHeight="1">
      <c r="A149" s="62"/>
      <c r="B149" s="967" t="s">
        <v>1941</v>
      </c>
      <c r="C149" s="968"/>
      <c r="D149" s="968"/>
      <c r="E149" s="968"/>
      <c r="F149" s="968"/>
      <c r="G149" s="968"/>
      <c r="H149" s="968"/>
      <c r="I149" s="968"/>
      <c r="J149" s="968"/>
      <c r="K149" s="968"/>
      <c r="L149" s="968"/>
      <c r="M149" s="968"/>
      <c r="N149" s="968"/>
      <c r="O149" s="968"/>
      <c r="P149" s="968"/>
      <c r="Q149" s="968"/>
      <c r="R149" s="968"/>
      <c r="S149" s="968"/>
      <c r="T149" s="968"/>
      <c r="U149" s="968"/>
      <c r="V149" s="968"/>
      <c r="W149" s="968"/>
      <c r="X149" s="968"/>
      <c r="Y149" s="968"/>
      <c r="Z149" s="968"/>
      <c r="AA149" s="968"/>
      <c r="AB149" s="968"/>
      <c r="AC149" s="969"/>
      <c r="AD149" s="8"/>
      <c r="AE149" s="422"/>
      <c r="AF149" s="422"/>
      <c r="AG149" s="422"/>
      <c r="AH149" s="422"/>
      <c r="AI149" s="422"/>
      <c r="AJ149" s="422"/>
      <c r="AK149" s="422"/>
      <c r="AL149" s="422"/>
      <c r="AM149" s="8"/>
      <c r="AN149" s="267"/>
      <c r="AO149" s="1"/>
      <c r="AP149" s="7"/>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12.75" customHeight="1">
      <c r="A150" s="62"/>
      <c r="B150" s="62"/>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422"/>
      <c r="AF150" s="422"/>
      <c r="AG150" s="422"/>
      <c r="AH150" s="422"/>
      <c r="AI150" s="422"/>
      <c r="AJ150" s="422"/>
      <c r="AK150" s="422"/>
      <c r="AL150" s="422"/>
      <c r="AM150" s="8"/>
      <c r="AN150" s="267"/>
      <c r="AO150" s="17" t="s">
        <v>27</v>
      </c>
      <c r="AP150" s="7"/>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12.75" customHeight="1">
      <c r="A151" s="62"/>
      <c r="B151" s="8" t="s">
        <v>1942</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267"/>
      <c r="AO151" s="1" t="s">
        <v>1943</v>
      </c>
      <c r="AP151" s="7">
        <v>5</v>
      </c>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12.75" customHeight="1">
      <c r="A152" s="62"/>
      <c r="B152" s="1452" t="s">
        <v>1944</v>
      </c>
      <c r="C152" s="968"/>
      <c r="D152" s="968"/>
      <c r="E152" s="968"/>
      <c r="F152" s="968"/>
      <c r="G152" s="968"/>
      <c r="H152" s="968"/>
      <c r="I152" s="968"/>
      <c r="J152" s="968"/>
      <c r="K152" s="968"/>
      <c r="L152" s="968"/>
      <c r="M152" s="968"/>
      <c r="N152" s="968"/>
      <c r="O152" s="968"/>
      <c r="P152" s="968"/>
      <c r="Q152" s="968"/>
      <c r="R152" s="968"/>
      <c r="S152" s="968"/>
      <c r="T152" s="968"/>
      <c r="U152" s="968"/>
      <c r="V152" s="968"/>
      <c r="W152" s="968"/>
      <c r="X152" s="968"/>
      <c r="Y152" s="968"/>
      <c r="Z152" s="968"/>
      <c r="AA152" s="968"/>
      <c r="AB152" s="968"/>
      <c r="AC152" s="968"/>
      <c r="AD152" s="968"/>
      <c r="AE152" s="968"/>
      <c r="AF152" s="968"/>
      <c r="AG152" s="968"/>
      <c r="AH152" s="968"/>
      <c r="AI152" s="969"/>
      <c r="AJ152" s="1"/>
      <c r="AK152" s="1"/>
      <c r="AL152" s="1"/>
      <c r="AM152" s="8"/>
      <c r="AN152" s="267"/>
      <c r="AO152" s="1" t="s">
        <v>1944</v>
      </c>
      <c r="AP152" s="7">
        <v>7</v>
      </c>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12.75" customHeight="1">
      <c r="A153" s="6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0"/>
      <c r="AE153" s="1"/>
      <c r="AF153" s="1"/>
      <c r="AG153" s="1"/>
      <c r="AH153" s="1"/>
      <c r="AI153" s="1"/>
      <c r="AJ153" s="1"/>
      <c r="AK153" s="1"/>
      <c r="AL153" s="1"/>
      <c r="AM153" s="8"/>
      <c r="AN153" s="267"/>
      <c r="AO153" s="1" t="s">
        <v>1945</v>
      </c>
      <c r="AP153" s="7">
        <v>7</v>
      </c>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12.75" customHeight="1">
      <c r="A154" s="62"/>
      <c r="B154" s="8" t="s">
        <v>1946</v>
      </c>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973" t="s">
        <v>855</v>
      </c>
      <c r="AC154" s="969"/>
      <c r="AD154" s="10"/>
      <c r="AE154" s="1"/>
      <c r="AF154" s="1"/>
      <c r="AG154" s="1"/>
      <c r="AH154" s="1"/>
      <c r="AI154" s="1"/>
      <c r="AJ154" s="1"/>
      <c r="AK154" s="1"/>
      <c r="AL154" s="1"/>
      <c r="AM154" s="8"/>
      <c r="AN154" s="267"/>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9" customHeight="1">
      <c r="A155" s="6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0"/>
      <c r="AE155" s="1"/>
      <c r="AF155" s="1"/>
      <c r="AG155" s="1"/>
      <c r="AH155" s="1"/>
      <c r="AI155" s="1"/>
      <c r="AJ155" s="1"/>
      <c r="AK155" s="1"/>
      <c r="AL155" s="1"/>
      <c r="AM155" s="8"/>
      <c r="AN155" s="267"/>
      <c r="AO155" s="17" t="s">
        <v>1947</v>
      </c>
      <c r="AP155" s="7"/>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12.75" customHeight="1">
      <c r="A156" s="62"/>
      <c r="B156" s="62" t="s">
        <v>1948</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0"/>
      <c r="AE156" s="1"/>
      <c r="AF156" s="1"/>
      <c r="AG156" s="1"/>
      <c r="AH156" s="1"/>
      <c r="AI156" s="1"/>
      <c r="AJ156" s="1"/>
      <c r="AK156" s="1"/>
      <c r="AL156" s="1"/>
      <c r="AM156" s="8"/>
      <c r="AN156" s="267"/>
      <c r="AO156" s="1" t="s">
        <v>1949</v>
      </c>
      <c r="AP156" s="7">
        <v>5</v>
      </c>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12.75" customHeight="1">
      <c r="A157" s="62"/>
      <c r="B157" s="1452" t="s">
        <v>1947</v>
      </c>
      <c r="C157" s="968"/>
      <c r="D157" s="968"/>
      <c r="E157" s="968"/>
      <c r="F157" s="968"/>
      <c r="G157" s="968"/>
      <c r="H157" s="968"/>
      <c r="I157" s="968"/>
      <c r="J157" s="968"/>
      <c r="K157" s="968"/>
      <c r="L157" s="968"/>
      <c r="M157" s="968"/>
      <c r="N157" s="968"/>
      <c r="O157" s="968"/>
      <c r="P157" s="968"/>
      <c r="Q157" s="968"/>
      <c r="R157" s="968"/>
      <c r="S157" s="968"/>
      <c r="T157" s="968"/>
      <c r="U157" s="968"/>
      <c r="V157" s="968"/>
      <c r="W157" s="968"/>
      <c r="X157" s="968"/>
      <c r="Y157" s="968"/>
      <c r="Z157" s="968"/>
      <c r="AA157" s="968"/>
      <c r="AB157" s="968"/>
      <c r="AC157" s="968"/>
      <c r="AD157" s="968"/>
      <c r="AE157" s="968"/>
      <c r="AF157" s="968"/>
      <c r="AG157" s="968"/>
      <c r="AH157" s="968"/>
      <c r="AI157" s="968"/>
      <c r="AJ157" s="969"/>
      <c r="AK157" s="1"/>
      <c r="AL157" s="1"/>
      <c r="AM157" s="1"/>
      <c r="AN157" s="267"/>
      <c r="AO157" s="1" t="s">
        <v>1950</v>
      </c>
      <c r="AP157" s="7">
        <v>7</v>
      </c>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12.75" customHeight="1">
      <c r="A158" s="1"/>
      <c r="B158" s="8" t="s">
        <v>1951</v>
      </c>
      <c r="C158" s="17"/>
      <c r="D158" s="17"/>
      <c r="E158" s="17"/>
      <c r="F158" s="17"/>
      <c r="G158" s="17"/>
      <c r="H158" s="17"/>
      <c r="I158" s="17"/>
      <c r="J158" s="17"/>
      <c r="K158" s="17"/>
      <c r="L158" s="17"/>
      <c r="M158" s="17"/>
      <c r="N158" s="17"/>
      <c r="O158" s="17"/>
      <c r="P158" s="17"/>
      <c r="Q158" s="17"/>
      <c r="R158" s="17"/>
      <c r="S158" s="17"/>
      <c r="T158" s="17"/>
      <c r="U158" s="17"/>
      <c r="V158" s="1"/>
      <c r="W158" s="1"/>
      <c r="X158" s="1"/>
      <c r="Y158" s="1"/>
      <c r="Z158" s="1"/>
      <c r="AA158" s="1"/>
      <c r="AB158" s="1"/>
      <c r="AC158" s="1"/>
      <c r="AD158" s="1"/>
      <c r="AE158" s="1"/>
      <c r="AF158" s="1"/>
      <c r="AG158" s="1"/>
      <c r="AH158" s="1"/>
      <c r="AI158" s="1"/>
      <c r="AJ158" s="1"/>
      <c r="AK158" s="1"/>
      <c r="AL158" s="1"/>
      <c r="AM158" s="8"/>
      <c r="AN158" s="267"/>
      <c r="AO158" s="1"/>
      <c r="AP158" s="7"/>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12.75" customHeight="1">
      <c r="A159" s="1"/>
      <c r="B159" s="8"/>
      <c r="C159" s="17"/>
      <c r="D159" s="17"/>
      <c r="E159" s="17"/>
      <c r="F159" s="17"/>
      <c r="G159" s="17"/>
      <c r="H159" s="17"/>
      <c r="I159" s="17"/>
      <c r="J159" s="17"/>
      <c r="K159" s="17"/>
      <c r="L159" s="17"/>
      <c r="M159" s="17"/>
      <c r="N159" s="17"/>
      <c r="O159" s="17"/>
      <c r="P159" s="17"/>
      <c r="Q159" s="17"/>
      <c r="R159" s="17"/>
      <c r="S159" s="17"/>
      <c r="T159" s="17"/>
      <c r="U159" s="17"/>
      <c r="V159" s="1"/>
      <c r="W159" s="1"/>
      <c r="X159" s="1"/>
      <c r="Y159" s="1"/>
      <c r="Z159" s="1"/>
      <c r="AA159" s="1"/>
      <c r="AB159" s="1"/>
      <c r="AC159" s="1"/>
      <c r="AD159" s="1"/>
      <c r="AE159" s="1"/>
      <c r="AF159" s="1"/>
      <c r="AG159" s="1"/>
      <c r="AH159" s="1"/>
      <c r="AI159" s="1"/>
      <c r="AJ159" s="1"/>
      <c r="AK159" s="1"/>
      <c r="AL159" s="1"/>
      <c r="AM159" s="8"/>
      <c r="AN159" s="267"/>
      <c r="AO159" s="1"/>
      <c r="AP159" s="7"/>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12.75" customHeight="1">
      <c r="A160" s="1"/>
      <c r="B160" s="1455" t="s">
        <v>1952</v>
      </c>
      <c r="C160" s="893"/>
      <c r="D160" s="893"/>
      <c r="E160" s="893"/>
      <c r="F160" s="893"/>
      <c r="G160" s="893"/>
      <c r="H160" s="893"/>
      <c r="I160" s="893"/>
      <c r="J160" s="893"/>
      <c r="K160" s="893"/>
      <c r="L160" s="893"/>
      <c r="M160" s="893"/>
      <c r="N160" s="893"/>
      <c r="O160" s="893"/>
      <c r="P160" s="893"/>
      <c r="Q160" s="893"/>
      <c r="R160" s="893"/>
      <c r="S160" s="893"/>
      <c r="T160" s="893"/>
      <c r="U160" s="893"/>
      <c r="V160" s="893"/>
      <c r="W160" s="893"/>
      <c r="X160" s="893"/>
      <c r="Y160" s="893"/>
      <c r="Z160" s="893"/>
      <c r="AA160" s="893"/>
      <c r="AB160" s="893"/>
      <c r="AC160" s="893"/>
      <c r="AD160" s="893"/>
      <c r="AE160" s="893"/>
      <c r="AF160" s="893"/>
      <c r="AG160" s="893"/>
      <c r="AH160" s="893"/>
      <c r="AI160" s="893"/>
      <c r="AJ160" s="893"/>
      <c r="AK160" s="30"/>
      <c r="AL160" s="1"/>
      <c r="AM160" s="8"/>
      <c r="AN160" s="267"/>
      <c r="AO160" s="1"/>
      <c r="AP160" s="7"/>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12.75" customHeight="1">
      <c r="A161" s="1"/>
      <c r="B161" s="893"/>
      <c r="C161" s="893"/>
      <c r="D161" s="893"/>
      <c r="E161" s="893"/>
      <c r="F161" s="893"/>
      <c r="G161" s="893"/>
      <c r="H161" s="893"/>
      <c r="I161" s="893"/>
      <c r="J161" s="893"/>
      <c r="K161" s="893"/>
      <c r="L161" s="893"/>
      <c r="M161" s="893"/>
      <c r="N161" s="893"/>
      <c r="O161" s="893"/>
      <c r="P161" s="893"/>
      <c r="Q161" s="893"/>
      <c r="R161" s="893"/>
      <c r="S161" s="893"/>
      <c r="T161" s="893"/>
      <c r="U161" s="893"/>
      <c r="V161" s="893"/>
      <c r="W161" s="893"/>
      <c r="X161" s="893"/>
      <c r="Y161" s="893"/>
      <c r="Z161" s="893"/>
      <c r="AA161" s="893"/>
      <c r="AB161" s="893"/>
      <c r="AC161" s="893"/>
      <c r="AD161" s="893"/>
      <c r="AE161" s="893"/>
      <c r="AF161" s="893"/>
      <c r="AG161" s="893"/>
      <c r="AH161" s="893"/>
      <c r="AI161" s="893"/>
      <c r="AJ161" s="893"/>
      <c r="AK161" s="30"/>
      <c r="AL161" s="1"/>
      <c r="AM161" s="8"/>
      <c r="AN161" s="267"/>
      <c r="AO161" s="1"/>
      <c r="AP161" s="7"/>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12.75" customHeight="1">
      <c r="A162" s="1"/>
      <c r="B162" s="1"/>
      <c r="C162" s="909" t="s">
        <v>1953</v>
      </c>
      <c r="D162" s="893"/>
      <c r="E162" s="893"/>
      <c r="F162" s="893"/>
      <c r="G162" s="893"/>
      <c r="H162" s="893"/>
      <c r="I162" s="893"/>
      <c r="J162" s="893"/>
      <c r="K162" s="893"/>
      <c r="L162" s="893"/>
      <c r="M162" s="893"/>
      <c r="N162" s="893"/>
      <c r="O162" s="893"/>
      <c r="P162" s="893"/>
      <c r="Q162" s="893"/>
      <c r="R162" s="893"/>
      <c r="S162" s="893"/>
      <c r="T162" s="893"/>
      <c r="U162" s="893"/>
      <c r="V162" s="893"/>
      <c r="W162" s="893"/>
      <c r="X162" s="893"/>
      <c r="Y162" s="893"/>
      <c r="Z162" s="893"/>
      <c r="AA162" s="893"/>
      <c r="AB162" s="893"/>
      <c r="AC162" s="893"/>
      <c r="AD162" s="893"/>
      <c r="AE162" s="893"/>
      <c r="AF162" s="893"/>
      <c r="AG162" s="893"/>
      <c r="AH162" s="893"/>
      <c r="AI162" s="893"/>
      <c r="AJ162" s="893"/>
      <c r="AK162" s="30"/>
      <c r="AL162" s="1"/>
      <c r="AM162" s="8"/>
      <c r="AN162" s="267"/>
      <c r="AO162" s="1"/>
      <c r="AP162" s="7"/>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12.75" customHeight="1">
      <c r="A163" s="1"/>
      <c r="B163" s="30"/>
      <c r="C163" s="915" t="s">
        <v>1954</v>
      </c>
      <c r="D163" s="893"/>
      <c r="E163" s="893"/>
      <c r="F163" s="893"/>
      <c r="G163" s="893"/>
      <c r="H163" s="893"/>
      <c r="I163" s="893"/>
      <c r="J163" s="893"/>
      <c r="K163" s="893"/>
      <c r="L163" s="893"/>
      <c r="M163" s="893"/>
      <c r="N163" s="893"/>
      <c r="O163" s="893"/>
      <c r="P163" s="893"/>
      <c r="Q163" s="893"/>
      <c r="R163" s="893"/>
      <c r="S163" s="893"/>
      <c r="T163" s="893"/>
      <c r="U163" s="893"/>
      <c r="V163" s="893"/>
      <c r="W163" s="893"/>
      <c r="X163" s="893"/>
      <c r="Y163" s="893"/>
      <c r="Z163" s="893"/>
      <c r="AA163" s="3"/>
      <c r="AB163" s="3"/>
      <c r="AC163" s="3"/>
      <c r="AD163" s="3"/>
      <c r="AE163" s="3"/>
      <c r="AF163" s="3"/>
      <c r="AG163" s="3"/>
      <c r="AH163" s="3"/>
      <c r="AI163" s="1"/>
      <c r="AJ163" s="973" t="s">
        <v>855</v>
      </c>
      <c r="AK163" s="969"/>
      <c r="AL163" s="1"/>
      <c r="AM163" s="8"/>
      <c r="AN163" s="267"/>
      <c r="AO163" s="1"/>
      <c r="AP163" s="7"/>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8"/>
      <c r="AN164" s="267"/>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12.75" customHeight="1">
      <c r="A165" s="27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372" t="s">
        <v>1957</v>
      </c>
      <c r="AJ165" s="945">
        <f>IF($AB$154="N/A",VLOOKUP($B$152,$AO$150:$AP$153,2,FALSE),VLOOKUP($B$157,$AO$155:$AP$157,2,FALSE))</f>
        <v>7</v>
      </c>
      <c r="AK165" s="943"/>
      <c r="AL165" s="7"/>
      <c r="AM165" s="1"/>
      <c r="AN165" s="423"/>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row>
    <row r="166" spans="1:79" ht="12.75" customHeight="1">
      <c r="A166" s="7"/>
      <c r="B166" s="7"/>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423"/>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row>
    <row r="167" spans="1:79" ht="12.75" customHeight="1">
      <c r="A167" s="1"/>
      <c r="B167" s="62" t="s">
        <v>1958</v>
      </c>
      <c r="C167" s="8"/>
      <c r="D167" s="1"/>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1"/>
      <c r="AF167" s="1376" t="s">
        <v>1959</v>
      </c>
      <c r="AG167" s="893"/>
      <c r="AH167" s="893"/>
      <c r="AI167" s="893"/>
      <c r="AJ167" s="893"/>
      <c r="AK167" s="893"/>
      <c r="AL167" s="893"/>
      <c r="AM167" s="65"/>
      <c r="AN167" s="423"/>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row>
    <row r="168" spans="1:79" ht="12.75" customHeight="1">
      <c r="A168" s="1"/>
      <c r="B168" s="8" t="s">
        <v>1960</v>
      </c>
      <c r="C168" s="1"/>
      <c r="D168" s="1"/>
      <c r="E168" s="1"/>
      <c r="F168" s="1"/>
      <c r="G168" s="1"/>
      <c r="H168" s="1"/>
      <c r="I168" s="1"/>
      <c r="J168" s="1"/>
      <c r="K168" s="1"/>
      <c r="L168" s="1"/>
      <c r="M168" s="1"/>
      <c r="N168" s="1"/>
      <c r="O168" s="1"/>
      <c r="P168" s="1"/>
      <c r="Q168" s="1"/>
      <c r="R168" s="1"/>
      <c r="S168" s="1"/>
      <c r="T168" s="1"/>
      <c r="U168" s="1"/>
      <c r="V168" s="1"/>
      <c r="W168" s="1"/>
      <c r="X168" s="1"/>
      <c r="Y168" s="1"/>
      <c r="Z168" s="1"/>
      <c r="AA168" s="8"/>
      <c r="AB168" s="8"/>
      <c r="AC168" s="8"/>
      <c r="AD168" s="8"/>
      <c r="AE168" s="1"/>
      <c r="AF168" s="1"/>
      <c r="AG168" s="1"/>
      <c r="AH168" s="1"/>
      <c r="AI168" s="1"/>
      <c r="AJ168" s="1"/>
      <c r="AK168" s="1"/>
      <c r="AL168" s="1"/>
      <c r="AM168" s="65"/>
      <c r="AN168" s="423"/>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row>
    <row r="169" spans="1:79" ht="12.75" customHeight="1">
      <c r="A169" s="1"/>
      <c r="B169" s="1"/>
      <c r="C169" s="1452" t="s">
        <v>1961</v>
      </c>
      <c r="D169" s="968"/>
      <c r="E169" s="968"/>
      <c r="F169" s="968"/>
      <c r="G169" s="968"/>
      <c r="H169" s="968"/>
      <c r="I169" s="968"/>
      <c r="J169" s="968"/>
      <c r="K169" s="968"/>
      <c r="L169" s="968"/>
      <c r="M169" s="968"/>
      <c r="N169" s="968"/>
      <c r="O169" s="968"/>
      <c r="P169" s="968"/>
      <c r="Q169" s="968"/>
      <c r="R169" s="968"/>
      <c r="S169" s="968"/>
      <c r="T169" s="968"/>
      <c r="U169" s="968"/>
      <c r="V169" s="968"/>
      <c r="W169" s="968"/>
      <c r="X169" s="968"/>
      <c r="Y169" s="968"/>
      <c r="Z169" s="968"/>
      <c r="AA169" s="968"/>
      <c r="AB169" s="968"/>
      <c r="AC169" s="968"/>
      <c r="AD169" s="968"/>
      <c r="AE169" s="968"/>
      <c r="AF169" s="968"/>
      <c r="AG169" s="968"/>
      <c r="AH169" s="968"/>
      <c r="AI169" s="969"/>
      <c r="AJ169" s="1"/>
      <c r="AK169" s="1"/>
      <c r="AL169" s="1"/>
      <c r="AM169" s="65"/>
      <c r="AN169" s="424"/>
      <c r="AO169" s="1" t="s">
        <v>27</v>
      </c>
      <c r="AP169" s="1"/>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row>
    <row r="170" spans="1:79" ht="12.75" customHeight="1">
      <c r="A170" s="1"/>
      <c r="B170" s="1"/>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
      <c r="AF170" s="1"/>
      <c r="AG170" s="1"/>
      <c r="AH170" s="1"/>
      <c r="AI170" s="1"/>
      <c r="AJ170" s="1"/>
      <c r="AK170" s="1"/>
      <c r="AL170" s="1"/>
      <c r="AM170" s="65"/>
      <c r="AN170" s="424"/>
      <c r="AO170" s="1" t="s">
        <v>1962</v>
      </c>
      <c r="AP170" s="406">
        <v>2</v>
      </c>
      <c r="AQ170" s="117"/>
      <c r="AR170" s="117"/>
      <c r="AS170" s="117"/>
      <c r="AT170" s="117"/>
      <c r="AU170" s="117"/>
      <c r="AV170" s="117"/>
      <c r="AW170" s="117"/>
      <c r="AX170" s="117"/>
      <c r="AY170" s="117"/>
      <c r="AZ170" s="117"/>
      <c r="BA170" s="117"/>
      <c r="BB170" s="117"/>
      <c r="BC170" s="117"/>
      <c r="BD170" s="117"/>
      <c r="BE170" s="117"/>
      <c r="BF170" s="117"/>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c r="CA170" s="117"/>
    </row>
    <row r="171" spans="1:79" ht="12.75" customHeight="1">
      <c r="A171" s="1"/>
      <c r="B171" s="1"/>
      <c r="C171" s="8" t="s">
        <v>1963</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17"/>
      <c r="AD171" s="117"/>
      <c r="AE171" s="1"/>
      <c r="AF171" s="973" t="s">
        <v>855</v>
      </c>
      <c r="AG171" s="969"/>
      <c r="AH171" s="1"/>
      <c r="AI171" s="1"/>
      <c r="AJ171" s="1"/>
      <c r="AK171" s="1"/>
      <c r="AL171" s="1"/>
      <c r="AM171" s="65"/>
      <c r="AN171" s="424"/>
      <c r="AO171" s="1" t="s">
        <v>1961</v>
      </c>
      <c r="AP171" s="406">
        <v>3</v>
      </c>
      <c r="AQ171" s="117"/>
      <c r="AR171" s="117"/>
      <c r="AS171" s="117"/>
      <c r="AT171" s="117"/>
      <c r="AU171" s="117"/>
      <c r="AV171" s="117"/>
      <c r="AW171" s="117"/>
      <c r="AX171" s="117"/>
      <c r="AY171" s="117"/>
      <c r="AZ171" s="117"/>
      <c r="BA171" s="117"/>
      <c r="BB171" s="117"/>
      <c r="BC171" s="117"/>
      <c r="BD171" s="117"/>
      <c r="BE171" s="117"/>
      <c r="BF171" s="117"/>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c r="CA171" s="117"/>
    </row>
    <row r="172" spans="1:79" ht="9" customHeight="1">
      <c r="A172" s="1"/>
      <c r="B172" s="1"/>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
      <c r="AF172" s="1"/>
      <c r="AG172" s="1"/>
      <c r="AH172" s="117"/>
      <c r="AI172" s="117"/>
      <c r="AJ172" s="1"/>
      <c r="AK172" s="1"/>
      <c r="AL172" s="1"/>
      <c r="AM172" s="65"/>
      <c r="AN172" s="424"/>
      <c r="AO172" s="3" t="s">
        <v>1964</v>
      </c>
      <c r="AP172" s="406">
        <v>3</v>
      </c>
      <c r="AQ172" s="117"/>
      <c r="AR172" s="117"/>
      <c r="AS172" s="117"/>
      <c r="AT172" s="117"/>
      <c r="AU172" s="117"/>
      <c r="AV172" s="117"/>
      <c r="AW172" s="117"/>
      <c r="AX172" s="117"/>
      <c r="AY172" s="117"/>
      <c r="AZ172" s="117"/>
      <c r="BA172" s="117"/>
      <c r="BB172" s="117"/>
      <c r="BC172" s="117"/>
      <c r="BD172" s="117"/>
      <c r="BE172" s="117"/>
      <c r="BF172" s="117"/>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c r="CA172" s="117"/>
    </row>
    <row r="173" spans="1:79" ht="12.75" customHeight="1">
      <c r="A173" s="1"/>
      <c r="B173" s="1"/>
      <c r="C173" s="1452" t="s">
        <v>1947</v>
      </c>
      <c r="D173" s="968"/>
      <c r="E173" s="968"/>
      <c r="F173" s="968"/>
      <c r="G173" s="968"/>
      <c r="H173" s="968"/>
      <c r="I173" s="968"/>
      <c r="J173" s="968"/>
      <c r="K173" s="968"/>
      <c r="L173" s="968"/>
      <c r="M173" s="968"/>
      <c r="N173" s="968"/>
      <c r="O173" s="968"/>
      <c r="P173" s="968"/>
      <c r="Q173" s="968"/>
      <c r="R173" s="968"/>
      <c r="S173" s="968"/>
      <c r="T173" s="968"/>
      <c r="U173" s="968"/>
      <c r="V173" s="968"/>
      <c r="W173" s="968"/>
      <c r="X173" s="968"/>
      <c r="Y173" s="968"/>
      <c r="Z173" s="968"/>
      <c r="AA173" s="968"/>
      <c r="AB173" s="968"/>
      <c r="AC173" s="968"/>
      <c r="AD173" s="969"/>
      <c r="AE173" s="1"/>
      <c r="AF173" s="1"/>
      <c r="AG173" s="1"/>
      <c r="AH173" s="1"/>
      <c r="AI173" s="1"/>
      <c r="AJ173" s="1"/>
      <c r="AK173" s="1"/>
      <c r="AL173" s="1"/>
      <c r="AM173" s="65"/>
      <c r="AN173" s="424"/>
      <c r="AO173" s="3"/>
      <c r="AP173" s="406"/>
      <c r="AQ173" s="117"/>
      <c r="AR173" s="117"/>
      <c r="AS173" s="117"/>
      <c r="AT173" s="117"/>
      <c r="AU173" s="117"/>
      <c r="AV173" s="117"/>
      <c r="AW173" s="117"/>
      <c r="AX173" s="117"/>
      <c r="AY173" s="117"/>
      <c r="AZ173" s="117"/>
      <c r="BA173" s="117"/>
      <c r="BB173" s="117"/>
      <c r="BC173" s="117"/>
      <c r="BD173" s="117"/>
      <c r="BE173" s="117"/>
      <c r="BF173" s="117"/>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c r="CA173" s="117"/>
    </row>
    <row r="174" spans="1:79" ht="12.75" customHeight="1">
      <c r="A174" s="1"/>
      <c r="B174" s="1"/>
      <c r="C174" s="8" t="s">
        <v>1951</v>
      </c>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1"/>
      <c r="AM174" s="65"/>
      <c r="AN174" s="424"/>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c r="CA174" s="117"/>
    </row>
    <row r="175" spans="1:79"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65"/>
      <c r="AN175" s="424"/>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c r="BJ175" s="117"/>
      <c r="BK175" s="117"/>
      <c r="BL175" s="117"/>
      <c r="BM175" s="117"/>
      <c r="BN175" s="117"/>
      <c r="BO175" s="117"/>
      <c r="BP175" s="117"/>
      <c r="BQ175" s="117"/>
      <c r="BR175" s="117"/>
      <c r="BS175" s="117"/>
      <c r="BT175" s="117"/>
      <c r="BU175" s="117"/>
      <c r="BV175" s="117"/>
      <c r="BW175" s="117"/>
      <c r="BX175" s="117"/>
      <c r="BY175" s="117"/>
      <c r="BZ175" s="117"/>
      <c r="CA175" s="117"/>
    </row>
    <row r="176" spans="1:79" ht="12.75" customHeight="1">
      <c r="A176" s="1"/>
      <c r="B176" s="1"/>
      <c r="C176" s="62" t="s">
        <v>1965</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
      <c r="AF176" s="1"/>
      <c r="AG176" s="1"/>
      <c r="AH176" s="1"/>
      <c r="AI176" s="1"/>
      <c r="AJ176" s="1"/>
      <c r="AK176" s="1"/>
      <c r="AL176" s="1"/>
      <c r="AM176" s="65"/>
      <c r="AN176" s="424"/>
      <c r="AO176" s="1" t="s">
        <v>1947</v>
      </c>
      <c r="AP176" s="1"/>
      <c r="AQ176" s="117"/>
      <c r="AR176" s="117"/>
      <c r="AS176" s="117"/>
      <c r="AT176" s="117"/>
      <c r="AU176" s="117"/>
      <c r="AV176" s="117"/>
      <c r="AW176" s="117"/>
      <c r="AX176" s="117"/>
      <c r="AY176" s="117"/>
      <c r="AZ176" s="117"/>
      <c r="BA176" s="117"/>
      <c r="BB176" s="117"/>
      <c r="BC176" s="117"/>
      <c r="BD176" s="117"/>
      <c r="BE176" s="117"/>
      <c r="BF176" s="117"/>
      <c r="BG176" s="117"/>
      <c r="BH176" s="117"/>
      <c r="BI176" s="117"/>
      <c r="BJ176" s="117"/>
      <c r="BK176" s="117"/>
      <c r="BL176" s="117"/>
      <c r="BM176" s="117"/>
      <c r="BN176" s="117"/>
      <c r="BO176" s="117"/>
      <c r="BP176" s="117"/>
      <c r="BQ176" s="117"/>
      <c r="BR176" s="117"/>
      <c r="BS176" s="117"/>
      <c r="BT176" s="117"/>
      <c r="BU176" s="117"/>
      <c r="BV176" s="117"/>
      <c r="BW176" s="117"/>
      <c r="BX176" s="117"/>
      <c r="BY176" s="117"/>
      <c r="BZ176" s="117"/>
      <c r="CA176" s="117"/>
    </row>
    <row r="177" spans="1:79" ht="12.75" customHeight="1">
      <c r="A177" s="1"/>
      <c r="B177" s="1"/>
      <c r="C177" s="1453" t="str">
        <f>Application!AA344</f>
        <v>Sherman Heights Property Mgmt Inc.</v>
      </c>
      <c r="D177" s="968"/>
      <c r="E177" s="968"/>
      <c r="F177" s="968"/>
      <c r="G177" s="968"/>
      <c r="H177" s="968"/>
      <c r="I177" s="968"/>
      <c r="J177" s="968"/>
      <c r="K177" s="968"/>
      <c r="L177" s="968"/>
      <c r="M177" s="968"/>
      <c r="N177" s="968"/>
      <c r="O177" s="968"/>
      <c r="P177" s="968"/>
      <c r="Q177" s="968"/>
      <c r="R177" s="968"/>
      <c r="S177" s="968"/>
      <c r="T177" s="968"/>
      <c r="U177" s="968"/>
      <c r="V177" s="968"/>
      <c r="W177" s="968"/>
      <c r="X177" s="968"/>
      <c r="Y177" s="968"/>
      <c r="Z177" s="968"/>
      <c r="AA177" s="968"/>
      <c r="AB177" s="968"/>
      <c r="AC177" s="968"/>
      <c r="AD177" s="969"/>
      <c r="AE177" s="1"/>
      <c r="AF177" s="1"/>
      <c r="AG177" s="1"/>
      <c r="AH177" s="1"/>
      <c r="AI177" s="1"/>
      <c r="AJ177" s="1"/>
      <c r="AK177" s="1"/>
      <c r="AL177" s="1"/>
      <c r="AM177" s="65"/>
      <c r="AN177" s="424"/>
      <c r="AO177" s="1" t="s">
        <v>1966</v>
      </c>
      <c r="AP177" s="406">
        <v>2</v>
      </c>
      <c r="AQ177" s="117"/>
      <c r="AR177" s="117"/>
      <c r="AS177" s="117"/>
      <c r="AT177" s="117"/>
      <c r="AU177" s="117"/>
      <c r="AV177" s="117"/>
      <c r="AW177" s="117"/>
      <c r="AX177" s="117"/>
      <c r="AY177" s="117"/>
      <c r="AZ177" s="117"/>
      <c r="BA177" s="117"/>
      <c r="BB177" s="117"/>
      <c r="BC177" s="117"/>
      <c r="BD177" s="117"/>
      <c r="BE177" s="117"/>
      <c r="BF177" s="117"/>
      <c r="BG177" s="117"/>
      <c r="BH177" s="117"/>
      <c r="BI177" s="117"/>
      <c r="BJ177" s="117"/>
      <c r="BK177" s="117"/>
      <c r="BL177" s="117"/>
      <c r="BM177" s="117"/>
      <c r="BN177" s="117"/>
      <c r="BO177" s="117"/>
      <c r="BP177" s="117"/>
      <c r="BQ177" s="117"/>
      <c r="BR177" s="117"/>
      <c r="BS177" s="117"/>
      <c r="BT177" s="117"/>
      <c r="BU177" s="117"/>
      <c r="BV177" s="117"/>
      <c r="BW177" s="117"/>
      <c r="BX177" s="117"/>
      <c r="BY177" s="117"/>
      <c r="BZ177" s="117"/>
      <c r="CA177" s="117"/>
    </row>
    <row r="178" spans="1:79" ht="12.75" customHeight="1">
      <c r="A178" s="1"/>
      <c r="B178" s="1"/>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
      <c r="AF178" s="1"/>
      <c r="AG178" s="1"/>
      <c r="AH178" s="1"/>
      <c r="AI178" s="1"/>
      <c r="AJ178" s="1"/>
      <c r="AK178" s="1"/>
      <c r="AL178" s="1"/>
      <c r="AM178" s="65"/>
      <c r="AN178" s="424"/>
      <c r="AO178" s="1" t="s">
        <v>1967</v>
      </c>
      <c r="AP178" s="406">
        <v>3</v>
      </c>
      <c r="AQ178" s="117"/>
      <c r="AR178" s="117"/>
      <c r="AS178" s="117"/>
      <c r="AT178" s="117"/>
      <c r="AU178" s="117"/>
      <c r="AV178" s="117"/>
      <c r="AW178" s="117"/>
      <c r="AX178" s="117"/>
      <c r="AY178" s="117"/>
      <c r="AZ178" s="117"/>
      <c r="BA178" s="117"/>
      <c r="BB178" s="117"/>
      <c r="BC178" s="117"/>
      <c r="BD178" s="117"/>
      <c r="BE178" s="117"/>
      <c r="BF178" s="117"/>
      <c r="BG178" s="117"/>
      <c r="BH178" s="117"/>
      <c r="BI178" s="117"/>
      <c r="BJ178" s="117"/>
      <c r="BK178" s="117"/>
      <c r="BL178" s="117"/>
      <c r="BM178" s="117"/>
      <c r="BN178" s="117"/>
      <c r="BO178" s="117"/>
      <c r="BP178" s="117"/>
      <c r="BQ178" s="117"/>
      <c r="BR178" s="117"/>
      <c r="BS178" s="117"/>
      <c r="BT178" s="117"/>
      <c r="BU178" s="117"/>
      <c r="BV178" s="117"/>
      <c r="BW178" s="117"/>
      <c r="BX178" s="117"/>
      <c r="BY178" s="117"/>
      <c r="BZ178" s="117"/>
      <c r="CA178" s="117"/>
    </row>
    <row r="179" spans="1:79" ht="12.75" customHeight="1">
      <c r="A179" s="425"/>
      <c r="B179" s="371"/>
      <c r="C179" s="371"/>
      <c r="D179" s="370"/>
      <c r="E179" s="371"/>
      <c r="F179" s="371"/>
      <c r="G179" s="371"/>
      <c r="H179" s="371"/>
      <c r="I179" s="371"/>
      <c r="J179" s="371"/>
      <c r="K179" s="371"/>
      <c r="L179" s="371"/>
      <c r="M179" s="371"/>
      <c r="N179" s="371"/>
      <c r="O179" s="371"/>
      <c r="P179" s="371"/>
      <c r="Q179" s="5"/>
      <c r="R179" s="426"/>
      <c r="S179" s="371"/>
      <c r="T179" s="371"/>
      <c r="U179" s="371"/>
      <c r="V179" s="371"/>
      <c r="W179" s="371"/>
      <c r="X179" s="371"/>
      <c r="Y179" s="371"/>
      <c r="Z179" s="371"/>
      <c r="AA179" s="371"/>
      <c r="AB179" s="371"/>
      <c r="AC179" s="371"/>
      <c r="AD179" s="371"/>
      <c r="AE179" s="371"/>
      <c r="AF179" s="371"/>
      <c r="AG179" s="371"/>
      <c r="AH179" s="371"/>
      <c r="AI179" s="372" t="s">
        <v>1968</v>
      </c>
      <c r="AJ179" s="956">
        <f>IF($AF$171="N/A",VLOOKUP($C$169,$AO$169:$AP$172,2,FALSE),VLOOKUP($C$173,$AO$176:$AP$178,2,FALSE))</f>
        <v>3</v>
      </c>
      <c r="AK179" s="943"/>
      <c r="AL179" s="427"/>
      <c r="AM179" s="261"/>
      <c r="AN179" s="424"/>
      <c r="AO179" s="3"/>
      <c r="AP179" s="406"/>
      <c r="AQ179" s="117"/>
      <c r="AR179" s="117"/>
      <c r="AS179" s="117"/>
      <c r="AT179" s="117"/>
      <c r="AU179" s="117"/>
      <c r="AV179" s="117"/>
      <c r="AW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c r="CA179" s="117"/>
    </row>
    <row r="180" spans="1:79" ht="12.75" customHeight="1">
      <c r="A180" s="1"/>
      <c r="B180" s="33"/>
      <c r="C180" s="117"/>
      <c r="D180" s="117"/>
      <c r="E180" s="117"/>
      <c r="F180" s="117"/>
      <c r="G180" s="117"/>
      <c r="H180" s="117"/>
      <c r="I180" s="117"/>
      <c r="J180" s="117"/>
      <c r="K180" s="117"/>
      <c r="L180" s="117"/>
      <c r="M180" s="117"/>
      <c r="N180" s="117"/>
      <c r="O180" s="117"/>
      <c r="P180" s="117"/>
      <c r="Q180" s="117"/>
      <c r="R180" s="1"/>
      <c r="S180" s="33"/>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424"/>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row>
    <row r="181" spans="1:79" ht="12.75" customHeight="1">
      <c r="A181" s="100"/>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424"/>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c r="CA181" s="117"/>
    </row>
    <row r="182" spans="1:79" ht="12.75" customHeight="1">
      <c r="A182" s="368"/>
      <c r="B182" s="369"/>
      <c r="C182" s="369"/>
      <c r="D182" s="369"/>
      <c r="E182" s="369"/>
      <c r="F182" s="369"/>
      <c r="G182" s="370"/>
      <c r="H182" s="371"/>
      <c r="I182" s="371"/>
      <c r="J182" s="371"/>
      <c r="K182" s="371"/>
      <c r="L182" s="371"/>
      <c r="M182" s="371"/>
      <c r="N182" s="371"/>
      <c r="O182" s="371"/>
      <c r="P182" s="371"/>
      <c r="Q182" s="371"/>
      <c r="R182" s="371"/>
      <c r="S182" s="371"/>
      <c r="T182" s="371"/>
      <c r="U182" s="371"/>
      <c r="V182" s="371"/>
      <c r="W182" s="371"/>
      <c r="X182" s="371"/>
      <c r="Y182" s="371"/>
      <c r="Z182" s="371"/>
      <c r="AA182" s="371"/>
      <c r="AB182" s="371"/>
      <c r="AC182" s="371"/>
      <c r="AD182" s="371"/>
      <c r="AE182" s="371"/>
      <c r="AF182" s="371"/>
      <c r="AG182" s="371"/>
      <c r="AH182" s="371"/>
      <c r="AI182" s="372"/>
      <c r="AJ182" s="372" t="s">
        <v>1969</v>
      </c>
      <c r="AK182" s="956">
        <f>$AJ$165+$AJ$179</f>
        <v>10</v>
      </c>
      <c r="AL182" s="921"/>
      <c r="AM182" s="943"/>
      <c r="AN182" s="424"/>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row>
    <row r="183" spans="1:79" ht="12.75" customHeight="1">
      <c r="A183" s="92"/>
      <c r="B183" s="373"/>
      <c r="C183" s="374"/>
      <c r="D183" s="374"/>
      <c r="E183" s="374"/>
      <c r="F183" s="374"/>
      <c r="G183" s="374"/>
      <c r="H183" s="374"/>
      <c r="I183" s="374"/>
      <c r="J183" s="374"/>
      <c r="K183" s="374"/>
      <c r="L183" s="374"/>
      <c r="M183" s="374"/>
      <c r="N183" s="374"/>
      <c r="O183" s="374"/>
      <c r="P183" s="374"/>
      <c r="Q183" s="374"/>
      <c r="R183" s="374"/>
      <c r="S183" s="374"/>
      <c r="T183" s="374"/>
      <c r="U183" s="374"/>
      <c r="V183" s="374"/>
      <c r="W183" s="374"/>
      <c r="X183" s="374"/>
      <c r="Y183" s="374"/>
      <c r="Z183" s="374"/>
      <c r="AA183" s="374"/>
      <c r="AB183" s="374"/>
      <c r="AC183" s="374"/>
      <c r="AD183" s="374"/>
      <c r="AE183" s="374"/>
      <c r="AF183" s="374"/>
      <c r="AG183" s="374"/>
      <c r="AH183" s="374"/>
      <c r="AI183" s="374"/>
      <c r="AJ183" s="374"/>
      <c r="AK183" s="374"/>
      <c r="AL183" s="374"/>
      <c r="AM183" s="375"/>
      <c r="AN183" s="424"/>
      <c r="AO183" s="374"/>
      <c r="AP183" s="117"/>
      <c r="AQ183" s="117"/>
      <c r="AR183" s="374"/>
      <c r="AS183" s="374"/>
      <c r="AT183" s="374"/>
      <c r="AU183" s="374"/>
      <c r="AV183" s="374"/>
      <c r="AW183" s="374"/>
      <c r="AX183" s="374"/>
      <c r="AY183" s="374"/>
      <c r="AZ183" s="374"/>
      <c r="BA183" s="374"/>
      <c r="BB183" s="374"/>
      <c r="BC183" s="374"/>
      <c r="BD183" s="374"/>
      <c r="BE183" s="374"/>
      <c r="BF183" s="374"/>
      <c r="BG183" s="374"/>
      <c r="BH183" s="374"/>
      <c r="BI183" s="374"/>
      <c r="BJ183" s="374"/>
      <c r="BK183" s="374"/>
      <c r="BL183" s="374"/>
      <c r="BM183" s="374"/>
      <c r="BN183" s="374"/>
      <c r="BO183" s="374"/>
      <c r="BP183" s="374"/>
      <c r="BQ183" s="374"/>
      <c r="BR183" s="374"/>
      <c r="BS183" s="374"/>
      <c r="BT183" s="374"/>
      <c r="BU183" s="374"/>
      <c r="BV183" s="117"/>
      <c r="BW183" s="117"/>
      <c r="BX183" s="117"/>
      <c r="BY183" s="117"/>
      <c r="BZ183" s="117"/>
      <c r="CA183" s="117"/>
    </row>
    <row r="184" spans="1:79" ht="12.75" customHeight="1">
      <c r="A184" s="1"/>
      <c r="B184" s="15"/>
      <c r="C184" s="99"/>
      <c r="D184" s="99"/>
      <c r="E184" s="99"/>
      <c r="F184" s="99"/>
      <c r="G184" s="99"/>
      <c r="H184" s="99"/>
      <c r="I184" s="320"/>
      <c r="J184" s="320"/>
      <c r="K184" s="320"/>
      <c r="L184" s="320"/>
      <c r="M184" s="320"/>
      <c r="N184" s="320"/>
      <c r="O184" s="320"/>
      <c r="P184" s="320"/>
      <c r="Q184" s="320"/>
      <c r="R184" s="1"/>
      <c r="S184" s="8"/>
      <c r="T184" s="8"/>
      <c r="U184" s="8"/>
      <c r="V184" s="8"/>
      <c r="W184" s="8"/>
      <c r="X184" s="8"/>
      <c r="Y184" s="8"/>
      <c r="Z184" s="8"/>
      <c r="AA184" s="8"/>
      <c r="AB184" s="8"/>
      <c r="AC184" s="8"/>
      <c r="AD184" s="8"/>
      <c r="AE184" s="8"/>
      <c r="AF184" s="1"/>
      <c r="AG184" s="8"/>
      <c r="AH184" s="8"/>
      <c r="AI184" s="8"/>
      <c r="AJ184" s="8"/>
      <c r="AK184" s="117"/>
      <c r="AL184" s="117"/>
      <c r="AM184" s="117"/>
      <c r="AN184" s="424"/>
      <c r="AO184" s="117"/>
      <c r="AP184" s="428" t="s">
        <v>1970</v>
      </c>
      <c r="AQ184" s="428">
        <v>0</v>
      </c>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row>
    <row r="185" spans="1:79" ht="12.75" customHeight="1">
      <c r="A185" s="62" t="s">
        <v>1971</v>
      </c>
      <c r="B185" s="62" t="s">
        <v>1972</v>
      </c>
      <c r="C185" s="18"/>
      <c r="D185" s="306"/>
      <c r="E185" s="306"/>
      <c r="F185" s="306"/>
      <c r="G185" s="306"/>
      <c r="H185" s="306"/>
      <c r="I185" s="306"/>
      <c r="J185" s="306"/>
      <c r="K185" s="1"/>
      <c r="L185" s="1"/>
      <c r="M185" s="1"/>
      <c r="N185" s="1"/>
      <c r="O185" s="1"/>
      <c r="P185" s="1"/>
      <c r="Q185" s="1"/>
      <c r="R185" s="1"/>
      <c r="S185" s="1"/>
      <c r="T185" s="1"/>
      <c r="U185" s="1"/>
      <c r="V185" s="1"/>
      <c r="W185" s="1"/>
      <c r="X185" s="1"/>
      <c r="Y185" s="36"/>
      <c r="Z185" s="36"/>
      <c r="AA185" s="36"/>
      <c r="AB185" s="36"/>
      <c r="AC185" s="1"/>
      <c r="AD185" s="1"/>
      <c r="AE185" s="1396" t="s">
        <v>1871</v>
      </c>
      <c r="AF185" s="893"/>
      <c r="AG185" s="893"/>
      <c r="AH185" s="893"/>
      <c r="AI185" s="893"/>
      <c r="AJ185" s="893"/>
      <c r="AK185" s="893"/>
      <c r="AL185" s="10"/>
      <c r="AM185" s="117"/>
      <c r="AN185" s="424"/>
      <c r="AO185" s="117"/>
      <c r="AP185" s="117" t="s">
        <v>1037</v>
      </c>
      <c r="AQ185" s="117">
        <v>10</v>
      </c>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row>
    <row r="186" spans="1:79" ht="12.75" customHeight="1">
      <c r="A186" s="62"/>
      <c r="B186" s="14"/>
      <c r="C186" s="429"/>
      <c r="D186" s="306"/>
      <c r="E186" s="306"/>
      <c r="F186" s="306"/>
      <c r="G186" s="306"/>
      <c r="H186" s="1"/>
      <c r="I186" s="1"/>
      <c r="J186" s="1"/>
      <c r="K186" s="1"/>
      <c r="L186" s="1"/>
      <c r="M186" s="1"/>
      <c r="N186" s="1"/>
      <c r="O186" s="1"/>
      <c r="P186" s="1"/>
      <c r="Q186" s="1"/>
      <c r="R186" s="36"/>
      <c r="S186" s="36"/>
      <c r="T186" s="36"/>
      <c r="U186" s="36"/>
      <c r="V186" s="36"/>
      <c r="W186" s="36"/>
      <c r="X186" s="36"/>
      <c r="Y186" s="36"/>
      <c r="Z186" s="36"/>
      <c r="AA186" s="36"/>
      <c r="AB186" s="36"/>
      <c r="AC186" s="10"/>
      <c r="AD186" s="10"/>
      <c r="AE186" s="1"/>
      <c r="AF186" s="1"/>
      <c r="AG186" s="1"/>
      <c r="AH186" s="1"/>
      <c r="AI186" s="1"/>
      <c r="AJ186" s="1"/>
      <c r="AK186" s="1"/>
      <c r="AL186" s="1"/>
      <c r="AM186" s="117"/>
      <c r="AN186" s="424"/>
      <c r="AO186" s="117"/>
      <c r="AP186" s="117" t="s">
        <v>1973</v>
      </c>
      <c r="AQ186" s="117">
        <v>10</v>
      </c>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row>
    <row r="187" spans="1:79" ht="12.75" customHeight="1">
      <c r="A187" s="1"/>
      <c r="B187" s="1111" t="s">
        <v>1970</v>
      </c>
      <c r="C187" s="968"/>
      <c r="D187" s="968"/>
      <c r="E187" s="968"/>
      <c r="F187" s="968"/>
      <c r="G187" s="968"/>
      <c r="H187" s="968"/>
      <c r="I187" s="968"/>
      <c r="J187" s="968"/>
      <c r="K187" s="968"/>
      <c r="L187" s="968"/>
      <c r="M187" s="968"/>
      <c r="N187" s="968"/>
      <c r="O187" s="968"/>
      <c r="P187" s="968"/>
      <c r="Q187" s="968"/>
      <c r="R187" s="968"/>
      <c r="S187" s="968"/>
      <c r="T187" s="968"/>
      <c r="U187" s="968"/>
      <c r="V187" s="968"/>
      <c r="W187" s="968"/>
      <c r="X187" s="968"/>
      <c r="Y187" s="968"/>
      <c r="Z187" s="968"/>
      <c r="AA187" s="968"/>
      <c r="AB187" s="968"/>
      <c r="AC187" s="969"/>
      <c r="AD187" s="1"/>
      <c r="AE187" s="1"/>
      <c r="AF187" s="1376" t="s">
        <v>1974</v>
      </c>
      <c r="AG187" s="893"/>
      <c r="AH187" s="893"/>
      <c r="AI187" s="893"/>
      <c r="AJ187" s="893"/>
      <c r="AK187" s="893"/>
      <c r="AL187" s="893"/>
      <c r="AM187" s="117"/>
      <c r="AN187" s="424"/>
      <c r="AO187" s="117"/>
      <c r="AP187" s="117" t="s">
        <v>1045</v>
      </c>
      <c r="AQ187" s="117">
        <v>10</v>
      </c>
      <c r="AR187" s="117"/>
      <c r="AS187" s="117"/>
      <c r="AT187" s="117"/>
      <c r="AU187" s="117"/>
      <c r="AV187" s="117"/>
      <c r="AW187" s="117"/>
      <c r="AX187" s="117"/>
      <c r="AY187" s="117"/>
      <c r="AZ187" s="117"/>
      <c r="BA187" s="117"/>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row>
    <row r="188" spans="1:79" ht="12.75" customHeight="1">
      <c r="A188" s="1"/>
      <c r="B188" s="915" t="s">
        <v>1975</v>
      </c>
      <c r="C188" s="893"/>
      <c r="D188" s="893"/>
      <c r="E188" s="893"/>
      <c r="F188" s="893"/>
      <c r="G188" s="893"/>
      <c r="H188" s="893"/>
      <c r="I188" s="893"/>
      <c r="J188" s="893"/>
      <c r="K188" s="893"/>
      <c r="L188" s="893"/>
      <c r="M188" s="893"/>
      <c r="N188" s="893"/>
      <c r="O188" s="893"/>
      <c r="P188" s="893"/>
      <c r="Q188" s="893"/>
      <c r="R188" s="893"/>
      <c r="S188" s="893"/>
      <c r="T188" s="967" t="s">
        <v>855</v>
      </c>
      <c r="U188" s="968"/>
      <c r="V188" s="968"/>
      <c r="W188" s="968"/>
      <c r="X188" s="968"/>
      <c r="Y188" s="968"/>
      <c r="Z188" s="968"/>
      <c r="AA188" s="968"/>
      <c r="AB188" s="968"/>
      <c r="AC188" s="969"/>
      <c r="AD188" s="1"/>
      <c r="AE188" s="1"/>
      <c r="AF188" s="1"/>
      <c r="AG188" s="1"/>
      <c r="AH188" s="1"/>
      <c r="AI188" s="1"/>
      <c r="AJ188" s="237"/>
      <c r="AK188" s="7"/>
      <c r="AL188" s="7"/>
      <c r="AM188" s="7"/>
      <c r="AN188" s="424"/>
      <c r="AO188" s="117"/>
      <c r="AP188" s="117" t="s">
        <v>1046</v>
      </c>
      <c r="AQ188" s="117">
        <v>10</v>
      </c>
      <c r="AR188" s="117"/>
      <c r="AS188" s="117" t="s">
        <v>855</v>
      </c>
      <c r="AT188" s="117"/>
      <c r="AU188" s="117"/>
      <c r="AV188" s="117"/>
      <c r="AW188" s="117"/>
      <c r="AX188" s="117"/>
      <c r="AY188" s="117"/>
      <c r="AZ188" s="117"/>
      <c r="BA188" s="117"/>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row>
    <row r="189" spans="1:79" ht="12.75" customHeight="1">
      <c r="A189" s="1"/>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
      <c r="AF189" s="1"/>
      <c r="AG189" s="1"/>
      <c r="AH189" s="1"/>
      <c r="AI189" s="1"/>
      <c r="AJ189" s="237"/>
      <c r="AK189" s="7"/>
      <c r="AL189" s="7"/>
      <c r="AM189" s="430"/>
      <c r="AN189" s="117"/>
      <c r="AO189" s="117"/>
      <c r="AP189" s="117" t="s">
        <v>1976</v>
      </c>
      <c r="AQ189" s="117">
        <v>10</v>
      </c>
      <c r="AR189" s="117"/>
      <c r="AS189" s="117" t="s">
        <v>1977</v>
      </c>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row>
    <row r="190" spans="1:79" ht="12.75" customHeight="1">
      <c r="A190" s="425"/>
      <c r="B190" s="371"/>
      <c r="C190" s="371"/>
      <c r="D190" s="371"/>
      <c r="E190" s="371"/>
      <c r="F190" s="371"/>
      <c r="G190" s="371"/>
      <c r="H190" s="371"/>
      <c r="I190" s="371"/>
      <c r="J190" s="371"/>
      <c r="K190" s="371"/>
      <c r="L190" s="371"/>
      <c r="M190" s="371"/>
      <c r="N190" s="371"/>
      <c r="O190" s="371"/>
      <c r="P190" s="371"/>
      <c r="Q190" s="371"/>
      <c r="R190" s="371"/>
      <c r="S190" s="371"/>
      <c r="T190" s="371"/>
      <c r="U190" s="371"/>
      <c r="V190" s="371"/>
      <c r="W190" s="371"/>
      <c r="X190" s="371"/>
      <c r="Y190" s="371"/>
      <c r="Z190" s="371"/>
      <c r="AA190" s="371"/>
      <c r="AB190" s="371"/>
      <c r="AC190" s="371"/>
      <c r="AD190" s="371"/>
      <c r="AE190" s="371"/>
      <c r="AF190" s="371"/>
      <c r="AG190" s="371"/>
      <c r="AH190" s="371"/>
      <c r="AI190" s="372"/>
      <c r="AJ190" s="372" t="s">
        <v>1978</v>
      </c>
      <c r="AK190" s="945">
        <f>IF(AK83&gt;0,VLOOKUP($B$187,AP184:AQ190,2,FALSE),0)</f>
        <v>0</v>
      </c>
      <c r="AL190" s="921"/>
      <c r="AM190" s="943"/>
      <c r="AN190" s="267"/>
      <c r="AO190" s="117"/>
      <c r="AP190" s="117" t="s">
        <v>1979</v>
      </c>
      <c r="AQ190" s="117">
        <v>10</v>
      </c>
      <c r="AR190" s="117"/>
      <c r="AS190" s="117" t="s">
        <v>1980</v>
      </c>
      <c r="AT190" s="117"/>
      <c r="AU190" s="117"/>
      <c r="AV190" s="117"/>
      <c r="AW190" s="117"/>
      <c r="AX190" s="117"/>
      <c r="AY190" s="117"/>
      <c r="AZ190" s="117"/>
      <c r="BA190" s="117"/>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row>
    <row r="191" spans="1:79" ht="12.75" customHeight="1">
      <c r="A191" s="91"/>
      <c r="B191" s="91"/>
      <c r="C191" s="431"/>
      <c r="D191" s="432"/>
      <c r="E191" s="432"/>
      <c r="F191" s="432"/>
      <c r="G191" s="432"/>
      <c r="H191" s="432"/>
      <c r="I191" s="432"/>
      <c r="J191" s="432"/>
      <c r="K191" s="432"/>
      <c r="L191" s="432"/>
      <c r="M191" s="432"/>
      <c r="N191" s="432"/>
      <c r="O191" s="432"/>
      <c r="P191" s="432"/>
      <c r="Q191" s="432"/>
      <c r="R191" s="432"/>
      <c r="S191" s="432"/>
      <c r="T191" s="432"/>
      <c r="U191" s="432"/>
      <c r="V191" s="432"/>
      <c r="W191" s="432"/>
      <c r="X191" s="432"/>
      <c r="Y191" s="432"/>
      <c r="Z191" s="432"/>
      <c r="AA191" s="432"/>
      <c r="AB191" s="432"/>
      <c r="AC191" s="432"/>
      <c r="AD191" s="432"/>
      <c r="AE191" s="432"/>
      <c r="AF191" s="432"/>
      <c r="AG191" s="432"/>
      <c r="AH191" s="432"/>
      <c r="AI191" s="432"/>
      <c r="AJ191" s="432"/>
      <c r="AK191" s="432"/>
      <c r="AL191" s="432"/>
      <c r="AM191" s="432"/>
      <c r="AN191" s="424"/>
      <c r="AO191" s="117"/>
      <c r="AP191" s="117"/>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row>
    <row r="192" spans="1:79" ht="12.75" hidden="1" customHeight="1">
      <c r="A192" s="1"/>
      <c r="B192" s="15"/>
      <c r="C192" s="99"/>
      <c r="D192" s="99"/>
      <c r="E192" s="99"/>
      <c r="F192" s="99"/>
      <c r="G192" s="99"/>
      <c r="H192" s="99"/>
      <c r="I192" s="320"/>
      <c r="J192" s="320"/>
      <c r="K192" s="320"/>
      <c r="L192" s="320"/>
      <c r="M192" s="320"/>
      <c r="N192" s="320"/>
      <c r="O192" s="320"/>
      <c r="P192" s="320"/>
      <c r="Q192" s="320"/>
      <c r="R192" s="1"/>
      <c r="S192" s="8"/>
      <c r="T192" s="8"/>
      <c r="U192" s="8"/>
      <c r="V192" s="8"/>
      <c r="W192" s="8"/>
      <c r="X192" s="8"/>
      <c r="Y192" s="8"/>
      <c r="Z192" s="8"/>
      <c r="AA192" s="8"/>
      <c r="AB192" s="8"/>
      <c r="AC192" s="8"/>
      <c r="AD192" s="8"/>
      <c r="AE192" s="8"/>
      <c r="AF192" s="1"/>
      <c r="AG192" s="8"/>
      <c r="AH192" s="8"/>
      <c r="AI192" s="8"/>
      <c r="AJ192" s="8"/>
      <c r="AK192" s="117"/>
      <c r="AL192" s="117"/>
      <c r="AM192" s="117"/>
      <c r="AN192" s="424"/>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row>
    <row r="193" spans="1:79" ht="12.75" hidden="1" customHeight="1">
      <c r="A193" s="62" t="s">
        <v>1981</v>
      </c>
      <c r="B193" s="62" t="s">
        <v>1982</v>
      </c>
      <c r="C193" s="18"/>
      <c r="D193" s="306"/>
      <c r="E193" s="306"/>
      <c r="F193" s="306"/>
      <c r="G193" s="306"/>
      <c r="H193" s="306"/>
      <c r="I193" s="306"/>
      <c r="J193" s="306"/>
      <c r="K193" s="117"/>
      <c r="L193" s="117"/>
      <c r="M193" s="117"/>
      <c r="N193" s="117"/>
      <c r="O193" s="117"/>
      <c r="P193" s="117"/>
      <c r="Q193" s="117"/>
      <c r="R193" s="117"/>
      <c r="S193" s="117"/>
      <c r="T193" s="117"/>
      <c r="U193" s="117"/>
      <c r="V193" s="117"/>
      <c r="W193" s="117"/>
      <c r="X193" s="117"/>
      <c r="Y193" s="36"/>
      <c r="Z193" s="36"/>
      <c r="AA193" s="36"/>
      <c r="AB193" s="36"/>
      <c r="AC193" s="117"/>
      <c r="AD193" s="117"/>
      <c r="AE193" s="1396" t="s">
        <v>1983</v>
      </c>
      <c r="AF193" s="893"/>
      <c r="AG193" s="893"/>
      <c r="AH193" s="893"/>
      <c r="AI193" s="893"/>
      <c r="AJ193" s="893"/>
      <c r="AK193" s="893"/>
      <c r="AL193" s="1"/>
      <c r="AM193" s="1"/>
      <c r="AN193" s="345"/>
      <c r="AO193" s="203"/>
      <c r="AP193" s="1"/>
      <c r="AQ193" s="1"/>
      <c r="AR193" s="1"/>
      <c r="AS193" s="1"/>
      <c r="AT193" s="1"/>
      <c r="AU193" s="1"/>
      <c r="AV193" s="1"/>
      <c r="AW193" s="1"/>
      <c r="AX193" s="1"/>
      <c r="AY193" s="1"/>
      <c r="AZ193" s="1"/>
      <c r="BA193" s="1"/>
      <c r="BB193" s="1"/>
      <c r="BC193" s="1"/>
      <c r="BD193" s="126"/>
      <c r="BE193" s="126"/>
      <c r="BF193" s="126"/>
      <c r="BG193" s="126"/>
      <c r="BH193" s="126"/>
      <c r="BI193" s="1"/>
      <c r="BJ193" s="1"/>
      <c r="BK193" s="1"/>
      <c r="BL193" s="1"/>
      <c r="BM193" s="1"/>
      <c r="BN193" s="1"/>
      <c r="BO193" s="1"/>
      <c r="BP193" s="1"/>
      <c r="BQ193" s="1"/>
      <c r="BR193" s="1"/>
      <c r="BS193" s="1"/>
      <c r="BT193" s="1"/>
      <c r="BU193" s="1"/>
      <c r="BV193" s="1"/>
      <c r="BW193" s="1"/>
      <c r="BX193" s="1"/>
      <c r="BY193" s="1"/>
      <c r="BZ193" s="1"/>
      <c r="CA193" s="1"/>
    </row>
    <row r="194" spans="1:79" ht="12.75" hidden="1" customHeight="1">
      <c r="A194" s="62"/>
      <c r="B194" s="62"/>
      <c r="C194" s="18"/>
      <c r="D194" s="306"/>
      <c r="E194" s="306"/>
      <c r="F194" s="306"/>
      <c r="G194" s="306"/>
      <c r="H194" s="306"/>
      <c r="I194" s="306"/>
      <c r="J194" s="306"/>
      <c r="K194" s="1"/>
      <c r="L194" s="1"/>
      <c r="M194" s="1"/>
      <c r="N194" s="1"/>
      <c r="O194" s="1"/>
      <c r="P194" s="1"/>
      <c r="Q194" s="1"/>
      <c r="R194" s="1"/>
      <c r="S194" s="1"/>
      <c r="T194" s="1"/>
      <c r="U194" s="1"/>
      <c r="V194" s="1"/>
      <c r="W194" s="1"/>
      <c r="X194" s="1"/>
      <c r="Y194" s="36"/>
      <c r="Z194" s="36"/>
      <c r="AA194" s="36"/>
      <c r="AB194" s="36"/>
      <c r="AC194" s="1"/>
      <c r="AD194" s="1"/>
      <c r="AE194" s="237"/>
      <c r="AF194" s="237"/>
      <c r="AG194" s="237"/>
      <c r="AH194" s="237"/>
      <c r="AI194" s="237"/>
      <c r="AJ194" s="237"/>
      <c r="AK194" s="237"/>
      <c r="AL194" s="1"/>
      <c r="AM194" s="1"/>
      <c r="AN194" s="345"/>
      <c r="AO194" s="203"/>
      <c r="AP194" s="1"/>
      <c r="AQ194" s="1"/>
      <c r="AR194" s="1"/>
      <c r="AS194" s="1"/>
      <c r="AT194" s="1"/>
      <c r="AU194" s="1"/>
      <c r="AV194" s="1"/>
      <c r="AW194" s="1"/>
      <c r="AX194" s="1"/>
      <c r="AY194" s="1"/>
      <c r="AZ194" s="1"/>
      <c r="BA194" s="1"/>
      <c r="BB194" s="1"/>
      <c r="BC194" s="1"/>
      <c r="BD194" s="126"/>
      <c r="BE194" s="126"/>
      <c r="BF194" s="126"/>
      <c r="BG194" s="126"/>
      <c r="BH194" s="126"/>
      <c r="BI194" s="1"/>
      <c r="BJ194" s="1"/>
      <c r="BK194" s="1"/>
      <c r="BL194" s="1"/>
      <c r="BM194" s="1"/>
      <c r="BN194" s="1"/>
      <c r="BO194" s="1"/>
      <c r="BP194" s="1"/>
      <c r="BQ194" s="1"/>
      <c r="BR194" s="1"/>
      <c r="BS194" s="1"/>
      <c r="BT194" s="1"/>
      <c r="BU194" s="1"/>
      <c r="BV194" s="1"/>
      <c r="BW194" s="1"/>
      <c r="BX194" s="1"/>
      <c r="BY194" s="1"/>
      <c r="BZ194" s="1"/>
      <c r="CA194" s="1"/>
    </row>
    <row r="195" spans="1:79" ht="12.75" hidden="1" customHeight="1">
      <c r="A195" s="62"/>
      <c r="B195" s="8" t="s">
        <v>1984</v>
      </c>
      <c r="C195" s="18"/>
      <c r="D195" s="306"/>
      <c r="E195" s="306"/>
      <c r="F195" s="306"/>
      <c r="G195" s="306"/>
      <c r="H195" s="306"/>
      <c r="I195" s="306"/>
      <c r="J195" s="306"/>
      <c r="K195" s="1"/>
      <c r="L195" s="1"/>
      <c r="M195" s="1"/>
      <c r="N195" s="1"/>
      <c r="O195" s="1"/>
      <c r="P195" s="1"/>
      <c r="Q195" s="1"/>
      <c r="R195" s="1"/>
      <c r="S195" s="1"/>
      <c r="T195" s="1"/>
      <c r="U195" s="1"/>
      <c r="V195" s="1"/>
      <c r="W195" s="1"/>
      <c r="X195" s="1"/>
      <c r="Y195" s="36"/>
      <c r="Z195" s="36"/>
      <c r="AA195" s="36"/>
      <c r="AB195" s="36"/>
      <c r="AC195" s="1"/>
      <c r="AD195" s="1"/>
      <c r="AE195" s="237"/>
      <c r="AF195" s="237"/>
      <c r="AG195" s="237"/>
      <c r="AH195" s="237"/>
      <c r="AI195" s="237"/>
      <c r="AJ195" s="237"/>
      <c r="AK195" s="237"/>
      <c r="AL195" s="1"/>
      <c r="AM195" s="1"/>
      <c r="AN195" s="345"/>
      <c r="AO195" s="203"/>
      <c r="AP195" s="1"/>
      <c r="AQ195" s="1"/>
      <c r="AR195" s="1"/>
      <c r="AS195" s="1"/>
      <c r="AT195" s="1"/>
      <c r="AU195" s="1"/>
      <c r="AV195" s="1"/>
      <c r="AW195" s="1"/>
      <c r="AX195" s="1"/>
      <c r="AY195" s="1"/>
      <c r="AZ195" s="1"/>
      <c r="BA195" s="1"/>
      <c r="BB195" s="1"/>
      <c r="BC195" s="1"/>
      <c r="BD195" s="126"/>
      <c r="BE195" s="126"/>
      <c r="BF195" s="126"/>
      <c r="BG195" s="126"/>
      <c r="BH195" s="126"/>
      <c r="BI195" s="1"/>
      <c r="BJ195" s="1"/>
      <c r="BK195" s="1"/>
      <c r="BL195" s="1"/>
      <c r="BM195" s="1"/>
      <c r="BN195" s="1"/>
      <c r="BO195" s="1"/>
      <c r="BP195" s="1"/>
      <c r="BQ195" s="1"/>
      <c r="BR195" s="1"/>
      <c r="BS195" s="1"/>
      <c r="BT195" s="1"/>
      <c r="BU195" s="1"/>
      <c r="BV195" s="1"/>
      <c r="BW195" s="1"/>
      <c r="BX195" s="1"/>
      <c r="BY195" s="1"/>
      <c r="BZ195" s="1"/>
      <c r="CA195" s="1"/>
    </row>
    <row r="196" spans="1:79" ht="12.75" hidden="1" customHeight="1">
      <c r="A196" s="17"/>
      <c r="B196" s="1"/>
      <c r="C196" s="41"/>
      <c r="D196" s="433"/>
      <c r="E196" s="433"/>
      <c r="F196" s="433"/>
      <c r="G196" s="433"/>
      <c r="H196" s="433"/>
      <c r="I196" s="433"/>
      <c r="J196" s="433"/>
      <c r="K196" s="1"/>
      <c r="L196" s="1"/>
      <c r="M196" s="1"/>
      <c r="N196" s="1"/>
      <c r="O196" s="1"/>
      <c r="P196" s="1"/>
      <c r="Q196" s="1"/>
      <c r="R196" s="1"/>
      <c r="S196" s="1"/>
      <c r="T196" s="1"/>
      <c r="U196" s="1"/>
      <c r="V196" s="1"/>
      <c r="W196" s="1"/>
      <c r="X196" s="1"/>
      <c r="Y196" s="11"/>
      <c r="Z196" s="11"/>
      <c r="AA196" s="11"/>
      <c r="AB196" s="11"/>
      <c r="AC196" s="1"/>
      <c r="AD196" s="1"/>
      <c r="AE196" s="33"/>
      <c r="AF196" s="33"/>
      <c r="AG196" s="33"/>
      <c r="AH196" s="33"/>
      <c r="AI196" s="33"/>
      <c r="AJ196" s="33"/>
      <c r="AK196" s="33"/>
      <c r="AL196" s="1"/>
      <c r="AM196" s="1"/>
      <c r="AN196" s="345"/>
      <c r="AO196" s="203"/>
      <c r="AP196" s="1"/>
      <c r="AQ196" s="1"/>
      <c r="AR196" s="1"/>
      <c r="AS196" s="1"/>
      <c r="AT196" s="1"/>
      <c r="AU196" s="1"/>
      <c r="AV196" s="1"/>
      <c r="AW196" s="1"/>
      <c r="AX196" s="1"/>
      <c r="AY196" s="1"/>
      <c r="AZ196" s="1"/>
      <c r="BA196" s="1"/>
      <c r="BB196" s="1"/>
      <c r="BC196" s="1"/>
      <c r="BD196" s="126"/>
      <c r="BE196" s="126"/>
      <c r="BF196" s="126"/>
      <c r="BG196" s="126"/>
      <c r="BH196" s="126"/>
      <c r="BI196" s="1"/>
      <c r="BJ196" s="1"/>
      <c r="BK196" s="1"/>
      <c r="BL196" s="1"/>
      <c r="BM196" s="1"/>
      <c r="BN196" s="1"/>
      <c r="BO196" s="1"/>
      <c r="BP196" s="1"/>
      <c r="BQ196" s="1"/>
      <c r="BR196" s="1"/>
      <c r="BS196" s="1"/>
      <c r="BT196" s="1"/>
      <c r="BU196" s="1"/>
      <c r="BV196" s="1"/>
      <c r="BW196" s="1"/>
      <c r="BX196" s="1"/>
      <c r="BY196" s="1"/>
      <c r="BZ196" s="1"/>
      <c r="CA196" s="1"/>
    </row>
    <row r="197" spans="1:79" ht="12.75" hidden="1" customHeight="1">
      <c r="A197" s="17"/>
      <c r="B197" s="38" t="s">
        <v>1985</v>
      </c>
      <c r="C197" s="41"/>
      <c r="D197" s="433"/>
      <c r="E197" s="433"/>
      <c r="F197" s="433"/>
      <c r="G197" s="433"/>
      <c r="H197" s="433"/>
      <c r="I197" s="433"/>
      <c r="J197" s="433"/>
      <c r="K197" s="1"/>
      <c r="L197" s="1"/>
      <c r="M197" s="1"/>
      <c r="N197" s="1"/>
      <c r="O197" s="1"/>
      <c r="P197" s="1"/>
      <c r="Q197" s="1"/>
      <c r="R197" s="1"/>
      <c r="S197" s="1"/>
      <c r="T197" s="1"/>
      <c r="U197" s="1"/>
      <c r="V197" s="1"/>
      <c r="W197" s="1"/>
      <c r="X197" s="1"/>
      <c r="Y197" s="11"/>
      <c r="Z197" s="11"/>
      <c r="AA197" s="11"/>
      <c r="AB197" s="11"/>
      <c r="AC197" s="1"/>
      <c r="AD197" s="1"/>
      <c r="AE197" s="33"/>
      <c r="AF197" s="33"/>
      <c r="AG197" s="33"/>
      <c r="AH197" s="33"/>
      <c r="AI197" s="33"/>
      <c r="AJ197" s="33"/>
      <c r="AK197" s="33"/>
      <c r="AL197" s="1"/>
      <c r="AM197" s="1"/>
      <c r="AN197" s="345"/>
      <c r="AO197" s="203"/>
      <c r="AP197" s="1"/>
      <c r="AQ197" s="1"/>
      <c r="AR197" s="1"/>
      <c r="AS197" s="1"/>
      <c r="AT197" s="1"/>
      <c r="AU197" s="1"/>
      <c r="AV197" s="1"/>
      <c r="AW197" s="1"/>
      <c r="AX197" s="1"/>
      <c r="AY197" s="1"/>
      <c r="AZ197" s="1"/>
      <c r="BA197" s="1"/>
      <c r="BB197" s="1"/>
      <c r="BC197" s="1"/>
      <c r="BD197" s="126"/>
      <c r="BE197" s="126"/>
      <c r="BF197" s="126"/>
      <c r="BG197" s="126"/>
      <c r="BH197" s="126"/>
      <c r="BI197" s="1"/>
      <c r="BJ197" s="1"/>
      <c r="BK197" s="1"/>
      <c r="BL197" s="1"/>
      <c r="BM197" s="1"/>
      <c r="BN197" s="1"/>
      <c r="BO197" s="1"/>
      <c r="BP197" s="1"/>
      <c r="BQ197" s="1"/>
      <c r="BR197" s="1"/>
      <c r="BS197" s="1"/>
      <c r="BT197" s="1"/>
      <c r="BU197" s="1"/>
      <c r="BV197" s="1"/>
      <c r="BW197" s="1"/>
      <c r="BX197" s="1"/>
      <c r="BY197" s="1"/>
      <c r="BZ197" s="1"/>
      <c r="CA197" s="1"/>
    </row>
    <row r="198" spans="1:79" ht="12.75" hidden="1" customHeight="1">
      <c r="A198" s="17"/>
      <c r="B198" s="967"/>
      <c r="C198" s="968"/>
      <c r="D198" s="968"/>
      <c r="E198" s="968"/>
      <c r="F198" s="968"/>
      <c r="G198" s="968"/>
      <c r="H198" s="968"/>
      <c r="I198" s="968"/>
      <c r="J198" s="968"/>
      <c r="K198" s="968"/>
      <c r="L198" s="968"/>
      <c r="M198" s="968"/>
      <c r="N198" s="968"/>
      <c r="O198" s="968"/>
      <c r="P198" s="968"/>
      <c r="Q198" s="968"/>
      <c r="R198" s="968"/>
      <c r="S198" s="968"/>
      <c r="T198" s="968"/>
      <c r="U198" s="968"/>
      <c r="V198" s="968"/>
      <c r="W198" s="968"/>
      <c r="X198" s="968"/>
      <c r="Y198" s="968"/>
      <c r="Z198" s="968"/>
      <c r="AA198" s="968"/>
      <c r="AB198" s="969"/>
      <c r="AC198" s="126"/>
      <c r="AD198" s="1012"/>
      <c r="AE198" s="968"/>
      <c r="AF198" s="968"/>
      <c r="AG198" s="968"/>
      <c r="AH198" s="968"/>
      <c r="AI198" s="968"/>
      <c r="AJ198" s="969"/>
      <c r="AK198" s="33"/>
      <c r="AL198" s="1"/>
      <c r="AM198" s="1"/>
      <c r="AN198" s="345"/>
      <c r="AO198" s="203"/>
      <c r="AP198" s="1"/>
      <c r="AQ198" s="1"/>
      <c r="AR198" s="1"/>
      <c r="AS198" s="1"/>
      <c r="AT198" s="1"/>
      <c r="AU198" s="1"/>
      <c r="AV198" s="1"/>
      <c r="AW198" s="1"/>
      <c r="AX198" s="1"/>
      <c r="AY198" s="1"/>
      <c r="AZ198" s="1"/>
      <c r="BA198" s="1"/>
      <c r="BB198" s="1"/>
      <c r="BC198" s="1"/>
      <c r="BD198" s="126"/>
      <c r="BE198" s="126"/>
      <c r="BF198" s="126"/>
      <c r="BG198" s="126"/>
      <c r="BH198" s="126"/>
      <c r="BI198" s="1"/>
      <c r="BJ198" s="1"/>
      <c r="BK198" s="1"/>
      <c r="BL198" s="1"/>
      <c r="BM198" s="1"/>
      <c r="BN198" s="1"/>
      <c r="BO198" s="1"/>
      <c r="BP198" s="1"/>
      <c r="BQ198" s="1"/>
      <c r="BR198" s="1"/>
      <c r="BS198" s="1"/>
      <c r="BT198" s="1"/>
      <c r="BU198" s="1"/>
      <c r="BV198" s="1"/>
      <c r="BW198" s="1"/>
      <c r="BX198" s="1"/>
      <c r="BY198" s="1"/>
      <c r="BZ198" s="1"/>
      <c r="CA198" s="1"/>
    </row>
    <row r="199" spans="1:79" ht="12.75" hidden="1" customHeight="1">
      <c r="A199" s="17"/>
      <c r="B199" s="967"/>
      <c r="C199" s="968"/>
      <c r="D199" s="968"/>
      <c r="E199" s="968"/>
      <c r="F199" s="968"/>
      <c r="G199" s="968"/>
      <c r="H199" s="968"/>
      <c r="I199" s="968"/>
      <c r="J199" s="968"/>
      <c r="K199" s="968"/>
      <c r="L199" s="968"/>
      <c r="M199" s="968"/>
      <c r="N199" s="968"/>
      <c r="O199" s="968"/>
      <c r="P199" s="968"/>
      <c r="Q199" s="968"/>
      <c r="R199" s="968"/>
      <c r="S199" s="968"/>
      <c r="T199" s="968"/>
      <c r="U199" s="968"/>
      <c r="V199" s="968"/>
      <c r="W199" s="968"/>
      <c r="X199" s="968"/>
      <c r="Y199" s="968"/>
      <c r="Z199" s="968"/>
      <c r="AA199" s="968"/>
      <c r="AB199" s="969"/>
      <c r="AC199" s="126"/>
      <c r="AD199" s="1012"/>
      <c r="AE199" s="968"/>
      <c r="AF199" s="968"/>
      <c r="AG199" s="968"/>
      <c r="AH199" s="968"/>
      <c r="AI199" s="968"/>
      <c r="AJ199" s="969"/>
      <c r="AK199" s="33"/>
      <c r="AL199" s="1"/>
      <c r="AM199" s="1"/>
      <c r="AN199" s="345"/>
      <c r="AO199" s="203"/>
      <c r="AP199" s="1"/>
      <c r="AQ199" s="1"/>
      <c r="AR199" s="1"/>
      <c r="AS199" s="1"/>
      <c r="AT199" s="1"/>
      <c r="AU199" s="1"/>
      <c r="AV199" s="1"/>
      <c r="AW199" s="1"/>
      <c r="AX199" s="1"/>
      <c r="AY199" s="1"/>
      <c r="AZ199" s="1"/>
      <c r="BA199" s="1"/>
      <c r="BB199" s="1"/>
      <c r="BC199" s="1"/>
      <c r="BD199" s="126"/>
      <c r="BE199" s="126"/>
      <c r="BF199" s="126"/>
      <c r="BG199" s="126"/>
      <c r="BH199" s="126"/>
      <c r="BI199" s="1"/>
      <c r="BJ199" s="1"/>
      <c r="BK199" s="1"/>
      <c r="BL199" s="1"/>
      <c r="BM199" s="1"/>
      <c r="BN199" s="1"/>
      <c r="BO199" s="1"/>
      <c r="BP199" s="1"/>
      <c r="BQ199" s="1"/>
      <c r="BR199" s="1"/>
      <c r="BS199" s="1"/>
      <c r="BT199" s="1"/>
      <c r="BU199" s="1"/>
      <c r="BV199" s="1"/>
      <c r="BW199" s="1"/>
      <c r="BX199" s="1"/>
      <c r="BY199" s="1"/>
      <c r="BZ199" s="1"/>
      <c r="CA199" s="1"/>
    </row>
    <row r="200" spans="1:79" ht="12.75" hidden="1" customHeight="1">
      <c r="A200" s="17"/>
      <c r="B200" s="967"/>
      <c r="C200" s="968"/>
      <c r="D200" s="968"/>
      <c r="E200" s="968"/>
      <c r="F200" s="968"/>
      <c r="G200" s="968"/>
      <c r="H200" s="968"/>
      <c r="I200" s="968"/>
      <c r="J200" s="968"/>
      <c r="K200" s="968"/>
      <c r="L200" s="968"/>
      <c r="M200" s="968"/>
      <c r="N200" s="968"/>
      <c r="O200" s="968"/>
      <c r="P200" s="968"/>
      <c r="Q200" s="968"/>
      <c r="R200" s="968"/>
      <c r="S200" s="968"/>
      <c r="T200" s="968"/>
      <c r="U200" s="968"/>
      <c r="V200" s="968"/>
      <c r="W200" s="968"/>
      <c r="X200" s="968"/>
      <c r="Y200" s="968"/>
      <c r="Z200" s="968"/>
      <c r="AA200" s="968"/>
      <c r="AB200" s="969"/>
      <c r="AC200" s="126"/>
      <c r="AD200" s="1012"/>
      <c r="AE200" s="968"/>
      <c r="AF200" s="968"/>
      <c r="AG200" s="968"/>
      <c r="AH200" s="968"/>
      <c r="AI200" s="968"/>
      <c r="AJ200" s="969"/>
      <c r="AK200" s="33"/>
      <c r="AL200" s="1"/>
      <c r="AM200" s="1"/>
      <c r="AN200" s="345"/>
      <c r="AO200" s="203"/>
      <c r="AP200" s="1"/>
      <c r="AQ200" s="1"/>
      <c r="AR200" s="1"/>
      <c r="AS200" s="1"/>
      <c r="AT200" s="1"/>
      <c r="AU200" s="1"/>
      <c r="AV200" s="1"/>
      <c r="AW200" s="1"/>
      <c r="AX200" s="1"/>
      <c r="AY200" s="1"/>
      <c r="AZ200" s="1"/>
      <c r="BA200" s="1"/>
      <c r="BB200" s="1"/>
      <c r="BC200" s="1"/>
      <c r="BD200" s="126"/>
      <c r="BE200" s="126"/>
      <c r="BF200" s="126"/>
      <c r="BG200" s="126"/>
      <c r="BH200" s="126"/>
      <c r="BI200" s="1"/>
      <c r="BJ200" s="1"/>
      <c r="BK200" s="1"/>
      <c r="BL200" s="1"/>
      <c r="BM200" s="1"/>
      <c r="BN200" s="1"/>
      <c r="BO200" s="1"/>
      <c r="BP200" s="1"/>
      <c r="BQ200" s="1"/>
      <c r="BR200" s="1"/>
      <c r="BS200" s="1"/>
      <c r="BT200" s="1"/>
      <c r="BU200" s="1"/>
      <c r="BV200" s="1"/>
      <c r="BW200" s="1"/>
      <c r="BX200" s="1"/>
      <c r="BY200" s="1"/>
      <c r="BZ200" s="1"/>
      <c r="CA200" s="1"/>
    </row>
    <row r="201" spans="1:79" ht="12.75" hidden="1" customHeight="1">
      <c r="A201" s="17"/>
      <c r="B201" s="967"/>
      <c r="C201" s="968"/>
      <c r="D201" s="968"/>
      <c r="E201" s="968"/>
      <c r="F201" s="968"/>
      <c r="G201" s="968"/>
      <c r="H201" s="968"/>
      <c r="I201" s="968"/>
      <c r="J201" s="968"/>
      <c r="K201" s="968"/>
      <c r="L201" s="968"/>
      <c r="M201" s="968"/>
      <c r="N201" s="968"/>
      <c r="O201" s="968"/>
      <c r="P201" s="968"/>
      <c r="Q201" s="968"/>
      <c r="R201" s="968"/>
      <c r="S201" s="968"/>
      <c r="T201" s="968"/>
      <c r="U201" s="968"/>
      <c r="V201" s="968"/>
      <c r="W201" s="968"/>
      <c r="X201" s="968"/>
      <c r="Y201" s="968"/>
      <c r="Z201" s="968"/>
      <c r="AA201" s="968"/>
      <c r="AB201" s="969"/>
      <c r="AC201" s="126"/>
      <c r="AD201" s="1012"/>
      <c r="AE201" s="968"/>
      <c r="AF201" s="968"/>
      <c r="AG201" s="968"/>
      <c r="AH201" s="968"/>
      <c r="AI201" s="968"/>
      <c r="AJ201" s="969"/>
      <c r="AK201" s="33"/>
      <c r="AL201" s="1"/>
      <c r="AM201" s="1"/>
      <c r="AN201" s="345"/>
      <c r="AO201" s="203"/>
      <c r="AP201" s="1"/>
      <c r="AQ201" s="1"/>
      <c r="AR201" s="1"/>
      <c r="AS201" s="1"/>
      <c r="AT201" s="1"/>
      <c r="AU201" s="1"/>
      <c r="AV201" s="1"/>
      <c r="AW201" s="1"/>
      <c r="AX201" s="1"/>
      <c r="AY201" s="1"/>
      <c r="AZ201" s="1"/>
      <c r="BA201" s="1"/>
      <c r="BB201" s="1"/>
      <c r="BC201" s="1"/>
      <c r="BD201" s="126"/>
      <c r="BE201" s="126"/>
      <c r="BF201" s="126"/>
      <c r="BG201" s="126"/>
      <c r="BH201" s="126"/>
      <c r="BI201" s="1"/>
      <c r="BJ201" s="1"/>
      <c r="BK201" s="1"/>
      <c r="BL201" s="1"/>
      <c r="BM201" s="1"/>
      <c r="BN201" s="1"/>
      <c r="BO201" s="1"/>
      <c r="BP201" s="1"/>
      <c r="BQ201" s="1"/>
      <c r="BR201" s="1"/>
      <c r="BS201" s="1"/>
      <c r="BT201" s="1"/>
      <c r="BU201" s="1"/>
      <c r="BV201" s="1"/>
      <c r="BW201" s="1"/>
      <c r="BX201" s="1"/>
      <c r="BY201" s="1"/>
      <c r="BZ201" s="1"/>
      <c r="CA201" s="1"/>
    </row>
    <row r="202" spans="1:79" ht="12.75" hidden="1" customHeight="1">
      <c r="A202" s="17"/>
      <c r="B202" s="967"/>
      <c r="C202" s="968"/>
      <c r="D202" s="968"/>
      <c r="E202" s="968"/>
      <c r="F202" s="968"/>
      <c r="G202" s="968"/>
      <c r="H202" s="968"/>
      <c r="I202" s="968"/>
      <c r="J202" s="968"/>
      <c r="K202" s="968"/>
      <c r="L202" s="968"/>
      <c r="M202" s="968"/>
      <c r="N202" s="968"/>
      <c r="O202" s="968"/>
      <c r="P202" s="968"/>
      <c r="Q202" s="968"/>
      <c r="R202" s="968"/>
      <c r="S202" s="968"/>
      <c r="T202" s="968"/>
      <c r="U202" s="968"/>
      <c r="V202" s="968"/>
      <c r="W202" s="968"/>
      <c r="X202" s="968"/>
      <c r="Y202" s="968"/>
      <c r="Z202" s="968"/>
      <c r="AA202" s="968"/>
      <c r="AB202" s="969"/>
      <c r="AC202" s="126"/>
      <c r="AD202" s="1012"/>
      <c r="AE202" s="968"/>
      <c r="AF202" s="968"/>
      <c r="AG202" s="968"/>
      <c r="AH202" s="968"/>
      <c r="AI202" s="968"/>
      <c r="AJ202" s="969"/>
      <c r="AK202" s="33"/>
      <c r="AL202" s="1"/>
      <c r="AM202" s="1"/>
      <c r="AN202" s="345"/>
      <c r="AO202" s="203"/>
      <c r="AP202" s="1"/>
      <c r="AQ202" s="1"/>
      <c r="AR202" s="1"/>
      <c r="AS202" s="1"/>
      <c r="AT202" s="1"/>
      <c r="AU202" s="1"/>
      <c r="AV202" s="1"/>
      <c r="AW202" s="1"/>
      <c r="AX202" s="1"/>
      <c r="AY202" s="1"/>
      <c r="AZ202" s="1"/>
      <c r="BA202" s="1"/>
      <c r="BB202" s="1"/>
      <c r="BC202" s="1"/>
      <c r="BD202" s="126"/>
      <c r="BE202" s="126"/>
      <c r="BF202" s="126"/>
      <c r="BG202" s="126"/>
      <c r="BH202" s="126"/>
      <c r="BI202" s="1"/>
      <c r="BJ202" s="1"/>
      <c r="BK202" s="1"/>
      <c r="BL202" s="1"/>
      <c r="BM202" s="1"/>
      <c r="BN202" s="1"/>
      <c r="BO202" s="1"/>
      <c r="BP202" s="1"/>
      <c r="BQ202" s="1"/>
      <c r="BR202" s="1"/>
      <c r="BS202" s="1"/>
      <c r="BT202" s="1"/>
      <c r="BU202" s="1"/>
      <c r="BV202" s="1"/>
      <c r="BW202" s="1"/>
      <c r="BX202" s="1"/>
      <c r="BY202" s="1"/>
      <c r="BZ202" s="1"/>
      <c r="CA202" s="1"/>
    </row>
    <row r="203" spans="1:79" ht="12.75" hidden="1" customHeight="1">
      <c r="A203" s="17"/>
      <c r="B203" s="967"/>
      <c r="C203" s="968"/>
      <c r="D203" s="968"/>
      <c r="E203" s="968"/>
      <c r="F203" s="968"/>
      <c r="G203" s="968"/>
      <c r="H203" s="968"/>
      <c r="I203" s="968"/>
      <c r="J203" s="968"/>
      <c r="K203" s="968"/>
      <c r="L203" s="968"/>
      <c r="M203" s="968"/>
      <c r="N203" s="968"/>
      <c r="O203" s="968"/>
      <c r="P203" s="968"/>
      <c r="Q203" s="968"/>
      <c r="R203" s="968"/>
      <c r="S203" s="968"/>
      <c r="T203" s="968"/>
      <c r="U203" s="968"/>
      <c r="V203" s="968"/>
      <c r="W203" s="968"/>
      <c r="X203" s="968"/>
      <c r="Y203" s="968"/>
      <c r="Z203" s="968"/>
      <c r="AA203" s="968"/>
      <c r="AB203" s="969"/>
      <c r="AC203" s="126"/>
      <c r="AD203" s="1012"/>
      <c r="AE203" s="968"/>
      <c r="AF203" s="968"/>
      <c r="AG203" s="968"/>
      <c r="AH203" s="968"/>
      <c r="AI203" s="968"/>
      <c r="AJ203" s="969"/>
      <c r="AK203" s="33"/>
      <c r="AL203" s="1"/>
      <c r="AM203" s="1"/>
      <c r="AN203" s="345"/>
      <c r="AO203" s="203"/>
      <c r="AP203" s="1"/>
      <c r="AQ203" s="1"/>
      <c r="AR203" s="1"/>
      <c r="AS203" s="1"/>
      <c r="AT203" s="1"/>
      <c r="AU203" s="1"/>
      <c r="AV203" s="1"/>
      <c r="AW203" s="1"/>
      <c r="AX203" s="1"/>
      <c r="AY203" s="1"/>
      <c r="AZ203" s="1"/>
      <c r="BA203" s="1"/>
      <c r="BB203" s="1"/>
      <c r="BC203" s="1"/>
      <c r="BD203" s="126"/>
      <c r="BE203" s="126"/>
      <c r="BF203" s="126"/>
      <c r="BG203" s="126"/>
      <c r="BH203" s="126"/>
      <c r="BI203" s="1"/>
      <c r="BJ203" s="1"/>
      <c r="BK203" s="1"/>
      <c r="BL203" s="1"/>
      <c r="BM203" s="1"/>
      <c r="BN203" s="1"/>
      <c r="BO203" s="1"/>
      <c r="BP203" s="1"/>
      <c r="BQ203" s="1"/>
      <c r="BR203" s="1"/>
      <c r="BS203" s="1"/>
      <c r="BT203" s="1"/>
      <c r="BU203" s="1"/>
      <c r="BV203" s="1"/>
      <c r="BW203" s="1"/>
      <c r="BX203" s="1"/>
      <c r="BY203" s="1"/>
      <c r="BZ203" s="1"/>
      <c r="CA203" s="1"/>
    </row>
    <row r="204" spans="1:79" ht="12.75" hidden="1" customHeight="1">
      <c r="A204" s="17"/>
      <c r="B204" s="967"/>
      <c r="C204" s="968"/>
      <c r="D204" s="968"/>
      <c r="E204" s="968"/>
      <c r="F204" s="968"/>
      <c r="G204" s="968"/>
      <c r="H204" s="968"/>
      <c r="I204" s="968"/>
      <c r="J204" s="968"/>
      <c r="K204" s="968"/>
      <c r="L204" s="968"/>
      <c r="M204" s="968"/>
      <c r="N204" s="968"/>
      <c r="O204" s="968"/>
      <c r="P204" s="968"/>
      <c r="Q204" s="968"/>
      <c r="R204" s="968"/>
      <c r="S204" s="968"/>
      <c r="T204" s="968"/>
      <c r="U204" s="968"/>
      <c r="V204" s="968"/>
      <c r="W204" s="968"/>
      <c r="X204" s="968"/>
      <c r="Y204" s="968"/>
      <c r="Z204" s="968"/>
      <c r="AA204" s="968"/>
      <c r="AB204" s="969"/>
      <c r="AC204" s="126"/>
      <c r="AD204" s="1012"/>
      <c r="AE204" s="968"/>
      <c r="AF204" s="968"/>
      <c r="AG204" s="968"/>
      <c r="AH204" s="968"/>
      <c r="AI204" s="968"/>
      <c r="AJ204" s="969"/>
      <c r="AK204" s="33"/>
      <c r="AL204" s="1"/>
      <c r="AM204" s="1"/>
      <c r="AN204" s="345"/>
      <c r="AO204" s="203"/>
      <c r="AP204" s="1"/>
      <c r="AQ204" s="1"/>
      <c r="AR204" s="1"/>
      <c r="AS204" s="1"/>
      <c r="AT204" s="1"/>
      <c r="AU204" s="1"/>
      <c r="AV204" s="1"/>
      <c r="AW204" s="1"/>
      <c r="AX204" s="1"/>
      <c r="AY204" s="1"/>
      <c r="AZ204" s="1"/>
      <c r="BA204" s="1"/>
      <c r="BB204" s="1"/>
      <c r="BC204" s="1"/>
      <c r="BD204" s="126"/>
      <c r="BE204" s="126"/>
      <c r="BF204" s="126"/>
      <c r="BG204" s="126"/>
      <c r="BH204" s="126"/>
      <c r="BI204" s="1"/>
      <c r="BJ204" s="1"/>
      <c r="BK204" s="1"/>
      <c r="BL204" s="1"/>
      <c r="BM204" s="1"/>
      <c r="BN204" s="1"/>
      <c r="BO204" s="1"/>
      <c r="BP204" s="1"/>
      <c r="BQ204" s="1"/>
      <c r="BR204" s="1"/>
      <c r="BS204" s="1"/>
      <c r="BT204" s="1"/>
      <c r="BU204" s="1"/>
      <c r="BV204" s="1"/>
      <c r="BW204" s="1"/>
      <c r="BX204" s="1"/>
      <c r="BY204" s="1"/>
      <c r="BZ204" s="1"/>
      <c r="CA204" s="1"/>
    </row>
    <row r="205" spans="1:79" ht="12.75" hidden="1" customHeight="1">
      <c r="A205" s="17"/>
      <c r="B205" s="967"/>
      <c r="C205" s="968"/>
      <c r="D205" s="968"/>
      <c r="E205" s="968"/>
      <c r="F205" s="968"/>
      <c r="G205" s="968"/>
      <c r="H205" s="968"/>
      <c r="I205" s="968"/>
      <c r="J205" s="968"/>
      <c r="K205" s="968"/>
      <c r="L205" s="968"/>
      <c r="M205" s="968"/>
      <c r="N205" s="968"/>
      <c r="O205" s="968"/>
      <c r="P205" s="968"/>
      <c r="Q205" s="968"/>
      <c r="R205" s="968"/>
      <c r="S205" s="968"/>
      <c r="T205" s="968"/>
      <c r="U205" s="968"/>
      <c r="V205" s="968"/>
      <c r="W205" s="968"/>
      <c r="X205" s="968"/>
      <c r="Y205" s="968"/>
      <c r="Z205" s="968"/>
      <c r="AA205" s="968"/>
      <c r="AB205" s="969"/>
      <c r="AC205" s="126"/>
      <c r="AD205" s="1012"/>
      <c r="AE205" s="968"/>
      <c r="AF205" s="968"/>
      <c r="AG205" s="968"/>
      <c r="AH205" s="968"/>
      <c r="AI205" s="968"/>
      <c r="AJ205" s="969"/>
      <c r="AK205" s="33"/>
      <c r="AL205" s="1"/>
      <c r="AM205" s="1"/>
      <c r="AN205" s="345"/>
      <c r="AO205" s="203"/>
      <c r="AP205" s="1"/>
      <c r="AQ205" s="1"/>
      <c r="AR205" s="1"/>
      <c r="AS205" s="1"/>
      <c r="AT205" s="1"/>
      <c r="AU205" s="1"/>
      <c r="AV205" s="1"/>
      <c r="AW205" s="1"/>
      <c r="AX205" s="1"/>
      <c r="AY205" s="1"/>
      <c r="AZ205" s="1"/>
      <c r="BA205" s="1"/>
      <c r="BB205" s="1"/>
      <c r="BC205" s="1"/>
      <c r="BD205" s="126"/>
      <c r="BE205" s="126"/>
      <c r="BF205" s="126"/>
      <c r="BG205" s="126"/>
      <c r="BH205" s="126"/>
      <c r="BI205" s="1"/>
      <c r="BJ205" s="1"/>
      <c r="BK205" s="1"/>
      <c r="BL205" s="1"/>
      <c r="BM205" s="1"/>
      <c r="BN205" s="1"/>
      <c r="BO205" s="1"/>
      <c r="BP205" s="1"/>
      <c r="BQ205" s="1"/>
      <c r="BR205" s="1"/>
      <c r="BS205" s="1"/>
      <c r="BT205" s="1"/>
      <c r="BU205" s="1"/>
      <c r="BV205" s="1"/>
      <c r="BW205" s="1"/>
      <c r="BX205" s="1"/>
      <c r="BY205" s="1"/>
      <c r="BZ205" s="1"/>
      <c r="CA205" s="1"/>
    </row>
    <row r="206" spans="1:79" ht="12.75" hidden="1" customHeight="1">
      <c r="A206" s="17"/>
      <c r="B206" s="967"/>
      <c r="C206" s="968"/>
      <c r="D206" s="968"/>
      <c r="E206" s="968"/>
      <c r="F206" s="968"/>
      <c r="G206" s="968"/>
      <c r="H206" s="968"/>
      <c r="I206" s="968"/>
      <c r="J206" s="968"/>
      <c r="K206" s="968"/>
      <c r="L206" s="968"/>
      <c r="M206" s="968"/>
      <c r="N206" s="968"/>
      <c r="O206" s="968"/>
      <c r="P206" s="968"/>
      <c r="Q206" s="968"/>
      <c r="R206" s="968"/>
      <c r="S206" s="968"/>
      <c r="T206" s="968"/>
      <c r="U206" s="968"/>
      <c r="V206" s="968"/>
      <c r="W206" s="968"/>
      <c r="X206" s="968"/>
      <c r="Y206" s="968"/>
      <c r="Z206" s="968"/>
      <c r="AA206" s="968"/>
      <c r="AB206" s="969"/>
      <c r="AC206" s="126"/>
      <c r="AD206" s="1012"/>
      <c r="AE206" s="968"/>
      <c r="AF206" s="968"/>
      <c r="AG206" s="968"/>
      <c r="AH206" s="968"/>
      <c r="AI206" s="968"/>
      <c r="AJ206" s="969"/>
      <c r="AK206" s="33"/>
      <c r="AL206" s="1"/>
      <c r="AM206" s="1"/>
      <c r="AN206" s="345"/>
      <c r="AO206" s="203"/>
      <c r="AP206" s="1"/>
      <c r="AQ206" s="1"/>
      <c r="AR206" s="1"/>
      <c r="AS206" s="1"/>
      <c r="AT206" s="1"/>
      <c r="AU206" s="1"/>
      <c r="AV206" s="1"/>
      <c r="AW206" s="1"/>
      <c r="AX206" s="1"/>
      <c r="AY206" s="1"/>
      <c r="AZ206" s="1"/>
      <c r="BA206" s="1"/>
      <c r="BB206" s="1"/>
      <c r="BC206" s="1"/>
      <c r="BD206" s="126"/>
      <c r="BE206" s="126"/>
      <c r="BF206" s="126"/>
      <c r="BG206" s="126"/>
      <c r="BH206" s="126"/>
      <c r="BI206" s="1"/>
      <c r="BJ206" s="1"/>
      <c r="BK206" s="1"/>
      <c r="BL206" s="1"/>
      <c r="BM206" s="1"/>
      <c r="BN206" s="1"/>
      <c r="BO206" s="1"/>
      <c r="BP206" s="1"/>
      <c r="BQ206" s="1"/>
      <c r="BR206" s="1"/>
      <c r="BS206" s="1"/>
      <c r="BT206" s="1"/>
      <c r="BU206" s="1"/>
      <c r="BV206" s="1"/>
      <c r="BW206" s="1"/>
      <c r="BX206" s="1"/>
      <c r="BY206" s="1"/>
      <c r="BZ206" s="1"/>
      <c r="CA206" s="1"/>
    </row>
    <row r="207" spans="1:79" ht="12.75" hidden="1" customHeight="1">
      <c r="A207" s="17"/>
      <c r="B207" s="967"/>
      <c r="C207" s="968"/>
      <c r="D207" s="968"/>
      <c r="E207" s="968"/>
      <c r="F207" s="968"/>
      <c r="G207" s="968"/>
      <c r="H207" s="968"/>
      <c r="I207" s="968"/>
      <c r="J207" s="968"/>
      <c r="K207" s="968"/>
      <c r="L207" s="968"/>
      <c r="M207" s="968"/>
      <c r="N207" s="968"/>
      <c r="O207" s="968"/>
      <c r="P207" s="968"/>
      <c r="Q207" s="968"/>
      <c r="R207" s="968"/>
      <c r="S207" s="968"/>
      <c r="T207" s="968"/>
      <c r="U207" s="968"/>
      <c r="V207" s="968"/>
      <c r="W207" s="968"/>
      <c r="X207" s="968"/>
      <c r="Y207" s="968"/>
      <c r="Z207" s="968"/>
      <c r="AA207" s="968"/>
      <c r="AB207" s="969"/>
      <c r="AC207" s="126"/>
      <c r="AD207" s="1012"/>
      <c r="AE207" s="968"/>
      <c r="AF207" s="968"/>
      <c r="AG207" s="968"/>
      <c r="AH207" s="968"/>
      <c r="AI207" s="968"/>
      <c r="AJ207" s="969"/>
      <c r="AK207" s="33"/>
      <c r="AL207" s="1"/>
      <c r="AM207" s="1"/>
      <c r="AN207" s="345"/>
      <c r="AO207" s="203"/>
      <c r="AP207" s="1"/>
      <c r="AQ207" s="1"/>
      <c r="AR207" s="1"/>
      <c r="AS207" s="1"/>
      <c r="AT207" s="1"/>
      <c r="AU207" s="1"/>
      <c r="AV207" s="1"/>
      <c r="AW207" s="1"/>
      <c r="AX207" s="1"/>
      <c r="AY207" s="1"/>
      <c r="AZ207" s="1"/>
      <c r="BA207" s="1"/>
      <c r="BB207" s="1"/>
      <c r="BC207" s="1"/>
      <c r="BD207" s="126"/>
      <c r="BE207" s="126"/>
      <c r="BF207" s="126"/>
      <c r="BG207" s="126"/>
      <c r="BH207" s="126"/>
      <c r="BI207" s="1"/>
      <c r="BJ207" s="1"/>
      <c r="BK207" s="1"/>
      <c r="BL207" s="1"/>
      <c r="BM207" s="1"/>
      <c r="BN207" s="1"/>
      <c r="BO207" s="1"/>
      <c r="BP207" s="1"/>
      <c r="BQ207" s="1"/>
      <c r="BR207" s="1"/>
      <c r="BS207" s="1"/>
      <c r="BT207" s="1"/>
      <c r="BU207" s="1"/>
      <c r="BV207" s="1"/>
      <c r="BW207" s="1"/>
      <c r="BX207" s="1"/>
      <c r="BY207" s="1"/>
      <c r="BZ207" s="1"/>
      <c r="CA207" s="1"/>
    </row>
    <row r="208" spans="1:79" ht="12.75" hidden="1" customHeight="1">
      <c r="A208" s="17"/>
      <c r="B208" s="966" t="s">
        <v>1986</v>
      </c>
      <c r="C208" s="961"/>
      <c r="D208" s="961"/>
      <c r="E208" s="961"/>
      <c r="F208" s="961"/>
      <c r="G208" s="961"/>
      <c r="H208" s="961"/>
      <c r="I208" s="961"/>
      <c r="J208" s="961"/>
      <c r="K208" s="961"/>
      <c r="L208" s="961"/>
      <c r="M208" s="961"/>
      <c r="N208" s="961"/>
      <c r="O208" s="961"/>
      <c r="P208" s="961"/>
      <c r="Q208" s="961"/>
      <c r="R208" s="961"/>
      <c r="S208" s="961"/>
      <c r="T208" s="961"/>
      <c r="U208" s="961"/>
      <c r="V208" s="961"/>
      <c r="W208" s="961"/>
      <c r="X208" s="961"/>
      <c r="Y208" s="961"/>
      <c r="Z208" s="961"/>
      <c r="AA208" s="961"/>
      <c r="AB208" s="961"/>
      <c r="AC208" s="1"/>
      <c r="AD208" s="1439">
        <f>AB259</f>
        <v>0</v>
      </c>
      <c r="AE208" s="961"/>
      <c r="AF208" s="961"/>
      <c r="AG208" s="961"/>
      <c r="AH208" s="961"/>
      <c r="AI208" s="961"/>
      <c r="AJ208" s="961"/>
      <c r="AK208" s="33"/>
      <c r="AL208" s="1"/>
      <c r="AM208" s="1"/>
      <c r="AN208" s="345"/>
      <c r="AO208" s="203"/>
      <c r="AP208" s="1"/>
      <c r="AQ208" s="1"/>
      <c r="AR208" s="1"/>
      <c r="AS208" s="1"/>
      <c r="AT208" s="1"/>
      <c r="AU208" s="1"/>
      <c r="AV208" s="1"/>
      <c r="AW208" s="1"/>
      <c r="AX208" s="1"/>
      <c r="AY208" s="1"/>
      <c r="AZ208" s="1"/>
      <c r="BA208" s="1"/>
      <c r="BB208" s="1"/>
      <c r="BC208" s="1"/>
      <c r="BD208" s="126"/>
      <c r="BE208" s="126"/>
      <c r="BF208" s="126"/>
      <c r="BG208" s="126"/>
      <c r="BH208" s="126"/>
      <c r="BI208" s="1"/>
      <c r="BJ208" s="1"/>
      <c r="BK208" s="1"/>
      <c r="BL208" s="1"/>
      <c r="BM208" s="1"/>
      <c r="BN208" s="1"/>
      <c r="BO208" s="1"/>
      <c r="BP208" s="1"/>
      <c r="BQ208" s="1"/>
      <c r="BR208" s="1"/>
      <c r="BS208" s="1"/>
      <c r="BT208" s="1"/>
      <c r="BU208" s="1"/>
      <c r="BV208" s="1"/>
      <c r="BW208" s="1"/>
      <c r="BX208" s="1"/>
      <c r="BY208" s="1"/>
      <c r="BZ208" s="1"/>
      <c r="CA208" s="1"/>
    </row>
    <row r="209" spans="1:79" ht="12.75" hidden="1" customHeight="1">
      <c r="A209" s="17"/>
      <c r="B209" s="1446" t="s">
        <v>1987</v>
      </c>
      <c r="C209" s="921"/>
      <c r="D209" s="921"/>
      <c r="E209" s="921"/>
      <c r="F209" s="921"/>
      <c r="G209" s="921"/>
      <c r="H209" s="921"/>
      <c r="I209" s="921"/>
      <c r="J209" s="921"/>
      <c r="K209" s="921"/>
      <c r="L209" s="921"/>
      <c r="M209" s="921"/>
      <c r="N209" s="921"/>
      <c r="O209" s="921"/>
      <c r="P209" s="921"/>
      <c r="Q209" s="921"/>
      <c r="R209" s="921"/>
      <c r="S209" s="921"/>
      <c r="T209" s="921"/>
      <c r="U209" s="921"/>
      <c r="V209" s="921"/>
      <c r="W209" s="921"/>
      <c r="X209" s="921"/>
      <c r="Y209" s="921"/>
      <c r="Z209" s="921"/>
      <c r="AA209" s="921"/>
      <c r="AB209" s="921"/>
      <c r="AC209" s="126"/>
      <c r="AD209" s="1447">
        <f>'Sources and Uses Budget'!B15</f>
        <v>0</v>
      </c>
      <c r="AE209" s="961"/>
      <c r="AF209" s="961"/>
      <c r="AG209" s="961"/>
      <c r="AH209" s="961"/>
      <c r="AI209" s="961"/>
      <c r="AJ209" s="961"/>
      <c r="AK209" s="33"/>
      <c r="AL209" s="1"/>
      <c r="AM209" s="1"/>
      <c r="AN209" s="345"/>
      <c r="AO209" s="203"/>
      <c r="AP209" s="1"/>
      <c r="AQ209" s="1"/>
      <c r="AR209" s="1"/>
      <c r="AS209" s="1"/>
      <c r="AT209" s="1"/>
      <c r="AU209" s="1"/>
      <c r="AV209" s="1"/>
      <c r="AW209" s="1"/>
      <c r="AX209" s="1"/>
      <c r="AY209" s="1"/>
      <c r="AZ209" s="1"/>
      <c r="BA209" s="1"/>
      <c r="BB209" s="1"/>
      <c r="BC209" s="1"/>
      <c r="BD209" s="126"/>
      <c r="BE209" s="126"/>
      <c r="BF209" s="126"/>
      <c r="BG209" s="126"/>
      <c r="BH209" s="126"/>
      <c r="BI209" s="1"/>
      <c r="BJ209" s="1"/>
      <c r="BK209" s="1"/>
      <c r="BL209" s="1"/>
      <c r="BM209" s="1"/>
      <c r="BN209" s="1"/>
      <c r="BO209" s="1"/>
      <c r="BP209" s="1"/>
      <c r="BQ209" s="1"/>
      <c r="BR209" s="1"/>
      <c r="BS209" s="1"/>
      <c r="BT209" s="1"/>
      <c r="BU209" s="1"/>
      <c r="BV209" s="1"/>
      <c r="BW209" s="1"/>
      <c r="BX209" s="1"/>
      <c r="BY209" s="1"/>
      <c r="BZ209" s="1"/>
      <c r="CA209" s="1"/>
    </row>
    <row r="210" spans="1:79" ht="12.75" hidden="1"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237" t="s">
        <v>1988</v>
      </c>
      <c r="AC210" s="1"/>
      <c r="AD210" s="1009">
        <f>SUM(AD198:AJ208)-AD209</f>
        <v>0</v>
      </c>
      <c r="AE210" s="921"/>
      <c r="AF210" s="921"/>
      <c r="AG210" s="921"/>
      <c r="AH210" s="921"/>
      <c r="AI210" s="921"/>
      <c r="AJ210" s="921"/>
      <c r="AK210" s="33"/>
      <c r="AL210" s="1"/>
      <c r="AM210" s="1"/>
      <c r="AN210" s="345"/>
      <c r="AO210" s="203"/>
      <c r="AP210" s="1"/>
      <c r="AQ210" s="1"/>
      <c r="AR210" s="1"/>
      <c r="AS210" s="1"/>
      <c r="AT210" s="1"/>
      <c r="AU210" s="1"/>
      <c r="AV210" s="1"/>
      <c r="AW210" s="1"/>
      <c r="AX210" s="1"/>
      <c r="AY210" s="1"/>
      <c r="AZ210" s="1"/>
      <c r="BA210" s="1"/>
      <c r="BB210" s="1"/>
      <c r="BC210" s="1"/>
      <c r="BD210" s="126"/>
      <c r="BE210" s="126"/>
      <c r="BF210" s="126"/>
      <c r="BG210" s="126"/>
      <c r="BH210" s="126"/>
      <c r="BI210" s="1"/>
      <c r="BJ210" s="1"/>
      <c r="BK210" s="1"/>
      <c r="BL210" s="1"/>
      <c r="BM210" s="1"/>
      <c r="BN210" s="1"/>
      <c r="BO210" s="1"/>
      <c r="BP210" s="1"/>
      <c r="BQ210" s="1"/>
      <c r="BR210" s="1"/>
      <c r="BS210" s="1"/>
      <c r="BT210" s="1"/>
      <c r="BU210" s="1"/>
      <c r="BV210" s="1"/>
      <c r="BW210" s="1"/>
      <c r="BX210" s="1"/>
      <c r="BY210" s="1"/>
      <c r="BZ210" s="1"/>
      <c r="CA210" s="1"/>
    </row>
    <row r="211" spans="1:79" ht="12.75" hidden="1" customHeight="1">
      <c r="A211" s="17"/>
      <c r="B211" s="17"/>
      <c r="C211" s="41"/>
      <c r="D211" s="433"/>
      <c r="E211" s="433"/>
      <c r="F211" s="433"/>
      <c r="G211" s="433"/>
      <c r="H211" s="433"/>
      <c r="I211" s="433"/>
      <c r="J211" s="433"/>
      <c r="K211" s="1"/>
      <c r="L211" s="1"/>
      <c r="M211" s="1"/>
      <c r="N211" s="1"/>
      <c r="O211" s="1"/>
      <c r="P211" s="1"/>
      <c r="Q211" s="1"/>
      <c r="R211" s="1"/>
      <c r="S211" s="1"/>
      <c r="T211" s="1"/>
      <c r="U211" s="1"/>
      <c r="V211" s="1"/>
      <c r="W211" s="1"/>
      <c r="X211" s="1"/>
      <c r="Y211" s="11"/>
      <c r="Z211" s="11"/>
      <c r="AA211" s="11"/>
      <c r="AB211" s="11"/>
      <c r="AC211" s="1"/>
      <c r="AD211" s="1"/>
      <c r="AE211" s="33"/>
      <c r="AF211" s="33"/>
      <c r="AG211" s="33"/>
      <c r="AH211" s="33"/>
      <c r="AI211" s="33"/>
      <c r="AJ211" s="33"/>
      <c r="AK211" s="33"/>
      <c r="AL211" s="1"/>
      <c r="AM211" s="1"/>
      <c r="AN211" s="345"/>
      <c r="AO211" s="203"/>
      <c r="AP211" s="1"/>
      <c r="AQ211" s="1"/>
      <c r="AR211" s="1"/>
      <c r="AS211" s="1"/>
      <c r="AT211" s="1"/>
      <c r="AU211" s="1"/>
      <c r="AV211" s="1"/>
      <c r="AW211" s="1"/>
      <c r="AX211" s="1"/>
      <c r="AY211" s="1"/>
      <c r="AZ211" s="1"/>
      <c r="BA211" s="1"/>
      <c r="BB211" s="1"/>
      <c r="BC211" s="1"/>
      <c r="BD211" s="126"/>
      <c r="BE211" s="126"/>
      <c r="BF211" s="126"/>
      <c r="BG211" s="126"/>
      <c r="BH211" s="126"/>
      <c r="BI211" s="1"/>
      <c r="BJ211" s="1"/>
      <c r="BK211" s="1"/>
      <c r="BL211" s="1"/>
      <c r="BM211" s="1"/>
      <c r="BN211" s="1"/>
      <c r="BO211" s="1"/>
      <c r="BP211" s="1"/>
      <c r="BQ211" s="1"/>
      <c r="BR211" s="1"/>
      <c r="BS211" s="1"/>
      <c r="BT211" s="1"/>
      <c r="BU211" s="1"/>
      <c r="BV211" s="1"/>
      <c r="BW211" s="1"/>
      <c r="BX211" s="1"/>
      <c r="BY211" s="1"/>
      <c r="BZ211" s="1"/>
      <c r="CA211" s="1"/>
    </row>
    <row r="212" spans="1:79" ht="12.75" hidden="1" customHeight="1">
      <c r="A212" s="17"/>
      <c r="B212" s="62" t="s">
        <v>1989</v>
      </c>
      <c r="C212" s="41"/>
      <c r="D212" s="433"/>
      <c r="E212" s="433"/>
      <c r="F212" s="433"/>
      <c r="G212" s="433"/>
      <c r="H212" s="433"/>
      <c r="I212" s="433"/>
      <c r="J212" s="433"/>
      <c r="K212" s="1"/>
      <c r="L212" s="1"/>
      <c r="M212" s="1"/>
      <c r="N212" s="1"/>
      <c r="O212" s="1"/>
      <c r="P212" s="1"/>
      <c r="Q212" s="1"/>
      <c r="R212" s="1"/>
      <c r="S212" s="1"/>
      <c r="T212" s="1"/>
      <c r="U212" s="1"/>
      <c r="V212" s="1"/>
      <c r="W212" s="1"/>
      <c r="X212" s="1"/>
      <c r="Y212" s="11"/>
      <c r="Z212" s="11"/>
      <c r="AA212" s="11"/>
      <c r="AB212" s="11"/>
      <c r="AC212" s="1"/>
      <c r="AD212" s="1"/>
      <c r="AE212" s="33"/>
      <c r="AF212" s="33"/>
      <c r="AG212" s="33"/>
      <c r="AH212" s="33"/>
      <c r="AI212" s="33"/>
      <c r="AJ212" s="33"/>
      <c r="AK212" s="33"/>
      <c r="AL212" s="1"/>
      <c r="AM212" s="1"/>
      <c r="AN212" s="345"/>
      <c r="AO212" s="203"/>
      <c r="AP212" s="1"/>
      <c r="AQ212" s="1"/>
      <c r="AR212" s="1"/>
      <c r="AS212" s="1"/>
      <c r="AT212" s="1"/>
      <c r="AU212" s="1"/>
      <c r="AV212" s="1"/>
      <c r="AW212" s="1"/>
      <c r="AX212" s="1"/>
      <c r="AY212" s="1"/>
      <c r="AZ212" s="1"/>
      <c r="BA212" s="1"/>
      <c r="BB212" s="1"/>
      <c r="BC212" s="1"/>
      <c r="BD212" s="126"/>
      <c r="BE212" s="126"/>
      <c r="BF212" s="126"/>
      <c r="BG212" s="126"/>
      <c r="BH212" s="126"/>
      <c r="BI212" s="1"/>
      <c r="BJ212" s="1"/>
      <c r="BK212" s="1"/>
      <c r="BL212" s="1"/>
      <c r="BM212" s="1"/>
      <c r="BN212" s="1"/>
      <c r="BO212" s="1"/>
      <c r="BP212" s="1"/>
      <c r="BQ212" s="1"/>
      <c r="BR212" s="1"/>
      <c r="BS212" s="1"/>
      <c r="BT212" s="1"/>
      <c r="BU212" s="1"/>
      <c r="BV212" s="1"/>
      <c r="BW212" s="1"/>
      <c r="BX212" s="1"/>
      <c r="BY212" s="1"/>
      <c r="BZ212" s="1"/>
      <c r="CA212" s="1"/>
    </row>
    <row r="213" spans="1:79" ht="12.75" hidden="1" customHeight="1">
      <c r="A213" s="17"/>
      <c r="B213" s="1" t="s">
        <v>1990</v>
      </c>
      <c r="C213" s="41"/>
      <c r="D213" s="433"/>
      <c r="E213" s="433"/>
      <c r="F213" s="433"/>
      <c r="G213" s="433"/>
      <c r="H213" s="433"/>
      <c r="I213" s="433"/>
      <c r="J213" s="433"/>
      <c r="K213" s="1"/>
      <c r="L213" s="1"/>
      <c r="M213" s="1"/>
      <c r="N213" s="1"/>
      <c r="O213" s="1"/>
      <c r="P213" s="1"/>
      <c r="Q213" s="1"/>
      <c r="R213" s="1"/>
      <c r="S213" s="1"/>
      <c r="T213" s="1"/>
      <c r="U213" s="1"/>
      <c r="V213" s="1"/>
      <c r="W213" s="1"/>
      <c r="X213" s="1"/>
      <c r="Y213" s="11"/>
      <c r="Z213" s="11"/>
      <c r="AA213" s="11"/>
      <c r="AB213" s="11"/>
      <c r="AC213" s="1"/>
      <c r="AD213" s="1"/>
      <c r="AE213" s="33"/>
      <c r="AF213" s="33"/>
      <c r="AG213" s="33"/>
      <c r="AH213" s="33"/>
      <c r="AI213" s="33"/>
      <c r="AJ213" s="33"/>
      <c r="AK213" s="33"/>
      <c r="AL213" s="1"/>
      <c r="AM213" s="1"/>
      <c r="AN213" s="345"/>
      <c r="AO213" s="203"/>
      <c r="AP213" s="1"/>
      <c r="AQ213" s="1"/>
      <c r="AR213" s="1"/>
      <c r="AS213" s="1"/>
      <c r="AT213" s="1"/>
      <c r="AU213" s="1"/>
      <c r="AV213" s="1"/>
      <c r="AW213" s="1"/>
      <c r="AX213" s="1"/>
      <c r="AY213" s="1"/>
      <c r="AZ213" s="1"/>
      <c r="BA213" s="1"/>
      <c r="BB213" s="1"/>
      <c r="BC213" s="1"/>
      <c r="BD213" s="126"/>
      <c r="BE213" s="126"/>
      <c r="BF213" s="126"/>
      <c r="BG213" s="126"/>
      <c r="BH213" s="126"/>
      <c r="BI213" s="1"/>
      <c r="BJ213" s="1"/>
      <c r="BK213" s="1"/>
      <c r="BL213" s="1"/>
      <c r="BM213" s="1"/>
      <c r="BN213" s="1"/>
      <c r="BO213" s="1"/>
      <c r="BP213" s="1"/>
      <c r="BQ213" s="1"/>
      <c r="BR213" s="1"/>
      <c r="BS213" s="1"/>
      <c r="BT213" s="1"/>
      <c r="BU213" s="1"/>
      <c r="BV213" s="1"/>
      <c r="BW213" s="1"/>
      <c r="BX213" s="1"/>
      <c r="BY213" s="1"/>
      <c r="BZ213" s="1"/>
      <c r="CA213" s="1"/>
    </row>
    <row r="214" spans="1:79" ht="12.75" hidden="1" customHeight="1">
      <c r="A214" s="434"/>
      <c r="B214" s="435" t="s">
        <v>1991</v>
      </c>
      <c r="C214" s="436"/>
      <c r="D214" s="437"/>
      <c r="E214" s="437"/>
      <c r="F214" s="437"/>
      <c r="G214" s="437"/>
      <c r="H214" s="437"/>
      <c r="I214" s="437"/>
      <c r="J214" s="437"/>
      <c r="K214" s="438"/>
      <c r="L214" s="438"/>
      <c r="M214" s="438"/>
      <c r="N214" s="438"/>
      <c r="O214" s="438"/>
      <c r="P214" s="438"/>
      <c r="Q214" s="438"/>
      <c r="R214" s="438"/>
      <c r="S214" s="439"/>
      <c r="T214" s="439"/>
      <c r="U214" s="439"/>
      <c r="V214" s="439"/>
      <c r="W214" s="439"/>
      <c r="X214" s="439"/>
      <c r="Y214" s="440"/>
      <c r="Z214" s="440"/>
      <c r="AA214" s="440"/>
      <c r="AB214" s="440"/>
      <c r="AC214" s="439"/>
      <c r="AD214" s="439"/>
      <c r="AE214" s="441"/>
      <c r="AF214" s="441"/>
      <c r="AG214" s="441"/>
      <c r="AH214" s="441"/>
      <c r="AI214" s="441"/>
      <c r="AJ214" s="442"/>
      <c r="AK214" s="33"/>
      <c r="AL214" s="1"/>
      <c r="AM214" s="1"/>
      <c r="AN214" s="345"/>
      <c r="AO214" s="203"/>
      <c r="AP214" s="1"/>
      <c r="AQ214" s="1"/>
      <c r="AR214" s="1"/>
      <c r="AS214" s="1"/>
      <c r="AT214" s="1"/>
      <c r="AU214" s="1"/>
      <c r="AV214" s="1"/>
      <c r="AW214" s="1"/>
      <c r="AX214" s="1"/>
      <c r="AY214" s="1"/>
      <c r="AZ214" s="1"/>
      <c r="BA214" s="1"/>
      <c r="BB214" s="1"/>
      <c r="BC214" s="1"/>
      <c r="BD214" s="126"/>
      <c r="BE214" s="126"/>
      <c r="BF214" s="126"/>
      <c r="BG214" s="126"/>
      <c r="BH214" s="126"/>
      <c r="BI214" s="1"/>
      <c r="BJ214" s="1"/>
      <c r="BK214" s="1"/>
      <c r="BL214" s="1"/>
      <c r="BM214" s="1"/>
      <c r="BN214" s="1"/>
      <c r="BO214" s="1"/>
      <c r="BP214" s="1"/>
      <c r="BQ214" s="1"/>
      <c r="BR214" s="1"/>
      <c r="BS214" s="1"/>
      <c r="BT214" s="1"/>
      <c r="BU214" s="1"/>
      <c r="BV214" s="1"/>
      <c r="BW214" s="1"/>
      <c r="BX214" s="1"/>
      <c r="BY214" s="1"/>
      <c r="BZ214" s="1"/>
      <c r="CA214" s="1"/>
    </row>
    <row r="215" spans="1:79" ht="12.75" hidden="1" customHeight="1">
      <c r="A215" s="434"/>
      <c r="B215" s="443" t="s">
        <v>1992</v>
      </c>
      <c r="C215" s="444"/>
      <c r="D215" s="445"/>
      <c r="E215" s="445"/>
      <c r="F215" s="445"/>
      <c r="G215" s="445"/>
      <c r="H215" s="445"/>
      <c r="I215" s="445"/>
      <c r="J215" s="445"/>
      <c r="K215" s="446"/>
      <c r="L215" s="446"/>
      <c r="M215" s="446"/>
      <c r="N215" s="446"/>
      <c r="O215" s="446"/>
      <c r="P215" s="446"/>
      <c r="Q215" s="446"/>
      <c r="R215" s="446"/>
      <c r="S215" s="1"/>
      <c r="T215" s="1"/>
      <c r="U215" s="1"/>
      <c r="V215" s="1"/>
      <c r="W215" s="1"/>
      <c r="X215" s="1"/>
      <c r="Y215" s="11"/>
      <c r="Z215" s="11"/>
      <c r="AA215" s="11"/>
      <c r="AB215" s="11"/>
      <c r="AC215" s="1"/>
      <c r="AD215" s="1"/>
      <c r="AE215" s="33"/>
      <c r="AF215" s="33"/>
      <c r="AG215" s="33"/>
      <c r="AH215" s="33"/>
      <c r="AI215" s="33"/>
      <c r="AJ215" s="447"/>
      <c r="AK215" s="33"/>
      <c r="AL215" s="1"/>
      <c r="AM215" s="1"/>
      <c r="AN215" s="345"/>
      <c r="AO215" s="203"/>
      <c r="AP215" s="1"/>
      <c r="AQ215" s="1"/>
      <c r="AR215" s="1"/>
      <c r="AS215" s="1"/>
      <c r="AT215" s="1"/>
      <c r="AU215" s="1"/>
      <c r="AV215" s="1"/>
      <c r="AW215" s="1"/>
      <c r="AX215" s="1"/>
      <c r="AY215" s="1"/>
      <c r="AZ215" s="1"/>
      <c r="BA215" s="1"/>
      <c r="BB215" s="1"/>
      <c r="BC215" s="1"/>
      <c r="BD215" s="126"/>
      <c r="BE215" s="126"/>
      <c r="BF215" s="126"/>
      <c r="BG215" s="126"/>
      <c r="BH215" s="126"/>
      <c r="BI215" s="1"/>
      <c r="BJ215" s="1"/>
      <c r="BK215" s="1"/>
      <c r="BL215" s="1"/>
      <c r="BM215" s="1"/>
      <c r="BN215" s="1"/>
      <c r="BO215" s="1"/>
      <c r="BP215" s="1"/>
      <c r="BQ215" s="1"/>
      <c r="BR215" s="1"/>
      <c r="BS215" s="1"/>
      <c r="BT215" s="1"/>
      <c r="BU215" s="1"/>
      <c r="BV215" s="1"/>
      <c r="BW215" s="1"/>
      <c r="BX215" s="1"/>
      <c r="BY215" s="1"/>
      <c r="BZ215" s="1"/>
      <c r="CA215" s="1"/>
    </row>
    <row r="216" spans="1:79" ht="12.75" hidden="1" customHeight="1">
      <c r="A216" s="434"/>
      <c r="B216" s="443" t="s">
        <v>1993</v>
      </c>
      <c r="C216" s="444"/>
      <c r="D216" s="445"/>
      <c r="E216" s="445"/>
      <c r="F216" s="445"/>
      <c r="G216" s="445"/>
      <c r="H216" s="445"/>
      <c r="I216" s="445"/>
      <c r="J216" s="445"/>
      <c r="K216" s="446"/>
      <c r="L216" s="446"/>
      <c r="M216" s="446"/>
      <c r="N216" s="446"/>
      <c r="O216" s="446"/>
      <c r="P216" s="446"/>
      <c r="Q216" s="446"/>
      <c r="R216" s="446"/>
      <c r="S216" s="1"/>
      <c r="T216" s="1"/>
      <c r="U216" s="1"/>
      <c r="V216" s="1"/>
      <c r="W216" s="1"/>
      <c r="X216" s="1"/>
      <c r="Y216" s="11"/>
      <c r="Z216" s="11"/>
      <c r="AA216" s="11"/>
      <c r="AB216" s="11"/>
      <c r="AC216" s="1"/>
      <c r="AD216" s="1"/>
      <c r="AE216" s="33"/>
      <c r="AF216" s="33"/>
      <c r="AG216" s="33"/>
      <c r="AH216" s="33"/>
      <c r="AI216" s="33"/>
      <c r="AJ216" s="447"/>
      <c r="AK216" s="33"/>
      <c r="AL216" s="1"/>
      <c r="AM216" s="1"/>
      <c r="AN216" s="345"/>
      <c r="AO216" s="203"/>
      <c r="AP216" s="1"/>
      <c r="AQ216" s="1"/>
      <c r="AR216" s="1"/>
      <c r="AS216" s="1"/>
      <c r="AT216" s="1"/>
      <c r="AU216" s="1"/>
      <c r="AV216" s="1"/>
      <c r="AW216" s="1"/>
      <c r="AX216" s="1"/>
      <c r="AY216" s="1"/>
      <c r="AZ216" s="1"/>
      <c r="BA216" s="1"/>
      <c r="BB216" s="1"/>
      <c r="BC216" s="1"/>
      <c r="BD216" s="126"/>
      <c r="BE216" s="126"/>
      <c r="BF216" s="126"/>
      <c r="BG216" s="126"/>
      <c r="BH216" s="126"/>
      <c r="BI216" s="1"/>
      <c r="BJ216" s="1"/>
      <c r="BK216" s="1"/>
      <c r="BL216" s="1"/>
      <c r="BM216" s="1"/>
      <c r="BN216" s="1"/>
      <c r="BO216" s="1"/>
      <c r="BP216" s="1"/>
      <c r="BQ216" s="1"/>
      <c r="BR216" s="1"/>
      <c r="BS216" s="1"/>
      <c r="BT216" s="1"/>
      <c r="BU216" s="1"/>
      <c r="BV216" s="1"/>
      <c r="BW216" s="1"/>
      <c r="BX216" s="1"/>
      <c r="BY216" s="1"/>
      <c r="BZ216" s="1"/>
      <c r="CA216" s="1"/>
    </row>
    <row r="217" spans="1:79" ht="12.75" hidden="1" customHeight="1">
      <c r="A217" s="434"/>
      <c r="B217" s="443" t="s">
        <v>1994</v>
      </c>
      <c r="C217" s="444"/>
      <c r="D217" s="445"/>
      <c r="E217" s="445"/>
      <c r="F217" s="445"/>
      <c r="G217" s="445"/>
      <c r="H217" s="445"/>
      <c r="I217" s="445"/>
      <c r="J217" s="445"/>
      <c r="K217" s="446"/>
      <c r="L217" s="446"/>
      <c r="M217" s="446"/>
      <c r="N217" s="446"/>
      <c r="O217" s="446"/>
      <c r="P217" s="446"/>
      <c r="Q217" s="446"/>
      <c r="R217" s="446"/>
      <c r="S217" s="1"/>
      <c r="T217" s="1"/>
      <c r="U217" s="1"/>
      <c r="V217" s="1"/>
      <c r="W217" s="1"/>
      <c r="X217" s="1"/>
      <c r="Y217" s="11"/>
      <c r="Z217" s="11"/>
      <c r="AA217" s="11"/>
      <c r="AB217" s="11"/>
      <c r="AC217" s="1"/>
      <c r="AD217" s="1"/>
      <c r="AE217" s="33"/>
      <c r="AF217" s="33"/>
      <c r="AG217" s="33"/>
      <c r="AH217" s="33"/>
      <c r="AI217" s="33"/>
      <c r="AJ217" s="447"/>
      <c r="AK217" s="33"/>
      <c r="AL217" s="1"/>
      <c r="AM217" s="1"/>
      <c r="AN217" s="345"/>
      <c r="AO217" s="203"/>
      <c r="AP217" s="1"/>
      <c r="AQ217" s="1"/>
      <c r="AR217" s="1"/>
      <c r="AS217" s="1"/>
      <c r="AT217" s="1"/>
      <c r="AU217" s="1"/>
      <c r="AV217" s="1"/>
      <c r="AW217" s="1"/>
      <c r="AX217" s="1"/>
      <c r="AY217" s="1"/>
      <c r="AZ217" s="1"/>
      <c r="BA217" s="1"/>
      <c r="BB217" s="1"/>
      <c r="BC217" s="1"/>
      <c r="BD217" s="126"/>
      <c r="BE217" s="126"/>
      <c r="BF217" s="126"/>
      <c r="BG217" s="126"/>
      <c r="BH217" s="126"/>
      <c r="BI217" s="1"/>
      <c r="BJ217" s="1"/>
      <c r="BK217" s="1"/>
      <c r="BL217" s="1"/>
      <c r="BM217" s="1"/>
      <c r="BN217" s="1"/>
      <c r="BO217" s="1"/>
      <c r="BP217" s="1"/>
      <c r="BQ217" s="1"/>
      <c r="BR217" s="1"/>
      <c r="BS217" s="1"/>
      <c r="BT217" s="1"/>
      <c r="BU217" s="1"/>
      <c r="BV217" s="1"/>
      <c r="BW217" s="1"/>
      <c r="BX217" s="1"/>
      <c r="BY217" s="1"/>
      <c r="BZ217" s="1"/>
      <c r="CA217" s="1"/>
    </row>
    <row r="218" spans="1:79" ht="12.75" hidden="1" customHeight="1">
      <c r="A218" s="434"/>
      <c r="B218" s="448" t="s">
        <v>1995</v>
      </c>
      <c r="C218" s="444"/>
      <c r="D218" s="445"/>
      <c r="E218" s="445"/>
      <c r="F218" s="445"/>
      <c r="G218" s="445"/>
      <c r="H218" s="445"/>
      <c r="I218" s="445"/>
      <c r="J218" s="445"/>
      <c r="K218" s="446"/>
      <c r="L218" s="446"/>
      <c r="M218" s="446"/>
      <c r="N218" s="446"/>
      <c r="O218" s="446"/>
      <c r="P218" s="446"/>
      <c r="Q218" s="446"/>
      <c r="R218" s="446"/>
      <c r="S218" s="1"/>
      <c r="T218" s="1"/>
      <c r="U218" s="1"/>
      <c r="V218" s="1"/>
      <c r="W218" s="1"/>
      <c r="X218" s="1"/>
      <c r="Y218" s="11"/>
      <c r="Z218" s="11"/>
      <c r="AA218" s="11"/>
      <c r="AB218" s="11"/>
      <c r="AC218" s="1"/>
      <c r="AD218" s="1"/>
      <c r="AE218" s="33"/>
      <c r="AF218" s="33"/>
      <c r="AG218" s="33"/>
      <c r="AH218" s="33"/>
      <c r="AI218" s="33"/>
      <c r="AJ218" s="447"/>
      <c r="AK218" s="33"/>
      <c r="AL218" s="1"/>
      <c r="AM218" s="1"/>
      <c r="AN218" s="345"/>
      <c r="AO218" s="203"/>
      <c r="AP218" s="1"/>
      <c r="AQ218" s="1"/>
      <c r="AR218" s="1"/>
      <c r="AS218" s="1"/>
      <c r="AT218" s="1"/>
      <c r="AU218" s="1"/>
      <c r="AV218" s="1"/>
      <c r="AW218" s="1"/>
      <c r="AX218" s="1"/>
      <c r="AY218" s="1"/>
      <c r="AZ218" s="1"/>
      <c r="BA218" s="1"/>
      <c r="BB218" s="1"/>
      <c r="BC218" s="1"/>
      <c r="BD218" s="126"/>
      <c r="BE218" s="126"/>
      <c r="BF218" s="126"/>
      <c r="BG218" s="126"/>
      <c r="BH218" s="126"/>
      <c r="BI218" s="1"/>
      <c r="BJ218" s="1"/>
      <c r="BK218" s="1"/>
      <c r="BL218" s="1"/>
      <c r="BM218" s="1"/>
      <c r="BN218" s="1"/>
      <c r="BO218" s="1"/>
      <c r="BP218" s="1"/>
      <c r="BQ218" s="1"/>
      <c r="BR218" s="1"/>
      <c r="BS218" s="1"/>
      <c r="BT218" s="1"/>
      <c r="BU218" s="1"/>
      <c r="BV218" s="1"/>
      <c r="BW218" s="1"/>
      <c r="BX218" s="1"/>
      <c r="BY218" s="1"/>
      <c r="BZ218" s="1"/>
      <c r="CA218" s="1"/>
    </row>
    <row r="219" spans="1:79" ht="12.75" hidden="1" customHeight="1">
      <c r="A219" s="434"/>
      <c r="B219" s="449" t="s">
        <v>1996</v>
      </c>
      <c r="C219" s="450"/>
      <c r="D219" s="451"/>
      <c r="E219" s="451"/>
      <c r="F219" s="451"/>
      <c r="G219" s="451"/>
      <c r="H219" s="451"/>
      <c r="I219" s="451"/>
      <c r="J219" s="451"/>
      <c r="K219" s="452"/>
      <c r="L219" s="452"/>
      <c r="M219" s="452"/>
      <c r="N219" s="452"/>
      <c r="O219" s="452"/>
      <c r="P219" s="452"/>
      <c r="Q219" s="452"/>
      <c r="R219" s="452"/>
      <c r="S219" s="453"/>
      <c r="T219" s="453"/>
      <c r="U219" s="453"/>
      <c r="V219" s="453"/>
      <c r="W219" s="453"/>
      <c r="X219" s="453"/>
      <c r="Y219" s="454"/>
      <c r="Z219" s="454"/>
      <c r="AA219" s="454"/>
      <c r="AB219" s="454"/>
      <c r="AC219" s="453"/>
      <c r="AD219" s="453"/>
      <c r="AE219" s="455"/>
      <c r="AF219" s="455"/>
      <c r="AG219" s="455"/>
      <c r="AH219" s="455"/>
      <c r="AI219" s="455"/>
      <c r="AJ219" s="456"/>
      <c r="AK219" s="33"/>
      <c r="AL219" s="1"/>
      <c r="AM219" s="1"/>
      <c r="AN219" s="345"/>
      <c r="AO219" s="203"/>
      <c r="AP219" s="1"/>
      <c r="AQ219" s="1"/>
      <c r="AR219" s="1"/>
      <c r="AS219" s="1"/>
      <c r="AT219" s="1"/>
      <c r="AU219" s="1"/>
      <c r="AV219" s="1"/>
      <c r="AW219" s="1"/>
      <c r="AX219" s="1"/>
      <c r="AY219" s="1"/>
      <c r="AZ219" s="1"/>
      <c r="BA219" s="1"/>
      <c r="BB219" s="1"/>
      <c r="BC219" s="1"/>
      <c r="BD219" s="126"/>
      <c r="BE219" s="126"/>
      <c r="BF219" s="126"/>
      <c r="BG219" s="126"/>
      <c r="BH219" s="126"/>
      <c r="BI219" s="1"/>
      <c r="BJ219" s="1"/>
      <c r="BK219" s="1"/>
      <c r="BL219" s="1"/>
      <c r="BM219" s="1"/>
      <c r="BN219" s="1"/>
      <c r="BO219" s="1"/>
      <c r="BP219" s="1"/>
      <c r="BQ219" s="1"/>
      <c r="BR219" s="1"/>
      <c r="BS219" s="1"/>
      <c r="BT219" s="1"/>
      <c r="BU219" s="1"/>
      <c r="BV219" s="1"/>
      <c r="BW219" s="1"/>
      <c r="BX219" s="1"/>
      <c r="BY219" s="1"/>
      <c r="BZ219" s="1"/>
      <c r="CA219" s="1"/>
    </row>
    <row r="220" spans="1:79" ht="12.75" hidden="1" customHeight="1">
      <c r="A220" s="17"/>
      <c r="B220" s="17"/>
      <c r="C220" s="41"/>
      <c r="D220" s="433"/>
      <c r="E220" s="433"/>
      <c r="F220" s="433"/>
      <c r="G220" s="433"/>
      <c r="H220" s="433"/>
      <c r="I220" s="433"/>
      <c r="J220" s="433"/>
      <c r="K220" s="1"/>
      <c r="L220" s="1"/>
      <c r="M220" s="1"/>
      <c r="N220" s="1"/>
      <c r="O220" s="1"/>
      <c r="P220" s="1"/>
      <c r="Q220" s="1"/>
      <c r="R220" s="1"/>
      <c r="S220" s="1"/>
      <c r="T220" s="1"/>
      <c r="U220" s="1"/>
      <c r="V220" s="1"/>
      <c r="W220" s="1"/>
      <c r="X220" s="1"/>
      <c r="Y220" s="11"/>
      <c r="Z220" s="11"/>
      <c r="AA220" s="11"/>
      <c r="AB220" s="11"/>
      <c r="AC220" s="1"/>
      <c r="AD220" s="1"/>
      <c r="AE220" s="33"/>
      <c r="AF220" s="33"/>
      <c r="AG220" s="33"/>
      <c r="AH220" s="33"/>
      <c r="AI220" s="33"/>
      <c r="AJ220" s="33"/>
      <c r="AK220" s="33"/>
      <c r="AL220" s="1"/>
      <c r="AM220" s="1"/>
      <c r="AN220" s="345"/>
      <c r="AO220" s="203"/>
      <c r="AP220" s="1"/>
      <c r="AQ220" s="1"/>
      <c r="AR220" s="1"/>
      <c r="AS220" s="1"/>
      <c r="AT220" s="1"/>
      <c r="AU220" s="1"/>
      <c r="AV220" s="1"/>
      <c r="AW220" s="1"/>
      <c r="AX220" s="1"/>
      <c r="AY220" s="1"/>
      <c r="AZ220" s="1"/>
      <c r="BA220" s="1"/>
      <c r="BB220" s="1"/>
      <c r="BC220" s="1"/>
      <c r="BD220" s="126"/>
      <c r="BE220" s="126"/>
      <c r="BF220" s="126"/>
      <c r="BG220" s="126"/>
      <c r="BH220" s="126"/>
      <c r="BI220" s="1"/>
      <c r="BJ220" s="1"/>
      <c r="BK220" s="1"/>
      <c r="BL220" s="1"/>
      <c r="BM220" s="1"/>
      <c r="BN220" s="1"/>
      <c r="BO220" s="1"/>
      <c r="BP220" s="1"/>
      <c r="BQ220" s="1"/>
      <c r="BR220" s="1"/>
      <c r="BS220" s="1"/>
      <c r="BT220" s="1"/>
      <c r="BU220" s="1"/>
      <c r="BV220" s="1"/>
      <c r="BW220" s="1"/>
      <c r="BX220" s="1"/>
      <c r="BY220" s="1"/>
      <c r="BZ220" s="1"/>
      <c r="CA220" s="1"/>
    </row>
    <row r="221" spans="1:79" ht="12.75" hidden="1" customHeight="1">
      <c r="A221" s="17"/>
      <c r="B221" s="457"/>
      <c r="C221" s="1"/>
      <c r="D221" s="1"/>
      <c r="E221" s="1"/>
      <c r="F221" s="1"/>
      <c r="G221" s="1"/>
      <c r="H221" s="1"/>
      <c r="I221" s="1440" t="s">
        <v>1997</v>
      </c>
      <c r="J221" s="893"/>
      <c r="K221" s="893"/>
      <c r="L221" s="1"/>
      <c r="M221" s="1"/>
      <c r="N221" s="1"/>
      <c r="O221" s="1"/>
      <c r="P221" s="1"/>
      <c r="Q221" s="1"/>
      <c r="R221" s="1"/>
      <c r="S221" s="1"/>
      <c r="T221" s="1445" t="s">
        <v>1998</v>
      </c>
      <c r="U221" s="893"/>
      <c r="V221" s="893"/>
      <c r="W221" s="893"/>
      <c r="X221" s="893"/>
      <c r="Y221" s="893"/>
      <c r="Z221" s="458"/>
      <c r="AA221" s="7"/>
      <c r="AB221" s="1441" t="s">
        <v>1999</v>
      </c>
      <c r="AC221" s="893"/>
      <c r="AD221" s="893"/>
      <c r="AE221" s="893"/>
      <c r="AF221" s="893"/>
      <c r="AG221" s="893"/>
      <c r="AH221" s="433"/>
      <c r="AI221" s="433"/>
      <c r="AJ221" s="433"/>
      <c r="AK221" s="33"/>
      <c r="AL221" s="1"/>
      <c r="AM221" s="1"/>
      <c r="AN221" s="345"/>
      <c r="AO221" s="203"/>
      <c r="AP221" s="1"/>
      <c r="AQ221" s="1"/>
      <c r="AR221" s="1"/>
      <c r="AS221" s="1"/>
      <c r="AT221" s="1"/>
      <c r="AU221" s="1"/>
      <c r="AV221" s="1"/>
      <c r="AW221" s="1"/>
      <c r="AX221" s="1"/>
      <c r="AY221" s="1"/>
      <c r="AZ221" s="1"/>
      <c r="BA221" s="1"/>
      <c r="BB221" s="1"/>
      <c r="BC221" s="1"/>
      <c r="BD221" s="126"/>
      <c r="BE221" s="126"/>
      <c r="BF221" s="126"/>
      <c r="BG221" s="126"/>
      <c r="BH221" s="126"/>
      <c r="BI221" s="1"/>
      <c r="BJ221" s="1"/>
      <c r="BK221" s="1"/>
      <c r="BL221" s="1"/>
      <c r="BM221" s="1"/>
      <c r="BN221" s="1"/>
      <c r="BO221" s="1"/>
      <c r="BP221" s="1"/>
      <c r="BQ221" s="1"/>
      <c r="BR221" s="1"/>
      <c r="BS221" s="1"/>
      <c r="BT221" s="1"/>
      <c r="BU221" s="1"/>
      <c r="BV221" s="1"/>
      <c r="BW221" s="1"/>
      <c r="BX221" s="1"/>
      <c r="BY221" s="1"/>
      <c r="BZ221" s="1"/>
      <c r="CA221" s="1"/>
    </row>
    <row r="222" spans="1:79" ht="12.75" hidden="1" customHeight="1">
      <c r="A222" s="17"/>
      <c r="B222" s="1473" t="s">
        <v>2000</v>
      </c>
      <c r="C222" s="961"/>
      <c r="D222" s="961"/>
      <c r="E222" s="961"/>
      <c r="F222" s="961"/>
      <c r="G222" s="961"/>
      <c r="H222" s="1"/>
      <c r="I222" s="1442" t="s">
        <v>2001</v>
      </c>
      <c r="J222" s="961"/>
      <c r="K222" s="961"/>
      <c r="L222" s="459"/>
      <c r="M222" s="1"/>
      <c r="N222" s="1443" t="s">
        <v>2002</v>
      </c>
      <c r="O222" s="961"/>
      <c r="P222" s="961"/>
      <c r="Q222" s="961"/>
      <c r="R222" s="961"/>
      <c r="S222" s="1"/>
      <c r="T222" s="1443" t="s">
        <v>2003</v>
      </c>
      <c r="U222" s="961"/>
      <c r="V222" s="961"/>
      <c r="W222" s="961"/>
      <c r="X222" s="961"/>
      <c r="Y222" s="961"/>
      <c r="Z222" s="460"/>
      <c r="AA222" s="7"/>
      <c r="AB222" s="1444" t="s">
        <v>2004</v>
      </c>
      <c r="AC222" s="961"/>
      <c r="AD222" s="961"/>
      <c r="AE222" s="961"/>
      <c r="AF222" s="961"/>
      <c r="AG222" s="961"/>
      <c r="AH222" s="433"/>
      <c r="AI222" s="433"/>
      <c r="AJ222" s="433"/>
      <c r="AK222" s="33"/>
      <c r="AL222" s="1"/>
      <c r="AM222" s="1"/>
      <c r="AN222" s="345"/>
      <c r="AO222" s="203"/>
      <c r="AP222" s="1"/>
      <c r="AQ222" s="1"/>
      <c r="AR222" s="1"/>
      <c r="AS222" s="1"/>
      <c r="AT222" s="1"/>
      <c r="AU222" s="1"/>
      <c r="AV222" s="1"/>
      <c r="AW222" s="1"/>
      <c r="AX222" s="1"/>
      <c r="AY222" s="1"/>
      <c r="AZ222" s="1"/>
      <c r="BA222" s="1"/>
      <c r="BB222" s="1"/>
      <c r="BC222" s="1"/>
      <c r="BD222" s="126"/>
      <c r="BE222" s="126"/>
      <c r="BF222" s="126"/>
      <c r="BG222" s="126"/>
      <c r="BH222" s="126"/>
      <c r="BI222" s="1"/>
      <c r="BJ222" s="1"/>
      <c r="BK222" s="1"/>
      <c r="BL222" s="1"/>
      <c r="BM222" s="1"/>
      <c r="BN222" s="1"/>
      <c r="BO222" s="1"/>
      <c r="BP222" s="1"/>
      <c r="BQ222" s="1"/>
      <c r="BR222" s="1"/>
      <c r="BS222" s="1"/>
      <c r="BT222" s="1"/>
      <c r="BU222" s="1"/>
      <c r="BV222" s="1"/>
      <c r="BW222" s="1"/>
      <c r="BX222" s="1"/>
      <c r="BY222" s="1"/>
      <c r="BZ222" s="1"/>
      <c r="CA222" s="1"/>
    </row>
    <row r="223" spans="1:79" ht="12.75" hidden="1" customHeight="1">
      <c r="A223" s="17"/>
      <c r="B223" s="1448" t="s">
        <v>1137</v>
      </c>
      <c r="C223" s="921"/>
      <c r="D223" s="921"/>
      <c r="E223" s="921"/>
      <c r="F223" s="921"/>
      <c r="G223" s="971"/>
      <c r="H223" s="405"/>
      <c r="I223" s="1449"/>
      <c r="J223" s="1272"/>
      <c r="K223" s="1431"/>
      <c r="L223" s="459"/>
      <c r="M223" s="1"/>
      <c r="N223" s="1360"/>
      <c r="O223" s="921"/>
      <c r="P223" s="921"/>
      <c r="Q223" s="921"/>
      <c r="R223" s="971"/>
      <c r="S223" s="1"/>
      <c r="T223" s="1371"/>
      <c r="U223" s="968"/>
      <c r="V223" s="968"/>
      <c r="W223" s="968"/>
      <c r="X223" s="968"/>
      <c r="Y223" s="969"/>
      <c r="Z223" s="226"/>
      <c r="AA223" s="226"/>
      <c r="AB223" s="1438">
        <f t="shared" ref="AB223:AB232" si="1">MAX(($T223-$N223)*$I223*12,0)</f>
        <v>0</v>
      </c>
      <c r="AC223" s="893"/>
      <c r="AD223" s="893"/>
      <c r="AE223" s="893"/>
      <c r="AF223" s="893"/>
      <c r="AG223" s="893"/>
      <c r="AH223" s="433"/>
      <c r="AI223" s="433"/>
      <c r="AJ223" s="433"/>
      <c r="AK223" s="33"/>
      <c r="AL223" s="1"/>
      <c r="AM223" s="1"/>
      <c r="AN223" s="345"/>
      <c r="AO223" s="203"/>
      <c r="AP223" s="1"/>
      <c r="AQ223" s="1"/>
      <c r="AR223" s="1"/>
      <c r="AS223" s="1"/>
      <c r="AT223" s="1"/>
      <c r="AU223" s="1"/>
      <c r="AV223" s="1"/>
      <c r="AW223" s="1"/>
      <c r="AX223" s="1"/>
      <c r="AY223" s="1"/>
      <c r="AZ223" s="1"/>
      <c r="BA223" s="1"/>
      <c r="BB223" s="1"/>
      <c r="BC223" s="1"/>
      <c r="BD223" s="126"/>
      <c r="BE223" s="126"/>
      <c r="BF223" s="126"/>
      <c r="BG223" s="126"/>
      <c r="BH223" s="126"/>
      <c r="BI223" s="1"/>
      <c r="BJ223" s="1"/>
      <c r="BK223" s="1"/>
      <c r="BL223" s="1"/>
      <c r="BM223" s="1"/>
      <c r="BN223" s="1"/>
      <c r="BO223" s="1"/>
      <c r="BP223" s="1"/>
      <c r="BQ223" s="1"/>
      <c r="BR223" s="1"/>
      <c r="BS223" s="1"/>
      <c r="BT223" s="1"/>
      <c r="BU223" s="1"/>
      <c r="BV223" s="1"/>
      <c r="BW223" s="1"/>
      <c r="BX223" s="1"/>
      <c r="BY223" s="1"/>
      <c r="BZ223" s="1"/>
      <c r="CA223" s="1"/>
    </row>
    <row r="224" spans="1:79" ht="12.75" hidden="1" customHeight="1">
      <c r="A224" s="17"/>
      <c r="B224" s="1448" t="s">
        <v>1137</v>
      </c>
      <c r="C224" s="921"/>
      <c r="D224" s="921"/>
      <c r="E224" s="921"/>
      <c r="F224" s="921"/>
      <c r="G224" s="971"/>
      <c r="H224" s="1"/>
      <c r="I224" s="1449"/>
      <c r="J224" s="1272"/>
      <c r="K224" s="1431"/>
      <c r="L224" s="459"/>
      <c r="M224" s="1"/>
      <c r="N224" s="1360"/>
      <c r="O224" s="921"/>
      <c r="P224" s="921"/>
      <c r="Q224" s="921"/>
      <c r="R224" s="971"/>
      <c r="S224" s="1"/>
      <c r="T224" s="1371"/>
      <c r="U224" s="968"/>
      <c r="V224" s="968"/>
      <c r="W224" s="968"/>
      <c r="X224" s="968"/>
      <c r="Y224" s="969"/>
      <c r="Z224" s="226"/>
      <c r="AA224" s="226"/>
      <c r="AB224" s="1438">
        <f t="shared" si="1"/>
        <v>0</v>
      </c>
      <c r="AC224" s="893"/>
      <c r="AD224" s="893"/>
      <c r="AE224" s="893"/>
      <c r="AF224" s="893"/>
      <c r="AG224" s="893"/>
      <c r="AH224" s="433"/>
      <c r="AI224" s="433"/>
      <c r="AJ224" s="433"/>
      <c r="AK224" s="33"/>
      <c r="AL224" s="1"/>
      <c r="AM224" s="1"/>
      <c r="AN224" s="345"/>
      <c r="AO224" s="203"/>
      <c r="AP224" s="1"/>
      <c r="AQ224" s="1"/>
      <c r="AR224" s="1"/>
      <c r="AS224" s="1"/>
      <c r="AT224" s="1"/>
      <c r="AU224" s="1"/>
      <c r="AV224" s="1"/>
      <c r="AW224" s="1"/>
      <c r="AX224" s="1"/>
      <c r="AY224" s="1"/>
      <c r="AZ224" s="1"/>
      <c r="BA224" s="1"/>
      <c r="BB224" s="1"/>
      <c r="BC224" s="1"/>
      <c r="BD224" s="126"/>
      <c r="BE224" s="126"/>
      <c r="BF224" s="126"/>
      <c r="BG224" s="126"/>
      <c r="BH224" s="126"/>
      <c r="BI224" s="1"/>
      <c r="BJ224" s="1"/>
      <c r="BK224" s="1"/>
      <c r="BL224" s="1"/>
      <c r="BM224" s="1"/>
      <c r="BN224" s="1"/>
      <c r="BO224" s="1"/>
      <c r="BP224" s="1"/>
      <c r="BQ224" s="1"/>
      <c r="BR224" s="1"/>
      <c r="BS224" s="1"/>
      <c r="BT224" s="1"/>
      <c r="BU224" s="1"/>
      <c r="BV224" s="1"/>
      <c r="BW224" s="1"/>
      <c r="BX224" s="1"/>
      <c r="BY224" s="1"/>
      <c r="BZ224" s="1"/>
      <c r="CA224" s="1"/>
    </row>
    <row r="225" spans="1:79" ht="12.75" hidden="1" customHeight="1">
      <c r="A225" s="17"/>
      <c r="B225" s="1448" t="s">
        <v>1137</v>
      </c>
      <c r="C225" s="921"/>
      <c r="D225" s="921"/>
      <c r="E225" s="921"/>
      <c r="F225" s="921"/>
      <c r="G225" s="971"/>
      <c r="H225" s="1"/>
      <c r="I225" s="1449"/>
      <c r="J225" s="1272"/>
      <c r="K225" s="1431"/>
      <c r="L225" s="459"/>
      <c r="M225" s="1"/>
      <c r="N225" s="1360"/>
      <c r="O225" s="921"/>
      <c r="P225" s="921"/>
      <c r="Q225" s="921"/>
      <c r="R225" s="971"/>
      <c r="S225" s="1"/>
      <c r="T225" s="1371"/>
      <c r="U225" s="968"/>
      <c r="V225" s="968"/>
      <c r="W225" s="968"/>
      <c r="X225" s="968"/>
      <c r="Y225" s="969"/>
      <c r="Z225" s="226"/>
      <c r="AA225" s="226"/>
      <c r="AB225" s="1438">
        <f t="shared" si="1"/>
        <v>0</v>
      </c>
      <c r="AC225" s="893"/>
      <c r="AD225" s="893"/>
      <c r="AE225" s="893"/>
      <c r="AF225" s="893"/>
      <c r="AG225" s="893"/>
      <c r="AH225" s="433"/>
      <c r="AI225" s="433"/>
      <c r="AJ225" s="433"/>
      <c r="AK225" s="33"/>
      <c r="AL225" s="1"/>
      <c r="AM225" s="1"/>
      <c r="AN225" s="345"/>
      <c r="AO225" s="203"/>
      <c r="AP225" s="1"/>
      <c r="AQ225" s="1"/>
      <c r="AR225" s="1"/>
      <c r="AS225" s="1"/>
      <c r="AT225" s="1"/>
      <c r="AU225" s="1"/>
      <c r="AV225" s="1"/>
      <c r="AW225" s="1"/>
      <c r="AX225" s="1"/>
      <c r="AY225" s="1"/>
      <c r="AZ225" s="1"/>
      <c r="BA225" s="1"/>
      <c r="BB225" s="1"/>
      <c r="BC225" s="1"/>
      <c r="BD225" s="126"/>
      <c r="BE225" s="126"/>
      <c r="BF225" s="126"/>
      <c r="BG225" s="126"/>
      <c r="BH225" s="126"/>
      <c r="BI225" s="1"/>
      <c r="BJ225" s="1"/>
      <c r="BK225" s="1"/>
      <c r="BL225" s="1"/>
      <c r="BM225" s="1"/>
      <c r="BN225" s="1"/>
      <c r="BO225" s="1"/>
      <c r="BP225" s="1"/>
      <c r="BQ225" s="1"/>
      <c r="BR225" s="1"/>
      <c r="BS225" s="1"/>
      <c r="BT225" s="1"/>
      <c r="BU225" s="1"/>
      <c r="BV225" s="1"/>
      <c r="BW225" s="1"/>
      <c r="BX225" s="1"/>
      <c r="BY225" s="1"/>
      <c r="BZ225" s="1"/>
      <c r="CA225" s="1"/>
    </row>
    <row r="226" spans="1:79" ht="12.75" hidden="1" customHeight="1">
      <c r="A226" s="17"/>
      <c r="B226" s="1448" t="s">
        <v>1137</v>
      </c>
      <c r="C226" s="921"/>
      <c r="D226" s="921"/>
      <c r="E226" s="921"/>
      <c r="F226" s="921"/>
      <c r="G226" s="971"/>
      <c r="H226" s="1"/>
      <c r="I226" s="1449"/>
      <c r="J226" s="1272"/>
      <c r="K226" s="1431"/>
      <c r="L226" s="459"/>
      <c r="M226" s="1"/>
      <c r="N226" s="1360"/>
      <c r="O226" s="921"/>
      <c r="P226" s="921"/>
      <c r="Q226" s="921"/>
      <c r="R226" s="971"/>
      <c r="S226" s="1"/>
      <c r="T226" s="1371"/>
      <c r="U226" s="968"/>
      <c r="V226" s="968"/>
      <c r="W226" s="968"/>
      <c r="X226" s="968"/>
      <c r="Y226" s="969"/>
      <c r="Z226" s="226"/>
      <c r="AA226" s="226"/>
      <c r="AB226" s="1438">
        <f t="shared" si="1"/>
        <v>0</v>
      </c>
      <c r="AC226" s="893"/>
      <c r="AD226" s="893"/>
      <c r="AE226" s="893"/>
      <c r="AF226" s="893"/>
      <c r="AG226" s="893"/>
      <c r="AH226" s="433"/>
      <c r="AI226" s="433"/>
      <c r="AJ226" s="433"/>
      <c r="AK226" s="33"/>
      <c r="AL226" s="1"/>
      <c r="AM226" s="1"/>
      <c r="AN226" s="345"/>
      <c r="AO226" s="203"/>
      <c r="AP226" s="1"/>
      <c r="AQ226" s="1"/>
      <c r="AR226" s="1"/>
      <c r="AS226" s="1"/>
      <c r="AT226" s="1"/>
      <c r="AU226" s="1"/>
      <c r="AV226" s="1"/>
      <c r="AW226" s="1"/>
      <c r="AX226" s="1"/>
      <c r="AY226" s="1"/>
      <c r="AZ226" s="1"/>
      <c r="BA226" s="1"/>
      <c r="BB226" s="1"/>
      <c r="BC226" s="1"/>
      <c r="BD226" s="126"/>
      <c r="BE226" s="126"/>
      <c r="BF226" s="126"/>
      <c r="BG226" s="126"/>
      <c r="BH226" s="126"/>
      <c r="BI226" s="1"/>
      <c r="BJ226" s="1"/>
      <c r="BK226" s="1"/>
      <c r="BL226" s="1"/>
      <c r="BM226" s="1"/>
      <c r="BN226" s="1"/>
      <c r="BO226" s="1"/>
      <c r="BP226" s="1"/>
      <c r="BQ226" s="1"/>
      <c r="BR226" s="1"/>
      <c r="BS226" s="1"/>
      <c r="BT226" s="1"/>
      <c r="BU226" s="1"/>
      <c r="BV226" s="1"/>
      <c r="BW226" s="1"/>
      <c r="BX226" s="1"/>
      <c r="BY226" s="1"/>
      <c r="BZ226" s="1"/>
      <c r="CA226" s="1"/>
    </row>
    <row r="227" spans="1:79" ht="12.75" hidden="1" customHeight="1">
      <c r="A227" s="17"/>
      <c r="B227" s="1448" t="s">
        <v>1137</v>
      </c>
      <c r="C227" s="921"/>
      <c r="D227" s="921"/>
      <c r="E227" s="921"/>
      <c r="F227" s="921"/>
      <c r="G227" s="971"/>
      <c r="H227" s="1"/>
      <c r="I227" s="1449"/>
      <c r="J227" s="1272"/>
      <c r="K227" s="1431"/>
      <c r="L227" s="427"/>
      <c r="M227" s="1"/>
      <c r="N227" s="1360"/>
      <c r="O227" s="921"/>
      <c r="P227" s="921"/>
      <c r="Q227" s="921"/>
      <c r="R227" s="971"/>
      <c r="S227" s="1"/>
      <c r="T227" s="1371"/>
      <c r="U227" s="968"/>
      <c r="V227" s="968"/>
      <c r="W227" s="968"/>
      <c r="X227" s="968"/>
      <c r="Y227" s="969"/>
      <c r="Z227" s="226"/>
      <c r="AA227" s="226"/>
      <c r="AB227" s="1438">
        <f t="shared" si="1"/>
        <v>0</v>
      </c>
      <c r="AC227" s="893"/>
      <c r="AD227" s="893"/>
      <c r="AE227" s="893"/>
      <c r="AF227" s="893"/>
      <c r="AG227" s="893"/>
      <c r="AH227" s="433"/>
      <c r="AI227" s="433"/>
      <c r="AJ227" s="433"/>
      <c r="AK227" s="33"/>
      <c r="AL227" s="1"/>
      <c r="AM227" s="1"/>
      <c r="AN227" s="345"/>
      <c r="AO227" s="203"/>
      <c r="AP227" s="1"/>
      <c r="AQ227" s="1"/>
      <c r="AR227" s="1"/>
      <c r="AS227" s="1"/>
      <c r="AT227" s="1"/>
      <c r="AU227" s="1"/>
      <c r="AV227" s="1"/>
      <c r="AW227" s="1"/>
      <c r="AX227" s="1"/>
      <c r="AY227" s="1"/>
      <c r="AZ227" s="1"/>
      <c r="BA227" s="1"/>
      <c r="BB227" s="1"/>
      <c r="BC227" s="1"/>
      <c r="BD227" s="126"/>
      <c r="BE227" s="126"/>
      <c r="BF227" s="126"/>
      <c r="BG227" s="126"/>
      <c r="BH227" s="126"/>
      <c r="BI227" s="1"/>
      <c r="BJ227" s="1"/>
      <c r="BK227" s="1"/>
      <c r="BL227" s="1"/>
      <c r="BM227" s="1"/>
      <c r="BN227" s="1"/>
      <c r="BO227" s="1"/>
      <c r="BP227" s="1"/>
      <c r="BQ227" s="1"/>
      <c r="BR227" s="1"/>
      <c r="BS227" s="1"/>
      <c r="BT227" s="1"/>
      <c r="BU227" s="1"/>
      <c r="BV227" s="1"/>
      <c r="BW227" s="1"/>
      <c r="BX227" s="1"/>
      <c r="BY227" s="1"/>
      <c r="BZ227" s="1"/>
      <c r="CA227" s="1"/>
    </row>
    <row r="228" spans="1:79" ht="12.75" hidden="1" customHeight="1">
      <c r="A228" s="17"/>
      <c r="B228" s="1448" t="s">
        <v>1137</v>
      </c>
      <c r="C228" s="921"/>
      <c r="D228" s="921"/>
      <c r="E228" s="921"/>
      <c r="F228" s="921"/>
      <c r="G228" s="971"/>
      <c r="H228" s="1"/>
      <c r="I228" s="1449"/>
      <c r="J228" s="1272"/>
      <c r="K228" s="1431"/>
      <c r="L228" s="427"/>
      <c r="M228" s="1"/>
      <c r="N228" s="1360"/>
      <c r="O228" s="921"/>
      <c r="P228" s="921"/>
      <c r="Q228" s="921"/>
      <c r="R228" s="971"/>
      <c r="S228" s="1"/>
      <c r="T228" s="1371"/>
      <c r="U228" s="968"/>
      <c r="V228" s="968"/>
      <c r="W228" s="968"/>
      <c r="X228" s="968"/>
      <c r="Y228" s="969"/>
      <c r="Z228" s="226"/>
      <c r="AA228" s="226"/>
      <c r="AB228" s="1438">
        <f t="shared" si="1"/>
        <v>0</v>
      </c>
      <c r="AC228" s="893"/>
      <c r="AD228" s="893"/>
      <c r="AE228" s="893"/>
      <c r="AF228" s="893"/>
      <c r="AG228" s="893"/>
      <c r="AH228" s="433"/>
      <c r="AI228" s="433"/>
      <c r="AJ228" s="433"/>
      <c r="AK228" s="33"/>
      <c r="AL228" s="1"/>
      <c r="AM228" s="1"/>
      <c r="AN228" s="345"/>
      <c r="AO228" s="203"/>
      <c r="AP228" s="1"/>
      <c r="AQ228" s="1"/>
      <c r="AR228" s="1"/>
      <c r="AS228" s="1"/>
      <c r="AT228" s="1"/>
      <c r="AU228" s="1"/>
      <c r="AV228" s="1"/>
      <c r="AW228" s="1"/>
      <c r="AX228" s="1"/>
      <c r="AY228" s="1"/>
      <c r="AZ228" s="1"/>
      <c r="BA228" s="1"/>
      <c r="BB228" s="1"/>
      <c r="BC228" s="1"/>
      <c r="BD228" s="126"/>
      <c r="BE228" s="126"/>
      <c r="BF228" s="126"/>
      <c r="BG228" s="126"/>
      <c r="BH228" s="126"/>
      <c r="BI228" s="1"/>
      <c r="BJ228" s="1"/>
      <c r="BK228" s="1"/>
      <c r="BL228" s="1"/>
      <c r="BM228" s="1"/>
      <c r="BN228" s="1"/>
      <c r="BO228" s="1"/>
      <c r="BP228" s="1"/>
      <c r="BQ228" s="1"/>
      <c r="BR228" s="1"/>
      <c r="BS228" s="1"/>
      <c r="BT228" s="1"/>
      <c r="BU228" s="1"/>
      <c r="BV228" s="1"/>
      <c r="BW228" s="1"/>
      <c r="BX228" s="1"/>
      <c r="BY228" s="1"/>
      <c r="BZ228" s="1"/>
      <c r="CA228" s="1"/>
    </row>
    <row r="229" spans="1:79" ht="12.75" hidden="1" customHeight="1">
      <c r="A229" s="17"/>
      <c r="B229" s="1448" t="s">
        <v>1137</v>
      </c>
      <c r="C229" s="921"/>
      <c r="D229" s="921"/>
      <c r="E229" s="921"/>
      <c r="F229" s="921"/>
      <c r="G229" s="971"/>
      <c r="H229" s="1"/>
      <c r="I229" s="1449"/>
      <c r="J229" s="1272"/>
      <c r="K229" s="1431"/>
      <c r="L229" s="427"/>
      <c r="M229" s="1"/>
      <c r="N229" s="1360"/>
      <c r="O229" s="921"/>
      <c r="P229" s="921"/>
      <c r="Q229" s="921"/>
      <c r="R229" s="971"/>
      <c r="S229" s="1"/>
      <c r="T229" s="1371"/>
      <c r="U229" s="968"/>
      <c r="V229" s="968"/>
      <c r="W229" s="968"/>
      <c r="X229" s="968"/>
      <c r="Y229" s="969"/>
      <c r="Z229" s="226"/>
      <c r="AA229" s="226"/>
      <c r="AB229" s="1438">
        <f t="shared" si="1"/>
        <v>0</v>
      </c>
      <c r="AC229" s="893"/>
      <c r="AD229" s="893"/>
      <c r="AE229" s="893"/>
      <c r="AF229" s="893"/>
      <c r="AG229" s="893"/>
      <c r="AH229" s="433"/>
      <c r="AI229" s="433"/>
      <c r="AJ229" s="433"/>
      <c r="AK229" s="33"/>
      <c r="AL229" s="1"/>
      <c r="AM229" s="1"/>
      <c r="AN229" s="345"/>
      <c r="AO229" s="203"/>
      <c r="AP229" s="1"/>
      <c r="AQ229" s="1"/>
      <c r="AR229" s="1"/>
      <c r="AS229" s="1"/>
      <c r="AT229" s="1"/>
      <c r="AU229" s="1"/>
      <c r="AV229" s="1"/>
      <c r="AW229" s="1"/>
      <c r="AX229" s="1"/>
      <c r="AY229" s="1"/>
      <c r="AZ229" s="1"/>
      <c r="BA229" s="1"/>
      <c r="BB229" s="1"/>
      <c r="BC229" s="1"/>
      <c r="BD229" s="126"/>
      <c r="BE229" s="126"/>
      <c r="BF229" s="126"/>
      <c r="BG229" s="126"/>
      <c r="BH229" s="126"/>
      <c r="BI229" s="1"/>
      <c r="BJ229" s="1"/>
      <c r="BK229" s="1"/>
      <c r="BL229" s="1"/>
      <c r="BM229" s="1"/>
      <c r="BN229" s="1"/>
      <c r="BO229" s="1"/>
      <c r="BP229" s="1"/>
      <c r="BQ229" s="1"/>
      <c r="BR229" s="1"/>
      <c r="BS229" s="1"/>
      <c r="BT229" s="1"/>
      <c r="BU229" s="1"/>
      <c r="BV229" s="1"/>
      <c r="BW229" s="1"/>
      <c r="BX229" s="1"/>
      <c r="BY229" s="1"/>
      <c r="BZ229" s="1"/>
      <c r="CA229" s="1"/>
    </row>
    <row r="230" spans="1:79" ht="12.75" hidden="1" customHeight="1">
      <c r="A230" s="17"/>
      <c r="B230" s="1448" t="s">
        <v>1137</v>
      </c>
      <c r="C230" s="921"/>
      <c r="D230" s="921"/>
      <c r="E230" s="921"/>
      <c r="F230" s="921"/>
      <c r="G230" s="971"/>
      <c r="H230" s="1"/>
      <c r="I230" s="1449"/>
      <c r="J230" s="1272"/>
      <c r="K230" s="1431"/>
      <c r="L230" s="427"/>
      <c r="M230" s="1"/>
      <c r="N230" s="1360"/>
      <c r="O230" s="921"/>
      <c r="P230" s="921"/>
      <c r="Q230" s="921"/>
      <c r="R230" s="971"/>
      <c r="S230" s="1"/>
      <c r="T230" s="1371"/>
      <c r="U230" s="968"/>
      <c r="V230" s="968"/>
      <c r="W230" s="968"/>
      <c r="X230" s="968"/>
      <c r="Y230" s="969"/>
      <c r="Z230" s="226"/>
      <c r="AA230" s="226"/>
      <c r="AB230" s="1438">
        <f t="shared" si="1"/>
        <v>0</v>
      </c>
      <c r="AC230" s="893"/>
      <c r="AD230" s="893"/>
      <c r="AE230" s="893"/>
      <c r="AF230" s="893"/>
      <c r="AG230" s="893"/>
      <c r="AH230" s="433"/>
      <c r="AI230" s="433"/>
      <c r="AJ230" s="433"/>
      <c r="AK230" s="33"/>
      <c r="AL230" s="1"/>
      <c r="AM230" s="1"/>
      <c r="AN230" s="345"/>
      <c r="AO230" s="203"/>
      <c r="AP230" s="1"/>
      <c r="AQ230" s="1"/>
      <c r="AR230" s="1"/>
      <c r="AS230" s="1"/>
      <c r="AT230" s="1"/>
      <c r="AU230" s="1"/>
      <c r="AV230" s="1"/>
      <c r="AW230" s="1"/>
      <c r="AX230" s="1"/>
      <c r="AY230" s="1"/>
      <c r="AZ230" s="1"/>
      <c r="BA230" s="1"/>
      <c r="BB230" s="1"/>
      <c r="BC230" s="1"/>
      <c r="BD230" s="126"/>
      <c r="BE230" s="126"/>
      <c r="BF230" s="126"/>
      <c r="BG230" s="126"/>
      <c r="BH230" s="126"/>
      <c r="BI230" s="1"/>
      <c r="BJ230" s="1"/>
      <c r="BK230" s="1"/>
      <c r="BL230" s="1"/>
      <c r="BM230" s="1"/>
      <c r="BN230" s="1"/>
      <c r="BO230" s="1"/>
      <c r="BP230" s="1"/>
      <c r="BQ230" s="1"/>
      <c r="BR230" s="1"/>
      <c r="BS230" s="1"/>
      <c r="BT230" s="1"/>
      <c r="BU230" s="1"/>
      <c r="BV230" s="1"/>
      <c r="BW230" s="1"/>
      <c r="BX230" s="1"/>
      <c r="BY230" s="1"/>
      <c r="BZ230" s="1"/>
      <c r="CA230" s="1"/>
    </row>
    <row r="231" spans="1:79" ht="12.75" hidden="1" customHeight="1">
      <c r="A231" s="17"/>
      <c r="B231" s="1448" t="s">
        <v>1137</v>
      </c>
      <c r="C231" s="921"/>
      <c r="D231" s="921"/>
      <c r="E231" s="921"/>
      <c r="F231" s="921"/>
      <c r="G231" s="971"/>
      <c r="H231" s="1"/>
      <c r="I231" s="1449"/>
      <c r="J231" s="1272"/>
      <c r="K231" s="1431"/>
      <c r="L231" s="427"/>
      <c r="M231" s="1"/>
      <c r="N231" s="1360"/>
      <c r="O231" s="921"/>
      <c r="P231" s="921"/>
      <c r="Q231" s="921"/>
      <c r="R231" s="971"/>
      <c r="S231" s="1"/>
      <c r="T231" s="1371"/>
      <c r="U231" s="968"/>
      <c r="V231" s="968"/>
      <c r="W231" s="968"/>
      <c r="X231" s="968"/>
      <c r="Y231" s="969"/>
      <c r="Z231" s="226"/>
      <c r="AA231" s="226"/>
      <c r="AB231" s="1438">
        <f t="shared" si="1"/>
        <v>0</v>
      </c>
      <c r="AC231" s="893"/>
      <c r="AD231" s="893"/>
      <c r="AE231" s="893"/>
      <c r="AF231" s="893"/>
      <c r="AG231" s="893"/>
      <c r="AH231" s="433"/>
      <c r="AI231" s="433"/>
      <c r="AJ231" s="433"/>
      <c r="AK231" s="33"/>
      <c r="AL231" s="1"/>
      <c r="AM231" s="1"/>
      <c r="AN231" s="345"/>
      <c r="AO231" s="203"/>
      <c r="AP231" s="1"/>
      <c r="AQ231" s="1"/>
      <c r="AR231" s="1"/>
      <c r="AS231" s="1"/>
      <c r="AT231" s="1"/>
      <c r="AU231" s="1"/>
      <c r="AV231" s="1"/>
      <c r="AW231" s="1"/>
      <c r="AX231" s="1"/>
      <c r="AY231" s="1"/>
      <c r="AZ231" s="1"/>
      <c r="BA231" s="1"/>
      <c r="BB231" s="1"/>
      <c r="BC231" s="1"/>
      <c r="BD231" s="126"/>
      <c r="BE231" s="126"/>
      <c r="BF231" s="126"/>
      <c r="BG231" s="126"/>
      <c r="BH231" s="126"/>
      <c r="BI231" s="1"/>
      <c r="BJ231" s="1"/>
      <c r="BK231" s="1"/>
      <c r="BL231" s="1"/>
      <c r="BM231" s="1"/>
      <c r="BN231" s="1"/>
      <c r="BO231" s="1"/>
      <c r="BP231" s="1"/>
      <c r="BQ231" s="1"/>
      <c r="BR231" s="1"/>
      <c r="BS231" s="1"/>
      <c r="BT231" s="1"/>
      <c r="BU231" s="1"/>
      <c r="BV231" s="1"/>
      <c r="BW231" s="1"/>
      <c r="BX231" s="1"/>
      <c r="BY231" s="1"/>
      <c r="BZ231" s="1"/>
      <c r="CA231" s="1"/>
    </row>
    <row r="232" spans="1:79" ht="12.75" hidden="1" customHeight="1">
      <c r="A232" s="17"/>
      <c r="B232" s="1448" t="s">
        <v>1137</v>
      </c>
      <c r="C232" s="921"/>
      <c r="D232" s="921"/>
      <c r="E232" s="921"/>
      <c r="F232" s="921"/>
      <c r="G232" s="971"/>
      <c r="H232" s="1"/>
      <c r="I232" s="1070"/>
      <c r="J232" s="921"/>
      <c r="K232" s="971"/>
      <c r="L232" s="427"/>
      <c r="M232" s="1"/>
      <c r="N232" s="1360"/>
      <c r="O232" s="921"/>
      <c r="P232" s="921"/>
      <c r="Q232" s="921"/>
      <c r="R232" s="971"/>
      <c r="S232" s="1"/>
      <c r="T232" s="1371"/>
      <c r="U232" s="968"/>
      <c r="V232" s="968"/>
      <c r="W232" s="968"/>
      <c r="X232" s="968"/>
      <c r="Y232" s="969"/>
      <c r="Z232" s="226"/>
      <c r="AA232" s="226"/>
      <c r="AB232" s="1439">
        <f t="shared" si="1"/>
        <v>0</v>
      </c>
      <c r="AC232" s="961"/>
      <c r="AD232" s="961"/>
      <c r="AE232" s="961"/>
      <c r="AF232" s="961"/>
      <c r="AG232" s="961"/>
      <c r="AH232" s="433"/>
      <c r="AI232" s="433"/>
      <c r="AJ232" s="433"/>
      <c r="AK232" s="33"/>
      <c r="AL232" s="1"/>
      <c r="AM232" s="1"/>
      <c r="AN232" s="345"/>
      <c r="AO232" s="203"/>
      <c r="AP232" s="1"/>
      <c r="AQ232" s="1"/>
      <c r="AR232" s="1"/>
      <c r="AS232" s="1"/>
      <c r="AT232" s="1"/>
      <c r="AU232" s="1"/>
      <c r="AV232" s="1"/>
      <c r="AW232" s="1"/>
      <c r="AX232" s="1"/>
      <c r="AY232" s="1"/>
      <c r="AZ232" s="1"/>
      <c r="BA232" s="1"/>
      <c r="BB232" s="1"/>
      <c r="BC232" s="1"/>
      <c r="BD232" s="126"/>
      <c r="BE232" s="126"/>
      <c r="BF232" s="126"/>
      <c r="BG232" s="126"/>
      <c r="BH232" s="126"/>
      <c r="BI232" s="1"/>
      <c r="BJ232" s="1"/>
      <c r="BK232" s="1"/>
      <c r="BL232" s="1"/>
      <c r="BM232" s="1"/>
      <c r="BN232" s="1"/>
      <c r="BO232" s="1"/>
      <c r="BP232" s="1"/>
      <c r="BQ232" s="1"/>
      <c r="BR232" s="1"/>
      <c r="BS232" s="1"/>
      <c r="BT232" s="1"/>
      <c r="BU232" s="1"/>
      <c r="BV232" s="1"/>
      <c r="BW232" s="1"/>
      <c r="BX232" s="1"/>
      <c r="BY232" s="1"/>
      <c r="BZ232" s="1"/>
      <c r="CA232" s="1"/>
    </row>
    <row r="233" spans="1:79" ht="12.75" hidden="1" customHeight="1">
      <c r="A233" s="17"/>
      <c r="B233" s="1"/>
      <c r="C233" s="405"/>
      <c r="D233" s="1"/>
      <c r="E233" s="1"/>
      <c r="F233" s="1"/>
      <c r="G233" s="1"/>
      <c r="H233" s="1"/>
      <c r="I233" s="1"/>
      <c r="J233" s="1"/>
      <c r="K233" s="1"/>
      <c r="L233" s="1"/>
      <c r="M233" s="1"/>
      <c r="N233" s="1"/>
      <c r="O233" s="1"/>
      <c r="P233" s="1"/>
      <c r="Q233" s="1"/>
      <c r="R233" s="1"/>
      <c r="S233" s="1"/>
      <c r="T233" s="1"/>
      <c r="U233" s="1"/>
      <c r="V233" s="1"/>
      <c r="W233" s="1"/>
      <c r="X233" s="1"/>
      <c r="Y233" s="33" t="s">
        <v>2015</v>
      </c>
      <c r="Z233" s="1"/>
      <c r="AA233" s="33"/>
      <c r="AB233" s="1438">
        <f>SUM(AB223:AB232)</f>
        <v>0</v>
      </c>
      <c r="AC233" s="893"/>
      <c r="AD233" s="893"/>
      <c r="AE233" s="893"/>
      <c r="AF233" s="893"/>
      <c r="AG233" s="893"/>
      <c r="AH233" s="433"/>
      <c r="AI233" s="433"/>
      <c r="AJ233" s="433"/>
      <c r="AK233" s="33"/>
      <c r="AL233" s="1"/>
      <c r="AM233" s="1"/>
      <c r="AN233" s="345"/>
      <c r="AO233" s="203"/>
      <c r="AP233" s="1"/>
      <c r="AQ233" s="1"/>
      <c r="AR233" s="1"/>
      <c r="AS233" s="1"/>
      <c r="AT233" s="1"/>
      <c r="AU233" s="1"/>
      <c r="AV233" s="1"/>
      <c r="AW233" s="1"/>
      <c r="AX233" s="1"/>
      <c r="AY233" s="1"/>
      <c r="AZ233" s="1"/>
      <c r="BA233" s="1"/>
      <c r="BB233" s="1"/>
      <c r="BC233" s="1"/>
      <c r="BD233" s="126"/>
      <c r="BE233" s="126"/>
      <c r="BF233" s="126"/>
      <c r="BG233" s="126"/>
      <c r="BH233" s="126"/>
      <c r="BI233" s="1"/>
      <c r="BJ233" s="1"/>
      <c r="BK233" s="1"/>
      <c r="BL233" s="1"/>
      <c r="BM233" s="1"/>
      <c r="BN233" s="1"/>
      <c r="BO233" s="1"/>
      <c r="BP233" s="1"/>
      <c r="BQ233" s="1"/>
      <c r="BR233" s="1"/>
      <c r="BS233" s="1"/>
      <c r="BT233" s="1"/>
      <c r="BU233" s="1"/>
      <c r="BV233" s="1"/>
      <c r="BW233" s="1"/>
      <c r="BX233" s="1"/>
      <c r="BY233" s="1"/>
      <c r="BZ233" s="1"/>
      <c r="CA233" s="1"/>
    </row>
    <row r="234" spans="1:79" ht="12.75" hidden="1" customHeight="1">
      <c r="A234" s="17"/>
      <c r="B234" s="17"/>
      <c r="C234" s="41"/>
      <c r="D234" s="433"/>
      <c r="E234" s="433"/>
      <c r="F234" s="433"/>
      <c r="G234" s="433"/>
      <c r="H234" s="433"/>
      <c r="I234" s="433"/>
      <c r="J234" s="433"/>
      <c r="K234" s="117"/>
      <c r="L234" s="117"/>
      <c r="M234" s="117"/>
      <c r="N234" s="117"/>
      <c r="O234" s="117"/>
      <c r="P234" s="117"/>
      <c r="Q234" s="117"/>
      <c r="R234" s="117"/>
      <c r="S234" s="117"/>
      <c r="T234" s="117"/>
      <c r="U234" s="117"/>
      <c r="V234" s="117"/>
      <c r="W234" s="117"/>
      <c r="X234" s="117"/>
      <c r="Y234" s="11"/>
      <c r="Z234" s="11"/>
      <c r="AA234" s="11"/>
      <c r="AB234" s="11"/>
      <c r="AC234" s="117"/>
      <c r="AD234" s="117"/>
      <c r="AE234" s="33"/>
      <c r="AF234" s="33"/>
      <c r="AG234" s="33"/>
      <c r="AH234" s="33"/>
      <c r="AI234" s="33"/>
      <c r="AJ234" s="33"/>
      <c r="AK234" s="33"/>
      <c r="AL234" s="1"/>
      <c r="AM234" s="1"/>
      <c r="AN234" s="345"/>
      <c r="AO234" s="203"/>
      <c r="AP234" s="1"/>
      <c r="AQ234" s="1"/>
      <c r="AR234" s="1"/>
      <c r="AS234" s="1"/>
      <c r="AT234" s="1"/>
      <c r="AU234" s="1"/>
      <c r="AV234" s="1"/>
      <c r="AW234" s="1"/>
      <c r="AX234" s="1"/>
      <c r="AY234" s="1"/>
      <c r="AZ234" s="1"/>
      <c r="BA234" s="1"/>
      <c r="BB234" s="1"/>
      <c r="BC234" s="1"/>
      <c r="BD234" s="126"/>
      <c r="BE234" s="126"/>
      <c r="BF234" s="126"/>
      <c r="BG234" s="126"/>
      <c r="BH234" s="126"/>
      <c r="BI234" s="1"/>
      <c r="BJ234" s="1"/>
      <c r="BK234" s="1"/>
      <c r="BL234" s="1"/>
      <c r="BM234" s="1"/>
      <c r="BN234" s="1"/>
      <c r="BO234" s="1"/>
      <c r="BP234" s="1"/>
      <c r="BQ234" s="1"/>
      <c r="BR234" s="1"/>
      <c r="BS234" s="1"/>
      <c r="BT234" s="1"/>
      <c r="BU234" s="1"/>
      <c r="BV234" s="1"/>
      <c r="BW234" s="1"/>
      <c r="BX234" s="1"/>
      <c r="BY234" s="1"/>
      <c r="BZ234" s="1"/>
      <c r="CA234" s="1"/>
    </row>
    <row r="235" spans="1:79" ht="12.75" hidden="1" customHeight="1">
      <c r="A235" s="62" t="s">
        <v>2016</v>
      </c>
      <c r="B235" s="1"/>
      <c r="C235" s="41"/>
      <c r="D235" s="433"/>
      <c r="E235" s="433"/>
      <c r="F235" s="433"/>
      <c r="G235" s="433"/>
      <c r="H235" s="433"/>
      <c r="I235" s="433"/>
      <c r="J235" s="433"/>
      <c r="K235" s="1"/>
      <c r="L235" s="1"/>
      <c r="M235" s="1"/>
      <c r="N235" s="1"/>
      <c r="O235" s="1"/>
      <c r="P235" s="1"/>
      <c r="Q235" s="1"/>
      <c r="R235" s="1"/>
      <c r="S235" s="1"/>
      <c r="T235" s="1"/>
      <c r="U235" s="1"/>
      <c r="V235" s="1"/>
      <c r="W235" s="1"/>
      <c r="X235" s="1"/>
      <c r="Y235" s="11"/>
      <c r="Z235" s="11"/>
      <c r="AA235" s="11"/>
      <c r="AB235" s="11"/>
      <c r="AC235" s="1"/>
      <c r="AD235" s="1"/>
      <c r="AE235" s="33"/>
      <c r="AF235" s="33"/>
      <c r="AG235" s="33"/>
      <c r="AH235" s="33"/>
      <c r="AI235" s="33"/>
      <c r="AJ235" s="33"/>
      <c r="AK235" s="33"/>
      <c r="AL235" s="1"/>
      <c r="AM235" s="1"/>
      <c r="AN235" s="345"/>
      <c r="AO235" s="203"/>
      <c r="AP235" s="1"/>
      <c r="AQ235" s="1"/>
      <c r="AR235" s="1"/>
      <c r="AS235" s="1"/>
      <c r="AT235" s="1"/>
      <c r="AU235" s="1"/>
      <c r="AV235" s="1"/>
      <c r="AW235" s="1"/>
      <c r="AX235" s="1"/>
      <c r="AY235" s="1"/>
      <c r="AZ235" s="1"/>
      <c r="BA235" s="1"/>
      <c r="BB235" s="1"/>
      <c r="BC235" s="1"/>
      <c r="BD235" s="126"/>
      <c r="BE235" s="126"/>
      <c r="BF235" s="126"/>
      <c r="BG235" s="126"/>
      <c r="BH235" s="126"/>
      <c r="BI235" s="1"/>
      <c r="BJ235" s="1"/>
      <c r="BK235" s="1"/>
      <c r="BL235" s="1"/>
      <c r="BM235" s="1"/>
      <c r="BN235" s="1"/>
      <c r="BO235" s="1"/>
      <c r="BP235" s="1"/>
      <c r="BQ235" s="1"/>
      <c r="BR235" s="1"/>
      <c r="BS235" s="1"/>
      <c r="BT235" s="1"/>
      <c r="BU235" s="1"/>
      <c r="BV235" s="1"/>
      <c r="BW235" s="1"/>
      <c r="BX235" s="1"/>
      <c r="BY235" s="1"/>
      <c r="BZ235" s="1"/>
      <c r="CA235" s="1"/>
    </row>
    <row r="236" spans="1:79" ht="12.75" hidden="1" customHeight="1">
      <c r="A236" s="17"/>
      <c r="B236" s="1" t="s">
        <v>2017</v>
      </c>
      <c r="C236" s="41"/>
      <c r="D236" s="433"/>
      <c r="E236" s="433"/>
      <c r="F236" s="433"/>
      <c r="G236" s="433"/>
      <c r="H236" s="433"/>
      <c r="I236" s="433"/>
      <c r="J236" s="433"/>
      <c r="K236" s="1"/>
      <c r="L236" s="1"/>
      <c r="M236" s="1"/>
      <c r="N236" s="1"/>
      <c r="O236" s="1"/>
      <c r="P236" s="1"/>
      <c r="Q236" s="1"/>
      <c r="R236" s="1"/>
      <c r="S236" s="1"/>
      <c r="T236" s="1"/>
      <c r="U236" s="1"/>
      <c r="V236" s="1"/>
      <c r="W236" s="1"/>
      <c r="X236" s="1"/>
      <c r="Y236" s="11"/>
      <c r="Z236" s="11"/>
      <c r="AA236" s="11"/>
      <c r="AB236" s="11"/>
      <c r="AC236" s="1"/>
      <c r="AD236" s="1"/>
      <c r="AE236" s="33"/>
      <c r="AF236" s="33"/>
      <c r="AG236" s="33"/>
      <c r="AH236" s="33"/>
      <c r="AI236" s="33"/>
      <c r="AJ236" s="33"/>
      <c r="AK236" s="33"/>
      <c r="AL236" s="1"/>
      <c r="AM236" s="1"/>
      <c r="AN236" s="345"/>
      <c r="AO236" s="203"/>
      <c r="AP236" s="1"/>
      <c r="AQ236" s="1"/>
      <c r="AR236" s="1"/>
      <c r="AS236" s="1"/>
      <c r="AT236" s="1"/>
      <c r="AU236" s="1"/>
      <c r="AV236" s="1"/>
      <c r="AW236" s="1"/>
      <c r="AX236" s="1"/>
      <c r="AY236" s="1"/>
      <c r="AZ236" s="1"/>
      <c r="BA236" s="1"/>
      <c r="BB236" s="1"/>
      <c r="BC236" s="1"/>
      <c r="BD236" s="126"/>
      <c r="BE236" s="126"/>
      <c r="BF236" s="126"/>
      <c r="BG236" s="126"/>
      <c r="BH236" s="126"/>
      <c r="BI236" s="1"/>
      <c r="BJ236" s="1"/>
      <c r="BK236" s="1"/>
      <c r="BL236" s="1"/>
      <c r="BM236" s="1"/>
      <c r="BN236" s="1"/>
      <c r="BO236" s="1"/>
      <c r="BP236" s="1"/>
      <c r="BQ236" s="1"/>
      <c r="BR236" s="1"/>
      <c r="BS236" s="1"/>
      <c r="BT236" s="1"/>
      <c r="BU236" s="1"/>
      <c r="BV236" s="1"/>
      <c r="BW236" s="1"/>
      <c r="BX236" s="1"/>
      <c r="BY236" s="1"/>
      <c r="BZ236" s="1"/>
      <c r="CA236" s="1"/>
    </row>
    <row r="237" spans="1:79" ht="12.75" hidden="1" customHeight="1">
      <c r="A237" s="17"/>
      <c r="B237" s="1"/>
      <c r="C237" s="41"/>
      <c r="D237" s="433"/>
      <c r="E237" s="433"/>
      <c r="F237" s="433"/>
      <c r="G237" s="433"/>
      <c r="H237" s="433"/>
      <c r="I237" s="433"/>
      <c r="J237" s="433"/>
      <c r="K237" s="1"/>
      <c r="L237" s="1"/>
      <c r="M237" s="1"/>
      <c r="N237" s="1"/>
      <c r="O237" s="1"/>
      <c r="P237" s="1"/>
      <c r="Q237" s="1"/>
      <c r="R237" s="1"/>
      <c r="S237" s="1"/>
      <c r="T237" s="1"/>
      <c r="U237" s="1"/>
      <c r="V237" s="1"/>
      <c r="W237" s="1"/>
      <c r="X237" s="1"/>
      <c r="Y237" s="11"/>
      <c r="Z237" s="11"/>
      <c r="AA237" s="11"/>
      <c r="AB237" s="11"/>
      <c r="AC237" s="1"/>
      <c r="AD237" s="1"/>
      <c r="AE237" s="33"/>
      <c r="AF237" s="33"/>
      <c r="AG237" s="33"/>
      <c r="AH237" s="33"/>
      <c r="AI237" s="33"/>
      <c r="AJ237" s="33"/>
      <c r="AK237" s="33"/>
      <c r="AL237" s="1"/>
      <c r="AM237" s="1"/>
      <c r="AN237" s="345"/>
      <c r="AO237" s="203"/>
      <c r="AP237" s="1"/>
      <c r="AQ237" s="1"/>
      <c r="AR237" s="1"/>
      <c r="AS237" s="1"/>
      <c r="AT237" s="1"/>
      <c r="AU237" s="1"/>
      <c r="AV237" s="1"/>
      <c r="AW237" s="1"/>
      <c r="AX237" s="1"/>
      <c r="AY237" s="1"/>
      <c r="AZ237" s="1"/>
      <c r="BA237" s="1"/>
      <c r="BB237" s="1"/>
      <c r="BC237" s="1"/>
      <c r="BD237" s="126"/>
      <c r="BE237" s="126"/>
      <c r="BF237" s="126"/>
      <c r="BG237" s="126"/>
      <c r="BH237" s="126"/>
      <c r="BI237" s="1"/>
      <c r="BJ237" s="1"/>
      <c r="BK237" s="1"/>
      <c r="BL237" s="1"/>
      <c r="BM237" s="1"/>
      <c r="BN237" s="1"/>
      <c r="BO237" s="1"/>
      <c r="BP237" s="1"/>
      <c r="BQ237" s="1"/>
      <c r="BR237" s="1"/>
      <c r="BS237" s="1"/>
      <c r="BT237" s="1"/>
      <c r="BU237" s="1"/>
      <c r="BV237" s="1"/>
      <c r="BW237" s="1"/>
      <c r="BX237" s="1"/>
      <c r="BY237" s="1"/>
      <c r="BZ237" s="1"/>
      <c r="CA237" s="1"/>
    </row>
    <row r="238" spans="1:79" ht="12.75" hidden="1" customHeight="1">
      <c r="A238" s="17"/>
      <c r="B238" s="14" t="s">
        <v>2019</v>
      </c>
      <c r="C238" s="41"/>
      <c r="D238" s="433"/>
      <c r="E238" s="433"/>
      <c r="F238" s="433"/>
      <c r="G238" s="433"/>
      <c r="H238" s="433"/>
      <c r="I238" s="433"/>
      <c r="J238" s="433"/>
      <c r="K238" s="1"/>
      <c r="L238" s="1"/>
      <c r="M238" s="1"/>
      <c r="N238" s="1"/>
      <c r="O238" s="1"/>
      <c r="P238" s="1"/>
      <c r="Q238" s="1"/>
      <c r="R238" s="1"/>
      <c r="S238" s="1"/>
      <c r="T238" s="1"/>
      <c r="U238" s="1"/>
      <c r="V238" s="1"/>
      <c r="W238" s="1"/>
      <c r="X238" s="1"/>
      <c r="Y238" s="11"/>
      <c r="Z238" s="11"/>
      <c r="AA238" s="11"/>
      <c r="AB238" s="11"/>
      <c r="AC238" s="1"/>
      <c r="AD238" s="1"/>
      <c r="AE238" s="33"/>
      <c r="AF238" s="33"/>
      <c r="AG238" s="33"/>
      <c r="AH238" s="33"/>
      <c r="AI238" s="33"/>
      <c r="AJ238" s="33"/>
      <c r="AK238" s="33"/>
      <c r="AL238" s="1"/>
      <c r="AM238" s="1"/>
      <c r="AN238" s="345"/>
      <c r="AO238" s="203"/>
      <c r="AP238" s="1"/>
      <c r="AQ238" s="1"/>
      <c r="AR238" s="1"/>
      <c r="AS238" s="1"/>
      <c r="AT238" s="1"/>
      <c r="AU238" s="1"/>
      <c r="AV238" s="1"/>
      <c r="AW238" s="1"/>
      <c r="AX238" s="1"/>
      <c r="AY238" s="1"/>
      <c r="AZ238" s="1"/>
      <c r="BA238" s="1"/>
      <c r="BB238" s="1"/>
      <c r="BC238" s="1"/>
      <c r="BD238" s="126"/>
      <c r="BE238" s="126"/>
      <c r="BF238" s="126"/>
      <c r="BG238" s="126"/>
      <c r="BH238" s="126"/>
      <c r="BI238" s="1"/>
      <c r="BJ238" s="1"/>
      <c r="BK238" s="1"/>
      <c r="BL238" s="1"/>
      <c r="BM238" s="1"/>
      <c r="BN238" s="1"/>
      <c r="BO238" s="1"/>
      <c r="BP238" s="1"/>
      <c r="BQ238" s="1"/>
      <c r="BR238" s="1"/>
      <c r="BS238" s="1"/>
      <c r="BT238" s="1"/>
      <c r="BU238" s="1"/>
      <c r="BV238" s="1"/>
      <c r="BW238" s="1"/>
      <c r="BX238" s="1"/>
      <c r="BY238" s="1"/>
      <c r="BZ238" s="1"/>
      <c r="CA238" s="1"/>
    </row>
    <row r="239" spans="1:79" ht="12.75" hidden="1" customHeight="1">
      <c r="A239" s="17"/>
      <c r="B239" s="14" t="s">
        <v>2020</v>
      </c>
      <c r="C239" s="41"/>
      <c r="D239" s="433"/>
      <c r="E239" s="433"/>
      <c r="F239" s="433"/>
      <c r="G239" s="433"/>
      <c r="H239" s="433"/>
      <c r="I239" s="433"/>
      <c r="J239" s="433"/>
      <c r="K239" s="1"/>
      <c r="L239" s="1"/>
      <c r="M239" s="1"/>
      <c r="N239" s="1"/>
      <c r="O239" s="1"/>
      <c r="P239" s="1"/>
      <c r="Q239" s="1"/>
      <c r="R239" s="1"/>
      <c r="S239" s="1"/>
      <c r="T239" s="1"/>
      <c r="U239" s="1"/>
      <c r="V239" s="1"/>
      <c r="W239" s="1"/>
      <c r="X239" s="1"/>
      <c r="Y239" s="11"/>
      <c r="Z239" s="11"/>
      <c r="AA239" s="11"/>
      <c r="AB239" s="1012"/>
      <c r="AC239" s="968"/>
      <c r="AD239" s="968"/>
      <c r="AE239" s="968"/>
      <c r="AF239" s="968"/>
      <c r="AG239" s="969"/>
      <c r="AH239" s="33"/>
      <c r="AI239" s="33"/>
      <c r="AJ239" s="33"/>
      <c r="AK239" s="33"/>
      <c r="AL239" s="1"/>
      <c r="AM239" s="1"/>
      <c r="AN239" s="345"/>
      <c r="AO239" s="203"/>
      <c r="AP239" s="1"/>
      <c r="AQ239" s="1"/>
      <c r="AR239" s="1"/>
      <c r="AS239" s="1"/>
      <c r="AT239" s="1"/>
      <c r="AU239" s="1"/>
      <c r="AV239" s="1"/>
      <c r="AW239" s="1"/>
      <c r="AX239" s="1"/>
      <c r="AY239" s="1"/>
      <c r="AZ239" s="1"/>
      <c r="BA239" s="1"/>
      <c r="BB239" s="1"/>
      <c r="BC239" s="1"/>
      <c r="BD239" s="126"/>
      <c r="BE239" s="126"/>
      <c r="BF239" s="126"/>
      <c r="BG239" s="126"/>
      <c r="BH239" s="126"/>
      <c r="BI239" s="1"/>
      <c r="BJ239" s="1"/>
      <c r="BK239" s="1"/>
      <c r="BL239" s="1"/>
      <c r="BM239" s="1"/>
      <c r="BN239" s="1"/>
      <c r="BO239" s="1"/>
      <c r="BP239" s="1"/>
      <c r="BQ239" s="1"/>
      <c r="BR239" s="1"/>
      <c r="BS239" s="1"/>
      <c r="BT239" s="1"/>
      <c r="BU239" s="1"/>
      <c r="BV239" s="1"/>
      <c r="BW239" s="1"/>
      <c r="BX239" s="1"/>
      <c r="BY239" s="1"/>
      <c r="BZ239" s="1"/>
      <c r="CA239" s="1"/>
    </row>
    <row r="240" spans="1:79" ht="12.75" hidden="1" customHeight="1">
      <c r="A240" s="17"/>
      <c r="B240" s="213" t="s">
        <v>2021</v>
      </c>
      <c r="C240" s="14"/>
      <c r="D240" s="463"/>
      <c r="E240" s="433"/>
      <c r="F240" s="433"/>
      <c r="G240" s="433"/>
      <c r="H240" s="433"/>
      <c r="I240" s="433"/>
      <c r="J240" s="433"/>
      <c r="K240" s="1"/>
      <c r="L240" s="1"/>
      <c r="M240" s="1"/>
      <c r="N240" s="1"/>
      <c r="O240" s="1"/>
      <c r="P240" s="1"/>
      <c r="Q240" s="1"/>
      <c r="R240" s="1"/>
      <c r="S240" s="1"/>
      <c r="T240" s="1"/>
      <c r="U240" s="1"/>
      <c r="V240" s="1"/>
      <c r="W240" s="1"/>
      <c r="X240" s="1"/>
      <c r="Y240" s="11"/>
      <c r="Z240" s="11"/>
      <c r="AA240" s="11"/>
      <c r="AB240" s="11"/>
      <c r="AC240" s="1"/>
      <c r="AD240" s="1"/>
      <c r="AE240" s="33"/>
      <c r="AF240" s="33"/>
      <c r="AG240" s="33"/>
      <c r="AH240" s="33"/>
      <c r="AI240" s="33"/>
      <c r="AJ240" s="33"/>
      <c r="AK240" s="33"/>
      <c r="AL240" s="1"/>
      <c r="AM240" s="1"/>
      <c r="AN240" s="345"/>
      <c r="AO240" s="203"/>
      <c r="AP240" s="1"/>
      <c r="AQ240" s="1"/>
      <c r="AR240" s="1"/>
      <c r="AS240" s="1"/>
      <c r="AT240" s="1"/>
      <c r="AU240" s="1"/>
      <c r="AV240" s="1"/>
      <c r="AW240" s="1"/>
      <c r="AX240" s="1"/>
      <c r="AY240" s="1"/>
      <c r="AZ240" s="1"/>
      <c r="BA240" s="1"/>
      <c r="BB240" s="1"/>
      <c r="BC240" s="1"/>
      <c r="BD240" s="126"/>
      <c r="BE240" s="126"/>
      <c r="BF240" s="126"/>
      <c r="BG240" s="126"/>
      <c r="BH240" s="126"/>
      <c r="BI240" s="1"/>
      <c r="BJ240" s="1"/>
      <c r="BK240" s="1"/>
      <c r="BL240" s="1"/>
      <c r="BM240" s="1"/>
      <c r="BN240" s="1"/>
      <c r="BO240" s="1"/>
      <c r="BP240" s="1"/>
      <c r="BQ240" s="1"/>
      <c r="BR240" s="1"/>
      <c r="BS240" s="1"/>
      <c r="BT240" s="1"/>
      <c r="BU240" s="1"/>
      <c r="BV240" s="1"/>
      <c r="BW240" s="1"/>
      <c r="BX240" s="1"/>
      <c r="BY240" s="1"/>
      <c r="BZ240" s="1"/>
      <c r="CA240" s="1"/>
    </row>
    <row r="241" spans="1:79" ht="12.75" hidden="1" customHeight="1">
      <c r="A241" s="17"/>
      <c r="B241" s="41" t="s">
        <v>2023</v>
      </c>
      <c r="C241" s="41"/>
      <c r="D241" s="433"/>
      <c r="E241" s="433"/>
      <c r="F241" s="433"/>
      <c r="G241" s="433"/>
      <c r="H241" s="433"/>
      <c r="I241" s="433"/>
      <c r="J241" s="433"/>
      <c r="K241" s="1"/>
      <c r="L241" s="1"/>
      <c r="M241" s="1"/>
      <c r="N241" s="1"/>
      <c r="O241" s="1"/>
      <c r="P241" s="1"/>
      <c r="Q241" s="1"/>
      <c r="R241" s="1"/>
      <c r="S241" s="1"/>
      <c r="T241" s="1"/>
      <c r="U241" s="1"/>
      <c r="V241" s="1"/>
      <c r="W241" s="1"/>
      <c r="X241" s="1"/>
      <c r="Y241" s="11"/>
      <c r="Z241" s="11"/>
      <c r="AA241" s="11"/>
      <c r="AB241" s="11"/>
      <c r="AC241" s="1"/>
      <c r="AD241" s="1"/>
      <c r="AE241" s="33"/>
      <c r="AF241" s="33"/>
      <c r="AG241" s="33"/>
      <c r="AH241" s="33"/>
      <c r="AI241" s="33"/>
      <c r="AJ241" s="33"/>
      <c r="AK241" s="33"/>
      <c r="AL241" s="1"/>
      <c r="AM241" s="1"/>
      <c r="AN241" s="345"/>
      <c r="AO241" s="203"/>
      <c r="AP241" s="1"/>
      <c r="AQ241" s="1"/>
      <c r="AR241" s="1"/>
      <c r="AS241" s="1"/>
      <c r="AT241" s="1"/>
      <c r="AU241" s="1"/>
      <c r="AV241" s="1"/>
      <c r="AW241" s="1"/>
      <c r="AX241" s="1"/>
      <c r="AY241" s="1"/>
      <c r="AZ241" s="1"/>
      <c r="BA241" s="1"/>
      <c r="BB241" s="1"/>
      <c r="BC241" s="1"/>
      <c r="BD241" s="126"/>
      <c r="BE241" s="126"/>
      <c r="BF241" s="126"/>
      <c r="BG241" s="126"/>
      <c r="BH241" s="126"/>
      <c r="BI241" s="1"/>
      <c r="BJ241" s="1"/>
      <c r="BK241" s="1"/>
      <c r="BL241" s="1"/>
      <c r="BM241" s="1"/>
      <c r="BN241" s="1"/>
      <c r="BO241" s="1"/>
      <c r="BP241" s="1"/>
      <c r="BQ241" s="1"/>
      <c r="BR241" s="1"/>
      <c r="BS241" s="1"/>
      <c r="BT241" s="1"/>
      <c r="BU241" s="1"/>
      <c r="BV241" s="1"/>
      <c r="BW241" s="1"/>
      <c r="BX241" s="1"/>
      <c r="BY241" s="1"/>
      <c r="BZ241" s="1"/>
      <c r="CA241" s="1"/>
    </row>
    <row r="242" spans="1:79" ht="12.75" hidden="1" customHeight="1">
      <c r="A242" s="17"/>
      <c r="B242" s="41" t="s">
        <v>2024</v>
      </c>
      <c r="C242" s="41"/>
      <c r="D242" s="433"/>
      <c r="E242" s="433"/>
      <c r="F242" s="433"/>
      <c r="G242" s="433"/>
      <c r="H242" s="433"/>
      <c r="I242" s="433"/>
      <c r="J242" s="433"/>
      <c r="K242" s="1"/>
      <c r="L242" s="1"/>
      <c r="M242" s="1"/>
      <c r="N242" s="1"/>
      <c r="O242" s="1"/>
      <c r="P242" s="1"/>
      <c r="Q242" s="1"/>
      <c r="R242" s="1"/>
      <c r="S242" s="1"/>
      <c r="T242" s="1"/>
      <c r="U242" s="1"/>
      <c r="V242" s="1"/>
      <c r="W242" s="1"/>
      <c r="X242" s="1"/>
      <c r="Y242" s="11"/>
      <c r="Z242" s="11"/>
      <c r="AA242" s="11"/>
      <c r="AB242" s="1012"/>
      <c r="AC242" s="968"/>
      <c r="AD242" s="968"/>
      <c r="AE242" s="968"/>
      <c r="AF242" s="968"/>
      <c r="AG242" s="969"/>
      <c r="AH242" s="33"/>
      <c r="AI242" s="33"/>
      <c r="AJ242" s="33"/>
      <c r="AK242" s="33"/>
      <c r="AL242" s="1"/>
      <c r="AM242" s="1"/>
      <c r="AN242" s="345"/>
      <c r="AO242" s="203"/>
      <c r="AP242" s="1"/>
      <c r="AQ242" s="1"/>
      <c r="AR242" s="1"/>
      <c r="AS242" s="1"/>
      <c r="AT242" s="1"/>
      <c r="AU242" s="1"/>
      <c r="AV242" s="1"/>
      <c r="AW242" s="1"/>
      <c r="AX242" s="1"/>
      <c r="AY242" s="1"/>
      <c r="AZ242" s="1"/>
      <c r="BA242" s="1"/>
      <c r="BB242" s="1"/>
      <c r="BC242" s="1"/>
      <c r="BD242" s="126"/>
      <c r="BE242" s="126"/>
      <c r="BF242" s="126"/>
      <c r="BG242" s="126"/>
      <c r="BH242" s="126"/>
      <c r="BI242" s="1"/>
      <c r="BJ242" s="1"/>
      <c r="BK242" s="1"/>
      <c r="BL242" s="1"/>
      <c r="BM242" s="1"/>
      <c r="BN242" s="1"/>
      <c r="BO242" s="1"/>
      <c r="BP242" s="1"/>
      <c r="BQ242" s="1"/>
      <c r="BR242" s="1"/>
      <c r="BS242" s="1"/>
      <c r="BT242" s="1"/>
      <c r="BU242" s="1"/>
      <c r="BV242" s="1"/>
      <c r="BW242" s="1"/>
      <c r="BX242" s="1"/>
      <c r="BY242" s="1"/>
      <c r="BZ242" s="1"/>
      <c r="CA242" s="1"/>
    </row>
    <row r="243" spans="1:79" ht="12.75" hidden="1" customHeight="1">
      <c r="A243" s="17"/>
      <c r="B243" s="41" t="s">
        <v>2025</v>
      </c>
      <c r="C243" s="41"/>
      <c r="D243" s="433"/>
      <c r="E243" s="433"/>
      <c r="F243" s="433"/>
      <c r="G243" s="433"/>
      <c r="H243" s="433"/>
      <c r="I243" s="433"/>
      <c r="J243" s="433"/>
      <c r="K243" s="1"/>
      <c r="L243" s="1"/>
      <c r="M243" s="1"/>
      <c r="N243" s="1"/>
      <c r="O243" s="1"/>
      <c r="P243" s="1"/>
      <c r="Q243" s="1"/>
      <c r="R243" s="1"/>
      <c r="S243" s="1"/>
      <c r="T243" s="1"/>
      <c r="U243" s="1"/>
      <c r="V243" s="1"/>
      <c r="W243" s="1"/>
      <c r="X243" s="1"/>
      <c r="Y243" s="11"/>
      <c r="Z243" s="11"/>
      <c r="AA243" s="11"/>
      <c r="AB243" s="1480"/>
      <c r="AC243" s="968"/>
      <c r="AD243" s="968"/>
      <c r="AE243" s="968"/>
      <c r="AF243" s="968"/>
      <c r="AG243" s="969"/>
      <c r="AH243" s="33"/>
      <c r="AI243" s="33"/>
      <c r="AJ243" s="33"/>
      <c r="AK243" s="33"/>
      <c r="AL243" s="1"/>
      <c r="AM243" s="1"/>
      <c r="AN243" s="345"/>
      <c r="AO243" s="203"/>
      <c r="AP243" s="1"/>
      <c r="AQ243" s="1"/>
      <c r="AR243" s="1"/>
      <c r="AS243" s="1"/>
      <c r="AT243" s="1"/>
      <c r="AU243" s="1"/>
      <c r="AV243" s="1"/>
      <c r="AW243" s="1"/>
      <c r="AX243" s="1"/>
      <c r="AY243" s="1"/>
      <c r="AZ243" s="1"/>
      <c r="BA243" s="1"/>
      <c r="BB243" s="1"/>
      <c r="BC243" s="1"/>
      <c r="BD243" s="126"/>
      <c r="BE243" s="126"/>
      <c r="BF243" s="126"/>
      <c r="BG243" s="126"/>
      <c r="BH243" s="126"/>
      <c r="BI243" s="1"/>
      <c r="BJ243" s="1"/>
      <c r="BK243" s="1"/>
      <c r="BL243" s="1"/>
      <c r="BM243" s="1"/>
      <c r="BN243" s="1"/>
      <c r="BO243" s="1"/>
      <c r="BP243" s="1"/>
      <c r="BQ243" s="1"/>
      <c r="BR243" s="1"/>
      <c r="BS243" s="1"/>
      <c r="BT243" s="1"/>
      <c r="BU243" s="1"/>
      <c r="BV243" s="1"/>
      <c r="BW243" s="1"/>
      <c r="BX243" s="1"/>
      <c r="BY243" s="1"/>
      <c r="BZ243" s="1"/>
      <c r="CA243" s="1"/>
    </row>
    <row r="244" spans="1:79" ht="12.75" hidden="1" customHeight="1">
      <c r="A244" s="17"/>
      <c r="B244" s="41" t="s">
        <v>2026</v>
      </c>
      <c r="C244" s="41"/>
      <c r="D244" s="433"/>
      <c r="E244" s="433"/>
      <c r="F244" s="433"/>
      <c r="G244" s="433"/>
      <c r="H244" s="433"/>
      <c r="I244" s="433"/>
      <c r="J244" s="433"/>
      <c r="K244" s="1"/>
      <c r="L244" s="1"/>
      <c r="M244" s="1"/>
      <c r="N244" s="1"/>
      <c r="O244" s="1"/>
      <c r="P244" s="1"/>
      <c r="Q244" s="1"/>
      <c r="R244" s="1"/>
      <c r="S244" s="1"/>
      <c r="T244" s="1"/>
      <c r="U244" s="1"/>
      <c r="V244" s="1"/>
      <c r="W244" s="1"/>
      <c r="X244" s="1"/>
      <c r="Y244" s="11"/>
      <c r="Z244" s="11"/>
      <c r="AA244" s="11"/>
      <c r="AB244" s="1009">
        <f>IFERROR(AB242/AB243,0)</f>
        <v>0</v>
      </c>
      <c r="AC244" s="921"/>
      <c r="AD244" s="921"/>
      <c r="AE244" s="921"/>
      <c r="AF244" s="921"/>
      <c r="AG244" s="921"/>
      <c r="AH244" s="33"/>
      <c r="AI244" s="33"/>
      <c r="AJ244" s="33"/>
      <c r="AK244" s="33"/>
      <c r="AL244" s="1"/>
      <c r="AM244" s="1"/>
      <c r="AN244" s="345"/>
      <c r="AO244" s="203"/>
      <c r="AP244" s="1"/>
      <c r="AQ244" s="1"/>
      <c r="AR244" s="1"/>
      <c r="AS244" s="1"/>
      <c r="AT244" s="1"/>
      <c r="AU244" s="1"/>
      <c r="AV244" s="1"/>
      <c r="AW244" s="1"/>
      <c r="AX244" s="1"/>
      <c r="AY244" s="1"/>
      <c r="AZ244" s="1"/>
      <c r="BA244" s="1"/>
      <c r="BB244" s="1"/>
      <c r="BC244" s="1"/>
      <c r="BD244" s="126"/>
      <c r="BE244" s="126"/>
      <c r="BF244" s="126"/>
      <c r="BG244" s="126"/>
      <c r="BH244" s="126"/>
      <c r="BI244" s="1"/>
      <c r="BJ244" s="1"/>
      <c r="BK244" s="1"/>
      <c r="BL244" s="1"/>
      <c r="BM244" s="1"/>
      <c r="BN244" s="1"/>
      <c r="BO244" s="1"/>
      <c r="BP244" s="1"/>
      <c r="BQ244" s="1"/>
      <c r="BR244" s="1"/>
      <c r="BS244" s="1"/>
      <c r="BT244" s="1"/>
      <c r="BU244" s="1"/>
      <c r="BV244" s="1"/>
      <c r="BW244" s="1"/>
      <c r="BX244" s="1"/>
      <c r="BY244" s="1"/>
      <c r="BZ244" s="1"/>
      <c r="CA244" s="1"/>
    </row>
    <row r="245" spans="1:79" ht="12.75" hidden="1" customHeight="1">
      <c r="A245" s="17"/>
      <c r="B245" s="1"/>
      <c r="C245" s="41"/>
      <c r="D245" s="433"/>
      <c r="E245" s="433"/>
      <c r="F245" s="433"/>
      <c r="G245" s="433"/>
      <c r="H245" s="433"/>
      <c r="I245" s="433"/>
      <c r="J245" s="433"/>
      <c r="K245" s="1"/>
      <c r="L245" s="1"/>
      <c r="M245" s="1"/>
      <c r="N245" s="1"/>
      <c r="O245" s="1"/>
      <c r="P245" s="1"/>
      <c r="Q245" s="1"/>
      <c r="R245" s="1"/>
      <c r="S245" s="1"/>
      <c r="T245" s="1"/>
      <c r="U245" s="1"/>
      <c r="V245" s="1"/>
      <c r="W245" s="1"/>
      <c r="X245" s="1"/>
      <c r="Y245" s="11"/>
      <c r="Z245" s="11"/>
      <c r="AA245" s="11"/>
      <c r="AB245" s="11"/>
      <c r="AC245" s="1"/>
      <c r="AD245" s="1"/>
      <c r="AE245" s="33"/>
      <c r="AF245" s="33"/>
      <c r="AG245" s="33"/>
      <c r="AH245" s="33"/>
      <c r="AI245" s="33"/>
      <c r="AJ245" s="33"/>
      <c r="AK245" s="33"/>
      <c r="AL245" s="1"/>
      <c r="AM245" s="1"/>
      <c r="AN245" s="345"/>
      <c r="AO245" s="203"/>
      <c r="AP245" s="1"/>
      <c r="AQ245" s="1"/>
      <c r="AR245" s="1"/>
      <c r="AS245" s="1"/>
      <c r="AT245" s="1"/>
      <c r="AU245" s="1"/>
      <c r="AV245" s="1"/>
      <c r="AW245" s="1"/>
      <c r="AX245" s="1"/>
      <c r="AY245" s="1"/>
      <c r="AZ245" s="1"/>
      <c r="BA245" s="1"/>
      <c r="BB245" s="1"/>
      <c r="BC245" s="1"/>
      <c r="BD245" s="126"/>
      <c r="BE245" s="126"/>
      <c r="BF245" s="126"/>
      <c r="BG245" s="126"/>
      <c r="BH245" s="126"/>
      <c r="BI245" s="1"/>
      <c r="BJ245" s="1"/>
      <c r="BK245" s="1"/>
      <c r="BL245" s="1"/>
      <c r="BM245" s="1"/>
      <c r="BN245" s="1"/>
      <c r="BO245" s="1"/>
      <c r="BP245" s="1"/>
      <c r="BQ245" s="1"/>
      <c r="BR245" s="1"/>
      <c r="BS245" s="1"/>
      <c r="BT245" s="1"/>
      <c r="BU245" s="1"/>
      <c r="BV245" s="1"/>
      <c r="BW245" s="1"/>
      <c r="BX245" s="1"/>
      <c r="BY245" s="1"/>
      <c r="BZ245" s="1"/>
      <c r="CA245" s="1"/>
    </row>
    <row r="246" spans="1:79" ht="12.75" hidden="1" customHeight="1">
      <c r="A246" s="17"/>
      <c r="B246" s="1" t="s">
        <v>2028</v>
      </c>
      <c r="C246" s="41"/>
      <c r="D246" s="433"/>
      <c r="E246" s="433"/>
      <c r="F246" s="433"/>
      <c r="G246" s="433"/>
      <c r="H246" s="433"/>
      <c r="I246" s="433"/>
      <c r="J246" s="433"/>
      <c r="K246" s="1"/>
      <c r="L246" s="1"/>
      <c r="M246" s="1"/>
      <c r="N246" s="1"/>
      <c r="O246" s="1"/>
      <c r="P246" s="1"/>
      <c r="Q246" s="1"/>
      <c r="R246" s="1"/>
      <c r="S246" s="1"/>
      <c r="T246" s="1"/>
      <c r="U246" s="1"/>
      <c r="V246" s="1"/>
      <c r="W246" s="1"/>
      <c r="X246" s="1"/>
      <c r="Y246" s="11"/>
      <c r="Z246" s="11"/>
      <c r="AA246" s="11"/>
      <c r="AB246" s="1439">
        <f>MAX(AB239,AB244)</f>
        <v>0</v>
      </c>
      <c r="AC246" s="961"/>
      <c r="AD246" s="961"/>
      <c r="AE246" s="961"/>
      <c r="AF246" s="961"/>
      <c r="AG246" s="961"/>
      <c r="AH246" s="33"/>
      <c r="AI246" s="33"/>
      <c r="AJ246" s="33"/>
      <c r="AK246" s="33"/>
      <c r="AL246" s="1"/>
      <c r="AM246" s="1"/>
      <c r="AN246" s="345"/>
      <c r="AO246" s="203"/>
      <c r="AP246" s="1"/>
      <c r="AQ246" s="1"/>
      <c r="AR246" s="1"/>
      <c r="AS246" s="1"/>
      <c r="AT246" s="1"/>
      <c r="AU246" s="1"/>
      <c r="AV246" s="1"/>
      <c r="AW246" s="1"/>
      <c r="AX246" s="1"/>
      <c r="AY246" s="1"/>
      <c r="AZ246" s="1"/>
      <c r="BA246" s="1"/>
      <c r="BB246" s="1"/>
      <c r="BC246" s="1"/>
      <c r="BD246" s="126"/>
      <c r="BE246" s="126"/>
      <c r="BF246" s="126"/>
      <c r="BG246" s="126"/>
      <c r="BH246" s="126"/>
      <c r="BI246" s="1"/>
      <c r="BJ246" s="1"/>
      <c r="BK246" s="1"/>
      <c r="BL246" s="1"/>
      <c r="BM246" s="1"/>
      <c r="BN246" s="1"/>
      <c r="BO246" s="1"/>
      <c r="BP246" s="1"/>
      <c r="BQ246" s="1"/>
      <c r="BR246" s="1"/>
      <c r="BS246" s="1"/>
      <c r="BT246" s="1"/>
      <c r="BU246" s="1"/>
      <c r="BV246" s="1"/>
      <c r="BW246" s="1"/>
      <c r="BX246" s="1"/>
      <c r="BY246" s="1"/>
      <c r="BZ246" s="1"/>
      <c r="CA246" s="1"/>
    </row>
    <row r="247" spans="1:79" ht="12.75" hidden="1" customHeight="1">
      <c r="A247" s="17"/>
      <c r="B247" s="1"/>
      <c r="C247" s="41"/>
      <c r="D247" s="433"/>
      <c r="E247" s="433"/>
      <c r="F247" s="433"/>
      <c r="G247" s="433"/>
      <c r="H247" s="433"/>
      <c r="I247" s="433"/>
      <c r="J247" s="433"/>
      <c r="K247" s="1"/>
      <c r="L247" s="1"/>
      <c r="M247" s="1"/>
      <c r="N247" s="1"/>
      <c r="O247" s="1"/>
      <c r="P247" s="1"/>
      <c r="Q247" s="1"/>
      <c r="R247" s="1"/>
      <c r="S247" s="1"/>
      <c r="T247" s="1"/>
      <c r="U247" s="1"/>
      <c r="V247" s="1"/>
      <c r="W247" s="1"/>
      <c r="X247" s="1"/>
      <c r="Y247" s="11"/>
      <c r="Z247" s="11"/>
      <c r="AA247" s="11"/>
      <c r="AB247" s="11"/>
      <c r="AC247" s="1"/>
      <c r="AD247" s="1"/>
      <c r="AE247" s="33"/>
      <c r="AF247" s="33"/>
      <c r="AG247" s="33"/>
      <c r="AH247" s="33"/>
      <c r="AI247" s="33"/>
      <c r="AJ247" s="33"/>
      <c r="AK247" s="33"/>
      <c r="AL247" s="1"/>
      <c r="AM247" s="1"/>
      <c r="AN247" s="345"/>
      <c r="AO247" s="203"/>
      <c r="AP247" s="1"/>
      <c r="AQ247" s="1"/>
      <c r="AR247" s="1"/>
      <c r="AS247" s="1"/>
      <c r="AT247" s="1"/>
      <c r="AU247" s="1"/>
      <c r="AV247" s="1"/>
      <c r="AW247" s="1"/>
      <c r="AX247" s="1"/>
      <c r="AY247" s="1"/>
      <c r="AZ247" s="1"/>
      <c r="BA247" s="1"/>
      <c r="BB247" s="1"/>
      <c r="BC247" s="1"/>
      <c r="BD247" s="126"/>
      <c r="BE247" s="126"/>
      <c r="BF247" s="126"/>
      <c r="BG247" s="126"/>
      <c r="BH247" s="126"/>
      <c r="BI247" s="1"/>
      <c r="BJ247" s="1"/>
      <c r="BK247" s="1"/>
      <c r="BL247" s="1"/>
      <c r="BM247" s="1"/>
      <c r="BN247" s="1"/>
      <c r="BO247" s="1"/>
      <c r="BP247" s="1"/>
      <c r="BQ247" s="1"/>
      <c r="BR247" s="1"/>
      <c r="BS247" s="1"/>
      <c r="BT247" s="1"/>
      <c r="BU247" s="1"/>
      <c r="BV247" s="1"/>
      <c r="BW247" s="1"/>
      <c r="BX247" s="1"/>
      <c r="BY247" s="1"/>
      <c r="BZ247" s="1"/>
      <c r="CA247" s="1"/>
    </row>
    <row r="248" spans="1:79" ht="12.75" hidden="1" customHeight="1">
      <c r="A248" s="17"/>
      <c r="B248" s="1"/>
      <c r="C248" s="41"/>
      <c r="D248" s="433"/>
      <c r="E248" s="433"/>
      <c r="F248" s="433"/>
      <c r="G248" s="433"/>
      <c r="H248" s="433"/>
      <c r="I248" s="433"/>
      <c r="J248" s="433"/>
      <c r="K248" s="1"/>
      <c r="L248" s="1"/>
      <c r="M248" s="1"/>
      <c r="N248" s="1"/>
      <c r="O248" s="1"/>
      <c r="P248" s="1"/>
      <c r="Q248" s="1"/>
      <c r="R248" s="1"/>
      <c r="S248" s="1"/>
      <c r="T248" s="1"/>
      <c r="U248" s="1"/>
      <c r="V248" s="1"/>
      <c r="W248" s="1"/>
      <c r="X248" s="1"/>
      <c r="Y248" s="11"/>
      <c r="Z248" s="11"/>
      <c r="AA248" s="11"/>
      <c r="AB248" s="11"/>
      <c r="AC248" s="1"/>
      <c r="AD248" s="1"/>
      <c r="AE248" s="33"/>
      <c r="AF248" s="33"/>
      <c r="AG248" s="33"/>
      <c r="AH248" s="33"/>
      <c r="AI248" s="33"/>
      <c r="AJ248" s="33"/>
      <c r="AK248" s="33"/>
      <c r="AL248" s="1"/>
      <c r="AM248" s="1"/>
      <c r="AN248" s="345"/>
      <c r="AO248" s="203"/>
      <c r="AP248" s="1"/>
      <c r="AQ248" s="1"/>
      <c r="AR248" s="1"/>
      <c r="AS248" s="1"/>
      <c r="AT248" s="1"/>
      <c r="AU248" s="1"/>
      <c r="AV248" s="1"/>
      <c r="AW248" s="1"/>
      <c r="AX248" s="1"/>
      <c r="AY248" s="1"/>
      <c r="AZ248" s="1"/>
      <c r="BA248" s="1"/>
      <c r="BB248" s="1"/>
      <c r="BC248" s="1"/>
      <c r="BD248" s="126"/>
      <c r="BE248" s="126"/>
      <c r="BF248" s="126"/>
      <c r="BG248" s="126"/>
      <c r="BH248" s="126"/>
      <c r="BI248" s="1"/>
      <c r="BJ248" s="1"/>
      <c r="BK248" s="1"/>
      <c r="BL248" s="1"/>
      <c r="BM248" s="1"/>
      <c r="BN248" s="1"/>
      <c r="BO248" s="1"/>
      <c r="BP248" s="1"/>
      <c r="BQ248" s="1"/>
      <c r="BR248" s="1"/>
      <c r="BS248" s="1"/>
      <c r="BT248" s="1"/>
      <c r="BU248" s="1"/>
      <c r="BV248" s="1"/>
      <c r="BW248" s="1"/>
      <c r="BX248" s="1"/>
      <c r="BY248" s="1"/>
      <c r="BZ248" s="1"/>
      <c r="CA248" s="1"/>
    </row>
    <row r="249" spans="1:79" ht="12.75" hidden="1" customHeight="1">
      <c r="A249" s="17"/>
      <c r="B249" s="1" t="s">
        <v>2036</v>
      </c>
      <c r="C249" s="41"/>
      <c r="D249" s="433"/>
      <c r="E249" s="433"/>
      <c r="F249" s="433"/>
      <c r="G249" s="433"/>
      <c r="H249" s="433"/>
      <c r="I249" s="433"/>
      <c r="J249" s="433"/>
      <c r="K249" s="1"/>
      <c r="L249" s="1"/>
      <c r="M249" s="1"/>
      <c r="N249" s="1"/>
      <c r="O249" s="1"/>
      <c r="P249" s="1"/>
      <c r="Q249" s="1"/>
      <c r="R249" s="1"/>
      <c r="S249" s="1"/>
      <c r="T249" s="1"/>
      <c r="U249" s="126"/>
      <c r="V249" s="126"/>
      <c r="W249" s="126"/>
      <c r="X249" s="126"/>
      <c r="Y249" s="126"/>
      <c r="Z249" s="11"/>
      <c r="AA249" s="11"/>
      <c r="AB249" s="1438">
        <f>AB233+AB246</f>
        <v>0</v>
      </c>
      <c r="AC249" s="893"/>
      <c r="AD249" s="893"/>
      <c r="AE249" s="893"/>
      <c r="AF249" s="893"/>
      <c r="AG249" s="893"/>
      <c r="AH249" s="33"/>
      <c r="AI249" s="33"/>
      <c r="AJ249" s="33"/>
      <c r="AK249" s="33"/>
      <c r="AL249" s="1"/>
      <c r="AM249" s="1"/>
      <c r="AN249" s="345"/>
      <c r="AO249" s="203"/>
      <c r="AP249" s="1"/>
      <c r="AQ249" s="1"/>
      <c r="AR249" s="1"/>
      <c r="AS249" s="1"/>
      <c r="AT249" s="1"/>
      <c r="AU249" s="1"/>
      <c r="AV249" s="1"/>
      <c r="AW249" s="1"/>
      <c r="AX249" s="1"/>
      <c r="AY249" s="1"/>
      <c r="AZ249" s="1"/>
      <c r="BA249" s="1"/>
      <c r="BB249" s="1"/>
      <c r="BC249" s="1"/>
      <c r="BD249" s="126"/>
      <c r="BE249" s="126"/>
      <c r="BF249" s="126"/>
      <c r="BG249" s="126"/>
      <c r="BH249" s="126"/>
      <c r="BI249" s="1"/>
      <c r="BJ249" s="1"/>
      <c r="BK249" s="1"/>
      <c r="BL249" s="1"/>
      <c r="BM249" s="1"/>
      <c r="BN249" s="1"/>
      <c r="BO249" s="1"/>
      <c r="BP249" s="1"/>
      <c r="BQ249" s="1"/>
      <c r="BR249" s="1"/>
      <c r="BS249" s="1"/>
      <c r="BT249" s="1"/>
      <c r="BU249" s="1"/>
      <c r="BV249" s="1"/>
      <c r="BW249" s="1"/>
      <c r="BX249" s="1"/>
      <c r="BY249" s="1"/>
      <c r="BZ249" s="1"/>
      <c r="CA249" s="1"/>
    </row>
    <row r="250" spans="1:79" ht="12.75" hidden="1" customHeight="1">
      <c r="A250" s="17"/>
      <c r="B250" s="1" t="s">
        <v>2039</v>
      </c>
      <c r="C250" s="41"/>
      <c r="D250" s="433"/>
      <c r="E250" s="433"/>
      <c r="F250" s="433"/>
      <c r="G250" s="433"/>
      <c r="H250" s="433"/>
      <c r="I250" s="433"/>
      <c r="J250" s="433"/>
      <c r="K250" s="1"/>
      <c r="L250" s="1"/>
      <c r="M250" s="1"/>
      <c r="N250" s="1"/>
      <c r="O250" s="1"/>
      <c r="P250" s="1"/>
      <c r="Q250" s="1"/>
      <c r="R250" s="1"/>
      <c r="S250" s="1"/>
      <c r="T250" s="1"/>
      <c r="U250" s="407"/>
      <c r="V250" s="407"/>
      <c r="W250" s="407"/>
      <c r="X250" s="407"/>
      <c r="Y250" s="407"/>
      <c r="Z250" s="11"/>
      <c r="AA250" s="11"/>
      <c r="AB250" s="1475">
        <v>0.05</v>
      </c>
      <c r="AC250" s="961"/>
      <c r="AD250" s="961"/>
      <c r="AE250" s="961"/>
      <c r="AF250" s="961"/>
      <c r="AG250" s="961"/>
      <c r="AH250" s="33"/>
      <c r="AI250" s="33"/>
      <c r="AJ250" s="33"/>
      <c r="AK250" s="33"/>
      <c r="AL250" s="1"/>
      <c r="AM250" s="1"/>
      <c r="AN250" s="345"/>
      <c r="AO250" s="203"/>
      <c r="AP250" s="1"/>
      <c r="AQ250" s="1"/>
      <c r="AR250" s="1"/>
      <c r="AS250" s="1"/>
      <c r="AT250" s="1"/>
      <c r="AU250" s="1"/>
      <c r="AV250" s="1"/>
      <c r="AW250" s="1"/>
      <c r="AX250" s="1"/>
      <c r="AY250" s="1"/>
      <c r="AZ250" s="1"/>
      <c r="BA250" s="1"/>
      <c r="BB250" s="1"/>
      <c r="BC250" s="1"/>
      <c r="BD250" s="126"/>
      <c r="BE250" s="126"/>
      <c r="BF250" s="126"/>
      <c r="BG250" s="126"/>
      <c r="BH250" s="126"/>
      <c r="BI250" s="1"/>
      <c r="BJ250" s="1"/>
      <c r="BK250" s="1"/>
      <c r="BL250" s="1"/>
      <c r="BM250" s="1"/>
      <c r="BN250" s="1"/>
      <c r="BO250" s="1"/>
      <c r="BP250" s="1"/>
      <c r="BQ250" s="1"/>
      <c r="BR250" s="1"/>
      <c r="BS250" s="1"/>
      <c r="BT250" s="1"/>
      <c r="BU250" s="1"/>
      <c r="BV250" s="1"/>
      <c r="BW250" s="1"/>
      <c r="BX250" s="1"/>
      <c r="BY250" s="1"/>
      <c r="BZ250" s="1"/>
      <c r="CA250" s="1"/>
    </row>
    <row r="251" spans="1:79" ht="12.75" hidden="1" customHeight="1">
      <c r="A251" s="17"/>
      <c r="B251" s="1" t="s">
        <v>2040</v>
      </c>
      <c r="C251" s="41"/>
      <c r="D251" s="433"/>
      <c r="E251" s="433"/>
      <c r="F251" s="433"/>
      <c r="G251" s="433"/>
      <c r="H251" s="433"/>
      <c r="I251" s="433"/>
      <c r="J251" s="433"/>
      <c r="K251" s="1"/>
      <c r="L251" s="1"/>
      <c r="M251" s="1"/>
      <c r="N251" s="1"/>
      <c r="O251" s="1"/>
      <c r="P251" s="1"/>
      <c r="Q251" s="1"/>
      <c r="R251" s="1"/>
      <c r="S251" s="1"/>
      <c r="T251" s="1"/>
      <c r="U251" s="126"/>
      <c r="V251" s="126"/>
      <c r="W251" s="126"/>
      <c r="X251" s="126"/>
      <c r="Y251" s="126"/>
      <c r="Z251" s="11"/>
      <c r="AA251" s="11"/>
      <c r="AB251" s="1476">
        <f>AB249-(AB249*AB250)</f>
        <v>0</v>
      </c>
      <c r="AC251" s="947"/>
      <c r="AD251" s="947"/>
      <c r="AE251" s="947"/>
      <c r="AF251" s="947"/>
      <c r="AG251" s="947"/>
      <c r="AH251" s="33"/>
      <c r="AI251" s="33"/>
      <c r="AJ251" s="33"/>
      <c r="AK251" s="33"/>
      <c r="AL251" s="1"/>
      <c r="AM251" s="1"/>
      <c r="AN251" s="345"/>
      <c r="AO251" s="203"/>
      <c r="AP251" s="1"/>
      <c r="AQ251" s="1"/>
      <c r="AR251" s="1"/>
      <c r="AS251" s="1"/>
      <c r="AT251" s="1"/>
      <c r="AU251" s="1"/>
      <c r="AV251" s="1"/>
      <c r="AW251" s="1"/>
      <c r="AX251" s="1"/>
      <c r="AY251" s="1"/>
      <c r="AZ251" s="1"/>
      <c r="BA251" s="1"/>
      <c r="BB251" s="1"/>
      <c r="BC251" s="1"/>
      <c r="BD251" s="126"/>
      <c r="BE251" s="126"/>
      <c r="BF251" s="126"/>
      <c r="BG251" s="126"/>
      <c r="BH251" s="126"/>
      <c r="BI251" s="1"/>
      <c r="BJ251" s="1"/>
      <c r="BK251" s="1"/>
      <c r="BL251" s="1"/>
      <c r="BM251" s="1"/>
      <c r="BN251" s="1"/>
      <c r="BO251" s="1"/>
      <c r="BP251" s="1"/>
      <c r="BQ251" s="1"/>
      <c r="BR251" s="1"/>
      <c r="BS251" s="1"/>
      <c r="BT251" s="1"/>
      <c r="BU251" s="1"/>
      <c r="BV251" s="1"/>
      <c r="BW251" s="1"/>
      <c r="BX251" s="1"/>
      <c r="BY251" s="1"/>
      <c r="BZ251" s="1"/>
      <c r="CA251" s="1"/>
    </row>
    <row r="252" spans="1:79" ht="12.75" hidden="1" customHeight="1">
      <c r="A252" s="17"/>
      <c r="B252" s="1" t="s">
        <v>2041</v>
      </c>
      <c r="C252" s="41"/>
      <c r="D252" s="433"/>
      <c r="E252" s="433"/>
      <c r="F252" s="433"/>
      <c r="G252" s="433"/>
      <c r="H252" s="433"/>
      <c r="I252" s="433"/>
      <c r="J252" s="433"/>
      <c r="K252" s="1"/>
      <c r="L252" s="1"/>
      <c r="M252" s="1"/>
      <c r="N252" s="1"/>
      <c r="O252" s="1"/>
      <c r="P252" s="1"/>
      <c r="Q252" s="1"/>
      <c r="R252" s="1"/>
      <c r="S252" s="1"/>
      <c r="T252" s="1"/>
      <c r="U252" s="1"/>
      <c r="V252" s="1"/>
      <c r="W252" s="1"/>
      <c r="X252" s="1"/>
      <c r="Y252" s="464"/>
      <c r="Z252" s="11"/>
      <c r="AA252" s="11"/>
      <c r="AB252" s="1"/>
      <c r="AC252" s="1"/>
      <c r="AD252" s="1"/>
      <c r="AE252" s="33"/>
      <c r="AF252" s="33"/>
      <c r="AG252" s="33"/>
      <c r="AH252" s="33"/>
      <c r="AI252" s="33"/>
      <c r="AJ252" s="33"/>
      <c r="AK252" s="33"/>
      <c r="AL252" s="1"/>
      <c r="AM252" s="1"/>
      <c r="AN252" s="345"/>
      <c r="AO252" s="203"/>
      <c r="AP252" s="1"/>
      <c r="AQ252" s="1"/>
      <c r="AR252" s="1"/>
      <c r="AS252" s="1"/>
      <c r="AT252" s="1"/>
      <c r="AU252" s="1"/>
      <c r="AV252" s="1"/>
      <c r="AW252" s="1"/>
      <c r="AX252" s="1"/>
      <c r="AY252" s="1"/>
      <c r="AZ252" s="1"/>
      <c r="BA252" s="1"/>
      <c r="BB252" s="1"/>
      <c r="BC252" s="1"/>
      <c r="BD252" s="126"/>
      <c r="BE252" s="126"/>
      <c r="BF252" s="126"/>
      <c r="BG252" s="126"/>
      <c r="BH252" s="126"/>
      <c r="BI252" s="1"/>
      <c r="BJ252" s="1"/>
      <c r="BK252" s="1"/>
      <c r="BL252" s="1"/>
      <c r="BM252" s="1"/>
      <c r="BN252" s="1"/>
      <c r="BO252" s="1"/>
      <c r="BP252" s="1"/>
      <c r="BQ252" s="1"/>
      <c r="BR252" s="1"/>
      <c r="BS252" s="1"/>
      <c r="BT252" s="1"/>
      <c r="BU252" s="1"/>
      <c r="BV252" s="1"/>
      <c r="BW252" s="1"/>
      <c r="BX252" s="1"/>
      <c r="BY252" s="1"/>
      <c r="BZ252" s="1"/>
      <c r="CA252" s="1"/>
    </row>
    <row r="253" spans="1:79" ht="12.75" hidden="1" customHeight="1">
      <c r="A253" s="17"/>
      <c r="B253" s="1" t="s">
        <v>2044</v>
      </c>
      <c r="C253" s="41"/>
      <c r="D253" s="433"/>
      <c r="E253" s="433"/>
      <c r="F253" s="433"/>
      <c r="G253" s="433"/>
      <c r="H253" s="433"/>
      <c r="I253" s="433"/>
      <c r="J253" s="433"/>
      <c r="K253" s="1"/>
      <c r="L253" s="1"/>
      <c r="M253" s="1"/>
      <c r="N253" s="1"/>
      <c r="O253" s="1"/>
      <c r="P253" s="1"/>
      <c r="Q253" s="1"/>
      <c r="R253" s="1"/>
      <c r="S253" s="1"/>
      <c r="T253" s="1"/>
      <c r="U253" s="126"/>
      <c r="V253" s="126"/>
      <c r="W253" s="126"/>
      <c r="X253" s="126"/>
      <c r="Y253" s="126"/>
      <c r="Z253" s="11"/>
      <c r="AA253" s="11"/>
      <c r="AB253" s="1438">
        <f>AB251/AB257</f>
        <v>0</v>
      </c>
      <c r="AC253" s="893"/>
      <c r="AD253" s="893"/>
      <c r="AE253" s="893"/>
      <c r="AF253" s="893"/>
      <c r="AG253" s="893"/>
      <c r="AH253" s="33"/>
      <c r="AI253" s="33"/>
      <c r="AJ253" s="33"/>
      <c r="AK253" s="33"/>
      <c r="AL253" s="1"/>
      <c r="AM253" s="1"/>
      <c r="AN253" s="345"/>
      <c r="AO253" s="203"/>
      <c r="AP253" s="1"/>
      <c r="AQ253" s="1"/>
      <c r="AR253" s="1"/>
      <c r="AS253" s="1"/>
      <c r="AT253" s="1"/>
      <c r="AU253" s="1"/>
      <c r="AV253" s="1"/>
      <c r="AW253" s="1"/>
      <c r="AX253" s="1"/>
      <c r="AY253" s="1"/>
      <c r="AZ253" s="1"/>
      <c r="BA253" s="1"/>
      <c r="BB253" s="1"/>
      <c r="BC253" s="1"/>
      <c r="BD253" s="126"/>
      <c r="BE253" s="126"/>
      <c r="BF253" s="126"/>
      <c r="BG253" s="126"/>
      <c r="BH253" s="126"/>
      <c r="BI253" s="1"/>
      <c r="BJ253" s="1"/>
      <c r="BK253" s="1"/>
      <c r="BL253" s="1"/>
      <c r="BM253" s="1"/>
      <c r="BN253" s="1"/>
      <c r="BO253" s="1"/>
      <c r="BP253" s="1"/>
      <c r="BQ253" s="1"/>
      <c r="BR253" s="1"/>
      <c r="BS253" s="1"/>
      <c r="BT253" s="1"/>
      <c r="BU253" s="1"/>
      <c r="BV253" s="1"/>
      <c r="BW253" s="1"/>
      <c r="BX253" s="1"/>
      <c r="BY253" s="1"/>
      <c r="BZ253" s="1"/>
      <c r="CA253" s="1"/>
    </row>
    <row r="254" spans="1:79" ht="12.75" hidden="1" customHeight="1">
      <c r="A254" s="17"/>
      <c r="B254" s="1"/>
      <c r="C254" s="41"/>
      <c r="D254" s="433"/>
      <c r="E254" s="433"/>
      <c r="F254" s="433"/>
      <c r="G254" s="433"/>
      <c r="H254" s="433"/>
      <c r="I254" s="433"/>
      <c r="J254" s="433"/>
      <c r="K254" s="1"/>
      <c r="L254" s="1"/>
      <c r="M254" s="1"/>
      <c r="N254" s="1"/>
      <c r="O254" s="1"/>
      <c r="P254" s="1"/>
      <c r="Q254" s="1"/>
      <c r="R254" s="1"/>
      <c r="S254" s="1"/>
      <c r="T254" s="1"/>
      <c r="U254" s="1"/>
      <c r="V254" s="1"/>
      <c r="W254" s="1"/>
      <c r="X254" s="1"/>
      <c r="Y254" s="1"/>
      <c r="Z254" s="11"/>
      <c r="AA254" s="11"/>
      <c r="AB254" s="1"/>
      <c r="AC254" s="1"/>
      <c r="AD254" s="1"/>
      <c r="AE254" s="33"/>
      <c r="AF254" s="33"/>
      <c r="AG254" s="33"/>
      <c r="AH254" s="33"/>
      <c r="AI254" s="33"/>
      <c r="AJ254" s="33"/>
      <c r="AK254" s="33"/>
      <c r="AL254" s="1"/>
      <c r="AM254" s="1"/>
      <c r="AN254" s="345"/>
      <c r="AO254" s="203"/>
      <c r="AP254" s="1"/>
      <c r="AQ254" s="1"/>
      <c r="AR254" s="1"/>
      <c r="AS254" s="1"/>
      <c r="AT254" s="1"/>
      <c r="AU254" s="1"/>
      <c r="AV254" s="1"/>
      <c r="AW254" s="1"/>
      <c r="AX254" s="1"/>
      <c r="AY254" s="1"/>
      <c r="AZ254" s="1"/>
      <c r="BA254" s="1"/>
      <c r="BB254" s="1"/>
      <c r="BC254" s="1"/>
      <c r="BD254" s="126"/>
      <c r="BE254" s="126"/>
      <c r="BF254" s="126"/>
      <c r="BG254" s="126"/>
      <c r="BH254" s="126"/>
      <c r="BI254" s="1"/>
      <c r="BJ254" s="1"/>
      <c r="BK254" s="1"/>
      <c r="BL254" s="1"/>
      <c r="BM254" s="1"/>
      <c r="BN254" s="1"/>
      <c r="BO254" s="1"/>
      <c r="BP254" s="1"/>
      <c r="BQ254" s="1"/>
      <c r="BR254" s="1"/>
      <c r="BS254" s="1"/>
      <c r="BT254" s="1"/>
      <c r="BU254" s="1"/>
      <c r="BV254" s="1"/>
      <c r="BW254" s="1"/>
      <c r="BX254" s="1"/>
      <c r="BY254" s="1"/>
      <c r="BZ254" s="1"/>
      <c r="CA254" s="1"/>
    </row>
    <row r="255" spans="1:79" ht="12.75" hidden="1" customHeight="1">
      <c r="A255" s="17"/>
      <c r="B255" s="1" t="s">
        <v>2047</v>
      </c>
      <c r="C255" s="41"/>
      <c r="D255" s="433"/>
      <c r="E255" s="433"/>
      <c r="F255" s="433"/>
      <c r="G255" s="433"/>
      <c r="H255" s="433"/>
      <c r="I255" s="433"/>
      <c r="J255" s="433"/>
      <c r="K255" s="1"/>
      <c r="L255" s="1"/>
      <c r="M255" s="1"/>
      <c r="N255" s="1"/>
      <c r="O255" s="1"/>
      <c r="P255" s="1"/>
      <c r="Q255" s="1"/>
      <c r="R255" s="1"/>
      <c r="S255" s="1"/>
      <c r="T255" s="1"/>
      <c r="U255" s="1"/>
      <c r="V255" s="1"/>
      <c r="W255" s="1"/>
      <c r="X255" s="1"/>
      <c r="Y255" s="1"/>
      <c r="Z255" s="11"/>
      <c r="AA255" s="11"/>
      <c r="AB255" s="1441">
        <v>15</v>
      </c>
      <c r="AC255" s="893"/>
      <c r="AD255" s="893"/>
      <c r="AE255" s="893"/>
      <c r="AF255" s="893"/>
      <c r="AG255" s="893"/>
      <c r="AH255" s="33"/>
      <c r="AI255" s="33"/>
      <c r="AJ255" s="33"/>
      <c r="AK255" s="33"/>
      <c r="AL255" s="1"/>
      <c r="AM255" s="1"/>
      <c r="AN255" s="345"/>
      <c r="AO255" s="203"/>
      <c r="AP255" s="1"/>
      <c r="AQ255" s="1"/>
      <c r="AR255" s="1"/>
      <c r="AS255" s="1"/>
      <c r="AT255" s="1"/>
      <c r="AU255" s="1"/>
      <c r="AV255" s="1"/>
      <c r="AW255" s="1"/>
      <c r="AX255" s="1"/>
      <c r="AY255" s="1"/>
      <c r="AZ255" s="1"/>
      <c r="BA255" s="1"/>
      <c r="BB255" s="1"/>
      <c r="BC255" s="1"/>
      <c r="BD255" s="126"/>
      <c r="BE255" s="126"/>
      <c r="BF255" s="126"/>
      <c r="BG255" s="126"/>
      <c r="BH255" s="126"/>
      <c r="BI255" s="1"/>
      <c r="BJ255" s="1"/>
      <c r="BK255" s="1"/>
      <c r="BL255" s="1"/>
      <c r="BM255" s="1"/>
      <c r="BN255" s="1"/>
      <c r="BO255" s="1"/>
      <c r="BP255" s="1"/>
      <c r="BQ255" s="1"/>
      <c r="BR255" s="1"/>
      <c r="BS255" s="1"/>
      <c r="BT255" s="1"/>
      <c r="BU255" s="1"/>
      <c r="BV255" s="1"/>
      <c r="BW255" s="1"/>
      <c r="BX255" s="1"/>
      <c r="BY255" s="1"/>
      <c r="BZ255" s="1"/>
      <c r="CA255" s="1"/>
    </row>
    <row r="256" spans="1:79" ht="12.75" hidden="1" customHeight="1">
      <c r="A256" s="17"/>
      <c r="B256" s="1" t="s">
        <v>2049</v>
      </c>
      <c r="C256" s="41"/>
      <c r="D256" s="433"/>
      <c r="E256" s="433"/>
      <c r="F256" s="433"/>
      <c r="G256" s="433"/>
      <c r="H256" s="433"/>
      <c r="I256" s="433"/>
      <c r="J256" s="433"/>
      <c r="K256" s="1"/>
      <c r="L256" s="1"/>
      <c r="M256" s="1"/>
      <c r="N256" s="1"/>
      <c r="O256" s="1"/>
      <c r="P256" s="1"/>
      <c r="Q256" s="1"/>
      <c r="R256" s="1"/>
      <c r="S256" s="1"/>
      <c r="T256" s="1"/>
      <c r="U256" s="407"/>
      <c r="V256" s="407"/>
      <c r="W256" s="407"/>
      <c r="X256" s="407"/>
      <c r="Y256" s="407"/>
      <c r="Z256" s="11"/>
      <c r="AA256" s="11"/>
      <c r="AB256" s="1477">
        <v>0.04</v>
      </c>
      <c r="AC256" s="893"/>
      <c r="AD256" s="893"/>
      <c r="AE256" s="893"/>
      <c r="AF256" s="893"/>
      <c r="AG256" s="893"/>
      <c r="AH256" s="33"/>
      <c r="AI256" s="33"/>
      <c r="AJ256" s="33"/>
      <c r="AK256" s="33"/>
      <c r="AL256" s="1"/>
      <c r="AM256" s="1"/>
      <c r="AN256" s="345"/>
      <c r="AO256" s="203"/>
      <c r="AP256" s="1"/>
      <c r="AQ256" s="1"/>
      <c r="AR256" s="1"/>
      <c r="AS256" s="1"/>
      <c r="AT256" s="1"/>
      <c r="AU256" s="1"/>
      <c r="AV256" s="1"/>
      <c r="AW256" s="1"/>
      <c r="AX256" s="1"/>
      <c r="AY256" s="1"/>
      <c r="AZ256" s="1"/>
      <c r="BA256" s="1"/>
      <c r="BB256" s="1"/>
      <c r="BC256" s="1"/>
      <c r="BD256" s="126"/>
      <c r="BE256" s="126"/>
      <c r="BF256" s="126"/>
      <c r="BG256" s="126"/>
      <c r="BH256" s="126"/>
      <c r="BI256" s="1"/>
      <c r="BJ256" s="1"/>
      <c r="BK256" s="1"/>
      <c r="BL256" s="1"/>
      <c r="BM256" s="1"/>
      <c r="BN256" s="1"/>
      <c r="BO256" s="1"/>
      <c r="BP256" s="1"/>
      <c r="BQ256" s="1"/>
      <c r="BR256" s="1"/>
      <c r="BS256" s="1"/>
      <c r="BT256" s="1"/>
      <c r="BU256" s="1"/>
      <c r="BV256" s="1"/>
      <c r="BW256" s="1"/>
      <c r="BX256" s="1"/>
      <c r="BY256" s="1"/>
      <c r="BZ256" s="1"/>
      <c r="CA256" s="1"/>
    </row>
    <row r="257" spans="1:79" ht="12.75" hidden="1" customHeight="1">
      <c r="A257" s="17"/>
      <c r="B257" s="1" t="s">
        <v>2050</v>
      </c>
      <c r="C257" s="41"/>
      <c r="D257" s="433"/>
      <c r="E257" s="433"/>
      <c r="F257" s="433"/>
      <c r="G257" s="433"/>
      <c r="H257" s="433"/>
      <c r="I257" s="433"/>
      <c r="J257" s="433"/>
      <c r="K257" s="1"/>
      <c r="L257" s="1"/>
      <c r="M257" s="1"/>
      <c r="N257" s="1"/>
      <c r="O257" s="1"/>
      <c r="P257" s="1"/>
      <c r="Q257" s="1"/>
      <c r="R257" s="1"/>
      <c r="S257" s="1"/>
      <c r="T257" s="1"/>
      <c r="U257" s="465"/>
      <c r="V257" s="465"/>
      <c r="W257" s="465"/>
      <c r="X257" s="465"/>
      <c r="Y257" s="465"/>
      <c r="Z257" s="11"/>
      <c r="AA257" s="11"/>
      <c r="AB257" s="1478">
        <v>1.1499999999999999</v>
      </c>
      <c r="AC257" s="893"/>
      <c r="AD257" s="893"/>
      <c r="AE257" s="893"/>
      <c r="AF257" s="893"/>
      <c r="AG257" s="893"/>
      <c r="AH257" s="33"/>
      <c r="AI257" s="33"/>
      <c r="AJ257" s="33"/>
      <c r="AK257" s="33"/>
      <c r="AL257" s="1"/>
      <c r="AM257" s="1"/>
      <c r="AN257" s="345"/>
      <c r="AO257" s="203"/>
      <c r="AP257" s="1"/>
      <c r="AQ257" s="1"/>
      <c r="AR257" s="1"/>
      <c r="AS257" s="1"/>
      <c r="AT257" s="1"/>
      <c r="AU257" s="1"/>
      <c r="AV257" s="1"/>
      <c r="AW257" s="1"/>
      <c r="AX257" s="1"/>
      <c r="AY257" s="1"/>
      <c r="AZ257" s="1"/>
      <c r="BA257" s="1"/>
      <c r="BB257" s="1"/>
      <c r="BC257" s="1"/>
      <c r="BD257" s="126"/>
      <c r="BE257" s="126"/>
      <c r="BF257" s="126"/>
      <c r="BG257" s="126"/>
      <c r="BH257" s="126"/>
      <c r="BI257" s="1"/>
      <c r="BJ257" s="1"/>
      <c r="BK257" s="1"/>
      <c r="BL257" s="1"/>
      <c r="BM257" s="1"/>
      <c r="BN257" s="1"/>
      <c r="BO257" s="1"/>
      <c r="BP257" s="1"/>
      <c r="BQ257" s="1"/>
      <c r="BR257" s="1"/>
      <c r="BS257" s="1"/>
      <c r="BT257" s="1"/>
      <c r="BU257" s="1"/>
      <c r="BV257" s="1"/>
      <c r="BW257" s="1"/>
      <c r="BX257" s="1"/>
      <c r="BY257" s="1"/>
      <c r="BZ257" s="1"/>
      <c r="CA257" s="1"/>
    </row>
    <row r="258" spans="1:79" ht="12.75" hidden="1" customHeight="1">
      <c r="A258" s="17"/>
      <c r="B258" s="1"/>
      <c r="C258" s="41"/>
      <c r="D258" s="433"/>
      <c r="E258" s="433"/>
      <c r="F258" s="433"/>
      <c r="G258" s="433"/>
      <c r="H258" s="433"/>
      <c r="I258" s="433"/>
      <c r="J258" s="433"/>
      <c r="K258" s="1"/>
      <c r="L258" s="1"/>
      <c r="M258" s="1"/>
      <c r="N258" s="1"/>
      <c r="O258" s="1"/>
      <c r="P258" s="1"/>
      <c r="Q258" s="1"/>
      <c r="R258" s="1"/>
      <c r="S258" s="1"/>
      <c r="T258" s="1"/>
      <c r="U258" s="1"/>
      <c r="V258" s="1"/>
      <c r="W258" s="1"/>
      <c r="X258" s="1"/>
      <c r="Y258" s="7"/>
      <c r="Z258" s="11"/>
      <c r="AA258" s="11"/>
      <c r="AB258" s="1"/>
      <c r="AC258" s="1"/>
      <c r="AD258" s="1"/>
      <c r="AE258" s="33"/>
      <c r="AF258" s="33"/>
      <c r="AG258" s="33"/>
      <c r="AH258" s="33"/>
      <c r="AI258" s="33"/>
      <c r="AJ258" s="33"/>
      <c r="AK258" s="33"/>
      <c r="AL258" s="1"/>
      <c r="AM258" s="1"/>
      <c r="AN258" s="345"/>
      <c r="AO258" s="203"/>
      <c r="AP258" s="1"/>
      <c r="AQ258" s="1"/>
      <c r="AR258" s="1"/>
      <c r="AS258" s="1"/>
      <c r="AT258" s="1"/>
      <c r="AU258" s="1"/>
      <c r="AV258" s="1"/>
      <c r="AW258" s="1"/>
      <c r="AX258" s="1"/>
      <c r="AY258" s="1"/>
      <c r="AZ258" s="1"/>
      <c r="BA258" s="1"/>
      <c r="BB258" s="1"/>
      <c r="BC258" s="1"/>
      <c r="BD258" s="126"/>
      <c r="BE258" s="126"/>
      <c r="BF258" s="126"/>
      <c r="BG258" s="126"/>
      <c r="BH258" s="126"/>
      <c r="BI258" s="1"/>
      <c r="BJ258" s="1"/>
      <c r="BK258" s="1"/>
      <c r="BL258" s="1"/>
      <c r="BM258" s="1"/>
      <c r="BN258" s="1"/>
      <c r="BO258" s="1"/>
      <c r="BP258" s="1"/>
      <c r="BQ258" s="1"/>
      <c r="BR258" s="1"/>
      <c r="BS258" s="1"/>
      <c r="BT258" s="1"/>
      <c r="BU258" s="1"/>
      <c r="BV258" s="1"/>
      <c r="BW258" s="1"/>
      <c r="BX258" s="1"/>
      <c r="BY258" s="1"/>
      <c r="BZ258" s="1"/>
      <c r="CA258" s="1"/>
    </row>
    <row r="259" spans="1:79" ht="12.75" hidden="1" customHeight="1">
      <c r="A259" s="17"/>
      <c r="B259" s="8" t="s">
        <v>2055</v>
      </c>
      <c r="C259" s="41"/>
      <c r="D259" s="433"/>
      <c r="E259" s="433"/>
      <c r="F259" s="433"/>
      <c r="G259" s="433"/>
      <c r="H259" s="433"/>
      <c r="I259" s="433"/>
      <c r="J259" s="433"/>
      <c r="K259" s="1"/>
      <c r="L259" s="1"/>
      <c r="M259" s="1"/>
      <c r="N259" s="1"/>
      <c r="O259" s="1"/>
      <c r="P259" s="1"/>
      <c r="Q259" s="1"/>
      <c r="R259" s="1"/>
      <c r="S259" s="1"/>
      <c r="T259" s="1"/>
      <c r="U259" s="468"/>
      <c r="V259" s="468"/>
      <c r="W259" s="468"/>
      <c r="X259" s="468"/>
      <c r="Y259" s="468"/>
      <c r="Z259" s="11"/>
      <c r="AA259" s="11"/>
      <c r="AB259" s="1479">
        <f>PV(AB256/12,AB255*12,-AB253/12, ,0)</f>
        <v>0</v>
      </c>
      <c r="AC259" s="921"/>
      <c r="AD259" s="921"/>
      <c r="AE259" s="921"/>
      <c r="AF259" s="921"/>
      <c r="AG259" s="943"/>
      <c r="AH259" s="33"/>
      <c r="AI259" s="33"/>
      <c r="AJ259" s="33"/>
      <c r="AK259" s="33"/>
      <c r="AL259" s="1"/>
      <c r="AM259" s="1"/>
      <c r="AN259" s="345"/>
      <c r="AO259" s="203"/>
      <c r="AP259" s="1"/>
      <c r="AQ259" s="1"/>
      <c r="AR259" s="1"/>
      <c r="AS259" s="1"/>
      <c r="AT259" s="1"/>
      <c r="AU259" s="1"/>
      <c r="AV259" s="1"/>
      <c r="AW259" s="1"/>
      <c r="AX259" s="1"/>
      <c r="AY259" s="1"/>
      <c r="AZ259" s="1"/>
      <c r="BA259" s="1"/>
      <c r="BB259" s="1"/>
      <c r="BC259" s="1"/>
      <c r="BD259" s="126"/>
      <c r="BE259" s="126"/>
      <c r="BF259" s="126"/>
      <c r="BG259" s="126"/>
      <c r="BH259" s="126"/>
      <c r="BI259" s="1"/>
      <c r="BJ259" s="1"/>
      <c r="BK259" s="1"/>
      <c r="BL259" s="1"/>
      <c r="BM259" s="1"/>
      <c r="BN259" s="1"/>
      <c r="BO259" s="1"/>
      <c r="BP259" s="1"/>
      <c r="BQ259" s="1"/>
      <c r="BR259" s="1"/>
      <c r="BS259" s="1"/>
      <c r="BT259" s="1"/>
      <c r="BU259" s="1"/>
      <c r="BV259" s="1"/>
      <c r="BW259" s="1"/>
      <c r="BX259" s="1"/>
      <c r="BY259" s="1"/>
      <c r="BZ259" s="1"/>
      <c r="CA259" s="1"/>
    </row>
    <row r="260" spans="1:79" ht="12.75" hidden="1" customHeight="1">
      <c r="A260" s="17"/>
      <c r="B260" s="8"/>
      <c r="C260" s="41"/>
      <c r="D260" s="433"/>
      <c r="E260" s="433"/>
      <c r="F260" s="433"/>
      <c r="G260" s="433"/>
      <c r="H260" s="433"/>
      <c r="I260" s="433"/>
      <c r="J260" s="433"/>
      <c r="K260" s="1"/>
      <c r="L260" s="1"/>
      <c r="M260" s="1"/>
      <c r="N260" s="1"/>
      <c r="O260" s="1"/>
      <c r="P260" s="1"/>
      <c r="Q260" s="1"/>
      <c r="R260" s="1"/>
      <c r="S260" s="1"/>
      <c r="T260" s="1"/>
      <c r="U260" s="468"/>
      <c r="V260" s="468"/>
      <c r="W260" s="468"/>
      <c r="X260" s="468"/>
      <c r="Y260" s="468"/>
      <c r="Z260" s="11"/>
      <c r="AA260" s="11"/>
      <c r="AB260" s="469"/>
      <c r="AC260" s="469"/>
      <c r="AD260" s="469"/>
      <c r="AE260" s="469"/>
      <c r="AF260" s="469"/>
      <c r="AG260" s="469"/>
      <c r="AH260" s="33"/>
      <c r="AI260" s="33"/>
      <c r="AJ260" s="33"/>
      <c r="AK260" s="33"/>
      <c r="AL260" s="1"/>
      <c r="AM260" s="1"/>
      <c r="AN260" s="345"/>
      <c r="AO260" s="203"/>
      <c r="AP260" s="1"/>
      <c r="AQ260" s="1"/>
      <c r="AR260" s="1"/>
      <c r="AS260" s="1"/>
      <c r="AT260" s="1"/>
      <c r="AU260" s="1"/>
      <c r="AV260" s="1"/>
      <c r="AW260" s="1"/>
      <c r="AX260" s="1"/>
      <c r="AY260" s="1"/>
      <c r="AZ260" s="1"/>
      <c r="BA260" s="1"/>
      <c r="BB260" s="1"/>
      <c r="BC260" s="1"/>
      <c r="BD260" s="126"/>
      <c r="BE260" s="126"/>
      <c r="BF260" s="126"/>
      <c r="BG260" s="126"/>
      <c r="BH260" s="126"/>
      <c r="BI260" s="1"/>
      <c r="BJ260" s="1"/>
      <c r="BK260" s="1"/>
      <c r="BL260" s="1"/>
      <c r="BM260" s="1"/>
      <c r="BN260" s="1"/>
      <c r="BO260" s="1"/>
      <c r="BP260" s="1"/>
      <c r="BQ260" s="1"/>
      <c r="BR260" s="1"/>
      <c r="BS260" s="1"/>
      <c r="BT260" s="1"/>
      <c r="BU260" s="1"/>
      <c r="BV260" s="1"/>
      <c r="BW260" s="1"/>
      <c r="BX260" s="1"/>
      <c r="BY260" s="1"/>
      <c r="BZ260" s="1"/>
      <c r="CA260" s="1"/>
    </row>
    <row r="261" spans="1:79" ht="12.75" hidden="1" customHeight="1">
      <c r="A261" s="17"/>
      <c r="B261" s="8"/>
      <c r="C261" s="41"/>
      <c r="D261" s="433"/>
      <c r="E261" s="433"/>
      <c r="F261" s="433"/>
      <c r="G261" s="433"/>
      <c r="H261" s="433"/>
      <c r="I261" s="433"/>
      <c r="J261" s="433"/>
      <c r="K261" s="1"/>
      <c r="L261" s="1"/>
      <c r="M261" s="1"/>
      <c r="N261" s="1"/>
      <c r="O261" s="1"/>
      <c r="P261" s="1"/>
      <c r="Q261" s="1"/>
      <c r="R261" s="1"/>
      <c r="S261" s="1"/>
      <c r="T261" s="1"/>
      <c r="U261" s="468"/>
      <c r="V261" s="468"/>
      <c r="W261" s="468"/>
      <c r="X261" s="468"/>
      <c r="Y261" s="468"/>
      <c r="Z261" s="11"/>
      <c r="AA261" s="11"/>
      <c r="AB261" s="469"/>
      <c r="AC261" s="469"/>
      <c r="AD261" s="469"/>
      <c r="AE261" s="469"/>
      <c r="AF261" s="469"/>
      <c r="AG261" s="469"/>
      <c r="AH261" s="33"/>
      <c r="AI261" s="33"/>
      <c r="AJ261" s="33"/>
      <c r="AK261" s="33"/>
      <c r="AL261" s="1"/>
      <c r="AM261" s="1"/>
      <c r="AN261" s="345"/>
      <c r="AO261" s="203"/>
      <c r="AP261" s="1"/>
      <c r="AQ261" s="1"/>
      <c r="AR261" s="1"/>
      <c r="AS261" s="1"/>
      <c r="AT261" s="1"/>
      <c r="AU261" s="1"/>
      <c r="AV261" s="1"/>
      <c r="AW261" s="1"/>
      <c r="AX261" s="1"/>
      <c r="AY261" s="1"/>
      <c r="AZ261" s="1"/>
      <c r="BA261" s="1"/>
      <c r="BB261" s="1"/>
      <c r="BC261" s="1"/>
      <c r="BD261" s="126"/>
      <c r="BE261" s="126"/>
      <c r="BF261" s="126"/>
      <c r="BG261" s="126"/>
      <c r="BH261" s="126"/>
      <c r="BI261" s="1"/>
      <c r="BJ261" s="1"/>
      <c r="BK261" s="1"/>
      <c r="BL261" s="1"/>
      <c r="BM261" s="1"/>
      <c r="BN261" s="1"/>
      <c r="BO261" s="1"/>
      <c r="BP261" s="1"/>
      <c r="BQ261" s="1"/>
      <c r="BR261" s="1"/>
      <c r="BS261" s="1"/>
      <c r="BT261" s="1"/>
      <c r="BU261" s="1"/>
      <c r="BV261" s="1"/>
      <c r="BW261" s="1"/>
      <c r="BX261" s="1"/>
      <c r="BY261" s="1"/>
      <c r="BZ261" s="1"/>
      <c r="CA261" s="1"/>
    </row>
    <row r="262" spans="1:79" ht="12.75" hidden="1" customHeight="1">
      <c r="A262" s="17"/>
      <c r="B262" s="362" t="s">
        <v>2058</v>
      </c>
      <c r="C262" s="362"/>
      <c r="D262" s="433"/>
      <c r="E262" s="433"/>
      <c r="F262" s="433"/>
      <c r="G262" s="433"/>
      <c r="H262" s="433"/>
      <c r="I262" s="433"/>
      <c r="J262" s="433"/>
      <c r="K262" s="1"/>
      <c r="L262" s="1"/>
      <c r="M262" s="1"/>
      <c r="N262" s="1"/>
      <c r="O262" s="1"/>
      <c r="P262" s="1"/>
      <c r="Q262" s="1"/>
      <c r="R262" s="1"/>
      <c r="S262" s="1"/>
      <c r="T262" s="1"/>
      <c r="U262" s="1"/>
      <c r="V262" s="1"/>
      <c r="W262" s="1"/>
      <c r="X262" s="1"/>
      <c r="Y262" s="11"/>
      <c r="Z262" s="11"/>
      <c r="AA262" s="11"/>
      <c r="AB262" s="11"/>
      <c r="AC262" s="1"/>
      <c r="AD262" s="1"/>
      <c r="AE262" s="33"/>
      <c r="AF262" s="33"/>
      <c r="AG262" s="33"/>
      <c r="AH262" s="33"/>
      <c r="AI262" s="33"/>
      <c r="AJ262" s="33"/>
      <c r="AK262" s="33"/>
      <c r="AL262" s="1"/>
      <c r="AM262" s="1"/>
      <c r="AN262" s="345"/>
      <c r="AO262" s="203"/>
      <c r="AP262" s="1"/>
      <c r="AQ262" s="1"/>
      <c r="AR262" s="1"/>
      <c r="AS262" s="1"/>
      <c r="AT262" s="1"/>
      <c r="AU262" s="1"/>
      <c r="AV262" s="1"/>
      <c r="AW262" s="1"/>
      <c r="AX262" s="1"/>
      <c r="AY262" s="1"/>
      <c r="AZ262" s="1"/>
      <c r="BA262" s="1"/>
      <c r="BB262" s="1"/>
      <c r="BC262" s="1"/>
      <c r="BD262" s="126"/>
      <c r="BE262" s="126"/>
      <c r="BF262" s="126"/>
      <c r="BG262" s="126"/>
      <c r="BH262" s="126"/>
      <c r="BI262" s="1"/>
      <c r="BJ262" s="1"/>
      <c r="BK262" s="1"/>
      <c r="BL262" s="1"/>
      <c r="BM262" s="1"/>
      <c r="BN262" s="1"/>
      <c r="BO262" s="1"/>
      <c r="BP262" s="1"/>
      <c r="BQ262" s="1"/>
      <c r="BR262" s="1"/>
      <c r="BS262" s="1"/>
      <c r="BT262" s="1"/>
      <c r="BU262" s="1"/>
      <c r="BV262" s="1"/>
      <c r="BW262" s="1"/>
      <c r="BX262" s="1"/>
      <c r="BY262" s="1"/>
      <c r="BZ262" s="1"/>
      <c r="CA262" s="1"/>
    </row>
    <row r="263" spans="1:79" ht="12.75" hidden="1" customHeight="1">
      <c r="A263" s="17"/>
      <c r="B263" s="17" t="s">
        <v>2059</v>
      </c>
      <c r="C263" s="41"/>
      <c r="D263" s="433"/>
      <c r="E263" s="433"/>
      <c r="F263" s="433"/>
      <c r="G263" s="433"/>
      <c r="H263" s="433"/>
      <c r="I263" s="433"/>
      <c r="J263" s="433"/>
      <c r="K263" s="1"/>
      <c r="L263" s="1"/>
      <c r="M263" s="1"/>
      <c r="N263" s="1"/>
      <c r="O263" s="1"/>
      <c r="P263" s="1"/>
      <c r="Q263" s="1"/>
      <c r="R263" s="1"/>
      <c r="S263" s="1"/>
      <c r="T263" s="1"/>
      <c r="U263" s="1"/>
      <c r="V263" s="1"/>
      <c r="W263" s="1"/>
      <c r="X263" s="1"/>
      <c r="Y263" s="11"/>
      <c r="Z263" s="11"/>
      <c r="AA263" s="11"/>
      <c r="AB263" s="11"/>
      <c r="AC263" s="1"/>
      <c r="AD263" s="1"/>
      <c r="AE263" s="33"/>
      <c r="AF263" s="33"/>
      <c r="AG263" s="33"/>
      <c r="AH263" s="33"/>
      <c r="AI263" s="33"/>
      <c r="AJ263" s="33"/>
      <c r="AK263" s="33"/>
      <c r="AL263" s="1"/>
      <c r="AM263" s="1"/>
      <c r="AN263" s="345"/>
      <c r="AO263" s="203"/>
      <c r="AP263" s="1"/>
      <c r="AQ263" s="1"/>
      <c r="AR263" s="1"/>
      <c r="AS263" s="1"/>
      <c r="AT263" s="1"/>
      <c r="AU263" s="1"/>
      <c r="AV263" s="1"/>
      <c r="AW263" s="1"/>
      <c r="AX263" s="1"/>
      <c r="AY263" s="1"/>
      <c r="AZ263" s="1"/>
      <c r="BA263" s="1"/>
      <c r="BB263" s="1"/>
      <c r="BC263" s="1"/>
      <c r="BD263" s="126"/>
      <c r="BE263" s="126"/>
      <c r="BF263" s="126"/>
      <c r="BG263" s="126"/>
      <c r="BH263" s="126"/>
      <c r="BI263" s="1"/>
      <c r="BJ263" s="1"/>
      <c r="BK263" s="1"/>
      <c r="BL263" s="1"/>
      <c r="BM263" s="1"/>
      <c r="BN263" s="1"/>
      <c r="BO263" s="1"/>
      <c r="BP263" s="1"/>
      <c r="BQ263" s="1"/>
      <c r="BR263" s="1"/>
      <c r="BS263" s="1"/>
      <c r="BT263" s="1"/>
      <c r="BU263" s="1"/>
      <c r="BV263" s="1"/>
      <c r="BW263" s="1"/>
      <c r="BX263" s="1"/>
      <c r="BY263" s="1"/>
      <c r="BZ263" s="1"/>
      <c r="CA263" s="1"/>
    </row>
    <row r="264" spans="1:79" ht="12.75" hidden="1" customHeight="1">
      <c r="A264" s="17"/>
      <c r="B264" s="17" t="s">
        <v>2060</v>
      </c>
      <c r="C264" s="41"/>
      <c r="D264" s="433"/>
      <c r="E264" s="433"/>
      <c r="F264" s="433"/>
      <c r="G264" s="433"/>
      <c r="H264" s="433"/>
      <c r="I264" s="433"/>
      <c r="J264" s="433"/>
      <c r="K264" s="1"/>
      <c r="L264" s="1"/>
      <c r="M264" s="1"/>
      <c r="N264" s="1"/>
      <c r="O264" s="1"/>
      <c r="P264" s="1"/>
      <c r="Q264" s="1"/>
      <c r="R264" s="1"/>
      <c r="S264" s="1"/>
      <c r="T264" s="1"/>
      <c r="U264" s="1"/>
      <c r="V264" s="1"/>
      <c r="W264" s="1"/>
      <c r="X264" s="1"/>
      <c r="Y264" s="11"/>
      <c r="Z264" s="11"/>
      <c r="AA264" s="11"/>
      <c r="AB264" s="11"/>
      <c r="AC264" s="1"/>
      <c r="AD264" s="1"/>
      <c r="AE264" s="33"/>
      <c r="AF264" s="33"/>
      <c r="AG264" s="33"/>
      <c r="AH264" s="33"/>
      <c r="AI264" s="33"/>
      <c r="AJ264" s="33"/>
      <c r="AK264" s="33"/>
      <c r="AL264" s="1"/>
      <c r="AM264" s="1"/>
      <c r="AN264" s="345"/>
      <c r="AO264" s="203"/>
      <c r="AP264" s="1"/>
      <c r="AQ264" s="1"/>
      <c r="AR264" s="1"/>
      <c r="AS264" s="1"/>
      <c r="AT264" s="1"/>
      <c r="AU264" s="1"/>
      <c r="AV264" s="1"/>
      <c r="AW264" s="1"/>
      <c r="AX264" s="1"/>
      <c r="AY264" s="1"/>
      <c r="AZ264" s="1"/>
      <c r="BA264" s="1"/>
      <c r="BB264" s="1"/>
      <c r="BC264" s="1"/>
      <c r="BD264" s="126"/>
      <c r="BE264" s="126"/>
      <c r="BF264" s="126"/>
      <c r="BG264" s="126"/>
      <c r="BH264" s="126"/>
      <c r="BI264" s="1"/>
      <c r="BJ264" s="1"/>
      <c r="BK264" s="1"/>
      <c r="BL264" s="1"/>
      <c r="BM264" s="1"/>
      <c r="BN264" s="1"/>
      <c r="BO264" s="1"/>
      <c r="BP264" s="1"/>
      <c r="BQ264" s="1"/>
      <c r="BR264" s="1"/>
      <c r="BS264" s="1"/>
      <c r="BT264" s="1"/>
      <c r="BU264" s="1"/>
      <c r="BV264" s="1"/>
      <c r="BW264" s="1"/>
      <c r="BX264" s="1"/>
      <c r="BY264" s="1"/>
      <c r="BZ264" s="1"/>
      <c r="CA264" s="1"/>
    </row>
    <row r="265" spans="1:79" ht="12.75" hidden="1" customHeight="1">
      <c r="A265" s="17"/>
      <c r="B265" s="17" t="s">
        <v>2061</v>
      </c>
      <c r="C265" s="41"/>
      <c r="D265" s="433"/>
      <c r="E265" s="433"/>
      <c r="F265" s="433"/>
      <c r="G265" s="433"/>
      <c r="H265" s="433"/>
      <c r="I265" s="433"/>
      <c r="J265" s="433"/>
      <c r="K265" s="1"/>
      <c r="L265" s="1"/>
      <c r="M265" s="1"/>
      <c r="N265" s="1"/>
      <c r="O265" s="1"/>
      <c r="P265" s="1"/>
      <c r="Q265" s="1"/>
      <c r="R265" s="1"/>
      <c r="S265" s="1"/>
      <c r="T265" s="1"/>
      <c r="U265" s="1"/>
      <c r="V265" s="1"/>
      <c r="W265" s="1"/>
      <c r="X265" s="1"/>
      <c r="Y265" s="11"/>
      <c r="Z265" s="11"/>
      <c r="AA265" s="11"/>
      <c r="AB265" s="1085">
        <f>IFERROR(('Sources and Uses Budget'!D105/'Sources and Uses Budget'!B105),0)</f>
        <v>0</v>
      </c>
      <c r="AC265" s="921"/>
      <c r="AD265" s="921"/>
      <c r="AE265" s="921"/>
      <c r="AF265" s="921"/>
      <c r="AG265" s="943"/>
      <c r="AH265" s="407"/>
      <c r="AI265" s="407"/>
      <c r="AJ265" s="407"/>
      <c r="AK265" s="33"/>
      <c r="AL265" s="1"/>
      <c r="AM265" s="1"/>
      <c r="AN265" s="345"/>
      <c r="AO265" s="203"/>
      <c r="AP265" s="1"/>
      <c r="AQ265" s="1"/>
      <c r="AR265" s="1"/>
      <c r="AS265" s="1"/>
      <c r="AT265" s="1"/>
      <c r="AU265" s="1"/>
      <c r="AV265" s="1"/>
      <c r="AW265" s="1"/>
      <c r="AX265" s="1"/>
      <c r="AY265" s="1"/>
      <c r="AZ265" s="1"/>
      <c r="BA265" s="1"/>
      <c r="BB265" s="1"/>
      <c r="BC265" s="1"/>
      <c r="BD265" s="126"/>
      <c r="BE265" s="126"/>
      <c r="BF265" s="126"/>
      <c r="BG265" s="126"/>
      <c r="BH265" s="126"/>
      <c r="BI265" s="1"/>
      <c r="BJ265" s="1"/>
      <c r="BK265" s="1"/>
      <c r="BL265" s="1"/>
      <c r="BM265" s="1"/>
      <c r="BN265" s="1"/>
      <c r="BO265" s="1"/>
      <c r="BP265" s="1"/>
      <c r="BQ265" s="1"/>
      <c r="BR265" s="1"/>
      <c r="BS265" s="1"/>
      <c r="BT265" s="1"/>
      <c r="BU265" s="1"/>
      <c r="BV265" s="1"/>
      <c r="BW265" s="1"/>
      <c r="BX265" s="1"/>
      <c r="BY265" s="1"/>
      <c r="BZ265" s="1"/>
      <c r="CA265" s="1"/>
    </row>
    <row r="266" spans="1:79" ht="12.75" hidden="1" customHeight="1">
      <c r="A266" s="17"/>
      <c r="B266" s="1"/>
      <c r="C266" s="41"/>
      <c r="D266" s="433"/>
      <c r="E266" s="433"/>
      <c r="F266" s="433"/>
      <c r="G266" s="433"/>
      <c r="H266" s="433"/>
      <c r="I266" s="433"/>
      <c r="J266" s="433"/>
      <c r="K266" s="1"/>
      <c r="L266" s="1"/>
      <c r="M266" s="1"/>
      <c r="N266" s="1"/>
      <c r="O266" s="1"/>
      <c r="P266" s="1"/>
      <c r="Q266" s="1"/>
      <c r="R266" s="1"/>
      <c r="S266" s="1"/>
      <c r="T266" s="1"/>
      <c r="U266" s="1"/>
      <c r="V266" s="1"/>
      <c r="W266" s="1"/>
      <c r="X266" s="1"/>
      <c r="Y266" s="11"/>
      <c r="Z266" s="11"/>
      <c r="AA266" s="11"/>
      <c r="AB266" s="11"/>
      <c r="AC266" s="1"/>
      <c r="AD266" s="1"/>
      <c r="AE266" s="33"/>
      <c r="AF266" s="33"/>
      <c r="AG266" s="33"/>
      <c r="AH266" s="33"/>
      <c r="AI266" s="33"/>
      <c r="AJ266" s="33"/>
      <c r="AK266" s="33"/>
      <c r="AL266" s="1"/>
      <c r="AM266" s="1"/>
      <c r="AN266" s="345"/>
      <c r="AO266" s="203"/>
      <c r="AP266" s="1"/>
      <c r="AQ266" s="1"/>
      <c r="AR266" s="1"/>
      <c r="AS266" s="1"/>
      <c r="AT266" s="1"/>
      <c r="AU266" s="1"/>
      <c r="AV266" s="1"/>
      <c r="AW266" s="1"/>
      <c r="AX266" s="1"/>
      <c r="AY266" s="1"/>
      <c r="AZ266" s="1"/>
      <c r="BA266" s="1"/>
      <c r="BB266" s="1"/>
      <c r="BC266" s="1"/>
      <c r="BD266" s="126"/>
      <c r="BE266" s="126"/>
      <c r="BF266" s="126"/>
      <c r="BG266" s="126"/>
      <c r="BH266" s="126"/>
      <c r="BI266" s="1"/>
      <c r="BJ266" s="1"/>
      <c r="BK266" s="1"/>
      <c r="BL266" s="1"/>
      <c r="BM266" s="1"/>
      <c r="BN266" s="1"/>
      <c r="BO266" s="1"/>
      <c r="BP266" s="1"/>
      <c r="BQ266" s="1"/>
      <c r="BR266" s="1"/>
      <c r="BS266" s="1"/>
      <c r="BT266" s="1"/>
      <c r="BU266" s="1"/>
      <c r="BV266" s="1"/>
      <c r="BW266" s="1"/>
      <c r="BX266" s="1"/>
      <c r="BY266" s="1"/>
      <c r="BZ266" s="1"/>
      <c r="CA266" s="1"/>
    </row>
    <row r="267" spans="1:79" ht="12.75" hidden="1" customHeight="1">
      <c r="A267" s="4"/>
      <c r="B267" s="17" t="s">
        <v>2062</v>
      </c>
      <c r="C267" s="237"/>
      <c r="D267" s="237"/>
      <c r="E267" s="237"/>
      <c r="F267" s="237"/>
      <c r="G267" s="1"/>
      <c r="H267" s="1"/>
      <c r="I267" s="1"/>
      <c r="J267" s="1"/>
      <c r="K267" s="1"/>
      <c r="L267" s="1"/>
      <c r="M267" s="1"/>
      <c r="N267" s="1"/>
      <c r="O267" s="1"/>
      <c r="P267" s="1"/>
      <c r="Q267" s="1"/>
      <c r="R267" s="1"/>
      <c r="S267" s="1"/>
      <c r="T267" s="1"/>
      <c r="U267" s="1"/>
      <c r="V267" s="1"/>
      <c r="W267" s="1"/>
      <c r="X267" s="1"/>
      <c r="Y267" s="1"/>
      <c r="Z267" s="1"/>
      <c r="AA267" s="1"/>
      <c r="AB267" s="4"/>
      <c r="AC267" s="4"/>
      <c r="AD267" s="4"/>
      <c r="AE267" s="4"/>
      <c r="AF267" s="1"/>
      <c r="AG267" s="1123">
        <f>AD210*(1-AB265)</f>
        <v>0</v>
      </c>
      <c r="AH267" s="961"/>
      <c r="AI267" s="961"/>
      <c r="AJ267" s="961"/>
      <c r="AK267" s="961"/>
      <c r="AL267" s="1"/>
      <c r="AM267" s="1"/>
      <c r="AN267" s="345"/>
      <c r="AO267" s="203"/>
      <c r="AP267" s="1"/>
      <c r="AQ267" s="1"/>
      <c r="AR267" s="1"/>
      <c r="AS267" s="1"/>
      <c r="AT267" s="1"/>
      <c r="AU267" s="1"/>
      <c r="AV267" s="1"/>
      <c r="AW267" s="1"/>
      <c r="AX267" s="1"/>
      <c r="AY267" s="1"/>
      <c r="AZ267" s="1"/>
      <c r="BA267" s="1"/>
      <c r="BB267" s="1"/>
      <c r="BC267" s="1"/>
      <c r="BD267" s="126"/>
      <c r="BE267" s="126"/>
      <c r="BF267" s="126"/>
      <c r="BG267" s="126"/>
      <c r="BH267" s="126"/>
      <c r="BI267" s="1"/>
      <c r="BJ267" s="1"/>
      <c r="BK267" s="1"/>
      <c r="BL267" s="1"/>
      <c r="BM267" s="1"/>
      <c r="BN267" s="1"/>
      <c r="BO267" s="1"/>
      <c r="BP267" s="1"/>
      <c r="BQ267" s="1"/>
      <c r="BR267" s="1"/>
      <c r="BS267" s="1"/>
      <c r="BT267" s="1"/>
      <c r="BU267" s="1"/>
      <c r="BV267" s="1"/>
      <c r="BW267" s="1"/>
      <c r="BX267" s="1"/>
      <c r="BY267" s="1"/>
      <c r="BZ267" s="1"/>
      <c r="CA267" s="1"/>
    </row>
    <row r="268" spans="1:79" ht="12.75" hidden="1" customHeight="1">
      <c r="A268" s="4"/>
      <c r="B268" s="17" t="s">
        <v>2063</v>
      </c>
      <c r="C268" s="33"/>
      <c r="D268" s="1"/>
      <c r="E268" s="1"/>
      <c r="F268" s="33"/>
      <c r="G268" s="33"/>
      <c r="H268" s="33"/>
      <c r="I268" s="33"/>
      <c r="J268" s="33"/>
      <c r="K268" s="33"/>
      <c r="L268" s="33"/>
      <c r="M268" s="1"/>
      <c r="N268" s="33"/>
      <c r="O268" s="33"/>
      <c r="P268" s="33"/>
      <c r="Q268" s="33"/>
      <c r="R268" s="33"/>
      <c r="S268" s="1"/>
      <c r="T268" s="1"/>
      <c r="U268" s="1"/>
      <c r="V268" s="1"/>
      <c r="W268" s="1"/>
      <c r="X268" s="1"/>
      <c r="Y268" s="1"/>
      <c r="Z268" s="1"/>
      <c r="AA268" s="1"/>
      <c r="AB268" s="4"/>
      <c r="AC268" s="4"/>
      <c r="AD268" s="4"/>
      <c r="AE268" s="4"/>
      <c r="AF268" s="1"/>
      <c r="AG268" s="1123">
        <f>'Sources and Uses Budget'!C105</f>
        <v>99176513</v>
      </c>
      <c r="AH268" s="961"/>
      <c r="AI268" s="961"/>
      <c r="AJ268" s="961"/>
      <c r="AK268" s="961"/>
      <c r="AL268" s="1"/>
      <c r="AM268" s="1"/>
      <c r="AN268" s="345"/>
      <c r="AO268" s="203"/>
      <c r="AP268" s="1"/>
      <c r="AQ268" s="1"/>
      <c r="AR268" s="1"/>
      <c r="AS268" s="1"/>
      <c r="AT268" s="1"/>
      <c r="AU268" s="1"/>
      <c r="AV268" s="1"/>
      <c r="AW268" s="1"/>
      <c r="AX268" s="1"/>
      <c r="AY268" s="1"/>
      <c r="AZ268" s="1"/>
      <c r="BA268" s="1"/>
      <c r="BB268" s="1"/>
      <c r="BC268" s="1"/>
      <c r="BD268" s="126"/>
      <c r="BE268" s="126"/>
      <c r="BF268" s="126"/>
      <c r="BG268" s="126"/>
      <c r="BH268" s="126"/>
      <c r="BI268" s="1"/>
      <c r="BJ268" s="1"/>
      <c r="BK268" s="1"/>
      <c r="BL268" s="1"/>
      <c r="BM268" s="1"/>
      <c r="BN268" s="1"/>
      <c r="BO268" s="1"/>
      <c r="BP268" s="1"/>
      <c r="BQ268" s="1"/>
      <c r="BR268" s="1"/>
      <c r="BS268" s="1"/>
      <c r="BT268" s="1"/>
      <c r="BU268" s="1"/>
      <c r="BV268" s="1"/>
      <c r="BW268" s="1"/>
      <c r="BX268" s="1"/>
      <c r="BY268" s="1"/>
      <c r="BZ268" s="1"/>
      <c r="CA268" s="1"/>
    </row>
    <row r="269" spans="1:79" ht="12.75" hidden="1" customHeight="1">
      <c r="A269" s="4"/>
      <c r="B269" s="1" t="s">
        <v>2065</v>
      </c>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4"/>
      <c r="AC269" s="4"/>
      <c r="AD269" s="4"/>
      <c r="AE269" s="4"/>
      <c r="AF269" s="1"/>
      <c r="AG269" s="1350">
        <f>ROUNDDOWN(IF(AND(C305="Yes",AK83=10),((AG267*2)/AG268),AG267/AG268),2)</f>
        <v>0</v>
      </c>
      <c r="AH269" s="921"/>
      <c r="AI269" s="921"/>
      <c r="AJ269" s="921"/>
      <c r="AK269" s="921"/>
      <c r="AL269" s="1"/>
      <c r="AM269" s="1"/>
      <c r="AN269" s="345"/>
      <c r="AO269" s="203"/>
      <c r="AP269" s="1"/>
      <c r="AQ269" s="1"/>
      <c r="AR269" s="1"/>
      <c r="AS269" s="1"/>
      <c r="AT269" s="1"/>
      <c r="AU269" s="1"/>
      <c r="AV269" s="1"/>
      <c r="AW269" s="1"/>
      <c r="AX269" s="1"/>
      <c r="AY269" s="1"/>
      <c r="AZ269" s="1"/>
      <c r="BA269" s="1"/>
      <c r="BB269" s="1"/>
      <c r="BC269" s="1"/>
      <c r="BD269" s="126"/>
      <c r="BE269" s="126"/>
      <c r="BF269" s="126"/>
      <c r="BG269" s="126"/>
      <c r="BH269" s="126"/>
      <c r="BI269" s="1"/>
      <c r="BJ269" s="1"/>
      <c r="BK269" s="1"/>
      <c r="BL269" s="1"/>
      <c r="BM269" s="1"/>
      <c r="BN269" s="1"/>
      <c r="BO269" s="1"/>
      <c r="BP269" s="1"/>
      <c r="BQ269" s="1"/>
      <c r="BR269" s="1"/>
      <c r="BS269" s="1"/>
      <c r="BT269" s="1"/>
      <c r="BU269" s="1"/>
      <c r="BV269" s="1"/>
      <c r="BW269" s="1"/>
      <c r="BX269" s="1"/>
      <c r="BY269" s="1"/>
      <c r="BZ269" s="1"/>
      <c r="CA269" s="1"/>
    </row>
    <row r="270" spans="1:79" ht="12.75" hidden="1" customHeight="1">
      <c r="A270" s="4"/>
      <c r="B270" s="37" t="s">
        <v>2066</v>
      </c>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4"/>
      <c r="AC270" s="4"/>
      <c r="AD270" s="4"/>
      <c r="AE270" s="4"/>
      <c r="AF270" s="1"/>
      <c r="AG270" s="459"/>
      <c r="AH270" s="459"/>
      <c r="AI270" s="459"/>
      <c r="AJ270" s="459"/>
      <c r="AK270" s="459"/>
      <c r="AL270" s="1"/>
      <c r="AM270" s="1"/>
      <c r="AN270" s="345"/>
      <c r="AO270" s="203"/>
      <c r="AP270" s="1"/>
      <c r="AQ270" s="1"/>
      <c r="AR270" s="1"/>
      <c r="AS270" s="1"/>
      <c r="AT270" s="1"/>
      <c r="AU270" s="1"/>
      <c r="AV270" s="1"/>
      <c r="AW270" s="1"/>
      <c r="AX270" s="1"/>
      <c r="AY270" s="1"/>
      <c r="AZ270" s="1"/>
      <c r="BA270" s="1"/>
      <c r="BB270" s="1"/>
      <c r="BC270" s="1"/>
      <c r="BD270" s="126"/>
      <c r="BE270" s="126"/>
      <c r="BF270" s="126"/>
      <c r="BG270" s="126"/>
      <c r="BH270" s="126"/>
      <c r="BI270" s="1"/>
      <c r="BJ270" s="1"/>
      <c r="BK270" s="1"/>
      <c r="BL270" s="1"/>
      <c r="BM270" s="1"/>
      <c r="BN270" s="1"/>
      <c r="BO270" s="1"/>
      <c r="BP270" s="1"/>
      <c r="BQ270" s="1"/>
      <c r="BR270" s="1"/>
      <c r="BS270" s="1"/>
      <c r="BT270" s="1"/>
      <c r="BU270" s="1"/>
      <c r="BV270" s="1"/>
      <c r="BW270" s="1"/>
      <c r="BX270" s="1"/>
      <c r="BY270" s="1"/>
      <c r="BZ270" s="1"/>
      <c r="CA270" s="1"/>
    </row>
    <row r="271" spans="1:79" ht="12.75" hidden="1" customHeight="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1"/>
      <c r="AL271" s="1"/>
      <c r="AM271" s="1"/>
      <c r="AN271" s="345"/>
      <c r="AO271" s="203"/>
      <c r="AP271" s="1"/>
      <c r="AQ271" s="1"/>
      <c r="AR271" s="1"/>
      <c r="AS271" s="1"/>
      <c r="AT271" s="1"/>
      <c r="AU271" s="1"/>
      <c r="AV271" s="1"/>
      <c r="AW271" s="1"/>
      <c r="AX271" s="1"/>
      <c r="AY271" s="1"/>
      <c r="AZ271" s="1"/>
      <c r="BA271" s="1"/>
      <c r="BB271" s="1"/>
      <c r="BC271" s="1"/>
      <c r="BD271" s="126"/>
      <c r="BE271" s="126"/>
      <c r="BF271" s="126"/>
      <c r="BG271" s="126"/>
      <c r="BH271" s="126"/>
      <c r="BI271" s="1"/>
      <c r="BJ271" s="1"/>
      <c r="BK271" s="1"/>
      <c r="BL271" s="1"/>
      <c r="BM271" s="1"/>
      <c r="BN271" s="1"/>
      <c r="BO271" s="1"/>
      <c r="BP271" s="1"/>
      <c r="BQ271" s="1"/>
      <c r="BR271" s="1"/>
      <c r="BS271" s="1"/>
      <c r="BT271" s="1"/>
      <c r="BU271" s="1"/>
      <c r="BV271" s="1"/>
      <c r="BW271" s="1"/>
      <c r="BX271" s="1"/>
      <c r="BY271" s="1"/>
      <c r="BZ271" s="1"/>
      <c r="CA271" s="1"/>
    </row>
    <row r="272" spans="1:79" ht="12.75" hidden="1"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484"/>
      <c r="AI272" s="372"/>
      <c r="AJ272" s="372" t="s">
        <v>2068</v>
      </c>
      <c r="AK272" s="1474">
        <f>IFERROR(IF(AG269=0,0,IF((AG269*100)&gt;8,8,(AG269*100))),0)</f>
        <v>0</v>
      </c>
      <c r="AL272" s="921"/>
      <c r="AM272" s="943"/>
      <c r="AN272" s="345"/>
      <c r="AO272" s="203"/>
      <c r="AP272" s="1"/>
      <c r="AQ272" s="1"/>
      <c r="AR272" s="1"/>
      <c r="AS272" s="1"/>
      <c r="AT272" s="1"/>
      <c r="AU272" s="1"/>
      <c r="AV272" s="1"/>
      <c r="AW272" s="1"/>
      <c r="AX272" s="1"/>
      <c r="AY272" s="1"/>
      <c r="AZ272" s="1"/>
      <c r="BA272" s="1"/>
      <c r="BB272" s="1"/>
      <c r="BC272" s="1"/>
      <c r="BD272" s="126"/>
      <c r="BE272" s="126"/>
      <c r="BF272" s="126"/>
      <c r="BG272" s="126"/>
      <c r="BH272" s="126"/>
      <c r="BI272" s="1"/>
      <c r="BJ272" s="1"/>
      <c r="BK272" s="1"/>
      <c r="BL272" s="1"/>
      <c r="BM272" s="1"/>
      <c r="BN272" s="1"/>
      <c r="BO272" s="1"/>
      <c r="BP272" s="1"/>
      <c r="BQ272" s="1"/>
      <c r="BR272" s="1"/>
      <c r="BS272" s="1"/>
      <c r="BT272" s="1"/>
      <c r="BU272" s="1"/>
      <c r="BV272" s="1"/>
      <c r="BW272" s="1"/>
      <c r="BX272" s="1"/>
      <c r="BY272" s="1"/>
      <c r="BZ272" s="1"/>
      <c r="CA272" s="1"/>
    </row>
    <row r="273" spans="1:79" ht="12.75" hidden="1"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345"/>
      <c r="AO273" s="203"/>
      <c r="AP273" s="1"/>
      <c r="AQ273" s="1"/>
      <c r="AR273" s="1"/>
      <c r="AS273" s="1"/>
      <c r="AT273" s="1"/>
      <c r="AU273" s="1"/>
      <c r="AV273" s="1"/>
      <c r="AW273" s="1"/>
      <c r="AX273" s="1"/>
      <c r="AY273" s="1"/>
      <c r="AZ273" s="1"/>
      <c r="BA273" s="1"/>
      <c r="BB273" s="1"/>
      <c r="BC273" s="1"/>
      <c r="BD273" s="126"/>
      <c r="BE273" s="126"/>
      <c r="BF273" s="126"/>
      <c r="BG273" s="126"/>
      <c r="BH273" s="126"/>
      <c r="BI273" s="1"/>
      <c r="BJ273" s="1"/>
      <c r="BK273" s="1"/>
      <c r="BL273" s="1"/>
      <c r="BM273" s="1"/>
      <c r="BN273" s="1"/>
      <c r="BO273" s="1"/>
      <c r="BP273" s="1"/>
      <c r="BQ273" s="1"/>
      <c r="BR273" s="1"/>
      <c r="BS273" s="1"/>
      <c r="BT273" s="1"/>
      <c r="BU273" s="1"/>
      <c r="BV273" s="1"/>
      <c r="BW273" s="1"/>
      <c r="BX273" s="1"/>
      <c r="BY273" s="1"/>
      <c r="BZ273" s="1"/>
      <c r="CA273" s="1"/>
    </row>
    <row r="274" spans="1:79" ht="12.75" customHeight="1">
      <c r="A274" s="428"/>
      <c r="B274" s="499"/>
      <c r="C274" s="499"/>
      <c r="D274" s="499"/>
      <c r="E274" s="499"/>
      <c r="F274" s="499"/>
      <c r="G274" s="499"/>
      <c r="H274" s="499"/>
      <c r="I274" s="499"/>
      <c r="J274" s="499"/>
      <c r="K274" s="499"/>
      <c r="L274" s="499"/>
      <c r="M274" s="499"/>
      <c r="N274" s="499"/>
      <c r="O274" s="499"/>
      <c r="P274" s="499"/>
      <c r="Q274" s="499"/>
      <c r="R274" s="499"/>
      <c r="S274" s="499"/>
      <c r="T274" s="499"/>
      <c r="U274" s="499"/>
      <c r="V274" s="499"/>
      <c r="W274" s="499"/>
      <c r="X274" s="499"/>
      <c r="Y274" s="499"/>
      <c r="Z274" s="499"/>
      <c r="AA274" s="499"/>
      <c r="AB274" s="499"/>
      <c r="AC274" s="501"/>
      <c r="AD274" s="499"/>
      <c r="AE274" s="499"/>
      <c r="AF274" s="499"/>
      <c r="AG274" s="499"/>
      <c r="AH274" s="428"/>
      <c r="AI274" s="503"/>
      <c r="AJ274" s="503"/>
      <c r="AK274" s="504"/>
      <c r="AL274" s="504"/>
      <c r="AM274" s="505"/>
      <c r="AN274" s="424"/>
      <c r="AO274" s="117"/>
      <c r="AP274" s="1"/>
      <c r="AQ274" s="1"/>
      <c r="AR274" s="1"/>
      <c r="AS274" s="1"/>
      <c r="AT274" s="1"/>
      <c r="AU274" s="1"/>
      <c r="AV274" s="1"/>
      <c r="AW274" s="1"/>
      <c r="AX274" s="1"/>
      <c r="AY274" s="1"/>
      <c r="AZ274" s="1"/>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c r="CA274" s="117"/>
    </row>
    <row r="275" spans="1:79" ht="12.75" customHeight="1">
      <c r="A275" s="8" t="s">
        <v>1981</v>
      </c>
      <c r="B275" s="62" t="s">
        <v>2072</v>
      </c>
      <c r="C275" s="8"/>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0" t="s">
        <v>1871</v>
      </c>
      <c r="AI275" s="117"/>
      <c r="AJ275" s="117"/>
      <c r="AK275" s="117"/>
      <c r="AL275" s="117"/>
      <c r="AM275" s="117"/>
      <c r="AN275" s="345"/>
      <c r="AO275" s="117"/>
      <c r="AP275" s="1"/>
      <c r="AQ275" s="1"/>
      <c r="AR275" s="1"/>
      <c r="AS275" s="1"/>
      <c r="AT275" s="1"/>
      <c r="AU275" s="1"/>
      <c r="AV275" s="1"/>
      <c r="AW275" s="1"/>
      <c r="AX275" s="1"/>
      <c r="AY275" s="1"/>
      <c r="AZ275" s="1"/>
      <c r="BA275" s="1"/>
      <c r="BB275" s="1"/>
      <c r="BC275" s="1"/>
      <c r="BD275" s="126"/>
      <c r="BE275" s="126"/>
      <c r="BF275" s="126"/>
      <c r="BG275" s="126"/>
      <c r="BH275" s="126"/>
      <c r="BI275" s="1"/>
      <c r="BJ275" s="1"/>
      <c r="BK275" s="1"/>
      <c r="BL275" s="1"/>
      <c r="BM275" s="1"/>
      <c r="BN275" s="1"/>
      <c r="BO275" s="1"/>
      <c r="BP275" s="1"/>
      <c r="BQ275" s="1"/>
      <c r="BR275" s="1"/>
      <c r="BS275" s="1"/>
      <c r="BT275" s="1"/>
      <c r="BU275" s="1"/>
      <c r="BV275" s="1"/>
      <c r="BW275" s="1"/>
      <c r="BX275" s="1"/>
      <c r="BY275" s="1"/>
      <c r="BZ275" s="1"/>
      <c r="CA275" s="1"/>
    </row>
    <row r="276" spans="1:79" ht="12.75" customHeight="1">
      <c r="A276" s="8"/>
      <c r="B276" s="62"/>
      <c r="C276" s="8"/>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0"/>
      <c r="AI276" s="117"/>
      <c r="AJ276" s="117"/>
      <c r="AK276" s="117"/>
      <c r="AL276" s="117"/>
      <c r="AM276" s="117"/>
      <c r="AN276" s="345"/>
      <c r="AO276" s="117"/>
      <c r="AP276" s="1"/>
      <c r="AQ276" s="1"/>
      <c r="AR276" s="1"/>
      <c r="AS276" s="1"/>
      <c r="AT276" s="1"/>
      <c r="AU276" s="1"/>
      <c r="AV276" s="1"/>
      <c r="AW276" s="1"/>
      <c r="AX276" s="1"/>
      <c r="AY276" s="1"/>
      <c r="AZ276" s="1"/>
      <c r="BA276" s="1"/>
      <c r="BB276" s="1"/>
      <c r="BC276" s="1"/>
      <c r="BD276" s="126"/>
      <c r="BE276" s="126"/>
      <c r="BF276" s="126"/>
      <c r="BG276" s="126"/>
      <c r="BH276" s="126"/>
      <c r="BI276" s="1"/>
      <c r="BJ276" s="1"/>
      <c r="BK276" s="1"/>
      <c r="BL276" s="1"/>
      <c r="BM276" s="1"/>
      <c r="BN276" s="1"/>
      <c r="BO276" s="1"/>
      <c r="BP276" s="1"/>
      <c r="BQ276" s="1"/>
      <c r="BR276" s="1"/>
      <c r="BS276" s="1"/>
      <c r="BT276" s="1"/>
      <c r="BU276" s="1"/>
      <c r="BV276" s="1"/>
      <c r="BW276" s="1"/>
      <c r="BX276" s="1"/>
      <c r="BY276" s="1"/>
      <c r="BZ276" s="1"/>
      <c r="CA276" s="1"/>
    </row>
    <row r="277" spans="1:79" ht="14.25" customHeight="1">
      <c r="A277" s="1"/>
      <c r="B277" s="1"/>
      <c r="C277" s="1"/>
      <c r="D277" s="1" t="s">
        <v>2077</v>
      </c>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76"/>
      <c r="AJ277" s="117"/>
      <c r="AK277" s="117"/>
      <c r="AL277" s="117"/>
      <c r="AM277" s="117"/>
      <c r="AN277" s="345"/>
      <c r="AO277" s="117"/>
      <c r="AP277" s="1"/>
      <c r="AQ277" s="1"/>
      <c r="AR277" s="1"/>
      <c r="AS277" s="1"/>
      <c r="AT277" s="1"/>
      <c r="AU277" s="1"/>
      <c r="AV277" s="1"/>
      <c r="AW277" s="1"/>
      <c r="AX277" s="1"/>
      <c r="AY277" s="1"/>
      <c r="AZ277" s="1"/>
      <c r="BA277" s="1"/>
      <c r="BB277" s="1"/>
      <c r="BC277" s="1"/>
      <c r="BD277" s="126"/>
      <c r="BE277" s="126"/>
      <c r="BF277" s="126"/>
      <c r="BG277" s="126"/>
      <c r="BH277" s="126"/>
      <c r="BI277" s="1"/>
      <c r="BJ277" s="1"/>
      <c r="BK277" s="1"/>
      <c r="BL277" s="1"/>
      <c r="BM277" s="1"/>
      <c r="BN277" s="1"/>
      <c r="BO277" s="1"/>
      <c r="BP277" s="1"/>
      <c r="BQ277" s="1"/>
      <c r="BR277" s="1"/>
      <c r="BS277" s="1"/>
      <c r="BT277" s="1"/>
      <c r="BU277" s="1"/>
      <c r="BV277" s="1"/>
      <c r="BW277" s="1"/>
      <c r="BX277" s="1"/>
      <c r="BY277" s="1"/>
      <c r="BZ277" s="1"/>
      <c r="CA277" s="1"/>
    </row>
    <row r="278" spans="1:79"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76"/>
      <c r="AJ278" s="117"/>
      <c r="AK278" s="117"/>
      <c r="AL278" s="117"/>
      <c r="AM278" s="117"/>
      <c r="AN278" s="345"/>
      <c r="AO278" s="117"/>
      <c r="AP278" s="1"/>
      <c r="AQ278" s="1"/>
      <c r="AR278" s="1"/>
      <c r="AS278" s="1"/>
      <c r="AT278" s="1"/>
      <c r="AU278" s="1"/>
      <c r="AV278" s="1"/>
      <c r="AW278" s="1"/>
      <c r="AX278" s="1"/>
      <c r="AY278" s="1"/>
      <c r="AZ278" s="1"/>
      <c r="BA278" s="1"/>
      <c r="BB278" s="1"/>
      <c r="BC278" s="1"/>
      <c r="BD278" s="126"/>
      <c r="BE278" s="126"/>
      <c r="BF278" s="126"/>
      <c r="BG278" s="126"/>
      <c r="BH278" s="126"/>
      <c r="BI278" s="1"/>
      <c r="BJ278" s="1"/>
      <c r="BK278" s="1"/>
      <c r="BL278" s="1"/>
      <c r="BM278" s="1"/>
      <c r="BN278" s="1"/>
      <c r="BO278" s="1"/>
      <c r="BP278" s="1"/>
      <c r="BQ278" s="1"/>
      <c r="BR278" s="1"/>
      <c r="BS278" s="1"/>
      <c r="BT278" s="1"/>
      <c r="BU278" s="1"/>
      <c r="BV278" s="1"/>
      <c r="BW278" s="1"/>
      <c r="BX278" s="1"/>
      <c r="BY278" s="1"/>
      <c r="BZ278" s="1"/>
      <c r="CA278" s="1"/>
    </row>
    <row r="279" spans="1:79" ht="13.5" customHeight="1">
      <c r="A279" s="117"/>
      <c r="B279" s="514"/>
      <c r="C279" s="973" t="s">
        <v>901</v>
      </c>
      <c r="D279" s="969"/>
      <c r="E279" s="352"/>
      <c r="F279" s="1471" t="s">
        <v>2079</v>
      </c>
      <c r="G279" s="1384"/>
      <c r="H279" s="1384"/>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5"/>
      <c r="AE279" s="117"/>
      <c r="AF279" s="516"/>
      <c r="AG279" s="937" t="s">
        <v>1974</v>
      </c>
      <c r="AH279" s="893"/>
      <c r="AI279" s="893"/>
      <c r="AJ279" s="893"/>
      <c r="AK279" s="117"/>
      <c r="AL279" s="117"/>
      <c r="AM279" s="117"/>
      <c r="AN279" s="345"/>
      <c r="AO279" s="117"/>
      <c r="AP279" s="1"/>
      <c r="AQ279" s="1"/>
      <c r="AR279" s="1"/>
      <c r="AS279" s="1"/>
      <c r="AT279" s="1"/>
      <c r="AU279" s="1"/>
      <c r="AV279" s="1"/>
      <c r="AW279" s="1"/>
      <c r="AX279" s="1"/>
      <c r="AY279" s="1"/>
      <c r="AZ279" s="1"/>
      <c r="BA279" s="1"/>
      <c r="BB279" s="1"/>
      <c r="BC279" s="1"/>
      <c r="BD279" s="126"/>
      <c r="BE279" s="126"/>
      <c r="BF279" s="126"/>
      <c r="BG279" s="126"/>
      <c r="BH279" s="126"/>
      <c r="BI279" s="1"/>
      <c r="BJ279" s="1"/>
      <c r="BK279" s="1"/>
      <c r="BL279" s="1"/>
      <c r="BM279" s="1"/>
      <c r="BN279" s="1"/>
      <c r="BO279" s="1"/>
      <c r="BP279" s="1"/>
      <c r="BQ279" s="1"/>
      <c r="BR279" s="1"/>
      <c r="BS279" s="1"/>
      <c r="BT279" s="1"/>
      <c r="BU279" s="1"/>
      <c r="BV279" s="1"/>
      <c r="BW279" s="1"/>
      <c r="BX279" s="1"/>
      <c r="BY279" s="1"/>
      <c r="BZ279" s="1"/>
      <c r="CA279" s="1"/>
    </row>
    <row r="280" spans="1:79" ht="13.5" customHeight="1">
      <c r="A280" s="117"/>
      <c r="B280" s="514"/>
      <c r="C280" s="252"/>
      <c r="D280" s="117"/>
      <c r="E280" s="352"/>
      <c r="F280" s="1386"/>
      <c r="G280" s="893"/>
      <c r="H280" s="893"/>
      <c r="I280" s="893"/>
      <c r="J280" s="893"/>
      <c r="K280" s="893"/>
      <c r="L280" s="893"/>
      <c r="M280" s="893"/>
      <c r="N280" s="893"/>
      <c r="O280" s="893"/>
      <c r="P280" s="893"/>
      <c r="Q280" s="893"/>
      <c r="R280" s="893"/>
      <c r="S280" s="893"/>
      <c r="T280" s="893"/>
      <c r="U280" s="893"/>
      <c r="V280" s="893"/>
      <c r="W280" s="893"/>
      <c r="X280" s="893"/>
      <c r="Y280" s="893"/>
      <c r="Z280" s="893"/>
      <c r="AA280" s="893"/>
      <c r="AB280" s="893"/>
      <c r="AC280" s="893"/>
      <c r="AD280" s="1387"/>
      <c r="AE280" s="117"/>
      <c r="AF280" s="516"/>
      <c r="AG280" s="516"/>
      <c r="AH280" s="516"/>
      <c r="AI280" s="516"/>
      <c r="AJ280" s="117"/>
      <c r="AK280" s="117"/>
      <c r="AL280" s="117"/>
      <c r="AM280" s="117"/>
      <c r="AN280" s="345"/>
      <c r="AO280" s="117"/>
      <c r="AP280" s="1"/>
      <c r="AQ280" s="1"/>
      <c r="AR280" s="1"/>
      <c r="AS280" s="1"/>
      <c r="AT280" s="1"/>
      <c r="AU280" s="1"/>
      <c r="AV280" s="1"/>
      <c r="AW280" s="1"/>
      <c r="AX280" s="1"/>
      <c r="AY280" s="1"/>
      <c r="AZ280" s="1"/>
      <c r="BA280" s="1"/>
      <c r="BB280" s="1"/>
      <c r="BC280" s="1"/>
      <c r="BD280" s="126"/>
      <c r="BE280" s="126"/>
      <c r="BF280" s="126"/>
      <c r="BG280" s="126"/>
      <c r="BH280" s="126"/>
      <c r="BI280" s="1"/>
      <c r="BJ280" s="1"/>
      <c r="BK280" s="1"/>
      <c r="BL280" s="1"/>
      <c r="BM280" s="1"/>
      <c r="BN280" s="1"/>
      <c r="BO280" s="1"/>
      <c r="BP280" s="1"/>
      <c r="BQ280" s="1"/>
      <c r="BR280" s="1"/>
      <c r="BS280" s="1"/>
      <c r="BT280" s="1"/>
      <c r="BU280" s="1"/>
      <c r="BV280" s="1"/>
      <c r="BW280" s="1"/>
      <c r="BX280" s="1"/>
      <c r="BY280" s="1"/>
      <c r="BZ280" s="1"/>
      <c r="CA280" s="1"/>
    </row>
    <row r="281" spans="1:79" ht="13.5" customHeight="1">
      <c r="A281" s="117"/>
      <c r="B281" s="514"/>
      <c r="C281" s="252"/>
      <c r="D281" s="117"/>
      <c r="E281" s="352"/>
      <c r="F281" s="1386"/>
      <c r="G281" s="893"/>
      <c r="H281" s="893"/>
      <c r="I281" s="893"/>
      <c r="J281" s="893"/>
      <c r="K281" s="893"/>
      <c r="L281" s="893"/>
      <c r="M281" s="893"/>
      <c r="N281" s="893"/>
      <c r="O281" s="893"/>
      <c r="P281" s="893"/>
      <c r="Q281" s="893"/>
      <c r="R281" s="893"/>
      <c r="S281" s="893"/>
      <c r="T281" s="893"/>
      <c r="U281" s="893"/>
      <c r="V281" s="893"/>
      <c r="W281" s="893"/>
      <c r="X281" s="893"/>
      <c r="Y281" s="893"/>
      <c r="Z281" s="893"/>
      <c r="AA281" s="893"/>
      <c r="AB281" s="893"/>
      <c r="AC281" s="893"/>
      <c r="AD281" s="1387"/>
      <c r="AE281" s="117"/>
      <c r="AF281" s="516"/>
      <c r="AG281" s="516"/>
      <c r="AH281" s="516"/>
      <c r="AI281" s="516"/>
      <c r="AJ281" s="117"/>
      <c r="AK281" s="117"/>
      <c r="AL281" s="117"/>
      <c r="AM281" s="117"/>
      <c r="AN281" s="345"/>
      <c r="AO281" s="117"/>
      <c r="AP281" s="1"/>
      <c r="AQ281" s="1"/>
      <c r="AR281" s="1"/>
      <c r="AS281" s="1"/>
      <c r="AT281" s="1"/>
      <c r="AU281" s="1"/>
      <c r="AV281" s="1"/>
      <c r="AW281" s="1"/>
      <c r="AX281" s="1"/>
      <c r="AY281" s="1"/>
      <c r="AZ281" s="1"/>
      <c r="BA281" s="1"/>
      <c r="BB281" s="1"/>
      <c r="BC281" s="1"/>
      <c r="BD281" s="126"/>
      <c r="BE281" s="126"/>
      <c r="BF281" s="126"/>
      <c r="BG281" s="126"/>
      <c r="BH281" s="126"/>
      <c r="BI281" s="1"/>
      <c r="BJ281" s="1"/>
      <c r="BK281" s="1"/>
      <c r="BL281" s="1"/>
      <c r="BM281" s="1"/>
      <c r="BN281" s="1"/>
      <c r="BO281" s="1"/>
      <c r="BP281" s="1"/>
      <c r="BQ281" s="1"/>
      <c r="BR281" s="1"/>
      <c r="BS281" s="1"/>
      <c r="BT281" s="1"/>
      <c r="BU281" s="1"/>
      <c r="BV281" s="1"/>
      <c r="BW281" s="1"/>
      <c r="BX281" s="1"/>
      <c r="BY281" s="1"/>
      <c r="BZ281" s="1"/>
      <c r="CA281" s="1"/>
    </row>
    <row r="282" spans="1:79" ht="13.5" customHeight="1">
      <c r="A282" s="117"/>
      <c r="B282" s="514"/>
      <c r="C282" s="252"/>
      <c r="D282" s="117"/>
      <c r="E282" s="352"/>
      <c r="F282" s="1386"/>
      <c r="G282" s="893"/>
      <c r="H282" s="893"/>
      <c r="I282" s="893"/>
      <c r="J282" s="893"/>
      <c r="K282" s="893"/>
      <c r="L282" s="893"/>
      <c r="M282" s="893"/>
      <c r="N282" s="893"/>
      <c r="O282" s="893"/>
      <c r="P282" s="893"/>
      <c r="Q282" s="893"/>
      <c r="R282" s="893"/>
      <c r="S282" s="893"/>
      <c r="T282" s="893"/>
      <c r="U282" s="893"/>
      <c r="V282" s="893"/>
      <c r="W282" s="893"/>
      <c r="X282" s="893"/>
      <c r="Y282" s="893"/>
      <c r="Z282" s="893"/>
      <c r="AA282" s="893"/>
      <c r="AB282" s="893"/>
      <c r="AC282" s="893"/>
      <c r="AD282" s="1387"/>
      <c r="AE282" s="117"/>
      <c r="AF282" s="516"/>
      <c r="AG282" s="516"/>
      <c r="AH282" s="516"/>
      <c r="AI282" s="516"/>
      <c r="AJ282" s="117"/>
      <c r="AK282" s="117"/>
      <c r="AL282" s="117"/>
      <c r="AM282" s="117"/>
      <c r="AN282" s="345"/>
      <c r="AO282" s="117"/>
      <c r="AP282" s="1"/>
      <c r="AQ282" s="1"/>
      <c r="AR282" s="1"/>
      <c r="AS282" s="1"/>
      <c r="AT282" s="1"/>
      <c r="AU282" s="1"/>
      <c r="AV282" s="1"/>
      <c r="AW282" s="1"/>
      <c r="AX282" s="1"/>
      <c r="AY282" s="1"/>
      <c r="AZ282" s="1"/>
      <c r="BA282" s="1"/>
      <c r="BB282" s="1"/>
      <c r="BC282" s="1"/>
      <c r="BD282" s="126"/>
      <c r="BE282" s="126"/>
      <c r="BF282" s="126"/>
      <c r="BG282" s="126"/>
      <c r="BH282" s="126"/>
      <c r="BI282" s="1"/>
      <c r="BJ282" s="1"/>
      <c r="BK282" s="1"/>
      <c r="BL282" s="1"/>
      <c r="BM282" s="1"/>
      <c r="BN282" s="1"/>
      <c r="BO282" s="1"/>
      <c r="BP282" s="1"/>
      <c r="BQ282" s="1"/>
      <c r="BR282" s="1"/>
      <c r="BS282" s="1"/>
      <c r="BT282" s="1"/>
      <c r="BU282" s="1"/>
      <c r="BV282" s="1"/>
      <c r="BW282" s="1"/>
      <c r="BX282" s="1"/>
      <c r="BY282" s="1"/>
      <c r="BZ282" s="1"/>
      <c r="CA282" s="1"/>
    </row>
    <row r="283" spans="1:79" ht="13.5" customHeight="1">
      <c r="A283" s="117"/>
      <c r="B283" s="514"/>
      <c r="C283" s="252"/>
      <c r="D283" s="117"/>
      <c r="E283" s="352"/>
      <c r="F283" s="1386"/>
      <c r="G283" s="893"/>
      <c r="H283" s="893"/>
      <c r="I283" s="893"/>
      <c r="J283" s="893"/>
      <c r="K283" s="893"/>
      <c r="L283" s="893"/>
      <c r="M283" s="893"/>
      <c r="N283" s="893"/>
      <c r="O283" s="893"/>
      <c r="P283" s="893"/>
      <c r="Q283" s="893"/>
      <c r="R283" s="893"/>
      <c r="S283" s="893"/>
      <c r="T283" s="893"/>
      <c r="U283" s="893"/>
      <c r="V283" s="893"/>
      <c r="W283" s="893"/>
      <c r="X283" s="893"/>
      <c r="Y283" s="893"/>
      <c r="Z283" s="893"/>
      <c r="AA283" s="893"/>
      <c r="AB283" s="893"/>
      <c r="AC283" s="893"/>
      <c r="AD283" s="1387"/>
      <c r="AE283" s="117"/>
      <c r="AF283" s="516"/>
      <c r="AG283" s="516"/>
      <c r="AH283" s="516"/>
      <c r="AI283" s="516"/>
      <c r="AJ283" s="117"/>
      <c r="AK283" s="117"/>
      <c r="AL283" s="117"/>
      <c r="AM283" s="117"/>
      <c r="AN283" s="345"/>
      <c r="AO283" s="117"/>
      <c r="AP283" s="1"/>
      <c r="AQ283" s="1"/>
      <c r="AR283" s="1"/>
      <c r="AS283" s="1"/>
      <c r="AT283" s="1"/>
      <c r="AU283" s="1"/>
      <c r="AV283" s="1"/>
      <c r="AW283" s="1"/>
      <c r="AX283" s="1"/>
      <c r="AY283" s="1"/>
      <c r="AZ283" s="1"/>
      <c r="BA283" s="1"/>
      <c r="BB283" s="1"/>
      <c r="BC283" s="1"/>
      <c r="BD283" s="126"/>
      <c r="BE283" s="126"/>
      <c r="BF283" s="126"/>
      <c r="BG283" s="126"/>
      <c r="BH283" s="126"/>
      <c r="BI283" s="1"/>
      <c r="BJ283" s="1"/>
      <c r="BK283" s="1"/>
      <c r="BL283" s="1"/>
      <c r="BM283" s="1"/>
      <c r="BN283" s="1"/>
      <c r="BO283" s="1"/>
      <c r="BP283" s="1"/>
      <c r="BQ283" s="1"/>
      <c r="BR283" s="1"/>
      <c r="BS283" s="1"/>
      <c r="BT283" s="1"/>
      <c r="BU283" s="1"/>
      <c r="BV283" s="1"/>
      <c r="BW283" s="1"/>
      <c r="BX283" s="1"/>
      <c r="BY283" s="1"/>
      <c r="BZ283" s="1"/>
      <c r="CA283" s="1"/>
    </row>
    <row r="284" spans="1:79" ht="12.75" customHeight="1">
      <c r="A284" s="117"/>
      <c r="B284" s="514"/>
      <c r="C284" s="252"/>
      <c r="D284" s="117"/>
      <c r="E284" s="352"/>
      <c r="F284" s="1386"/>
      <c r="G284" s="893"/>
      <c r="H284" s="893"/>
      <c r="I284" s="893"/>
      <c r="J284" s="893"/>
      <c r="K284" s="893"/>
      <c r="L284" s="893"/>
      <c r="M284" s="893"/>
      <c r="N284" s="893"/>
      <c r="O284" s="893"/>
      <c r="P284" s="893"/>
      <c r="Q284" s="893"/>
      <c r="R284" s="893"/>
      <c r="S284" s="893"/>
      <c r="T284" s="893"/>
      <c r="U284" s="893"/>
      <c r="V284" s="893"/>
      <c r="W284" s="893"/>
      <c r="X284" s="893"/>
      <c r="Y284" s="893"/>
      <c r="Z284" s="893"/>
      <c r="AA284" s="893"/>
      <c r="AB284" s="893"/>
      <c r="AC284" s="893"/>
      <c r="AD284" s="1387"/>
      <c r="AE284" s="117"/>
      <c r="AF284" s="516"/>
      <c r="AG284" s="516"/>
      <c r="AH284" s="516"/>
      <c r="AI284" s="516"/>
      <c r="AJ284" s="117"/>
      <c r="AK284" s="117"/>
      <c r="AL284" s="117"/>
      <c r="AM284" s="117"/>
      <c r="AN284" s="345"/>
      <c r="AO284" s="117"/>
      <c r="AP284" s="521"/>
      <c r="AQ284" s="1"/>
      <c r="AR284" s="1"/>
      <c r="AS284" s="1"/>
      <c r="AT284" s="1"/>
      <c r="AU284" s="1"/>
      <c r="AV284" s="1"/>
      <c r="AW284" s="1"/>
      <c r="AX284" s="1"/>
      <c r="AY284" s="1"/>
      <c r="AZ284" s="1"/>
      <c r="BA284" s="1"/>
      <c r="BB284" s="1"/>
      <c r="BC284" s="1"/>
      <c r="BD284" s="126"/>
      <c r="BE284" s="126"/>
      <c r="BF284" s="126"/>
      <c r="BG284" s="126"/>
      <c r="BH284" s="126"/>
      <c r="BI284" s="1"/>
      <c r="BJ284" s="1"/>
      <c r="BK284" s="1"/>
      <c r="BL284" s="1"/>
      <c r="BM284" s="1"/>
      <c r="BN284" s="1"/>
      <c r="BO284" s="1"/>
      <c r="BP284" s="1"/>
      <c r="BQ284" s="1"/>
      <c r="BR284" s="1"/>
      <c r="BS284" s="1"/>
      <c r="BT284" s="1"/>
      <c r="BU284" s="1"/>
      <c r="BV284" s="1"/>
      <c r="BW284" s="1"/>
      <c r="BX284" s="1"/>
      <c r="BY284" s="1"/>
      <c r="BZ284" s="1"/>
      <c r="CA284" s="1"/>
    </row>
    <row r="285" spans="1:79" ht="12.75" customHeight="1">
      <c r="A285" s="117"/>
      <c r="B285" s="514"/>
      <c r="C285" s="252"/>
      <c r="D285" s="117"/>
      <c r="E285" s="352"/>
      <c r="F285" s="1386"/>
      <c r="G285" s="893"/>
      <c r="H285" s="893"/>
      <c r="I285" s="893"/>
      <c r="J285" s="893"/>
      <c r="K285" s="893"/>
      <c r="L285" s="893"/>
      <c r="M285" s="893"/>
      <c r="N285" s="893"/>
      <c r="O285" s="893"/>
      <c r="P285" s="893"/>
      <c r="Q285" s="893"/>
      <c r="R285" s="893"/>
      <c r="S285" s="893"/>
      <c r="T285" s="893"/>
      <c r="U285" s="893"/>
      <c r="V285" s="893"/>
      <c r="W285" s="893"/>
      <c r="X285" s="893"/>
      <c r="Y285" s="893"/>
      <c r="Z285" s="893"/>
      <c r="AA285" s="893"/>
      <c r="AB285" s="893"/>
      <c r="AC285" s="893"/>
      <c r="AD285" s="1387"/>
      <c r="AE285" s="117"/>
      <c r="AF285" s="516"/>
      <c r="AG285" s="516"/>
      <c r="AH285" s="516"/>
      <c r="AI285" s="516"/>
      <c r="AJ285" s="117"/>
      <c r="AK285" s="117"/>
      <c r="AL285" s="117"/>
      <c r="AM285" s="117"/>
      <c r="AN285" s="345"/>
      <c r="AO285" s="117"/>
      <c r="AP285" s="521"/>
      <c r="AQ285" s="1"/>
      <c r="AR285" s="1"/>
      <c r="AS285" s="1"/>
      <c r="AT285" s="1"/>
      <c r="AU285" s="1"/>
      <c r="AV285" s="1"/>
      <c r="AW285" s="1"/>
      <c r="AX285" s="1"/>
      <c r="AY285" s="1"/>
      <c r="AZ285" s="1"/>
      <c r="BA285" s="1"/>
      <c r="BB285" s="1"/>
      <c r="BC285" s="1"/>
      <c r="BD285" s="126"/>
      <c r="BE285" s="126"/>
      <c r="BF285" s="126"/>
      <c r="BG285" s="126"/>
      <c r="BH285" s="126"/>
      <c r="BI285" s="1"/>
      <c r="BJ285" s="1"/>
      <c r="BK285" s="1"/>
      <c r="BL285" s="1"/>
      <c r="BM285" s="1"/>
      <c r="BN285" s="1"/>
      <c r="BO285" s="1"/>
      <c r="BP285" s="1"/>
      <c r="BQ285" s="1"/>
      <c r="BR285" s="1"/>
      <c r="BS285" s="1"/>
      <c r="BT285" s="1"/>
      <c r="BU285" s="1"/>
      <c r="BV285" s="1"/>
      <c r="BW285" s="1"/>
      <c r="BX285" s="1"/>
      <c r="BY285" s="1"/>
      <c r="BZ285" s="1"/>
      <c r="CA285" s="1"/>
    </row>
    <row r="286" spans="1:79" ht="13.5" customHeight="1">
      <c r="A286" s="117"/>
      <c r="B286" s="514"/>
      <c r="C286" s="981"/>
      <c r="D286" s="893"/>
      <c r="E286" s="352"/>
      <c r="F286" s="1388"/>
      <c r="G286" s="1389"/>
      <c r="H286" s="1389"/>
      <c r="I286" s="1389"/>
      <c r="J286" s="1389"/>
      <c r="K286" s="1389"/>
      <c r="L286" s="1389"/>
      <c r="M286" s="1389"/>
      <c r="N286" s="1389"/>
      <c r="O286" s="1389"/>
      <c r="P286" s="1389"/>
      <c r="Q286" s="1389"/>
      <c r="R286" s="1389"/>
      <c r="S286" s="1389"/>
      <c r="T286" s="1389"/>
      <c r="U286" s="1389"/>
      <c r="V286" s="1389"/>
      <c r="W286" s="1389"/>
      <c r="X286" s="1389"/>
      <c r="Y286" s="1389"/>
      <c r="Z286" s="1389"/>
      <c r="AA286" s="1389"/>
      <c r="AB286" s="1389"/>
      <c r="AC286" s="1389"/>
      <c r="AD286" s="1390"/>
      <c r="AE286" s="117"/>
      <c r="AF286" s="516"/>
      <c r="AG286" s="937"/>
      <c r="AH286" s="893"/>
      <c r="AI286" s="893"/>
      <c r="AJ286" s="893"/>
      <c r="AK286" s="117"/>
      <c r="AL286" s="117"/>
      <c r="AM286" s="117"/>
      <c r="AN286" s="345"/>
      <c r="AO286" s="203"/>
      <c r="AP286" s="1"/>
      <c r="AQ286" s="1"/>
      <c r="AR286" s="1"/>
      <c r="AS286" s="1"/>
      <c r="AT286" s="1"/>
      <c r="AU286" s="1"/>
      <c r="AV286" s="1"/>
      <c r="AW286" s="1"/>
      <c r="AX286" s="1"/>
      <c r="AY286" s="1"/>
      <c r="AZ286" s="1"/>
      <c r="BA286" s="1"/>
      <c r="BB286" s="1"/>
      <c r="BC286" s="1"/>
      <c r="BD286" s="126"/>
      <c r="BE286" s="126"/>
      <c r="BF286" s="126"/>
      <c r="BG286" s="126"/>
      <c r="BH286" s="126"/>
      <c r="BI286" s="1"/>
      <c r="BJ286" s="1"/>
      <c r="BK286" s="1"/>
      <c r="BL286" s="1"/>
      <c r="BM286" s="1"/>
      <c r="BN286" s="1"/>
      <c r="BO286" s="1"/>
      <c r="BP286" s="1"/>
      <c r="BQ286" s="1"/>
      <c r="BR286" s="1"/>
      <c r="BS286" s="1"/>
      <c r="BT286" s="1"/>
      <c r="BU286" s="1"/>
      <c r="BV286" s="1"/>
      <c r="BW286" s="1"/>
      <c r="BX286" s="1"/>
      <c r="BY286" s="1"/>
      <c r="BZ286" s="1"/>
      <c r="CA286" s="1"/>
    </row>
    <row r="287" spans="1:79" ht="13.5" hidden="1" customHeight="1">
      <c r="A287" s="117"/>
      <c r="B287" s="1"/>
      <c r="C287" s="65"/>
      <c r="D287" s="65"/>
      <c r="E287" s="65"/>
      <c r="F287" s="522"/>
      <c r="G287" s="523"/>
      <c r="H287" s="523"/>
      <c r="I287" s="523"/>
      <c r="J287" s="523"/>
      <c r="K287" s="523"/>
      <c r="L287" s="523"/>
      <c r="M287" s="523"/>
      <c r="N287" s="523"/>
      <c r="O287" s="523"/>
      <c r="P287" s="523"/>
      <c r="Q287" s="523"/>
      <c r="R287" s="523"/>
      <c r="S287" s="523"/>
      <c r="T287" s="523"/>
      <c r="U287" s="523"/>
      <c r="V287" s="523"/>
      <c r="W287" s="523"/>
      <c r="X287" s="523"/>
      <c r="Y287" s="523"/>
      <c r="Z287" s="523"/>
      <c r="AA287" s="523"/>
      <c r="AB287" s="523"/>
      <c r="AC287" s="523"/>
      <c r="AD287" s="525"/>
      <c r="AE287" s="65"/>
      <c r="AF287" s="65"/>
      <c r="AG287" s="65"/>
      <c r="AH287" s="65"/>
      <c r="AI287" s="516"/>
      <c r="AJ287" s="117"/>
      <c r="AK287" s="117"/>
      <c r="AL287" s="117"/>
      <c r="AM287" s="117"/>
      <c r="AN287" s="345"/>
      <c r="AO287" s="203"/>
      <c r="AP287" s="1"/>
      <c r="AQ287" s="1"/>
      <c r="AR287" s="1"/>
      <c r="AS287" s="1"/>
      <c r="AT287" s="1"/>
      <c r="AU287" s="1"/>
      <c r="AV287" s="1"/>
      <c r="AW287" s="1"/>
      <c r="AX287" s="1"/>
      <c r="AY287" s="1"/>
      <c r="AZ287" s="1"/>
      <c r="BA287" s="1"/>
      <c r="BB287" s="1"/>
      <c r="BC287" s="1"/>
      <c r="BD287" s="126"/>
      <c r="BE287" s="126"/>
      <c r="BF287" s="126"/>
      <c r="BG287" s="126"/>
      <c r="BH287" s="126"/>
      <c r="BI287" s="1"/>
      <c r="BJ287" s="1"/>
      <c r="BK287" s="1"/>
      <c r="BL287" s="1"/>
      <c r="BM287" s="1"/>
      <c r="BN287" s="1"/>
      <c r="BO287" s="1"/>
      <c r="BP287" s="1"/>
      <c r="BQ287" s="1"/>
      <c r="BR287" s="1"/>
      <c r="BS287" s="1"/>
      <c r="BT287" s="1"/>
      <c r="BU287" s="1"/>
      <c r="BV287" s="1"/>
      <c r="BW287" s="1"/>
      <c r="BX287" s="1"/>
      <c r="BY287" s="1"/>
      <c r="BZ287" s="1"/>
      <c r="CA287" s="1"/>
    </row>
    <row r="288" spans="1:79" ht="12.75" customHeight="1">
      <c r="A288" s="117"/>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117"/>
      <c r="AM288" s="117"/>
      <c r="AN288" s="267"/>
      <c r="AO288" s="203"/>
      <c r="AP288" s="1"/>
      <c r="AQ288" s="1"/>
      <c r="AR288" s="1"/>
      <c r="AS288" s="1"/>
      <c r="AT288" s="1"/>
      <c r="AU288" s="1"/>
      <c r="AV288" s="1"/>
      <c r="AW288" s="1"/>
      <c r="AX288" s="1"/>
      <c r="AY288" s="1"/>
      <c r="AZ288" s="1"/>
      <c r="BA288" s="1"/>
      <c r="BB288" s="1"/>
      <c r="BC288" s="1"/>
      <c r="BD288" s="126"/>
      <c r="BE288" s="126"/>
      <c r="BF288" s="126"/>
      <c r="BG288" s="126"/>
      <c r="BH288" s="126"/>
      <c r="BI288" s="1"/>
      <c r="BJ288" s="1"/>
      <c r="BK288" s="1"/>
      <c r="BL288" s="1"/>
      <c r="BM288" s="1"/>
      <c r="BN288" s="1"/>
      <c r="BO288" s="1"/>
      <c r="BP288" s="1"/>
      <c r="BQ288" s="1"/>
      <c r="BR288" s="1"/>
      <c r="BS288" s="1"/>
      <c r="BT288" s="1"/>
      <c r="BU288" s="1"/>
      <c r="BV288" s="1"/>
      <c r="BW288" s="1"/>
      <c r="BX288" s="1"/>
      <c r="BY288" s="1"/>
      <c r="BZ288" s="1"/>
      <c r="CA288" s="1"/>
    </row>
    <row r="289" spans="1:79" ht="12.75" customHeight="1">
      <c r="A289" s="117"/>
      <c r="B289" s="1402" t="s">
        <v>2090</v>
      </c>
      <c r="C289" s="893"/>
      <c r="D289" s="893"/>
      <c r="E289" s="893"/>
      <c r="F289" s="893"/>
      <c r="G289" s="893"/>
      <c r="H289" s="893"/>
      <c r="I289" s="893"/>
      <c r="J289" s="893"/>
      <c r="K289" s="893"/>
      <c r="L289" s="893"/>
      <c r="M289" s="893"/>
      <c r="N289" s="893"/>
      <c r="O289" s="893"/>
      <c r="P289" s="893"/>
      <c r="Q289" s="893"/>
      <c r="R289" s="893"/>
      <c r="S289" s="893"/>
      <c r="T289" s="893"/>
      <c r="U289" s="893"/>
      <c r="V289" s="893"/>
      <c r="W289" s="893"/>
      <c r="X289" s="893"/>
      <c r="Y289" s="893"/>
      <c r="Z289" s="893"/>
      <c r="AA289" s="893"/>
      <c r="AB289" s="893"/>
      <c r="AC289" s="893"/>
      <c r="AD289" s="893"/>
      <c r="AE289" s="893"/>
      <c r="AF289" s="893"/>
      <c r="AG289" s="893"/>
      <c r="AH289" s="893"/>
      <c r="AI289" s="893"/>
      <c r="AJ289" s="893"/>
      <c r="AK289" s="893"/>
      <c r="AL289" s="893"/>
      <c r="AM289" s="117"/>
      <c r="AN289" s="267"/>
      <c r="AO289" s="203"/>
      <c r="AP289" s="1"/>
      <c r="AQ289" s="1"/>
      <c r="AR289" s="1"/>
      <c r="AS289" s="1"/>
      <c r="AT289" s="1"/>
      <c r="AU289" s="1"/>
      <c r="AV289" s="1"/>
      <c r="AW289" s="1"/>
      <c r="AX289" s="1"/>
      <c r="AY289" s="1"/>
      <c r="AZ289" s="1"/>
      <c r="BA289" s="1"/>
      <c r="BB289" s="1"/>
      <c r="BC289" s="1"/>
      <c r="BD289" s="126"/>
      <c r="BE289" s="126"/>
      <c r="BF289" s="126"/>
      <c r="BG289" s="126"/>
      <c r="BH289" s="126"/>
      <c r="BI289" s="1"/>
      <c r="BJ289" s="1"/>
      <c r="BK289" s="1"/>
      <c r="BL289" s="1"/>
      <c r="BM289" s="1"/>
      <c r="BN289" s="1"/>
      <c r="BO289" s="1"/>
      <c r="BP289" s="1"/>
      <c r="BQ289" s="1"/>
      <c r="BR289" s="1"/>
      <c r="BS289" s="1"/>
      <c r="BT289" s="1"/>
      <c r="BU289" s="1"/>
      <c r="BV289" s="1"/>
      <c r="BW289" s="1"/>
      <c r="BX289" s="1"/>
      <c r="BY289" s="1"/>
      <c r="BZ289" s="1"/>
      <c r="CA289" s="1"/>
    </row>
    <row r="290" spans="1:79" ht="12.75" customHeight="1">
      <c r="A290" s="117"/>
      <c r="B290" s="893"/>
      <c r="C290" s="893"/>
      <c r="D290" s="893"/>
      <c r="E290" s="893"/>
      <c r="F290" s="893"/>
      <c r="G290" s="893"/>
      <c r="H290" s="893"/>
      <c r="I290" s="893"/>
      <c r="J290" s="893"/>
      <c r="K290" s="893"/>
      <c r="L290" s="893"/>
      <c r="M290" s="893"/>
      <c r="N290" s="893"/>
      <c r="O290" s="893"/>
      <c r="P290" s="893"/>
      <c r="Q290" s="893"/>
      <c r="R290" s="893"/>
      <c r="S290" s="893"/>
      <c r="T290" s="893"/>
      <c r="U290" s="893"/>
      <c r="V290" s="893"/>
      <c r="W290" s="893"/>
      <c r="X290" s="893"/>
      <c r="Y290" s="893"/>
      <c r="Z290" s="893"/>
      <c r="AA290" s="893"/>
      <c r="AB290" s="893"/>
      <c r="AC290" s="893"/>
      <c r="AD290" s="893"/>
      <c r="AE290" s="893"/>
      <c r="AF290" s="893"/>
      <c r="AG290" s="893"/>
      <c r="AH290" s="893"/>
      <c r="AI290" s="893"/>
      <c r="AJ290" s="893"/>
      <c r="AK290" s="893"/>
      <c r="AL290" s="893"/>
      <c r="AM290" s="117"/>
      <c r="AN290" s="267"/>
      <c r="AO290" s="203"/>
      <c r="AP290" s="1"/>
      <c r="AQ290" s="1"/>
      <c r="AR290" s="1"/>
      <c r="AS290" s="1"/>
      <c r="AT290" s="1"/>
      <c r="AU290" s="1"/>
      <c r="AV290" s="1"/>
      <c r="AW290" s="1"/>
      <c r="AX290" s="1"/>
      <c r="AY290" s="1"/>
      <c r="AZ290" s="1"/>
      <c r="BA290" s="1"/>
      <c r="BB290" s="1"/>
      <c r="BC290" s="1"/>
      <c r="BD290" s="126"/>
      <c r="BE290" s="126"/>
      <c r="BF290" s="126"/>
      <c r="BG290" s="126"/>
      <c r="BH290" s="126"/>
      <c r="BI290" s="1"/>
      <c r="BJ290" s="1"/>
      <c r="BK290" s="1"/>
      <c r="BL290" s="1"/>
      <c r="BM290" s="1"/>
      <c r="BN290" s="1"/>
      <c r="BO290" s="1"/>
      <c r="BP290" s="1"/>
      <c r="BQ290" s="1"/>
      <c r="BR290" s="1"/>
      <c r="BS290" s="1"/>
      <c r="BT290" s="1"/>
      <c r="BU290" s="1"/>
      <c r="BV290" s="1"/>
      <c r="BW290" s="1"/>
      <c r="BX290" s="1"/>
      <c r="BY290" s="1"/>
      <c r="BZ290" s="1"/>
      <c r="CA290" s="1"/>
    </row>
    <row r="291" spans="1:79" ht="12.75" customHeight="1">
      <c r="A291" s="117"/>
      <c r="B291" s="893"/>
      <c r="C291" s="893"/>
      <c r="D291" s="893"/>
      <c r="E291" s="893"/>
      <c r="F291" s="893"/>
      <c r="G291" s="893"/>
      <c r="H291" s="893"/>
      <c r="I291" s="893"/>
      <c r="J291" s="893"/>
      <c r="K291" s="893"/>
      <c r="L291" s="893"/>
      <c r="M291" s="893"/>
      <c r="N291" s="893"/>
      <c r="O291" s="893"/>
      <c r="P291" s="893"/>
      <c r="Q291" s="893"/>
      <c r="R291" s="893"/>
      <c r="S291" s="893"/>
      <c r="T291" s="893"/>
      <c r="U291" s="893"/>
      <c r="V291" s="893"/>
      <c r="W291" s="893"/>
      <c r="X291" s="893"/>
      <c r="Y291" s="893"/>
      <c r="Z291" s="893"/>
      <c r="AA291" s="893"/>
      <c r="AB291" s="893"/>
      <c r="AC291" s="893"/>
      <c r="AD291" s="893"/>
      <c r="AE291" s="893"/>
      <c r="AF291" s="893"/>
      <c r="AG291" s="893"/>
      <c r="AH291" s="893"/>
      <c r="AI291" s="893"/>
      <c r="AJ291" s="893"/>
      <c r="AK291" s="893"/>
      <c r="AL291" s="893"/>
      <c r="AM291" s="117"/>
      <c r="AN291" s="267"/>
      <c r="AO291" s="203"/>
      <c r="AP291" s="1"/>
      <c r="AQ291" s="1"/>
      <c r="AR291" s="1"/>
      <c r="AS291" s="1"/>
      <c r="AT291" s="1"/>
      <c r="AU291" s="1"/>
      <c r="AV291" s="1"/>
      <c r="AW291" s="1"/>
      <c r="AX291" s="1"/>
      <c r="AY291" s="1"/>
      <c r="AZ291" s="1"/>
      <c r="BA291" s="1"/>
      <c r="BB291" s="1"/>
      <c r="BC291" s="1"/>
      <c r="BD291" s="126"/>
      <c r="BE291" s="126"/>
      <c r="BF291" s="126"/>
      <c r="BG291" s="126"/>
      <c r="BH291" s="126"/>
      <c r="BI291" s="1"/>
      <c r="BJ291" s="1"/>
      <c r="BK291" s="1"/>
      <c r="BL291" s="1"/>
      <c r="BM291" s="1"/>
      <c r="BN291" s="1"/>
      <c r="BO291" s="1"/>
      <c r="BP291" s="1"/>
      <c r="BQ291" s="1"/>
      <c r="BR291" s="1"/>
      <c r="BS291" s="1"/>
      <c r="BT291" s="1"/>
      <c r="BU291" s="1"/>
      <c r="BV291" s="1"/>
      <c r="BW291" s="1"/>
      <c r="BX291" s="1"/>
      <c r="BY291" s="1"/>
      <c r="BZ291" s="1"/>
      <c r="CA291" s="1"/>
    </row>
    <row r="292" spans="1:79" ht="12.75" customHeight="1">
      <c r="A292" s="117"/>
      <c r="B292" s="893"/>
      <c r="C292" s="893"/>
      <c r="D292" s="893"/>
      <c r="E292" s="893"/>
      <c r="F292" s="893"/>
      <c r="G292" s="893"/>
      <c r="H292" s="893"/>
      <c r="I292" s="893"/>
      <c r="J292" s="893"/>
      <c r="K292" s="893"/>
      <c r="L292" s="893"/>
      <c r="M292" s="893"/>
      <c r="N292" s="893"/>
      <c r="O292" s="893"/>
      <c r="P292" s="893"/>
      <c r="Q292" s="893"/>
      <c r="R292" s="893"/>
      <c r="S292" s="893"/>
      <c r="T292" s="893"/>
      <c r="U292" s="893"/>
      <c r="V292" s="893"/>
      <c r="W292" s="893"/>
      <c r="X292" s="893"/>
      <c r="Y292" s="893"/>
      <c r="Z292" s="893"/>
      <c r="AA292" s="893"/>
      <c r="AB292" s="893"/>
      <c r="AC292" s="893"/>
      <c r="AD292" s="893"/>
      <c r="AE292" s="893"/>
      <c r="AF292" s="893"/>
      <c r="AG292" s="893"/>
      <c r="AH292" s="893"/>
      <c r="AI292" s="893"/>
      <c r="AJ292" s="893"/>
      <c r="AK292" s="893"/>
      <c r="AL292" s="893"/>
      <c r="AM292" s="117"/>
      <c r="AN292" s="267"/>
      <c r="AO292" s="203"/>
      <c r="AP292" s="1"/>
      <c r="AQ292" s="1"/>
      <c r="AR292" s="1"/>
      <c r="AS292" s="1"/>
      <c r="AT292" s="1"/>
      <c r="AU292" s="1"/>
      <c r="AV292" s="1"/>
      <c r="AW292" s="1"/>
      <c r="AX292" s="1"/>
      <c r="AY292" s="1"/>
      <c r="AZ292" s="1"/>
      <c r="BA292" s="1"/>
      <c r="BB292" s="1"/>
      <c r="BC292" s="1"/>
      <c r="BD292" s="126"/>
      <c r="BE292" s="126"/>
      <c r="BF292" s="126"/>
      <c r="BG292" s="126"/>
      <c r="BH292" s="126"/>
      <c r="BI292" s="1"/>
      <c r="BJ292" s="1"/>
      <c r="BK292" s="1"/>
      <c r="BL292" s="1"/>
      <c r="BM292" s="1"/>
      <c r="BN292" s="1"/>
      <c r="BO292" s="1"/>
      <c r="BP292" s="1"/>
      <c r="BQ292" s="1"/>
      <c r="BR292" s="1"/>
      <c r="BS292" s="1"/>
      <c r="BT292" s="1"/>
      <c r="BU292" s="1"/>
      <c r="BV292" s="1"/>
      <c r="BW292" s="1"/>
      <c r="BX292" s="1"/>
      <c r="BY292" s="1"/>
      <c r="BZ292" s="1"/>
      <c r="CA292" s="1"/>
    </row>
    <row r="293" spans="1:79" ht="12.75" customHeight="1">
      <c r="A293" s="117"/>
      <c r="B293" s="893"/>
      <c r="C293" s="893"/>
      <c r="D293" s="893"/>
      <c r="E293" s="893"/>
      <c r="F293" s="893"/>
      <c r="G293" s="893"/>
      <c r="H293" s="893"/>
      <c r="I293" s="893"/>
      <c r="J293" s="893"/>
      <c r="K293" s="893"/>
      <c r="L293" s="893"/>
      <c r="M293" s="893"/>
      <c r="N293" s="893"/>
      <c r="O293" s="893"/>
      <c r="P293" s="893"/>
      <c r="Q293" s="893"/>
      <c r="R293" s="893"/>
      <c r="S293" s="893"/>
      <c r="T293" s="893"/>
      <c r="U293" s="893"/>
      <c r="V293" s="893"/>
      <c r="W293" s="893"/>
      <c r="X293" s="893"/>
      <c r="Y293" s="893"/>
      <c r="Z293" s="893"/>
      <c r="AA293" s="893"/>
      <c r="AB293" s="893"/>
      <c r="AC293" s="893"/>
      <c r="AD293" s="893"/>
      <c r="AE293" s="893"/>
      <c r="AF293" s="893"/>
      <c r="AG293" s="893"/>
      <c r="AH293" s="893"/>
      <c r="AI293" s="893"/>
      <c r="AJ293" s="893"/>
      <c r="AK293" s="893"/>
      <c r="AL293" s="893"/>
      <c r="AM293" s="117"/>
      <c r="AN293" s="267"/>
      <c r="AO293" s="203"/>
      <c r="AP293" s="1"/>
      <c r="AQ293" s="1"/>
      <c r="AR293" s="1"/>
      <c r="AS293" s="1"/>
      <c r="AT293" s="1"/>
      <c r="AU293" s="1"/>
      <c r="AV293" s="1"/>
      <c r="AW293" s="1"/>
      <c r="AX293" s="1"/>
      <c r="AY293" s="1"/>
      <c r="AZ293" s="1"/>
      <c r="BA293" s="1"/>
      <c r="BB293" s="1"/>
      <c r="BC293" s="1"/>
      <c r="BD293" s="126"/>
      <c r="BE293" s="126"/>
      <c r="BF293" s="126"/>
      <c r="BG293" s="126"/>
      <c r="BH293" s="126"/>
      <c r="BI293" s="1"/>
      <c r="BJ293" s="1"/>
      <c r="BK293" s="1"/>
      <c r="BL293" s="1"/>
      <c r="BM293" s="1"/>
      <c r="BN293" s="1"/>
      <c r="BO293" s="1"/>
      <c r="BP293" s="1"/>
      <c r="BQ293" s="1"/>
      <c r="BR293" s="1"/>
      <c r="BS293" s="1"/>
      <c r="BT293" s="1"/>
      <c r="BU293" s="1"/>
      <c r="BV293" s="1"/>
      <c r="BW293" s="1"/>
      <c r="BX293" s="1"/>
      <c r="BY293" s="1"/>
      <c r="BZ293" s="1"/>
      <c r="CA293" s="1"/>
    </row>
    <row r="294" spans="1:79" ht="12.75" customHeight="1">
      <c r="A294" s="117"/>
      <c r="B294" s="893"/>
      <c r="C294" s="893"/>
      <c r="D294" s="893"/>
      <c r="E294" s="893"/>
      <c r="F294" s="893"/>
      <c r="G294" s="893"/>
      <c r="H294" s="893"/>
      <c r="I294" s="893"/>
      <c r="J294" s="893"/>
      <c r="K294" s="893"/>
      <c r="L294" s="893"/>
      <c r="M294" s="893"/>
      <c r="N294" s="893"/>
      <c r="O294" s="893"/>
      <c r="P294" s="893"/>
      <c r="Q294" s="893"/>
      <c r="R294" s="893"/>
      <c r="S294" s="893"/>
      <c r="T294" s="893"/>
      <c r="U294" s="893"/>
      <c r="V294" s="893"/>
      <c r="W294" s="893"/>
      <c r="X294" s="893"/>
      <c r="Y294" s="893"/>
      <c r="Z294" s="893"/>
      <c r="AA294" s="893"/>
      <c r="AB294" s="893"/>
      <c r="AC294" s="893"/>
      <c r="AD294" s="893"/>
      <c r="AE294" s="893"/>
      <c r="AF294" s="893"/>
      <c r="AG294" s="893"/>
      <c r="AH294" s="893"/>
      <c r="AI294" s="893"/>
      <c r="AJ294" s="893"/>
      <c r="AK294" s="893"/>
      <c r="AL294" s="893"/>
      <c r="AM294" s="117"/>
      <c r="AN294" s="267"/>
      <c r="AO294" s="203"/>
      <c r="AP294" s="1"/>
      <c r="AQ294" s="1"/>
      <c r="AR294" s="1"/>
      <c r="AS294" s="1"/>
      <c r="AT294" s="1"/>
      <c r="AU294" s="1"/>
      <c r="AV294" s="1"/>
      <c r="AW294" s="1"/>
      <c r="AX294" s="1"/>
      <c r="AY294" s="1"/>
      <c r="AZ294" s="1"/>
      <c r="BA294" s="1"/>
      <c r="BB294" s="1"/>
      <c r="BC294" s="1"/>
      <c r="BD294" s="126"/>
      <c r="BE294" s="126"/>
      <c r="BF294" s="126"/>
      <c r="BG294" s="126"/>
      <c r="BH294" s="126"/>
      <c r="BI294" s="1"/>
      <c r="BJ294" s="1"/>
      <c r="BK294" s="1"/>
      <c r="BL294" s="1"/>
      <c r="BM294" s="1"/>
      <c r="BN294" s="1"/>
      <c r="BO294" s="1"/>
      <c r="BP294" s="1"/>
      <c r="BQ294" s="1"/>
      <c r="BR294" s="1"/>
      <c r="BS294" s="1"/>
      <c r="BT294" s="1"/>
      <c r="BU294" s="1"/>
      <c r="BV294" s="1"/>
      <c r="BW294" s="1"/>
      <c r="BX294" s="1"/>
      <c r="BY294" s="1"/>
      <c r="BZ294" s="1"/>
      <c r="CA294" s="1"/>
    </row>
    <row r="295" spans="1:79" ht="12.75" customHeight="1">
      <c r="A295" s="117"/>
      <c r="B295" s="893"/>
      <c r="C295" s="893"/>
      <c r="D295" s="893"/>
      <c r="E295" s="893"/>
      <c r="F295" s="893"/>
      <c r="G295" s="893"/>
      <c r="H295" s="893"/>
      <c r="I295" s="893"/>
      <c r="J295" s="893"/>
      <c r="K295" s="893"/>
      <c r="L295" s="893"/>
      <c r="M295" s="893"/>
      <c r="N295" s="893"/>
      <c r="O295" s="893"/>
      <c r="P295" s="893"/>
      <c r="Q295" s="893"/>
      <c r="R295" s="893"/>
      <c r="S295" s="893"/>
      <c r="T295" s="893"/>
      <c r="U295" s="893"/>
      <c r="V295" s="893"/>
      <c r="W295" s="893"/>
      <c r="X295" s="893"/>
      <c r="Y295" s="893"/>
      <c r="Z295" s="893"/>
      <c r="AA295" s="893"/>
      <c r="AB295" s="893"/>
      <c r="AC295" s="893"/>
      <c r="AD295" s="893"/>
      <c r="AE295" s="893"/>
      <c r="AF295" s="893"/>
      <c r="AG295" s="893"/>
      <c r="AH295" s="893"/>
      <c r="AI295" s="893"/>
      <c r="AJ295" s="893"/>
      <c r="AK295" s="893"/>
      <c r="AL295" s="893"/>
      <c r="AM295" s="117"/>
      <c r="AN295" s="267"/>
      <c r="AO295" s="203"/>
      <c r="AP295" s="1"/>
      <c r="AQ295" s="1"/>
      <c r="AR295" s="1"/>
      <c r="AS295" s="1"/>
      <c r="AT295" s="1"/>
      <c r="AU295" s="1"/>
      <c r="AV295" s="1"/>
      <c r="AW295" s="1"/>
      <c r="AX295" s="1"/>
      <c r="AY295" s="1"/>
      <c r="AZ295" s="1"/>
      <c r="BA295" s="1"/>
      <c r="BB295" s="1"/>
      <c r="BC295" s="1"/>
      <c r="BD295" s="126"/>
      <c r="BE295" s="126"/>
      <c r="BF295" s="126"/>
      <c r="BG295" s="126"/>
      <c r="BH295" s="126"/>
      <c r="BI295" s="1"/>
      <c r="BJ295" s="1"/>
      <c r="BK295" s="1"/>
      <c r="BL295" s="1"/>
      <c r="BM295" s="1"/>
      <c r="BN295" s="1"/>
      <c r="BO295" s="1"/>
      <c r="BP295" s="1"/>
      <c r="BQ295" s="1"/>
      <c r="BR295" s="1"/>
      <c r="BS295" s="1"/>
      <c r="BT295" s="1"/>
      <c r="BU295" s="1"/>
      <c r="BV295" s="1"/>
      <c r="BW295" s="1"/>
      <c r="BX295" s="1"/>
      <c r="BY295" s="1"/>
      <c r="BZ295" s="1"/>
      <c r="CA295" s="1"/>
    </row>
    <row r="296" spans="1:79" ht="12.75" customHeight="1">
      <c r="A296" s="117"/>
      <c r="B296" s="893"/>
      <c r="C296" s="893"/>
      <c r="D296" s="893"/>
      <c r="E296" s="893"/>
      <c r="F296" s="893"/>
      <c r="G296" s="893"/>
      <c r="H296" s="893"/>
      <c r="I296" s="893"/>
      <c r="J296" s="893"/>
      <c r="K296" s="893"/>
      <c r="L296" s="893"/>
      <c r="M296" s="893"/>
      <c r="N296" s="893"/>
      <c r="O296" s="893"/>
      <c r="P296" s="893"/>
      <c r="Q296" s="893"/>
      <c r="R296" s="893"/>
      <c r="S296" s="893"/>
      <c r="T296" s="893"/>
      <c r="U296" s="893"/>
      <c r="V296" s="893"/>
      <c r="W296" s="893"/>
      <c r="X296" s="893"/>
      <c r="Y296" s="893"/>
      <c r="Z296" s="893"/>
      <c r="AA296" s="893"/>
      <c r="AB296" s="893"/>
      <c r="AC296" s="893"/>
      <c r="AD296" s="893"/>
      <c r="AE296" s="893"/>
      <c r="AF296" s="893"/>
      <c r="AG296" s="893"/>
      <c r="AH296" s="893"/>
      <c r="AI296" s="893"/>
      <c r="AJ296" s="893"/>
      <c r="AK296" s="893"/>
      <c r="AL296" s="893"/>
      <c r="AM296" s="117"/>
      <c r="AN296" s="267"/>
      <c r="AO296" s="203"/>
      <c r="AP296" s="1"/>
      <c r="AQ296" s="1"/>
      <c r="AR296" s="1"/>
      <c r="AS296" s="1"/>
      <c r="AT296" s="1"/>
      <c r="AU296" s="1"/>
      <c r="AV296" s="1"/>
      <c r="AW296" s="1"/>
      <c r="AX296" s="1"/>
      <c r="AY296" s="1"/>
      <c r="AZ296" s="1"/>
      <c r="BA296" s="1"/>
      <c r="BB296" s="1"/>
      <c r="BC296" s="1"/>
      <c r="BD296" s="126"/>
      <c r="BE296" s="126"/>
      <c r="BF296" s="126"/>
      <c r="BG296" s="126"/>
      <c r="BH296" s="126"/>
      <c r="BI296" s="1"/>
      <c r="BJ296" s="1"/>
      <c r="BK296" s="1"/>
      <c r="BL296" s="1"/>
      <c r="BM296" s="1"/>
      <c r="BN296" s="1"/>
      <c r="BO296" s="1"/>
      <c r="BP296" s="1"/>
      <c r="BQ296" s="1"/>
      <c r="BR296" s="1"/>
      <c r="BS296" s="1"/>
      <c r="BT296" s="1"/>
      <c r="BU296" s="1"/>
      <c r="BV296" s="1"/>
      <c r="BW296" s="1"/>
      <c r="BX296" s="1"/>
      <c r="BY296" s="1"/>
      <c r="BZ296" s="1"/>
      <c r="CA296" s="1"/>
    </row>
    <row r="297" spans="1:79" ht="12.75" customHeight="1">
      <c r="A297" s="117"/>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117"/>
      <c r="AM297" s="117"/>
      <c r="AN297" s="267"/>
      <c r="AO297" s="203"/>
      <c r="AP297" s="1"/>
      <c r="AQ297" s="1"/>
      <c r="AR297" s="1"/>
      <c r="AS297" s="1"/>
      <c r="AT297" s="1"/>
      <c r="AU297" s="1"/>
      <c r="AV297" s="1"/>
      <c r="AW297" s="1"/>
      <c r="AX297" s="1"/>
      <c r="AY297" s="1"/>
      <c r="AZ297" s="1"/>
      <c r="BA297" s="1"/>
      <c r="BB297" s="1"/>
      <c r="BC297" s="1"/>
      <c r="BD297" s="126"/>
      <c r="BE297" s="126"/>
      <c r="BF297" s="126"/>
      <c r="BG297" s="126"/>
      <c r="BH297" s="126"/>
      <c r="BI297" s="1"/>
      <c r="BJ297" s="1"/>
      <c r="BK297" s="1"/>
      <c r="BL297" s="1"/>
      <c r="BM297" s="1"/>
      <c r="BN297" s="1"/>
      <c r="BO297" s="1"/>
      <c r="BP297" s="1"/>
      <c r="BQ297" s="1"/>
      <c r="BR297" s="1"/>
      <c r="BS297" s="1"/>
      <c r="BT297" s="1"/>
      <c r="BU297" s="1"/>
      <c r="BV297" s="1"/>
      <c r="BW297" s="1"/>
      <c r="BX297" s="1"/>
      <c r="BY297" s="1"/>
      <c r="BZ297" s="1"/>
      <c r="CA297" s="1"/>
    </row>
    <row r="298" spans="1:79" ht="12.75" customHeight="1">
      <c r="A298" s="425"/>
      <c r="B298" s="371"/>
      <c r="C298" s="371"/>
      <c r="D298" s="371"/>
      <c r="E298" s="371"/>
      <c r="F298" s="371"/>
      <c r="G298" s="371"/>
      <c r="H298" s="371"/>
      <c r="I298" s="371"/>
      <c r="J298" s="371"/>
      <c r="K298" s="371"/>
      <c r="L298" s="371"/>
      <c r="M298" s="371"/>
      <c r="N298" s="371"/>
      <c r="O298" s="371"/>
      <c r="P298" s="371"/>
      <c r="Q298" s="371"/>
      <c r="R298" s="371"/>
      <c r="S298" s="371"/>
      <c r="T298" s="371"/>
      <c r="U298" s="371"/>
      <c r="V298" s="371"/>
      <c r="W298" s="371"/>
      <c r="X298" s="371"/>
      <c r="Y298" s="371"/>
      <c r="Z298" s="371"/>
      <c r="AA298" s="371"/>
      <c r="AB298" s="371"/>
      <c r="AC298" s="371"/>
      <c r="AD298" s="371"/>
      <c r="AE298" s="371"/>
      <c r="AF298" s="371"/>
      <c r="AG298" s="371"/>
      <c r="AH298" s="371"/>
      <c r="AI298" s="372"/>
      <c r="AJ298" s="372" t="s">
        <v>2096</v>
      </c>
      <c r="AK298" s="1474">
        <f>IF($C$279="yes",10,0)</f>
        <v>10</v>
      </c>
      <c r="AL298" s="921"/>
      <c r="AM298" s="943"/>
      <c r="AN298" s="267"/>
      <c r="AO298" s="203"/>
      <c r="AP298" s="1"/>
      <c r="AQ298" s="1"/>
      <c r="AR298" s="1"/>
      <c r="AS298" s="1"/>
      <c r="AT298" s="1"/>
      <c r="AU298" s="1"/>
      <c r="AV298" s="1"/>
      <c r="AW298" s="1"/>
      <c r="AX298" s="1"/>
      <c r="AY298" s="1"/>
      <c r="AZ298" s="1"/>
      <c r="BA298" s="1"/>
      <c r="BB298" s="1"/>
      <c r="BC298" s="1"/>
      <c r="BD298" s="126"/>
      <c r="BE298" s="126"/>
      <c r="BF298" s="126"/>
      <c r="BG298" s="126"/>
      <c r="BH298" s="126"/>
      <c r="BI298" s="1"/>
      <c r="BJ298" s="1"/>
      <c r="BK298" s="1"/>
      <c r="BL298" s="1"/>
      <c r="BM298" s="1"/>
      <c r="BN298" s="1"/>
      <c r="BO298" s="1"/>
      <c r="BP298" s="1"/>
      <c r="BQ298" s="1"/>
      <c r="BR298" s="1"/>
      <c r="BS298" s="1"/>
      <c r="BT298" s="1"/>
      <c r="BU298" s="1"/>
      <c r="BV298" s="1"/>
      <c r="BW298" s="1"/>
      <c r="BX298" s="1"/>
      <c r="BY298" s="1"/>
      <c r="BZ298" s="1"/>
      <c r="CA298" s="1"/>
    </row>
    <row r="299" spans="1:7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345"/>
      <c r="AO299" s="203"/>
      <c r="AP299" s="1"/>
      <c r="AQ299" s="1"/>
      <c r="AR299" s="1"/>
      <c r="AS299" s="1"/>
      <c r="AT299" s="1"/>
      <c r="AU299" s="1"/>
      <c r="AV299" s="1"/>
      <c r="AW299" s="1"/>
      <c r="AX299" s="1"/>
      <c r="AY299" s="1"/>
      <c r="AZ299" s="1"/>
      <c r="BA299" s="1"/>
      <c r="BB299" s="1"/>
      <c r="BC299" s="1"/>
      <c r="BD299" s="126"/>
      <c r="BE299" s="126"/>
      <c r="BF299" s="126"/>
      <c r="BG299" s="126"/>
      <c r="BH299" s="126"/>
      <c r="BI299" s="1"/>
      <c r="BJ299" s="1"/>
      <c r="BK299" s="1"/>
      <c r="BL299" s="1"/>
      <c r="BM299" s="1"/>
      <c r="BN299" s="1"/>
      <c r="BO299" s="1"/>
      <c r="BP299" s="1"/>
      <c r="BQ299" s="1"/>
      <c r="BR299" s="1"/>
      <c r="BS299" s="1"/>
      <c r="BT299" s="1"/>
      <c r="BU299" s="1"/>
      <c r="BV299" s="1"/>
      <c r="BW299" s="1"/>
      <c r="BX299" s="1"/>
      <c r="BY299" s="1"/>
      <c r="BZ299" s="1"/>
      <c r="CA299" s="1"/>
    </row>
    <row r="300" spans="1:79" ht="12.75" customHeight="1">
      <c r="A300" s="533"/>
      <c r="B300" s="533"/>
      <c r="C300" s="533"/>
      <c r="D300" s="533"/>
      <c r="E300" s="533"/>
      <c r="F300" s="533"/>
      <c r="G300" s="533"/>
      <c r="H300" s="533"/>
      <c r="I300" s="533"/>
      <c r="J300" s="533"/>
      <c r="K300" s="533"/>
      <c r="L300" s="533"/>
      <c r="M300" s="533"/>
      <c r="N300" s="533"/>
      <c r="O300" s="533"/>
      <c r="P300" s="533"/>
      <c r="Q300" s="533"/>
      <c r="R300" s="533"/>
      <c r="S300" s="533"/>
      <c r="T300" s="533"/>
      <c r="U300" s="533"/>
      <c r="V300" s="533"/>
      <c r="W300" s="533"/>
      <c r="X300" s="533"/>
      <c r="Y300" s="533"/>
      <c r="Z300" s="533"/>
      <c r="AA300" s="533"/>
      <c r="AB300" s="533"/>
      <c r="AC300" s="533"/>
      <c r="AD300" s="533"/>
      <c r="AE300" s="533"/>
      <c r="AF300" s="533"/>
      <c r="AG300" s="533"/>
      <c r="AH300" s="533"/>
      <c r="AI300" s="533"/>
      <c r="AJ300" s="533"/>
      <c r="AK300" s="533"/>
      <c r="AL300" s="533"/>
      <c r="AM300" s="534"/>
      <c r="AN300" s="345"/>
      <c r="AO300" s="203"/>
      <c r="AP300" s="1"/>
      <c r="AQ300" s="1"/>
      <c r="AR300" s="1"/>
      <c r="AS300" s="1"/>
      <c r="AT300" s="1"/>
      <c r="AU300" s="1"/>
      <c r="AV300" s="1"/>
      <c r="AW300" s="1"/>
      <c r="AX300" s="1"/>
      <c r="AY300" s="1"/>
      <c r="AZ300" s="1"/>
      <c r="BA300" s="1"/>
      <c r="BB300" s="1"/>
      <c r="BC300" s="1"/>
      <c r="BD300" s="126"/>
      <c r="BE300" s="126"/>
      <c r="BF300" s="126"/>
      <c r="BG300" s="126"/>
      <c r="BH300" s="126"/>
      <c r="BI300" s="1"/>
      <c r="BJ300" s="1"/>
      <c r="BK300" s="1"/>
      <c r="BL300" s="1"/>
      <c r="BM300" s="1"/>
      <c r="BN300" s="1"/>
      <c r="BO300" s="1"/>
      <c r="BP300" s="1"/>
      <c r="BQ300" s="1"/>
      <c r="BR300" s="1"/>
      <c r="BS300" s="1"/>
      <c r="BT300" s="1"/>
      <c r="BU300" s="1"/>
      <c r="BV300" s="1"/>
      <c r="BW300" s="1"/>
      <c r="BX300" s="1"/>
      <c r="BY300" s="1"/>
      <c r="BZ300" s="1"/>
      <c r="CA300" s="1"/>
    </row>
    <row r="301" spans="1:79" ht="12.75" customHeight="1">
      <c r="A301" s="62" t="s">
        <v>2106</v>
      </c>
      <c r="B301" s="62" t="s">
        <v>2107</v>
      </c>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0" t="s">
        <v>1871</v>
      </c>
      <c r="AI301" s="1"/>
      <c r="AJ301" s="1"/>
      <c r="AK301" s="1"/>
      <c r="AL301" s="1"/>
      <c r="AM301" s="1"/>
      <c r="AN301" s="345"/>
      <c r="AO301" s="203"/>
      <c r="AP301" s="1"/>
      <c r="AQ301" s="1"/>
      <c r="AR301" s="1"/>
      <c r="AS301" s="1"/>
      <c r="AT301" s="1"/>
      <c r="AU301" s="1"/>
      <c r="AV301" s="1"/>
      <c r="AW301" s="1"/>
      <c r="AX301" s="1"/>
      <c r="AY301" s="1"/>
      <c r="AZ301" s="1"/>
      <c r="BA301" s="1"/>
      <c r="BB301" s="1"/>
      <c r="BC301" s="1"/>
      <c r="BD301" s="126"/>
      <c r="BE301" s="126"/>
      <c r="BF301" s="126"/>
      <c r="BG301" s="126"/>
      <c r="BH301" s="126"/>
      <c r="BI301" s="1"/>
      <c r="BJ301" s="1"/>
      <c r="BK301" s="1"/>
      <c r="BL301" s="1"/>
      <c r="BM301" s="1"/>
      <c r="BN301" s="1"/>
      <c r="BO301" s="1"/>
      <c r="BP301" s="1"/>
      <c r="BQ301" s="1"/>
      <c r="BR301" s="1"/>
      <c r="BS301" s="1"/>
      <c r="BT301" s="1"/>
      <c r="BU301" s="1"/>
      <c r="BV301" s="1"/>
      <c r="BW301" s="1"/>
      <c r="BX301" s="1"/>
      <c r="BY301" s="1"/>
      <c r="BZ301" s="1"/>
      <c r="CA301" s="1"/>
    </row>
    <row r="302" spans="1:79" ht="15" customHeight="1">
      <c r="A302" s="1"/>
      <c r="B302" s="8"/>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345"/>
      <c r="AO302" s="203"/>
      <c r="AP302" s="1"/>
      <c r="AQ302" s="1"/>
      <c r="AR302" s="1"/>
      <c r="AS302" s="1"/>
      <c r="AT302" s="1"/>
      <c r="AU302" s="1"/>
      <c r="AV302" s="1"/>
      <c r="AW302" s="1"/>
      <c r="AX302" s="1"/>
      <c r="AY302" s="1"/>
      <c r="AZ302" s="1"/>
      <c r="BA302" s="1"/>
      <c r="BB302" s="1"/>
      <c r="BC302" s="1"/>
      <c r="BD302" s="126"/>
      <c r="BE302" s="126"/>
      <c r="BF302" s="126"/>
      <c r="BG302" s="126"/>
      <c r="BH302" s="126"/>
      <c r="BI302" s="1"/>
      <c r="BJ302" s="1"/>
      <c r="BK302" s="1"/>
      <c r="BL302" s="1"/>
      <c r="BM302" s="1"/>
      <c r="BN302" s="1"/>
      <c r="BO302" s="1"/>
      <c r="BP302" s="1"/>
      <c r="BQ302" s="1"/>
      <c r="BR302" s="1"/>
      <c r="BS302" s="1"/>
      <c r="BT302" s="1"/>
      <c r="BU302" s="1"/>
      <c r="BV302" s="1"/>
      <c r="BW302" s="1"/>
      <c r="BX302" s="1"/>
      <c r="BY302" s="1"/>
      <c r="BZ302" s="1"/>
      <c r="CA302" s="1"/>
    </row>
    <row r="303" spans="1:79" ht="15" customHeight="1">
      <c r="A303" s="1"/>
      <c r="B303" s="8" t="s">
        <v>1872</v>
      </c>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345"/>
      <c r="AO303" s="203"/>
      <c r="AP303" s="1"/>
      <c r="AQ303" s="1"/>
      <c r="AR303" s="1"/>
      <c r="AS303" s="1"/>
      <c r="AT303" s="1"/>
      <c r="AU303" s="1"/>
      <c r="AV303" s="1"/>
      <c r="AW303" s="1"/>
      <c r="AX303" s="1"/>
      <c r="AY303" s="1"/>
      <c r="AZ303" s="1"/>
      <c r="BA303" s="1"/>
      <c r="BB303" s="1"/>
      <c r="BC303" s="1"/>
      <c r="BD303" s="126"/>
      <c r="BE303" s="126"/>
      <c r="BF303" s="126"/>
      <c r="BG303" s="126"/>
      <c r="BH303" s="126"/>
      <c r="BI303" s="1"/>
      <c r="BJ303" s="1"/>
      <c r="BK303" s="1"/>
      <c r="BL303" s="1"/>
      <c r="BM303" s="1"/>
      <c r="BN303" s="1"/>
      <c r="BO303" s="1"/>
      <c r="BP303" s="1"/>
      <c r="BQ303" s="1"/>
      <c r="BR303" s="1"/>
      <c r="BS303" s="1"/>
      <c r="BT303" s="1"/>
      <c r="BU303" s="1"/>
      <c r="BV303" s="1"/>
      <c r="BW303" s="1"/>
      <c r="BX303" s="1"/>
      <c r="BY303" s="1"/>
      <c r="BZ303" s="1"/>
      <c r="CA303" s="1"/>
    </row>
    <row r="304" spans="1:79" ht="12.75" customHeight="1">
      <c r="A304" s="1"/>
      <c r="B304" s="117"/>
      <c r="C304" s="19"/>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
      <c r="AF304" s="1"/>
      <c r="AG304" s="117"/>
      <c r="AH304" s="1"/>
      <c r="AI304" s="117"/>
      <c r="AJ304" s="117"/>
      <c r="AK304" s="117"/>
      <c r="AL304" s="117"/>
      <c r="AM304" s="117"/>
      <c r="AN304" s="267"/>
      <c r="AO304" s="1"/>
      <c r="AP304" s="1"/>
      <c r="AQ304" s="406"/>
      <c r="AR304" s="1"/>
      <c r="AS304" s="1"/>
      <c r="AT304" s="1"/>
      <c r="AU304" s="1"/>
      <c r="AV304" s="126"/>
      <c r="AW304" s="126"/>
      <c r="AX304" s="1"/>
      <c r="AY304" s="1"/>
      <c r="AZ304" s="1"/>
      <c r="BA304" s="1"/>
      <c r="BB304" s="1"/>
      <c r="BC304" s="1"/>
      <c r="BD304" s="126"/>
      <c r="BE304" s="126"/>
      <c r="BF304" s="126"/>
      <c r="BG304" s="126"/>
      <c r="BH304" s="126"/>
      <c r="BI304" s="1"/>
      <c r="BJ304" s="1"/>
      <c r="BK304" s="1"/>
      <c r="BL304" s="1"/>
      <c r="BM304" s="1"/>
      <c r="BN304" s="1"/>
      <c r="BO304" s="1"/>
      <c r="BP304" s="1"/>
      <c r="BQ304" s="1"/>
      <c r="BR304" s="1"/>
      <c r="BS304" s="1"/>
      <c r="BT304" s="1"/>
      <c r="BU304" s="1"/>
      <c r="BV304" s="1"/>
      <c r="BW304" s="1"/>
      <c r="BX304" s="1"/>
      <c r="BY304" s="1"/>
      <c r="BZ304" s="1"/>
      <c r="CA304" s="1"/>
    </row>
    <row r="305" spans="1:79" ht="12.75" customHeight="1">
      <c r="A305" s="981" t="s">
        <v>2108</v>
      </c>
      <c r="B305" s="893"/>
      <c r="C305" s="973" t="s">
        <v>855</v>
      </c>
      <c r="D305" s="969"/>
      <c r="E305" s="352"/>
      <c r="F305" s="1456" t="s">
        <v>2109</v>
      </c>
      <c r="G305" s="1384"/>
      <c r="H305" s="1384"/>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5"/>
      <c r="AE305" s="4"/>
      <c r="AF305" s="117"/>
      <c r="AG305" s="1472" t="s">
        <v>2110</v>
      </c>
      <c r="AH305" s="893"/>
      <c r="AI305" s="893"/>
      <c r="AJ305" s="893"/>
      <c r="AK305" s="893"/>
      <c r="AL305" s="117"/>
      <c r="AM305" s="117"/>
      <c r="AN305" s="267"/>
      <c r="AO305" s="1"/>
      <c r="AP305" s="203"/>
      <c r="AQ305" s="1"/>
      <c r="AR305" s="1"/>
      <c r="AS305" s="1"/>
      <c r="AT305" s="1"/>
      <c r="AU305" s="1"/>
      <c r="AV305" s="126"/>
      <c r="AW305" s="126"/>
      <c r="AX305" s="1"/>
      <c r="AY305" s="1"/>
      <c r="AZ305" s="1"/>
      <c r="BA305" s="1"/>
      <c r="BB305" s="1"/>
      <c r="BC305" s="1"/>
      <c r="BD305" s="126"/>
      <c r="BE305" s="126"/>
      <c r="BF305" s="126"/>
      <c r="BG305" s="126"/>
      <c r="BH305" s="126"/>
      <c r="BI305" s="1"/>
      <c r="BJ305" s="1"/>
      <c r="BK305" s="1"/>
      <c r="BL305" s="1"/>
      <c r="BM305" s="1"/>
      <c r="BN305" s="1"/>
      <c r="BO305" s="1"/>
      <c r="BP305" s="1"/>
      <c r="BQ305" s="1"/>
      <c r="BR305" s="1"/>
      <c r="BS305" s="1"/>
      <c r="BT305" s="1"/>
      <c r="BU305" s="1"/>
      <c r="BV305" s="1"/>
      <c r="BW305" s="1"/>
      <c r="BX305" s="1"/>
      <c r="BY305" s="1"/>
      <c r="BZ305" s="1"/>
      <c r="CA305" s="1"/>
    </row>
    <row r="306" spans="1:79" ht="12.75" customHeight="1">
      <c r="A306" s="19"/>
      <c r="B306" s="514"/>
      <c r="C306" s="1"/>
      <c r="D306" s="1"/>
      <c r="E306" s="1"/>
      <c r="F306" s="1386"/>
      <c r="G306" s="893"/>
      <c r="H306" s="893"/>
      <c r="I306" s="893"/>
      <c r="J306" s="893"/>
      <c r="K306" s="893"/>
      <c r="L306" s="893"/>
      <c r="M306" s="893"/>
      <c r="N306" s="893"/>
      <c r="O306" s="893"/>
      <c r="P306" s="893"/>
      <c r="Q306" s="893"/>
      <c r="R306" s="893"/>
      <c r="S306" s="893"/>
      <c r="T306" s="893"/>
      <c r="U306" s="893"/>
      <c r="V306" s="893"/>
      <c r="W306" s="893"/>
      <c r="X306" s="893"/>
      <c r="Y306" s="893"/>
      <c r="Z306" s="893"/>
      <c r="AA306" s="893"/>
      <c r="AB306" s="893"/>
      <c r="AC306" s="893"/>
      <c r="AD306" s="1387"/>
      <c r="AE306" s="4"/>
      <c r="AF306" s="76"/>
      <c r="AG306" s="1"/>
      <c r="AH306" s="76"/>
      <c r="AI306" s="76"/>
      <c r="AJ306" s="117"/>
      <c r="AK306" s="117"/>
      <c r="AL306" s="117"/>
      <c r="AM306" s="117"/>
      <c r="AN306" s="267"/>
      <c r="AO306" s="1"/>
      <c r="AP306" s="117">
        <f>IF($C$305="yes",10,IF(C305="50% Met",9,0))</f>
        <v>0</v>
      </c>
      <c r="AQ306" s="1"/>
      <c r="AR306" s="1"/>
      <c r="AS306" s="1"/>
      <c r="AT306" s="1"/>
      <c r="AU306" s="1"/>
      <c r="AV306" s="126"/>
      <c r="AW306" s="126"/>
      <c r="AX306" s="1"/>
      <c r="AY306" s="1"/>
      <c r="AZ306" s="1"/>
      <c r="BA306" s="1"/>
      <c r="BB306" s="1"/>
      <c r="BC306" s="1"/>
      <c r="BD306" s="126"/>
      <c r="BE306" s="126"/>
      <c r="BF306" s="126"/>
      <c r="BG306" s="126"/>
      <c r="BH306" s="126"/>
      <c r="BI306" s="1"/>
      <c r="BJ306" s="1"/>
      <c r="BK306" s="1"/>
      <c r="BL306" s="1"/>
      <c r="BM306" s="1"/>
      <c r="BN306" s="1"/>
      <c r="BO306" s="1"/>
      <c r="BP306" s="1"/>
      <c r="BQ306" s="1"/>
      <c r="BR306" s="1"/>
      <c r="BS306" s="1"/>
      <c r="BT306" s="1"/>
      <c r="BU306" s="1"/>
      <c r="BV306" s="1"/>
      <c r="BW306" s="1"/>
      <c r="BX306" s="1"/>
      <c r="BY306" s="1"/>
      <c r="BZ306" s="1"/>
      <c r="CA306" s="1"/>
    </row>
    <row r="307" spans="1:79" ht="12.75" customHeight="1">
      <c r="A307" s="19"/>
      <c r="B307" s="514"/>
      <c r="C307" s="1"/>
      <c r="D307" s="1"/>
      <c r="E307" s="1"/>
      <c r="F307" s="1386"/>
      <c r="G307" s="893"/>
      <c r="H307" s="893"/>
      <c r="I307" s="893"/>
      <c r="J307" s="893"/>
      <c r="K307" s="893"/>
      <c r="L307" s="893"/>
      <c r="M307" s="893"/>
      <c r="N307" s="893"/>
      <c r="O307" s="893"/>
      <c r="P307" s="893"/>
      <c r="Q307" s="893"/>
      <c r="R307" s="893"/>
      <c r="S307" s="893"/>
      <c r="T307" s="893"/>
      <c r="U307" s="893"/>
      <c r="V307" s="893"/>
      <c r="W307" s="893"/>
      <c r="X307" s="893"/>
      <c r="Y307" s="893"/>
      <c r="Z307" s="893"/>
      <c r="AA307" s="893"/>
      <c r="AB307" s="893"/>
      <c r="AC307" s="893"/>
      <c r="AD307" s="1387"/>
      <c r="AE307" s="4"/>
      <c r="AF307" s="76"/>
      <c r="AG307" s="1"/>
      <c r="AH307" s="76"/>
      <c r="AI307" s="76"/>
      <c r="AJ307" s="117"/>
      <c r="AK307" s="117"/>
      <c r="AL307" s="117"/>
      <c r="AM307" s="117"/>
      <c r="AN307" s="267"/>
      <c r="AO307" s="1"/>
      <c r="AP307" s="117">
        <f>IF($C$315="yes",9,0)</f>
        <v>0</v>
      </c>
      <c r="AQ307" s="1"/>
      <c r="AR307" s="1"/>
      <c r="AS307" s="1"/>
      <c r="AT307" s="1"/>
      <c r="AU307" s="1"/>
      <c r="AV307" s="126"/>
      <c r="AW307" s="126"/>
      <c r="AX307" s="1"/>
      <c r="AY307" s="1"/>
      <c r="AZ307" s="1"/>
      <c r="BA307" s="1"/>
      <c r="BB307" s="1"/>
      <c r="BC307" s="1"/>
      <c r="BD307" s="126"/>
      <c r="BE307" s="126"/>
      <c r="BF307" s="126"/>
      <c r="BG307" s="126"/>
      <c r="BH307" s="126"/>
      <c r="BI307" s="1"/>
      <c r="BJ307" s="1"/>
      <c r="BK307" s="1"/>
      <c r="BL307" s="1"/>
      <c r="BM307" s="1"/>
      <c r="BN307" s="1"/>
      <c r="BO307" s="1"/>
      <c r="BP307" s="1"/>
      <c r="BQ307" s="1"/>
      <c r="BR307" s="1"/>
      <c r="BS307" s="1"/>
      <c r="BT307" s="1"/>
      <c r="BU307" s="1"/>
      <c r="BV307" s="1"/>
      <c r="BW307" s="1"/>
      <c r="BX307" s="1"/>
      <c r="BY307" s="1"/>
      <c r="BZ307" s="1"/>
      <c r="CA307" s="1"/>
    </row>
    <row r="308" spans="1:79" ht="12.75" customHeight="1">
      <c r="A308" s="19"/>
      <c r="B308" s="514"/>
      <c r="C308" s="1"/>
      <c r="D308" s="1"/>
      <c r="E308" s="1"/>
      <c r="F308" s="1419" t="s">
        <v>2111</v>
      </c>
      <c r="G308" s="893"/>
      <c r="H308" s="893"/>
      <c r="I308" s="893"/>
      <c r="J308" s="893"/>
      <c r="K308" s="893"/>
      <c r="L308" s="893"/>
      <c r="M308" s="893"/>
      <c r="N308" s="893"/>
      <c r="O308" s="893"/>
      <c r="P308" s="893"/>
      <c r="Q308" s="893"/>
      <c r="R308" s="893"/>
      <c r="S308" s="893"/>
      <c r="T308" s="893"/>
      <c r="U308" s="893"/>
      <c r="V308" s="893"/>
      <c r="W308" s="893"/>
      <c r="X308" s="893"/>
      <c r="Y308" s="893"/>
      <c r="Z308" s="893"/>
      <c r="AA308" s="893"/>
      <c r="AB308" s="893"/>
      <c r="AC308" s="893"/>
      <c r="AD308" s="1387"/>
      <c r="AE308" s="4"/>
      <c r="AF308" s="76"/>
      <c r="AG308" s="1"/>
      <c r="AH308" s="76"/>
      <c r="AI308" s="76"/>
      <c r="AJ308" s="117"/>
      <c r="AK308" s="117"/>
      <c r="AL308" s="117"/>
      <c r="AM308" s="117"/>
      <c r="AN308" s="267"/>
      <c r="AO308" s="1"/>
      <c r="AP308" s="100">
        <f>MAX(AP306,AP307)</f>
        <v>0</v>
      </c>
      <c r="AQ308" s="378" t="s">
        <v>1878</v>
      </c>
      <c r="AR308" s="1"/>
      <c r="AS308" s="1"/>
      <c r="AT308" s="1"/>
      <c r="AU308" s="1"/>
      <c r="AV308" s="126"/>
      <c r="AW308" s="126"/>
      <c r="AX308" s="1"/>
      <c r="AY308" s="1"/>
      <c r="AZ308" s="1"/>
      <c r="BA308" s="1"/>
      <c r="BB308" s="1"/>
      <c r="BC308" s="1"/>
      <c r="BD308" s="126"/>
      <c r="BE308" s="126"/>
      <c r="BF308" s="126"/>
      <c r="BG308" s="126"/>
      <c r="BH308" s="126"/>
      <c r="BI308" s="1"/>
      <c r="BJ308" s="1"/>
      <c r="BK308" s="1"/>
      <c r="BL308" s="1"/>
      <c r="BM308" s="1"/>
      <c r="BN308" s="1"/>
      <c r="BO308" s="1"/>
      <c r="BP308" s="1"/>
      <c r="BQ308" s="1"/>
      <c r="BR308" s="1"/>
      <c r="BS308" s="1"/>
      <c r="BT308" s="1"/>
      <c r="BU308" s="1"/>
      <c r="BV308" s="1"/>
      <c r="BW308" s="1"/>
      <c r="BX308" s="1"/>
      <c r="BY308" s="1"/>
      <c r="BZ308" s="1"/>
      <c r="CA308" s="1"/>
    </row>
    <row r="309" spans="1:79" ht="12.75" customHeight="1">
      <c r="A309" s="19"/>
      <c r="B309" s="514"/>
      <c r="C309" s="1"/>
      <c r="D309" s="1"/>
      <c r="E309" s="1"/>
      <c r="F309" s="1386"/>
      <c r="G309" s="893"/>
      <c r="H309" s="893"/>
      <c r="I309" s="893"/>
      <c r="J309" s="893"/>
      <c r="K309" s="893"/>
      <c r="L309" s="893"/>
      <c r="M309" s="893"/>
      <c r="N309" s="893"/>
      <c r="O309" s="893"/>
      <c r="P309" s="893"/>
      <c r="Q309" s="893"/>
      <c r="R309" s="893"/>
      <c r="S309" s="893"/>
      <c r="T309" s="893"/>
      <c r="U309" s="893"/>
      <c r="V309" s="893"/>
      <c r="W309" s="893"/>
      <c r="X309" s="893"/>
      <c r="Y309" s="893"/>
      <c r="Z309" s="893"/>
      <c r="AA309" s="893"/>
      <c r="AB309" s="893"/>
      <c r="AC309" s="893"/>
      <c r="AD309" s="1387"/>
      <c r="AE309" s="4"/>
      <c r="AF309" s="76"/>
      <c r="AG309" s="1"/>
      <c r="AH309" s="76"/>
      <c r="AI309" s="76"/>
      <c r="AJ309" s="117"/>
      <c r="AK309" s="117"/>
      <c r="AL309" s="117"/>
      <c r="AM309" s="117"/>
      <c r="AN309" s="267"/>
      <c r="AO309" s="1"/>
      <c r="AP309" s="117"/>
      <c r="AQ309" s="1"/>
      <c r="AR309" s="1"/>
      <c r="AS309" s="1"/>
      <c r="AT309" s="1"/>
      <c r="AU309" s="1"/>
      <c r="AV309" s="126"/>
      <c r="AW309" s="126"/>
      <c r="AX309" s="1"/>
      <c r="AY309" s="1"/>
      <c r="AZ309" s="1"/>
      <c r="BA309" s="1"/>
      <c r="BB309" s="1"/>
      <c r="BC309" s="1"/>
      <c r="BD309" s="126"/>
      <c r="BE309" s="126"/>
      <c r="BF309" s="126"/>
      <c r="BG309" s="126"/>
      <c r="BH309" s="126"/>
      <c r="BI309" s="1"/>
      <c r="BJ309" s="1"/>
      <c r="BK309" s="1"/>
      <c r="BL309" s="1"/>
      <c r="BM309" s="1"/>
      <c r="BN309" s="1"/>
      <c r="BO309" s="1"/>
      <c r="BP309" s="1"/>
      <c r="BQ309" s="1"/>
      <c r="BR309" s="1"/>
      <c r="BS309" s="1"/>
      <c r="BT309" s="1"/>
      <c r="BU309" s="1"/>
      <c r="BV309" s="1"/>
      <c r="BW309" s="1"/>
      <c r="BX309" s="1"/>
      <c r="BY309" s="1"/>
      <c r="BZ309" s="1"/>
      <c r="CA309" s="1"/>
    </row>
    <row r="310" spans="1:79" ht="12.75" customHeight="1">
      <c r="A310" s="117"/>
      <c r="B310" s="76"/>
      <c r="C310" s="117"/>
      <c r="D310" s="76"/>
      <c r="E310" s="117"/>
      <c r="F310" s="1419" t="s">
        <v>2112</v>
      </c>
      <c r="G310" s="893"/>
      <c r="H310" s="893"/>
      <c r="I310" s="893"/>
      <c r="J310" s="893"/>
      <c r="K310" s="893"/>
      <c r="L310" s="893"/>
      <c r="M310" s="893"/>
      <c r="N310" s="893"/>
      <c r="O310" s="893"/>
      <c r="P310" s="893"/>
      <c r="Q310" s="893"/>
      <c r="R310" s="893"/>
      <c r="S310" s="893"/>
      <c r="T310" s="893"/>
      <c r="U310" s="893"/>
      <c r="V310" s="893"/>
      <c r="W310" s="893"/>
      <c r="X310" s="893"/>
      <c r="Y310" s="893"/>
      <c r="Z310" s="893"/>
      <c r="AA310" s="893"/>
      <c r="AB310" s="893"/>
      <c r="AC310" s="893"/>
      <c r="AD310" s="1387"/>
      <c r="AE310" s="4"/>
      <c r="AF310" s="76"/>
      <c r="AG310" s="76"/>
      <c r="AH310" s="76"/>
      <c r="AI310" s="76"/>
      <c r="AJ310" s="117"/>
      <c r="AK310" s="117"/>
      <c r="AL310" s="117"/>
      <c r="AM310" s="117"/>
      <c r="AN310" s="267"/>
      <c r="AO310" s="1"/>
      <c r="AP310" s="1"/>
      <c r="AQ310" s="1"/>
      <c r="AR310" s="1"/>
      <c r="AS310" s="1"/>
      <c r="AT310" s="1"/>
      <c r="AU310" s="1"/>
      <c r="AV310" s="126"/>
      <c r="AW310" s="126"/>
      <c r="AX310" s="1"/>
      <c r="AY310" s="1"/>
      <c r="AZ310" s="1"/>
      <c r="BA310" s="1"/>
      <c r="BB310" s="1"/>
      <c r="BC310" s="1"/>
      <c r="BD310" s="126"/>
      <c r="BE310" s="126"/>
      <c r="BF310" s="126"/>
      <c r="BG310" s="126"/>
      <c r="BH310" s="126"/>
      <c r="BI310" s="1"/>
      <c r="BJ310" s="1"/>
      <c r="BK310" s="1"/>
      <c r="BL310" s="1"/>
      <c r="BM310" s="1"/>
      <c r="BN310" s="1"/>
      <c r="BO310" s="1"/>
      <c r="BP310" s="1"/>
      <c r="BQ310" s="1"/>
      <c r="BR310" s="1"/>
      <c r="BS310" s="1"/>
      <c r="BT310" s="1"/>
      <c r="BU310" s="1"/>
      <c r="BV310" s="1"/>
      <c r="BW310" s="1"/>
      <c r="BX310" s="1"/>
      <c r="BY310" s="1"/>
      <c r="BZ310" s="1"/>
      <c r="CA310" s="1"/>
    </row>
    <row r="311" spans="1:79" ht="12.75" customHeight="1">
      <c r="A311" s="117"/>
      <c r="B311" s="76"/>
      <c r="C311" s="76"/>
      <c r="D311" s="76"/>
      <c r="E311" s="76"/>
      <c r="F311" s="1386"/>
      <c r="G311" s="893"/>
      <c r="H311" s="893"/>
      <c r="I311" s="893"/>
      <c r="J311" s="893"/>
      <c r="K311" s="893"/>
      <c r="L311" s="893"/>
      <c r="M311" s="893"/>
      <c r="N311" s="893"/>
      <c r="O311" s="893"/>
      <c r="P311" s="893"/>
      <c r="Q311" s="893"/>
      <c r="R311" s="893"/>
      <c r="S311" s="893"/>
      <c r="T311" s="893"/>
      <c r="U311" s="893"/>
      <c r="V311" s="893"/>
      <c r="W311" s="893"/>
      <c r="X311" s="893"/>
      <c r="Y311" s="893"/>
      <c r="Z311" s="893"/>
      <c r="AA311" s="893"/>
      <c r="AB311" s="893"/>
      <c r="AC311" s="893"/>
      <c r="AD311" s="1387"/>
      <c r="AE311" s="4"/>
      <c r="AF311" s="76"/>
      <c r="AG311" s="76"/>
      <c r="AH311" s="76"/>
      <c r="AI311" s="76"/>
      <c r="AJ311" s="117"/>
      <c r="AK311" s="117"/>
      <c r="AL311" s="117"/>
      <c r="AM311" s="117"/>
      <c r="AN311" s="267"/>
      <c r="AO311" s="1"/>
      <c r="AP311" s="1"/>
      <c r="AQ311" s="1"/>
      <c r="AR311" s="1"/>
      <c r="AS311" s="1"/>
      <c r="AT311" s="1"/>
      <c r="AU311" s="1"/>
      <c r="AV311" s="126"/>
      <c r="AW311" s="126"/>
      <c r="AX311" s="1"/>
      <c r="AY311" s="1"/>
      <c r="AZ311" s="1"/>
      <c r="BA311" s="1"/>
      <c r="BB311" s="1"/>
      <c r="BC311" s="1"/>
      <c r="BD311" s="126"/>
      <c r="BE311" s="126"/>
      <c r="BF311" s="126"/>
      <c r="BG311" s="126"/>
      <c r="BH311" s="126"/>
      <c r="BI311" s="1"/>
      <c r="BJ311" s="1"/>
      <c r="BK311" s="1"/>
      <c r="BL311" s="1"/>
      <c r="BM311" s="1"/>
      <c r="BN311" s="1"/>
      <c r="BO311" s="1"/>
      <c r="BP311" s="1"/>
      <c r="BQ311" s="1"/>
      <c r="BR311" s="1"/>
      <c r="BS311" s="1"/>
      <c r="BT311" s="1"/>
      <c r="BU311" s="1"/>
      <c r="BV311" s="1"/>
      <c r="BW311" s="1"/>
      <c r="BX311" s="1"/>
      <c r="BY311" s="1"/>
      <c r="BZ311" s="1"/>
      <c r="CA311" s="1"/>
    </row>
    <row r="312" spans="1:79" ht="12.75" customHeight="1">
      <c r="A312" s="117"/>
      <c r="B312" s="76"/>
      <c r="C312" s="76"/>
      <c r="D312" s="76"/>
      <c r="E312" s="76"/>
      <c r="F312" s="1419" t="s">
        <v>2113</v>
      </c>
      <c r="G312" s="893"/>
      <c r="H312" s="893"/>
      <c r="I312" s="893"/>
      <c r="J312" s="893"/>
      <c r="K312" s="893"/>
      <c r="L312" s="893"/>
      <c r="M312" s="893"/>
      <c r="N312" s="893"/>
      <c r="O312" s="893"/>
      <c r="P312" s="893"/>
      <c r="Q312" s="893"/>
      <c r="R312" s="893"/>
      <c r="S312" s="893"/>
      <c r="T312" s="893"/>
      <c r="U312" s="893"/>
      <c r="V312" s="893"/>
      <c r="W312" s="893"/>
      <c r="X312" s="893"/>
      <c r="Y312" s="893"/>
      <c r="Z312" s="893"/>
      <c r="AA312" s="893"/>
      <c r="AB312" s="893"/>
      <c r="AC312" s="893"/>
      <c r="AD312" s="1387"/>
      <c r="AE312" s="11"/>
      <c r="AF312" s="76"/>
      <c r="AG312" s="76"/>
      <c r="AH312" s="76"/>
      <c r="AI312" s="76"/>
      <c r="AJ312" s="117"/>
      <c r="AK312" s="117"/>
      <c r="AL312" s="117"/>
      <c r="AM312" s="117"/>
      <c r="AN312" s="267"/>
      <c r="AO312" s="1"/>
      <c r="AP312" s="117"/>
      <c r="AQ312" s="1"/>
      <c r="AR312" s="1"/>
      <c r="AS312" s="1"/>
      <c r="AT312" s="1"/>
      <c r="AU312" s="1"/>
      <c r="AV312" s="126"/>
      <c r="AW312" s="126"/>
      <c r="AX312" s="1"/>
      <c r="AY312" s="1"/>
      <c r="AZ312" s="1"/>
      <c r="BA312" s="1"/>
      <c r="BB312" s="1"/>
      <c r="BC312" s="1"/>
      <c r="BD312" s="126"/>
      <c r="BE312" s="126"/>
      <c r="BF312" s="126"/>
      <c r="BG312" s="126"/>
      <c r="BH312" s="126"/>
      <c r="BI312" s="1"/>
      <c r="BJ312" s="1"/>
      <c r="BK312" s="1"/>
      <c r="BL312" s="1"/>
      <c r="BM312" s="1"/>
      <c r="BN312" s="1"/>
      <c r="BO312" s="1"/>
      <c r="BP312" s="1"/>
      <c r="BQ312" s="1"/>
      <c r="BR312" s="1"/>
      <c r="BS312" s="1"/>
      <c r="BT312" s="1"/>
      <c r="BU312" s="1"/>
      <c r="BV312" s="1"/>
      <c r="BW312" s="1"/>
      <c r="BX312" s="1"/>
      <c r="BY312" s="1"/>
      <c r="BZ312" s="1"/>
      <c r="CA312" s="1"/>
    </row>
    <row r="313" spans="1:79" ht="12.75" customHeight="1">
      <c r="A313" s="1"/>
      <c r="B313" s="76"/>
      <c r="C313" s="76"/>
      <c r="D313" s="76"/>
      <c r="E313" s="76"/>
      <c r="F313" s="1388"/>
      <c r="G313" s="1389"/>
      <c r="H313" s="1389"/>
      <c r="I313" s="1389"/>
      <c r="J313" s="1389"/>
      <c r="K313" s="1389"/>
      <c r="L313" s="1389"/>
      <c r="M313" s="1389"/>
      <c r="N313" s="1389"/>
      <c r="O313" s="1389"/>
      <c r="P313" s="1389"/>
      <c r="Q313" s="1389"/>
      <c r="R313" s="1389"/>
      <c r="S313" s="1389"/>
      <c r="T313" s="1389"/>
      <c r="U313" s="1389"/>
      <c r="V313" s="1389"/>
      <c r="W313" s="1389"/>
      <c r="X313" s="1389"/>
      <c r="Y313" s="1389"/>
      <c r="Z313" s="1389"/>
      <c r="AA313" s="1389"/>
      <c r="AB313" s="1389"/>
      <c r="AC313" s="1389"/>
      <c r="AD313" s="1390"/>
      <c r="AE313" s="11"/>
      <c r="AF313" s="76"/>
      <c r="AG313" s="76"/>
      <c r="AH313" s="76"/>
      <c r="AI313" s="76"/>
      <c r="AJ313" s="117"/>
      <c r="AK313" s="117"/>
      <c r="AL313" s="117"/>
      <c r="AM313" s="117"/>
      <c r="AN313" s="267"/>
      <c r="AO313" s="1"/>
      <c r="AP313" s="117"/>
      <c r="AQ313" s="1"/>
      <c r="AR313" s="1"/>
      <c r="AS313" s="1"/>
      <c r="AT313" s="1"/>
      <c r="AU313" s="1"/>
      <c r="AV313" s="126"/>
      <c r="AW313" s="126"/>
      <c r="AX313" s="1"/>
      <c r="AY313" s="1"/>
      <c r="AZ313" s="1"/>
      <c r="BA313" s="1"/>
      <c r="BB313" s="1"/>
      <c r="BC313" s="1"/>
      <c r="BD313" s="126"/>
      <c r="BE313" s="126"/>
      <c r="BF313" s="126"/>
      <c r="BG313" s="126"/>
      <c r="BH313" s="126"/>
      <c r="BI313" s="1"/>
      <c r="BJ313" s="1"/>
      <c r="BK313" s="1"/>
      <c r="BL313" s="1"/>
      <c r="BM313" s="1"/>
      <c r="BN313" s="1"/>
      <c r="BO313" s="1"/>
      <c r="BP313" s="1"/>
      <c r="BQ313" s="1"/>
      <c r="BR313" s="1"/>
      <c r="BS313" s="1"/>
      <c r="BT313" s="1"/>
      <c r="BU313" s="1"/>
      <c r="BV313" s="1"/>
      <c r="BW313" s="1"/>
      <c r="BX313" s="1"/>
      <c r="BY313" s="1"/>
      <c r="BZ313" s="1"/>
      <c r="CA313" s="1"/>
    </row>
    <row r="314" spans="1:79" ht="12.75" customHeight="1">
      <c r="A314" s="117"/>
      <c r="B314" s="76"/>
      <c r="C314" s="76"/>
      <c r="D314" s="76"/>
      <c r="E314" s="76"/>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76"/>
      <c r="AF314" s="76"/>
      <c r="AG314" s="76"/>
      <c r="AH314" s="76"/>
      <c r="AI314" s="76"/>
      <c r="AJ314" s="117"/>
      <c r="AK314" s="117"/>
      <c r="AL314" s="117"/>
      <c r="AM314" s="117"/>
      <c r="AN314" s="267"/>
      <c r="AO314" s="1"/>
      <c r="AP314" s="1"/>
      <c r="AQ314" s="1"/>
      <c r="AR314" s="1"/>
      <c r="AS314" s="1"/>
      <c r="AT314" s="1"/>
      <c r="AU314" s="1"/>
      <c r="AV314" s="126"/>
      <c r="AW314" s="126"/>
      <c r="AX314" s="1"/>
      <c r="AY314" s="1"/>
      <c r="AZ314" s="1"/>
      <c r="BA314" s="1"/>
      <c r="BB314" s="1"/>
      <c r="BC314" s="1"/>
      <c r="BD314" s="126"/>
      <c r="BE314" s="126"/>
      <c r="BF314" s="126"/>
      <c r="BG314" s="126"/>
      <c r="BH314" s="126"/>
      <c r="BI314" s="1"/>
      <c r="BJ314" s="1"/>
      <c r="BK314" s="1"/>
      <c r="BL314" s="1"/>
      <c r="BM314" s="1"/>
      <c r="BN314" s="1"/>
      <c r="BO314" s="1"/>
      <c r="BP314" s="1"/>
      <c r="BQ314" s="1"/>
      <c r="BR314" s="1"/>
      <c r="BS314" s="1"/>
      <c r="BT314" s="1"/>
      <c r="BU314" s="1"/>
      <c r="BV314" s="1"/>
      <c r="BW314" s="1"/>
      <c r="BX314" s="1"/>
      <c r="BY314" s="1"/>
      <c r="BZ314" s="1"/>
      <c r="CA314" s="1"/>
    </row>
    <row r="315" spans="1:79" ht="15" customHeight="1">
      <c r="A315" s="981" t="s">
        <v>2114</v>
      </c>
      <c r="B315" s="893"/>
      <c r="C315" s="973" t="s">
        <v>855</v>
      </c>
      <c r="D315" s="969"/>
      <c r="E315" s="352"/>
      <c r="F315" s="379" t="s">
        <v>2115</v>
      </c>
      <c r="G315" s="380"/>
      <c r="H315" s="380"/>
      <c r="I315" s="380"/>
      <c r="J315" s="380"/>
      <c r="K315" s="380"/>
      <c r="L315" s="380"/>
      <c r="M315" s="380"/>
      <c r="N315" s="380"/>
      <c r="O315" s="380"/>
      <c r="P315" s="380"/>
      <c r="Q315" s="380"/>
      <c r="R315" s="380"/>
      <c r="S315" s="380"/>
      <c r="T315" s="380"/>
      <c r="U315" s="380"/>
      <c r="V315" s="380"/>
      <c r="W315" s="380"/>
      <c r="X315" s="380"/>
      <c r="Y315" s="380"/>
      <c r="Z315" s="380"/>
      <c r="AA315" s="380"/>
      <c r="AB315" s="380"/>
      <c r="AC315" s="380"/>
      <c r="AD315" s="381"/>
      <c r="AE315" s="76"/>
      <c r="AF315" s="76"/>
      <c r="AG315" s="8" t="s">
        <v>2116</v>
      </c>
      <c r="AH315" s="76"/>
      <c r="AI315" s="76"/>
      <c r="AJ315" s="117"/>
      <c r="AK315" s="117"/>
      <c r="AL315" s="117"/>
      <c r="AM315" s="117"/>
      <c r="AN315" s="540"/>
      <c r="AO315" s="1"/>
      <c r="AP315" s="1"/>
      <c r="AQ315" s="1"/>
      <c r="AR315" s="1"/>
      <c r="AS315" s="1"/>
      <c r="AT315" s="1"/>
      <c r="AU315" s="1"/>
      <c r="AV315" s="1"/>
      <c r="AW315" s="1"/>
      <c r="AX315" s="1"/>
      <c r="AY315" s="1"/>
      <c r="AZ315" s="1"/>
      <c r="BA315" s="1"/>
      <c r="BB315" s="1"/>
      <c r="BC315" s="1"/>
      <c r="BD315" s="126"/>
      <c r="BE315" s="126"/>
      <c r="BF315" s="126"/>
      <c r="BG315" s="126"/>
      <c r="BH315" s="126"/>
      <c r="BI315" s="1"/>
      <c r="BJ315" s="1"/>
      <c r="BK315" s="1"/>
      <c r="BL315" s="1"/>
      <c r="BM315" s="1"/>
      <c r="BN315" s="1"/>
      <c r="BO315" s="1"/>
      <c r="BP315" s="1"/>
      <c r="BQ315" s="1"/>
      <c r="BR315" s="1"/>
      <c r="BS315" s="1"/>
      <c r="BT315" s="1"/>
      <c r="BU315" s="1"/>
      <c r="BV315" s="1"/>
      <c r="BW315" s="1"/>
      <c r="BX315" s="1"/>
      <c r="BY315" s="1"/>
      <c r="BZ315" s="1"/>
      <c r="CA315" s="1"/>
    </row>
    <row r="316" spans="1:79" ht="12.75" customHeight="1">
      <c r="A316" s="117"/>
      <c r="B316" s="76"/>
      <c r="C316" s="117"/>
      <c r="D316" s="76"/>
      <c r="E316" s="117"/>
      <c r="F316" s="1419" t="s">
        <v>2119</v>
      </c>
      <c r="G316" s="893"/>
      <c r="H316" s="893"/>
      <c r="I316" s="893"/>
      <c r="J316" s="893"/>
      <c r="K316" s="893"/>
      <c r="L316" s="893"/>
      <c r="M316" s="893"/>
      <c r="N316" s="893"/>
      <c r="O316" s="893"/>
      <c r="P316" s="893"/>
      <c r="Q316" s="893"/>
      <c r="R316" s="893"/>
      <c r="S316" s="893"/>
      <c r="T316" s="893"/>
      <c r="U316" s="893"/>
      <c r="V316" s="893"/>
      <c r="W316" s="893"/>
      <c r="X316" s="893"/>
      <c r="Y316" s="893"/>
      <c r="Z316" s="893"/>
      <c r="AA316" s="893"/>
      <c r="AB316" s="893"/>
      <c r="AC316" s="893"/>
      <c r="AD316" s="1387"/>
      <c r="AE316" s="76"/>
      <c r="AF316" s="76"/>
      <c r="AG316" s="76"/>
      <c r="AH316" s="76"/>
      <c r="AI316" s="76"/>
      <c r="AJ316" s="117"/>
      <c r="AK316" s="117"/>
      <c r="AL316" s="117"/>
      <c r="AM316" s="117"/>
      <c r="AN316" s="345"/>
      <c r="AO316" s="203"/>
      <c r="AP316" s="1"/>
      <c r="AQ316" s="1"/>
      <c r="AR316" s="41"/>
      <c r="AS316" s="1"/>
      <c r="AT316" s="1"/>
      <c r="AU316" s="1"/>
      <c r="AV316" s="1"/>
      <c r="AW316" s="1"/>
      <c r="AX316" s="1"/>
      <c r="AY316" s="1"/>
      <c r="AZ316" s="1"/>
      <c r="BA316" s="1"/>
      <c r="BB316" s="1"/>
      <c r="BC316" s="1"/>
      <c r="BD316" s="126"/>
      <c r="BE316" s="126"/>
      <c r="BF316" s="126"/>
      <c r="BG316" s="126"/>
      <c r="BH316" s="126"/>
      <c r="BI316" s="1"/>
      <c r="BJ316" s="1"/>
      <c r="BK316" s="1"/>
      <c r="BL316" s="1"/>
      <c r="BM316" s="1"/>
      <c r="BN316" s="1"/>
      <c r="BO316" s="1"/>
      <c r="BP316" s="1"/>
      <c r="BQ316" s="1"/>
      <c r="BR316" s="1"/>
      <c r="BS316" s="1"/>
      <c r="BT316" s="1"/>
      <c r="BU316" s="1"/>
      <c r="BV316" s="1"/>
      <c r="BW316" s="1"/>
      <c r="BX316" s="1"/>
      <c r="BY316" s="1"/>
      <c r="BZ316" s="1"/>
      <c r="CA316" s="1"/>
    </row>
    <row r="317" spans="1:79" ht="15" customHeight="1">
      <c r="A317" s="117"/>
      <c r="B317" s="76"/>
      <c r="C317" s="117"/>
      <c r="D317" s="76"/>
      <c r="E317" s="117"/>
      <c r="F317" s="1386"/>
      <c r="G317" s="893"/>
      <c r="H317" s="893"/>
      <c r="I317" s="893"/>
      <c r="J317" s="893"/>
      <c r="K317" s="893"/>
      <c r="L317" s="893"/>
      <c r="M317" s="893"/>
      <c r="N317" s="893"/>
      <c r="O317" s="893"/>
      <c r="P317" s="893"/>
      <c r="Q317" s="893"/>
      <c r="R317" s="893"/>
      <c r="S317" s="893"/>
      <c r="T317" s="893"/>
      <c r="U317" s="893"/>
      <c r="V317" s="893"/>
      <c r="W317" s="893"/>
      <c r="X317" s="893"/>
      <c r="Y317" s="893"/>
      <c r="Z317" s="893"/>
      <c r="AA317" s="893"/>
      <c r="AB317" s="893"/>
      <c r="AC317" s="893"/>
      <c r="AD317" s="1387"/>
      <c r="AE317" s="76"/>
      <c r="AF317" s="76"/>
      <c r="AG317" s="76"/>
      <c r="AH317" s="76"/>
      <c r="AI317" s="76"/>
      <c r="AJ317" s="117"/>
      <c r="AK317" s="117"/>
      <c r="AL317" s="117"/>
      <c r="AM317" s="117"/>
      <c r="AN317" s="345"/>
      <c r="AO317" s="203"/>
      <c r="AP317" s="1"/>
      <c r="AQ317" s="1"/>
      <c r="AR317" s="41"/>
      <c r="AS317" s="1"/>
      <c r="AT317" s="1"/>
      <c r="AU317" s="1"/>
      <c r="AV317" s="1"/>
      <c r="AW317" s="1"/>
      <c r="AX317" s="1"/>
      <c r="AY317" s="1"/>
      <c r="AZ317" s="1"/>
      <c r="BA317" s="1"/>
      <c r="BB317" s="1"/>
      <c r="BC317" s="1"/>
      <c r="BD317" s="126"/>
      <c r="BE317" s="126"/>
      <c r="BF317" s="126"/>
      <c r="BG317" s="126"/>
      <c r="BH317" s="126"/>
      <c r="BI317" s="1"/>
      <c r="BJ317" s="1"/>
      <c r="BK317" s="1"/>
      <c r="BL317" s="1"/>
      <c r="BM317" s="1"/>
      <c r="BN317" s="1"/>
      <c r="BO317" s="1"/>
      <c r="BP317" s="1"/>
      <c r="BQ317" s="1"/>
      <c r="BR317" s="1"/>
      <c r="BS317" s="1"/>
      <c r="BT317" s="1"/>
      <c r="BU317" s="1"/>
      <c r="BV317" s="1"/>
      <c r="BW317" s="1"/>
      <c r="BX317" s="1"/>
      <c r="BY317" s="1"/>
      <c r="BZ317" s="1"/>
      <c r="CA317" s="1"/>
    </row>
    <row r="318" spans="1:79" ht="12.75" customHeight="1">
      <c r="A318" s="117"/>
      <c r="B318" s="76"/>
      <c r="C318" s="117"/>
      <c r="D318" s="76"/>
      <c r="E318" s="117"/>
      <c r="F318" s="1386"/>
      <c r="G318" s="893"/>
      <c r="H318" s="893"/>
      <c r="I318" s="893"/>
      <c r="J318" s="893"/>
      <c r="K318" s="893"/>
      <c r="L318" s="893"/>
      <c r="M318" s="893"/>
      <c r="N318" s="893"/>
      <c r="O318" s="893"/>
      <c r="P318" s="893"/>
      <c r="Q318" s="893"/>
      <c r="R318" s="893"/>
      <c r="S318" s="893"/>
      <c r="T318" s="893"/>
      <c r="U318" s="893"/>
      <c r="V318" s="893"/>
      <c r="W318" s="893"/>
      <c r="X318" s="893"/>
      <c r="Y318" s="893"/>
      <c r="Z318" s="893"/>
      <c r="AA318" s="893"/>
      <c r="AB318" s="893"/>
      <c r="AC318" s="893"/>
      <c r="AD318" s="1387"/>
      <c r="AE318" s="76"/>
      <c r="AF318" s="76"/>
      <c r="AG318" s="76"/>
      <c r="AH318" s="76"/>
      <c r="AI318" s="76"/>
      <c r="AJ318" s="117"/>
      <c r="AK318" s="117"/>
      <c r="AL318" s="117"/>
      <c r="AM318" s="117"/>
      <c r="AN318" s="345"/>
      <c r="AO318" s="203"/>
      <c r="AP318" s="100"/>
      <c r="AQ318" s="378"/>
      <c r="AR318" s="41"/>
      <c r="AS318" s="1"/>
      <c r="AT318" s="1"/>
      <c r="AU318" s="1"/>
      <c r="AV318" s="1"/>
      <c r="AW318" s="1"/>
      <c r="AX318" s="1"/>
      <c r="AY318" s="1"/>
      <c r="AZ318" s="1"/>
      <c r="BA318" s="1"/>
      <c r="BB318" s="1"/>
      <c r="BC318" s="1"/>
      <c r="BD318" s="126"/>
      <c r="BE318" s="126"/>
      <c r="BF318" s="126"/>
      <c r="BG318" s="126"/>
      <c r="BH318" s="126"/>
      <c r="BI318" s="1"/>
      <c r="BJ318" s="1"/>
      <c r="BK318" s="1"/>
      <c r="BL318" s="1"/>
      <c r="BM318" s="1"/>
      <c r="BN318" s="1"/>
      <c r="BO318" s="1"/>
      <c r="BP318" s="1"/>
      <c r="BQ318" s="1"/>
      <c r="BR318" s="1"/>
      <c r="BS318" s="1"/>
      <c r="BT318" s="1"/>
      <c r="BU318" s="1"/>
      <c r="BV318" s="1"/>
      <c r="BW318" s="1"/>
      <c r="BX318" s="1"/>
      <c r="BY318" s="1"/>
      <c r="BZ318" s="1"/>
      <c r="CA318" s="1"/>
    </row>
    <row r="319" spans="1:79" ht="11.25" customHeight="1">
      <c r="A319" s="117"/>
      <c r="B319" s="76"/>
      <c r="C319" s="117"/>
      <c r="D319" s="76"/>
      <c r="E319" s="117"/>
      <c r="F319" s="1388"/>
      <c r="G319" s="1389"/>
      <c r="H319" s="1389"/>
      <c r="I319" s="1389"/>
      <c r="J319" s="1389"/>
      <c r="K319" s="1389"/>
      <c r="L319" s="1389"/>
      <c r="M319" s="1389"/>
      <c r="N319" s="1389"/>
      <c r="O319" s="1389"/>
      <c r="P319" s="1389"/>
      <c r="Q319" s="1389"/>
      <c r="R319" s="1389"/>
      <c r="S319" s="1389"/>
      <c r="T319" s="1389"/>
      <c r="U319" s="1389"/>
      <c r="V319" s="1389"/>
      <c r="W319" s="1389"/>
      <c r="X319" s="1389"/>
      <c r="Y319" s="1389"/>
      <c r="Z319" s="1389"/>
      <c r="AA319" s="1389"/>
      <c r="AB319" s="1389"/>
      <c r="AC319" s="1389"/>
      <c r="AD319" s="1390"/>
      <c r="AE319" s="76"/>
      <c r="AF319" s="76"/>
      <c r="AG319" s="76"/>
      <c r="AH319" s="76"/>
      <c r="AI319" s="76"/>
      <c r="AJ319" s="117"/>
      <c r="AK319" s="117"/>
      <c r="AL319" s="117"/>
      <c r="AM319" s="117"/>
      <c r="AN319" s="345"/>
      <c r="AO319" s="203"/>
      <c r="AP319" s="100"/>
      <c r="AQ319" s="378"/>
      <c r="AR319" s="41"/>
      <c r="AS319" s="1"/>
      <c r="AT319" s="1"/>
      <c r="AU319" s="1"/>
      <c r="AV319" s="1"/>
      <c r="AW319" s="1"/>
      <c r="AX319" s="1"/>
      <c r="AY319" s="1"/>
      <c r="AZ319" s="1"/>
      <c r="BA319" s="1"/>
      <c r="BB319" s="1"/>
      <c r="BC319" s="1"/>
      <c r="BD319" s="126"/>
      <c r="BE319" s="126"/>
      <c r="BF319" s="126"/>
      <c r="BG319" s="126"/>
      <c r="BH319" s="126"/>
      <c r="BI319" s="1"/>
      <c r="BJ319" s="1"/>
      <c r="BK319" s="1"/>
      <c r="BL319" s="1"/>
      <c r="BM319" s="1"/>
      <c r="BN319" s="1"/>
      <c r="BO319" s="1"/>
      <c r="BP319" s="1"/>
      <c r="BQ319" s="1"/>
      <c r="BR319" s="1"/>
      <c r="BS319" s="1"/>
      <c r="BT319" s="1"/>
      <c r="BU319" s="1"/>
      <c r="BV319" s="1"/>
      <c r="BW319" s="1"/>
      <c r="BX319" s="1"/>
      <c r="BY319" s="1"/>
      <c r="BZ319" s="1"/>
      <c r="CA319" s="1"/>
    </row>
    <row r="320" spans="1:79" ht="12.75" customHeight="1">
      <c r="A320" s="117"/>
      <c r="B320" s="76"/>
      <c r="C320" s="76"/>
      <c r="D320" s="76"/>
      <c r="E320" s="76"/>
      <c r="F320" s="76"/>
      <c r="G320" s="76"/>
      <c r="H320" s="76"/>
      <c r="I320" s="76"/>
      <c r="J320" s="76"/>
      <c r="K320" s="76"/>
      <c r="L320" s="76"/>
      <c r="M320" s="76"/>
      <c r="N320" s="76"/>
      <c r="O320" s="76"/>
      <c r="P320" s="76"/>
      <c r="Q320" s="76"/>
      <c r="R320" s="76"/>
      <c r="S320" s="76"/>
      <c r="T320" s="76"/>
      <c r="U320" s="76"/>
      <c r="V320" s="76"/>
      <c r="W320" s="76"/>
      <c r="X320" s="76"/>
      <c r="Y320" s="76"/>
      <c r="Z320" s="76"/>
      <c r="AA320" s="76"/>
      <c r="AB320" s="76"/>
      <c r="AC320" s="76"/>
      <c r="AD320" s="76"/>
      <c r="AE320" s="76"/>
      <c r="AF320" s="76"/>
      <c r="AG320" s="76"/>
      <c r="AH320" s="76"/>
      <c r="AI320" s="76"/>
      <c r="AJ320" s="117"/>
      <c r="AK320" s="117"/>
      <c r="AL320" s="117"/>
      <c r="AM320" s="117"/>
      <c r="AN320" s="345"/>
      <c r="AO320" s="203"/>
      <c r="AP320" s="100"/>
      <c r="AQ320" s="378"/>
      <c r="AR320" s="41"/>
      <c r="AS320" s="1"/>
      <c r="AT320" s="1"/>
      <c r="AU320" s="1"/>
      <c r="AV320" s="1"/>
      <c r="AW320" s="1"/>
      <c r="AX320" s="1"/>
      <c r="AY320" s="1"/>
      <c r="AZ320" s="1"/>
      <c r="BA320" s="1"/>
      <c r="BB320" s="1"/>
      <c r="BC320" s="1"/>
      <c r="BD320" s="126"/>
      <c r="BE320" s="126"/>
      <c r="BF320" s="126"/>
      <c r="BG320" s="126"/>
      <c r="BH320" s="126"/>
      <c r="BI320" s="1"/>
      <c r="BJ320" s="1"/>
      <c r="BK320" s="1"/>
      <c r="BL320" s="1"/>
      <c r="BM320" s="1"/>
      <c r="BN320" s="1"/>
      <c r="BO320" s="1"/>
      <c r="BP320" s="1"/>
      <c r="BQ320" s="1"/>
      <c r="BR320" s="1"/>
      <c r="BS320" s="1"/>
      <c r="BT320" s="1"/>
      <c r="BU320" s="1"/>
      <c r="BV320" s="1"/>
      <c r="BW320" s="1"/>
      <c r="BX320" s="1"/>
      <c r="BY320" s="1"/>
      <c r="BZ320" s="1"/>
      <c r="CA320" s="1"/>
    </row>
    <row r="321" spans="1:79" ht="12.75" hidden="1" customHeight="1">
      <c r="A321" s="117"/>
      <c r="B321" s="76"/>
      <c r="C321" s="76"/>
      <c r="D321" s="76"/>
      <c r="E321" s="76"/>
      <c r="F321" s="76"/>
      <c r="G321" s="76"/>
      <c r="H321" s="76"/>
      <c r="I321" s="76"/>
      <c r="J321" s="76"/>
      <c r="K321" s="76"/>
      <c r="L321" s="76"/>
      <c r="M321" s="76"/>
      <c r="N321" s="76"/>
      <c r="O321" s="76"/>
      <c r="P321" s="76"/>
      <c r="Q321" s="76"/>
      <c r="R321" s="76"/>
      <c r="S321" s="76"/>
      <c r="T321" s="76"/>
      <c r="U321" s="76"/>
      <c r="V321" s="76"/>
      <c r="W321" s="76"/>
      <c r="X321" s="76"/>
      <c r="Y321" s="76"/>
      <c r="Z321" s="76"/>
      <c r="AA321" s="76"/>
      <c r="AB321" s="76"/>
      <c r="AC321" s="76"/>
      <c r="AD321" s="76"/>
      <c r="AE321" s="76"/>
      <c r="AF321" s="76"/>
      <c r="AG321" s="76"/>
      <c r="AH321" s="76"/>
      <c r="AI321" s="76"/>
      <c r="AJ321" s="117"/>
      <c r="AK321" s="117"/>
      <c r="AL321" s="117"/>
      <c r="AM321" s="117"/>
      <c r="AN321" s="345"/>
      <c r="AO321" s="203"/>
      <c r="AP321" s="100"/>
      <c r="AQ321" s="378"/>
      <c r="AR321" s="41"/>
      <c r="AS321" s="1"/>
      <c r="AT321" s="1"/>
      <c r="AU321" s="1"/>
      <c r="AV321" s="1"/>
      <c r="AW321" s="1"/>
      <c r="AX321" s="1"/>
      <c r="AY321" s="1"/>
      <c r="AZ321" s="1"/>
      <c r="BA321" s="1"/>
      <c r="BB321" s="1"/>
      <c r="BC321" s="1"/>
      <c r="BD321" s="126"/>
      <c r="BE321" s="126"/>
      <c r="BF321" s="126"/>
      <c r="BG321" s="126"/>
      <c r="BH321" s="126"/>
      <c r="BI321" s="1"/>
      <c r="BJ321" s="1"/>
      <c r="BK321" s="1"/>
      <c r="BL321" s="1"/>
      <c r="BM321" s="1"/>
      <c r="BN321" s="1"/>
      <c r="BO321" s="1"/>
      <c r="BP321" s="1"/>
      <c r="BQ321" s="1"/>
      <c r="BR321" s="1"/>
      <c r="BS321" s="1"/>
      <c r="BT321" s="1"/>
      <c r="BU321" s="1"/>
      <c r="BV321" s="1"/>
      <c r="BW321" s="1"/>
      <c r="BX321" s="1"/>
      <c r="BY321" s="1"/>
      <c r="BZ321" s="1"/>
      <c r="CA321" s="1"/>
    </row>
    <row r="322" spans="1:79" ht="12.75" hidden="1" customHeight="1">
      <c r="A322" s="117"/>
      <c r="B322" s="76"/>
      <c r="C322" s="76"/>
      <c r="D322" s="76"/>
      <c r="E322" s="76"/>
      <c r="F322" s="76"/>
      <c r="G322" s="76"/>
      <c r="H322" s="76"/>
      <c r="I322" s="76"/>
      <c r="J322" s="76"/>
      <c r="K322" s="76"/>
      <c r="L322" s="76"/>
      <c r="M322" s="76"/>
      <c r="N322" s="76"/>
      <c r="O322" s="76"/>
      <c r="P322" s="76"/>
      <c r="Q322" s="76"/>
      <c r="R322" s="76"/>
      <c r="S322" s="76"/>
      <c r="T322" s="76"/>
      <c r="U322" s="76"/>
      <c r="V322" s="76"/>
      <c r="W322" s="76"/>
      <c r="X322" s="76"/>
      <c r="Y322" s="76"/>
      <c r="Z322" s="76"/>
      <c r="AA322" s="76"/>
      <c r="AB322" s="76"/>
      <c r="AC322" s="76"/>
      <c r="AD322" s="76"/>
      <c r="AE322" s="76"/>
      <c r="AF322" s="76"/>
      <c r="AG322" s="76"/>
      <c r="AH322" s="76"/>
      <c r="AI322" s="76"/>
      <c r="AJ322" s="117"/>
      <c r="AK322" s="117"/>
      <c r="AL322" s="117"/>
      <c r="AM322" s="117"/>
      <c r="AN322" s="267"/>
      <c r="AO322" s="1"/>
      <c r="AP322" s="1"/>
      <c r="AQ322" s="1"/>
      <c r="AR322" s="1"/>
      <c r="AS322" s="1"/>
      <c r="AT322" s="1"/>
      <c r="AU322" s="1"/>
      <c r="AV322" s="1"/>
      <c r="AW322" s="1"/>
      <c r="AX322" s="1"/>
      <c r="AY322" s="1"/>
      <c r="AZ322" s="1"/>
      <c r="BA322" s="1"/>
      <c r="BB322" s="1"/>
      <c r="BC322" s="1"/>
      <c r="BD322" s="126"/>
      <c r="BE322" s="126"/>
      <c r="BF322" s="126"/>
      <c r="BG322" s="126"/>
      <c r="BH322" s="126"/>
      <c r="BI322" s="1"/>
      <c r="BJ322" s="1"/>
      <c r="BK322" s="1"/>
      <c r="BL322" s="1"/>
      <c r="BM322" s="1"/>
      <c r="BN322" s="1"/>
      <c r="BO322" s="1"/>
      <c r="BP322" s="1"/>
      <c r="BQ322" s="1"/>
      <c r="BR322" s="1"/>
      <c r="BS322" s="1"/>
      <c r="BT322" s="1"/>
      <c r="BU322" s="1"/>
      <c r="BV322" s="1"/>
      <c r="BW322" s="1"/>
      <c r="BX322" s="1"/>
      <c r="BY322" s="1"/>
      <c r="BZ322" s="1"/>
      <c r="CA322" s="1"/>
    </row>
    <row r="323" spans="1:79" ht="12.75" hidden="1" customHeight="1">
      <c r="A323" s="981" t="s">
        <v>2123</v>
      </c>
      <c r="B323" s="893"/>
      <c r="C323" s="973" t="s">
        <v>855</v>
      </c>
      <c r="D323" s="969"/>
      <c r="E323" s="352"/>
      <c r="F323" s="542" t="s">
        <v>2124</v>
      </c>
      <c r="G323" s="543"/>
      <c r="H323" s="543"/>
      <c r="I323" s="543"/>
      <c r="J323" s="543"/>
      <c r="K323" s="543"/>
      <c r="L323" s="543"/>
      <c r="M323" s="543"/>
      <c r="N323" s="543"/>
      <c r="O323" s="543"/>
      <c r="P323" s="543"/>
      <c r="Q323" s="543"/>
      <c r="R323" s="543"/>
      <c r="S323" s="543"/>
      <c r="T323" s="543"/>
      <c r="U323" s="543"/>
      <c r="V323" s="543"/>
      <c r="W323" s="543"/>
      <c r="X323" s="543"/>
      <c r="Y323" s="543"/>
      <c r="Z323" s="543"/>
      <c r="AA323" s="543"/>
      <c r="AB323" s="543"/>
      <c r="AC323" s="543"/>
      <c r="AD323" s="544"/>
      <c r="AE323" s="76"/>
      <c r="AF323" s="76"/>
      <c r="AG323" s="8" t="s">
        <v>2116</v>
      </c>
      <c r="AH323" s="76"/>
      <c r="AI323" s="76"/>
      <c r="AJ323" s="117"/>
      <c r="AK323" s="117"/>
      <c r="AL323" s="117"/>
      <c r="AM323" s="117"/>
      <c r="AN323" s="267"/>
      <c r="AO323" s="1"/>
      <c r="AP323" s="1"/>
      <c r="AQ323" s="1"/>
      <c r="AR323" s="1"/>
      <c r="AS323" s="1"/>
      <c r="AT323" s="1"/>
      <c r="AU323" s="1"/>
      <c r="AV323" s="1"/>
      <c r="AW323" s="1"/>
      <c r="AX323" s="1"/>
      <c r="AY323" s="1"/>
      <c r="AZ323" s="1"/>
      <c r="BA323" s="1"/>
      <c r="BB323" s="1"/>
      <c r="BC323" s="1"/>
      <c r="BD323" s="126"/>
      <c r="BE323" s="126"/>
      <c r="BF323" s="126"/>
      <c r="BG323" s="126"/>
      <c r="BH323" s="126"/>
      <c r="BI323" s="1"/>
      <c r="BJ323" s="1"/>
      <c r="BK323" s="1"/>
      <c r="BL323" s="1"/>
      <c r="BM323" s="1"/>
      <c r="BN323" s="1"/>
      <c r="BO323" s="1"/>
      <c r="BP323" s="1"/>
      <c r="BQ323" s="1"/>
      <c r="BR323" s="1"/>
      <c r="BS323" s="1"/>
      <c r="BT323" s="1"/>
      <c r="BU323" s="1"/>
      <c r="BV323" s="1"/>
      <c r="BW323" s="1"/>
      <c r="BX323" s="1"/>
      <c r="BY323" s="1"/>
      <c r="BZ323" s="1"/>
      <c r="CA323" s="1"/>
    </row>
    <row r="324" spans="1:79" ht="12.75" hidden="1" customHeight="1">
      <c r="A324" s="7"/>
      <c r="B324" s="7"/>
      <c r="C324" s="7"/>
      <c r="D324" s="7"/>
      <c r="E324" s="352"/>
      <c r="F324" s="1419" t="s">
        <v>2125</v>
      </c>
      <c r="G324" s="893"/>
      <c r="H324" s="893"/>
      <c r="I324" s="893"/>
      <c r="J324" s="893"/>
      <c r="K324" s="893"/>
      <c r="L324" s="893"/>
      <c r="M324" s="893"/>
      <c r="N324" s="893"/>
      <c r="O324" s="893"/>
      <c r="P324" s="893"/>
      <c r="Q324" s="893"/>
      <c r="R324" s="893"/>
      <c r="S324" s="893"/>
      <c r="T324" s="893"/>
      <c r="U324" s="893"/>
      <c r="V324" s="893"/>
      <c r="W324" s="893"/>
      <c r="X324" s="893"/>
      <c r="Y324" s="893"/>
      <c r="Z324" s="893"/>
      <c r="AA324" s="893"/>
      <c r="AB324" s="893"/>
      <c r="AC324" s="893"/>
      <c r="AD324" s="1387"/>
      <c r="AE324" s="76"/>
      <c r="AF324" s="76"/>
      <c r="AG324" s="8"/>
      <c r="AH324" s="76"/>
      <c r="AI324" s="76"/>
      <c r="AJ324" s="117"/>
      <c r="AK324" s="117"/>
      <c r="AL324" s="117"/>
      <c r="AM324" s="117"/>
      <c r="AN324" s="267"/>
      <c r="AO324" s="1"/>
      <c r="AP324" s="1" t="s">
        <v>1137</v>
      </c>
      <c r="AQ324" s="1"/>
      <c r="AR324" s="1"/>
      <c r="AS324" s="1"/>
      <c r="AT324" s="1"/>
      <c r="AU324" s="1"/>
      <c r="AV324" s="1"/>
      <c r="AW324" s="1"/>
      <c r="AX324" s="1"/>
      <c r="AY324" s="1"/>
      <c r="AZ324" s="1"/>
      <c r="BA324" s="1"/>
      <c r="BB324" s="1"/>
      <c r="BC324" s="1"/>
      <c r="BD324" s="126"/>
      <c r="BE324" s="126"/>
      <c r="BF324" s="126"/>
      <c r="BG324" s="126"/>
      <c r="BH324" s="126"/>
      <c r="BI324" s="1"/>
      <c r="BJ324" s="1"/>
      <c r="BK324" s="1"/>
      <c r="BL324" s="1"/>
      <c r="BM324" s="1"/>
      <c r="BN324" s="1"/>
      <c r="BO324" s="1"/>
      <c r="BP324" s="1"/>
      <c r="BQ324" s="1"/>
      <c r="BR324" s="1"/>
      <c r="BS324" s="1"/>
      <c r="BT324" s="1"/>
      <c r="BU324" s="1"/>
      <c r="BV324" s="1"/>
      <c r="BW324" s="1"/>
      <c r="BX324" s="1"/>
      <c r="BY324" s="1"/>
      <c r="BZ324" s="1"/>
      <c r="CA324" s="1"/>
    </row>
    <row r="325" spans="1:79" ht="12.75" hidden="1" customHeight="1">
      <c r="A325" s="1"/>
      <c r="B325" s="1"/>
      <c r="C325" s="1"/>
      <c r="D325" s="1"/>
      <c r="E325" s="1"/>
      <c r="F325" s="1386"/>
      <c r="G325" s="893"/>
      <c r="H325" s="893"/>
      <c r="I325" s="893"/>
      <c r="J325" s="893"/>
      <c r="K325" s="893"/>
      <c r="L325" s="893"/>
      <c r="M325" s="893"/>
      <c r="N325" s="893"/>
      <c r="O325" s="893"/>
      <c r="P325" s="893"/>
      <c r="Q325" s="893"/>
      <c r="R325" s="893"/>
      <c r="S325" s="893"/>
      <c r="T325" s="893"/>
      <c r="U325" s="893"/>
      <c r="V325" s="893"/>
      <c r="W325" s="893"/>
      <c r="X325" s="893"/>
      <c r="Y325" s="893"/>
      <c r="Z325" s="893"/>
      <c r="AA325" s="893"/>
      <c r="AB325" s="893"/>
      <c r="AC325" s="893"/>
      <c r="AD325" s="1387"/>
      <c r="AE325" s="76"/>
      <c r="AF325" s="76"/>
      <c r="AG325" s="1"/>
      <c r="AH325" s="76"/>
      <c r="AI325" s="76"/>
      <c r="AJ325" s="117"/>
      <c r="AK325" s="117"/>
      <c r="AL325" s="117"/>
      <c r="AM325" s="117"/>
      <c r="AN325" s="267"/>
      <c r="AO325" s="1"/>
      <c r="AP325" s="1" t="s">
        <v>2126</v>
      </c>
      <c r="AQ325" s="1"/>
      <c r="AR325" s="1"/>
      <c r="AS325" s="1"/>
      <c r="AT325" s="1"/>
      <c r="AU325" s="1"/>
      <c r="AV325" s="1"/>
      <c r="AW325" s="1"/>
      <c r="AX325" s="1"/>
      <c r="AY325" s="1"/>
      <c r="AZ325" s="1"/>
      <c r="BA325" s="1"/>
      <c r="BB325" s="1"/>
      <c r="BC325" s="1"/>
      <c r="BD325" s="126"/>
      <c r="BE325" s="126"/>
      <c r="BF325" s="126"/>
      <c r="BG325" s="126"/>
      <c r="BH325" s="126"/>
      <c r="BI325" s="1"/>
      <c r="BJ325" s="1"/>
      <c r="BK325" s="1"/>
      <c r="BL325" s="1"/>
      <c r="BM325" s="1"/>
      <c r="BN325" s="1"/>
      <c r="BO325" s="1"/>
      <c r="BP325" s="1"/>
      <c r="BQ325" s="1"/>
      <c r="BR325" s="1"/>
      <c r="BS325" s="1"/>
      <c r="BT325" s="1"/>
      <c r="BU325" s="1"/>
      <c r="BV325" s="1"/>
      <c r="BW325" s="1"/>
      <c r="BX325" s="1"/>
      <c r="BY325" s="1"/>
      <c r="BZ325" s="1"/>
      <c r="CA325" s="1"/>
    </row>
    <row r="326" spans="1:79" ht="12.75" hidden="1" customHeight="1">
      <c r="A326" s="117"/>
      <c r="B326" s="76"/>
      <c r="C326" s="7"/>
      <c r="D326" s="7"/>
      <c r="E326" s="352"/>
      <c r="F326" s="545" t="s">
        <v>2127</v>
      </c>
      <c r="G326" s="41"/>
      <c r="H326" s="41"/>
      <c r="I326" s="41"/>
      <c r="J326" s="41"/>
      <c r="K326" s="41"/>
      <c r="L326" s="41"/>
      <c r="M326" s="41"/>
      <c r="N326" s="41"/>
      <c r="O326" s="41"/>
      <c r="P326" s="41"/>
      <c r="Q326" s="41"/>
      <c r="R326" s="41"/>
      <c r="S326" s="41"/>
      <c r="T326" s="41"/>
      <c r="U326" s="41"/>
      <c r="V326" s="41"/>
      <c r="W326" s="41"/>
      <c r="X326" s="41"/>
      <c r="Y326" s="41"/>
      <c r="Z326" s="41"/>
      <c r="AA326" s="41"/>
      <c r="AB326" s="41"/>
      <c r="AC326" s="41"/>
      <c r="AD326" s="546"/>
      <c r="AE326" s="76"/>
      <c r="AF326" s="76"/>
      <c r="AG326" s="8"/>
      <c r="AH326" s="76"/>
      <c r="AI326" s="76"/>
      <c r="AJ326" s="117"/>
      <c r="AK326" s="117"/>
      <c r="AL326" s="117"/>
      <c r="AM326" s="117"/>
      <c r="AN326" s="267"/>
      <c r="AO326" s="1"/>
      <c r="AP326" s="1" t="s">
        <v>2128</v>
      </c>
      <c r="AQ326" s="1"/>
      <c r="AR326" s="1"/>
      <c r="AS326" s="1"/>
      <c r="AT326" s="1"/>
      <c r="AU326" s="1"/>
      <c r="AV326" s="1"/>
      <c r="AW326" s="1"/>
      <c r="AX326" s="1"/>
      <c r="AY326" s="1"/>
      <c r="AZ326" s="1"/>
      <c r="BA326" s="1"/>
      <c r="BB326" s="1"/>
      <c r="BC326" s="1"/>
      <c r="BD326" s="126"/>
      <c r="BE326" s="126"/>
      <c r="BF326" s="126"/>
      <c r="BG326" s="126"/>
      <c r="BH326" s="126"/>
      <c r="BI326" s="1"/>
      <c r="BJ326" s="1"/>
      <c r="BK326" s="1"/>
      <c r="BL326" s="1"/>
      <c r="BM326" s="1"/>
      <c r="BN326" s="1"/>
      <c r="BO326" s="1"/>
      <c r="BP326" s="1"/>
      <c r="BQ326" s="1"/>
      <c r="BR326" s="1"/>
      <c r="BS326" s="1"/>
      <c r="BT326" s="1"/>
      <c r="BU326" s="1"/>
      <c r="BV326" s="1"/>
      <c r="BW326" s="1"/>
      <c r="BX326" s="1"/>
      <c r="BY326" s="1"/>
      <c r="BZ326" s="1"/>
      <c r="CA326" s="1"/>
    </row>
    <row r="327" spans="1:79" ht="12.75" hidden="1" customHeight="1">
      <c r="A327" s="117"/>
      <c r="B327" s="76"/>
      <c r="C327" s="7"/>
      <c r="D327" s="7"/>
      <c r="E327" s="352"/>
      <c r="F327" s="545"/>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546"/>
      <c r="AE327" s="76"/>
      <c r="AF327" s="76"/>
      <c r="AG327" s="8"/>
      <c r="AH327" s="76"/>
      <c r="AI327" s="76"/>
      <c r="AJ327" s="117"/>
      <c r="AK327" s="117"/>
      <c r="AL327" s="117"/>
      <c r="AM327" s="117"/>
      <c r="AN327" s="267"/>
      <c r="AO327" s="1"/>
      <c r="AP327" s="1" t="s">
        <v>2129</v>
      </c>
      <c r="AQ327" s="1"/>
      <c r="AR327" s="1"/>
      <c r="AS327" s="1"/>
      <c r="AT327" s="1"/>
      <c r="AU327" s="1"/>
      <c r="AV327" s="1"/>
      <c r="AW327" s="1"/>
      <c r="AX327" s="1"/>
      <c r="AY327" s="1"/>
      <c r="AZ327" s="1"/>
      <c r="BA327" s="1"/>
      <c r="BB327" s="1"/>
      <c r="BC327" s="1"/>
      <c r="BD327" s="126"/>
      <c r="BE327" s="126"/>
      <c r="BF327" s="126"/>
      <c r="BG327" s="126"/>
      <c r="BH327" s="126"/>
      <c r="BI327" s="1"/>
      <c r="BJ327" s="1"/>
      <c r="BK327" s="1"/>
      <c r="BL327" s="1"/>
      <c r="BM327" s="1"/>
      <c r="BN327" s="1"/>
      <c r="BO327" s="1"/>
      <c r="BP327" s="1"/>
      <c r="BQ327" s="1"/>
      <c r="BR327" s="1"/>
      <c r="BS327" s="1"/>
      <c r="BT327" s="1"/>
      <c r="BU327" s="1"/>
      <c r="BV327" s="1"/>
      <c r="BW327" s="1"/>
      <c r="BX327" s="1"/>
      <c r="BY327" s="1"/>
      <c r="BZ327" s="1"/>
      <c r="CA327" s="1"/>
    </row>
    <row r="328" spans="1:79" ht="12.75" hidden="1" customHeight="1">
      <c r="A328" s="117"/>
      <c r="B328" s="76"/>
      <c r="C328" s="7"/>
      <c r="D328" s="7"/>
      <c r="E328" s="352"/>
      <c r="F328" s="545"/>
      <c r="G328" s="4"/>
      <c r="H328" s="4"/>
      <c r="I328" s="4"/>
      <c r="J328" s="4"/>
      <c r="K328" s="4"/>
      <c r="L328" s="4"/>
      <c r="M328" s="4"/>
      <c r="N328" s="4"/>
      <c r="O328" s="4"/>
      <c r="P328" s="4"/>
      <c r="Q328" s="4"/>
      <c r="R328" s="4"/>
      <c r="S328" s="4"/>
      <c r="T328" s="4"/>
      <c r="U328" s="4"/>
      <c r="V328" s="4"/>
      <c r="W328" s="4"/>
      <c r="X328" s="4"/>
      <c r="Y328" s="4"/>
      <c r="Z328" s="4"/>
      <c r="AA328" s="4"/>
      <c r="AB328" s="4"/>
      <c r="AC328" s="4"/>
      <c r="AD328" s="393"/>
      <c r="AE328" s="76"/>
      <c r="AF328" s="76"/>
      <c r="AG328" s="8"/>
      <c r="AH328" s="76"/>
      <c r="AI328" s="76"/>
      <c r="AJ328" s="117"/>
      <c r="AK328" s="117"/>
      <c r="AL328" s="117"/>
      <c r="AM328" s="117"/>
      <c r="AN328" s="267"/>
      <c r="AO328" s="1"/>
      <c r="AP328" s="203"/>
      <c r="AQ328" s="1"/>
      <c r="AR328" s="1"/>
      <c r="AS328" s="1"/>
      <c r="AT328" s="1"/>
      <c r="AU328" s="1"/>
      <c r="AV328" s="1"/>
      <c r="AW328" s="1"/>
      <c r="AX328" s="1"/>
      <c r="AY328" s="1"/>
      <c r="AZ328" s="1"/>
      <c r="BA328" s="1"/>
      <c r="BB328" s="1"/>
      <c r="BC328" s="1"/>
      <c r="BD328" s="126"/>
      <c r="BE328" s="126"/>
      <c r="BF328" s="126"/>
      <c r="BG328" s="126"/>
      <c r="BH328" s="126"/>
      <c r="BI328" s="1"/>
      <c r="BJ328" s="1"/>
      <c r="BK328" s="1"/>
      <c r="BL328" s="1"/>
      <c r="BM328" s="1"/>
      <c r="BN328" s="1"/>
      <c r="BO328" s="1"/>
      <c r="BP328" s="1"/>
      <c r="BQ328" s="1"/>
      <c r="BR328" s="1"/>
      <c r="BS328" s="1"/>
      <c r="BT328" s="1"/>
      <c r="BU328" s="1"/>
      <c r="BV328" s="1"/>
      <c r="BW328" s="1"/>
      <c r="BX328" s="1"/>
      <c r="BY328" s="1"/>
      <c r="BZ328" s="1"/>
      <c r="CA328" s="1"/>
    </row>
    <row r="329" spans="1:79" ht="12.75" hidden="1" customHeight="1">
      <c r="A329" s="117"/>
      <c r="B329" s="76"/>
      <c r="C329" s="7"/>
      <c r="D329" s="7"/>
      <c r="E329" s="352"/>
      <c r="F329" s="1433" t="s">
        <v>1137</v>
      </c>
      <c r="G329" s="901"/>
      <c r="H329" s="901"/>
      <c r="I329" s="901"/>
      <c r="J329" s="901"/>
      <c r="K329" s="901"/>
      <c r="L329" s="901"/>
      <c r="M329" s="901"/>
      <c r="N329" s="901"/>
      <c r="O329" s="901"/>
      <c r="P329" s="901"/>
      <c r="Q329" s="901"/>
      <c r="R329" s="901"/>
      <c r="S329" s="901"/>
      <c r="T329" s="901"/>
      <c r="U329" s="901"/>
      <c r="V329" s="901"/>
      <c r="W329" s="901"/>
      <c r="X329" s="901"/>
      <c r="Y329" s="901"/>
      <c r="Z329" s="901"/>
      <c r="AA329" s="901"/>
      <c r="AB329" s="901"/>
      <c r="AC329" s="901"/>
      <c r="AD329" s="1434"/>
      <c r="AE329" s="4"/>
      <c r="AF329" s="4"/>
      <c r="AG329" s="4"/>
      <c r="AH329" s="4"/>
      <c r="AI329" s="4"/>
      <c r="AJ329" s="4"/>
      <c r="AK329" s="4"/>
      <c r="AL329" s="117"/>
      <c r="AM329" s="117"/>
      <c r="AN329" s="267"/>
      <c r="AO329" s="1"/>
      <c r="AP329" s="203"/>
      <c r="AQ329" s="1"/>
      <c r="AR329" s="1"/>
      <c r="AS329" s="1"/>
      <c r="AT329" s="1"/>
      <c r="AU329" s="1"/>
      <c r="AV329" s="1"/>
      <c r="AW329" s="1"/>
      <c r="AX329" s="1"/>
      <c r="AY329" s="1"/>
      <c r="AZ329" s="1"/>
      <c r="BA329" s="1"/>
      <c r="BB329" s="1"/>
      <c r="BC329" s="1"/>
      <c r="BD329" s="126"/>
      <c r="BE329" s="126"/>
      <c r="BF329" s="126"/>
      <c r="BG329" s="126"/>
      <c r="BH329" s="126"/>
      <c r="BI329" s="1"/>
      <c r="BJ329" s="1"/>
      <c r="BK329" s="1"/>
      <c r="BL329" s="1"/>
      <c r="BM329" s="1"/>
      <c r="BN329" s="1"/>
      <c r="BO329" s="1"/>
      <c r="BP329" s="1"/>
      <c r="BQ329" s="1"/>
      <c r="BR329" s="1"/>
      <c r="BS329" s="1"/>
      <c r="BT329" s="1"/>
      <c r="BU329" s="1"/>
      <c r="BV329" s="1"/>
      <c r="BW329" s="1"/>
      <c r="BX329" s="1"/>
      <c r="BY329" s="1"/>
      <c r="BZ329" s="1"/>
      <c r="CA329" s="1"/>
    </row>
    <row r="330" spans="1:79" ht="12.75" hidden="1" customHeight="1">
      <c r="A330" s="117"/>
      <c r="B330" s="76"/>
      <c r="C330" s="7"/>
      <c r="D330" s="7"/>
      <c r="E330" s="352"/>
      <c r="F330" s="1386"/>
      <c r="G330" s="893"/>
      <c r="H330" s="893"/>
      <c r="I330" s="893"/>
      <c r="J330" s="893"/>
      <c r="K330" s="893"/>
      <c r="L330" s="893"/>
      <c r="M330" s="893"/>
      <c r="N330" s="893"/>
      <c r="O330" s="893"/>
      <c r="P330" s="893"/>
      <c r="Q330" s="893"/>
      <c r="R330" s="893"/>
      <c r="S330" s="893"/>
      <c r="T330" s="893"/>
      <c r="U330" s="893"/>
      <c r="V330" s="893"/>
      <c r="W330" s="893"/>
      <c r="X330" s="893"/>
      <c r="Y330" s="893"/>
      <c r="Z330" s="893"/>
      <c r="AA330" s="893"/>
      <c r="AB330" s="893"/>
      <c r="AC330" s="893"/>
      <c r="AD330" s="1387"/>
      <c r="AE330" s="76"/>
      <c r="AF330" s="76"/>
      <c r="AG330" s="8"/>
      <c r="AH330" s="76"/>
      <c r="AI330" s="76"/>
      <c r="AJ330" s="117"/>
      <c r="AK330" s="117"/>
      <c r="AL330" s="117"/>
      <c r="AM330" s="117"/>
      <c r="AN330" s="267"/>
      <c r="AO330" s="1"/>
      <c r="AP330" s="203"/>
      <c r="AQ330" s="1"/>
      <c r="AR330" s="1"/>
      <c r="AS330" s="1"/>
      <c r="AT330" s="1"/>
      <c r="AU330" s="1"/>
      <c r="AV330" s="1"/>
      <c r="AW330" s="1"/>
      <c r="AX330" s="1"/>
      <c r="AY330" s="1"/>
      <c r="AZ330" s="1"/>
      <c r="BA330" s="1"/>
      <c r="BB330" s="1"/>
      <c r="BC330" s="1"/>
      <c r="BD330" s="126"/>
      <c r="BE330" s="126"/>
      <c r="BF330" s="126"/>
      <c r="BG330" s="126"/>
      <c r="BH330" s="126"/>
      <c r="BI330" s="1"/>
      <c r="BJ330" s="1"/>
      <c r="BK330" s="1"/>
      <c r="BL330" s="1"/>
      <c r="BM330" s="1"/>
      <c r="BN330" s="1"/>
      <c r="BO330" s="1"/>
      <c r="BP330" s="1"/>
      <c r="BQ330" s="1"/>
      <c r="BR330" s="1"/>
      <c r="BS330" s="1"/>
      <c r="BT330" s="1"/>
      <c r="BU330" s="1"/>
      <c r="BV330" s="1"/>
      <c r="BW330" s="1"/>
      <c r="BX330" s="1"/>
      <c r="BY330" s="1"/>
      <c r="BZ330" s="1"/>
      <c r="CA330" s="1"/>
    </row>
    <row r="331" spans="1:79" ht="12.75" hidden="1" customHeight="1">
      <c r="A331" s="117"/>
      <c r="B331" s="76"/>
      <c r="C331" s="7"/>
      <c r="D331" s="7"/>
      <c r="E331" s="352"/>
      <c r="F331" s="1386"/>
      <c r="G331" s="893"/>
      <c r="H331" s="893"/>
      <c r="I331" s="893"/>
      <c r="J331" s="893"/>
      <c r="K331" s="893"/>
      <c r="L331" s="893"/>
      <c r="M331" s="893"/>
      <c r="N331" s="893"/>
      <c r="O331" s="893"/>
      <c r="P331" s="893"/>
      <c r="Q331" s="893"/>
      <c r="R331" s="893"/>
      <c r="S331" s="893"/>
      <c r="T331" s="893"/>
      <c r="U331" s="893"/>
      <c r="V331" s="893"/>
      <c r="W331" s="893"/>
      <c r="X331" s="893"/>
      <c r="Y331" s="893"/>
      <c r="Z331" s="893"/>
      <c r="AA331" s="893"/>
      <c r="AB331" s="893"/>
      <c r="AC331" s="893"/>
      <c r="AD331" s="1387"/>
      <c r="AE331" s="76"/>
      <c r="AF331" s="76"/>
      <c r="AG331" s="8"/>
      <c r="AH331" s="76"/>
      <c r="AI331" s="76"/>
      <c r="AJ331" s="117"/>
      <c r="AK331" s="117"/>
      <c r="AL331" s="117"/>
      <c r="AM331" s="117"/>
      <c r="AN331" s="267"/>
      <c r="AO331" s="1"/>
      <c r="AP331" s="203"/>
      <c r="AQ331" s="1"/>
      <c r="AR331" s="1"/>
      <c r="AS331" s="1"/>
      <c r="AT331" s="1"/>
      <c r="AU331" s="1"/>
      <c r="AV331" s="1"/>
      <c r="AW331" s="1"/>
      <c r="AX331" s="1"/>
      <c r="AY331" s="1"/>
      <c r="AZ331" s="1"/>
      <c r="BA331" s="1"/>
      <c r="BB331" s="1"/>
      <c r="BC331" s="1"/>
      <c r="BD331" s="126"/>
      <c r="BE331" s="126"/>
      <c r="BF331" s="126"/>
      <c r="BG331" s="126"/>
      <c r="BH331" s="126"/>
      <c r="BI331" s="1"/>
      <c r="BJ331" s="1"/>
      <c r="BK331" s="1"/>
      <c r="BL331" s="1"/>
      <c r="BM331" s="1"/>
      <c r="BN331" s="1"/>
      <c r="BO331" s="1"/>
      <c r="BP331" s="1"/>
      <c r="BQ331" s="1"/>
      <c r="BR331" s="1"/>
      <c r="BS331" s="1"/>
      <c r="BT331" s="1"/>
      <c r="BU331" s="1"/>
      <c r="BV331" s="1"/>
      <c r="BW331" s="1"/>
      <c r="BX331" s="1"/>
      <c r="BY331" s="1"/>
      <c r="BZ331" s="1"/>
      <c r="CA331" s="1"/>
    </row>
    <row r="332" spans="1:79" ht="12.75" hidden="1" customHeight="1">
      <c r="A332" s="117"/>
      <c r="B332" s="76"/>
      <c r="C332" s="7"/>
      <c r="D332" s="7"/>
      <c r="E332" s="352"/>
      <c r="F332" s="1386"/>
      <c r="G332" s="893"/>
      <c r="H332" s="893"/>
      <c r="I332" s="893"/>
      <c r="J332" s="893"/>
      <c r="K332" s="893"/>
      <c r="L332" s="893"/>
      <c r="M332" s="893"/>
      <c r="N332" s="893"/>
      <c r="O332" s="893"/>
      <c r="P332" s="893"/>
      <c r="Q332" s="893"/>
      <c r="R332" s="893"/>
      <c r="S332" s="893"/>
      <c r="T332" s="893"/>
      <c r="U332" s="893"/>
      <c r="V332" s="893"/>
      <c r="W332" s="893"/>
      <c r="X332" s="893"/>
      <c r="Y332" s="893"/>
      <c r="Z332" s="893"/>
      <c r="AA332" s="893"/>
      <c r="AB332" s="893"/>
      <c r="AC332" s="893"/>
      <c r="AD332" s="1387"/>
      <c r="AE332" s="76"/>
      <c r="AF332" s="76"/>
      <c r="AG332" s="8"/>
      <c r="AH332" s="76"/>
      <c r="AI332" s="76"/>
      <c r="AJ332" s="117"/>
      <c r="AK332" s="117"/>
      <c r="AL332" s="117"/>
      <c r="AM332" s="117"/>
      <c r="AN332" s="267"/>
      <c r="AO332" s="1"/>
      <c r="AP332" s="203"/>
      <c r="AQ332" s="1"/>
      <c r="AR332" s="1"/>
      <c r="AS332" s="1"/>
      <c r="AT332" s="1"/>
      <c r="AU332" s="1"/>
      <c r="AV332" s="1"/>
      <c r="AW332" s="1"/>
      <c r="AX332" s="1"/>
      <c r="AY332" s="1"/>
      <c r="AZ332" s="1"/>
      <c r="BA332" s="1"/>
      <c r="BB332" s="1"/>
      <c r="BC332" s="1"/>
      <c r="BD332" s="126"/>
      <c r="BE332" s="126"/>
      <c r="BF332" s="126"/>
      <c r="BG332" s="126"/>
      <c r="BH332" s="126"/>
      <c r="BI332" s="1"/>
      <c r="BJ332" s="1"/>
      <c r="BK332" s="1"/>
      <c r="BL332" s="1"/>
      <c r="BM332" s="1"/>
      <c r="BN332" s="1"/>
      <c r="BO332" s="1"/>
      <c r="BP332" s="1"/>
      <c r="BQ332" s="1"/>
      <c r="BR332" s="1"/>
      <c r="BS332" s="1"/>
      <c r="BT332" s="1"/>
      <c r="BU332" s="1"/>
      <c r="BV332" s="1"/>
      <c r="BW332" s="1"/>
      <c r="BX332" s="1"/>
      <c r="BY332" s="1"/>
      <c r="BZ332" s="1"/>
      <c r="CA332" s="1"/>
    </row>
    <row r="333" spans="1:79" ht="12.75" hidden="1" customHeight="1">
      <c r="A333" s="117"/>
      <c r="B333" s="76"/>
      <c r="C333" s="7"/>
      <c r="D333" s="7"/>
      <c r="E333" s="352"/>
      <c r="F333" s="1435"/>
      <c r="G333" s="961"/>
      <c r="H333" s="961"/>
      <c r="I333" s="961"/>
      <c r="J333" s="961"/>
      <c r="K333" s="961"/>
      <c r="L333" s="961"/>
      <c r="M333" s="961"/>
      <c r="N333" s="961"/>
      <c r="O333" s="961"/>
      <c r="P333" s="961"/>
      <c r="Q333" s="961"/>
      <c r="R333" s="961"/>
      <c r="S333" s="961"/>
      <c r="T333" s="961"/>
      <c r="U333" s="961"/>
      <c r="V333" s="961"/>
      <c r="W333" s="961"/>
      <c r="X333" s="961"/>
      <c r="Y333" s="961"/>
      <c r="Z333" s="961"/>
      <c r="AA333" s="961"/>
      <c r="AB333" s="961"/>
      <c r="AC333" s="961"/>
      <c r="AD333" s="1436"/>
      <c r="AE333" s="76"/>
      <c r="AF333" s="76"/>
      <c r="AG333" s="8"/>
      <c r="AH333" s="76"/>
      <c r="AI333" s="76"/>
      <c r="AJ333" s="117"/>
      <c r="AK333" s="117"/>
      <c r="AL333" s="117"/>
      <c r="AM333" s="117"/>
      <c r="AN333" s="267"/>
      <c r="AO333" s="1"/>
      <c r="AP333" s="203"/>
      <c r="AQ333" s="1"/>
      <c r="AR333" s="1"/>
      <c r="AS333" s="1"/>
      <c r="AT333" s="1"/>
      <c r="AU333" s="1"/>
      <c r="AV333" s="1"/>
      <c r="AW333" s="1"/>
      <c r="AX333" s="1"/>
      <c r="AY333" s="1"/>
      <c r="AZ333" s="1"/>
      <c r="BA333" s="1"/>
      <c r="BB333" s="1"/>
      <c r="BC333" s="1"/>
      <c r="BD333" s="126"/>
      <c r="BE333" s="126"/>
      <c r="BF333" s="126"/>
      <c r="BG333" s="126"/>
      <c r="BH333" s="126"/>
      <c r="BI333" s="1"/>
      <c r="BJ333" s="1"/>
      <c r="BK333" s="1"/>
      <c r="BL333" s="1"/>
      <c r="BM333" s="1"/>
      <c r="BN333" s="1"/>
      <c r="BO333" s="1"/>
      <c r="BP333" s="1"/>
      <c r="BQ333" s="1"/>
      <c r="BR333" s="1"/>
      <c r="BS333" s="1"/>
      <c r="BT333" s="1"/>
      <c r="BU333" s="1"/>
      <c r="BV333" s="1"/>
      <c r="BW333" s="1"/>
      <c r="BX333" s="1"/>
      <c r="BY333" s="1"/>
      <c r="BZ333" s="1"/>
      <c r="CA333" s="1"/>
    </row>
    <row r="334" spans="1:79" ht="12.75" hidden="1" customHeight="1">
      <c r="A334" s="117"/>
      <c r="B334" s="76"/>
      <c r="C334" s="7"/>
      <c r="D334" s="7"/>
      <c r="E334" s="352"/>
      <c r="F334" s="391"/>
      <c r="G334" s="4"/>
      <c r="H334" s="4"/>
      <c r="I334" s="4"/>
      <c r="J334" s="4"/>
      <c r="K334" s="4"/>
      <c r="L334" s="4"/>
      <c r="M334" s="4"/>
      <c r="N334" s="4"/>
      <c r="O334" s="4"/>
      <c r="P334" s="4"/>
      <c r="Q334" s="4"/>
      <c r="R334" s="4"/>
      <c r="S334" s="4"/>
      <c r="T334" s="4"/>
      <c r="U334" s="4"/>
      <c r="V334" s="4"/>
      <c r="W334" s="4"/>
      <c r="X334" s="4"/>
      <c r="Y334" s="4"/>
      <c r="Z334" s="4"/>
      <c r="AA334" s="4"/>
      <c r="AB334" s="4"/>
      <c r="AC334" s="4"/>
      <c r="AD334" s="393"/>
      <c r="AE334" s="76"/>
      <c r="AF334" s="76"/>
      <c r="AG334" s="8"/>
      <c r="AH334" s="76"/>
      <c r="AI334" s="76"/>
      <c r="AJ334" s="117"/>
      <c r="AK334" s="117"/>
      <c r="AL334" s="117"/>
      <c r="AM334" s="117"/>
      <c r="AN334" s="267"/>
      <c r="AO334" s="1"/>
      <c r="AP334" s="203"/>
      <c r="AQ334" s="1"/>
      <c r="AR334" s="1"/>
      <c r="AS334" s="1"/>
      <c r="AT334" s="1"/>
      <c r="AU334" s="1"/>
      <c r="AV334" s="1"/>
      <c r="AW334" s="1"/>
      <c r="AX334" s="1"/>
      <c r="AY334" s="1"/>
      <c r="AZ334" s="1"/>
      <c r="BA334" s="1"/>
      <c r="BB334" s="1"/>
      <c r="BC334" s="1"/>
      <c r="BD334" s="126"/>
      <c r="BE334" s="126"/>
      <c r="BF334" s="126"/>
      <c r="BG334" s="126"/>
      <c r="BH334" s="126"/>
      <c r="BI334" s="1"/>
      <c r="BJ334" s="1"/>
      <c r="BK334" s="1"/>
      <c r="BL334" s="1"/>
      <c r="BM334" s="1"/>
      <c r="BN334" s="1"/>
      <c r="BO334" s="1"/>
      <c r="BP334" s="1"/>
      <c r="BQ334" s="1"/>
      <c r="BR334" s="1"/>
      <c r="BS334" s="1"/>
      <c r="BT334" s="1"/>
      <c r="BU334" s="1"/>
      <c r="BV334" s="1"/>
      <c r="BW334" s="1"/>
      <c r="BX334" s="1"/>
      <c r="BY334" s="1"/>
      <c r="BZ334" s="1"/>
      <c r="CA334" s="1"/>
    </row>
    <row r="335" spans="1:79" ht="12.75" hidden="1" customHeight="1">
      <c r="A335" s="117"/>
      <c r="B335" s="76"/>
      <c r="C335" s="7"/>
      <c r="D335" s="7"/>
      <c r="E335" s="352"/>
      <c r="F335" s="549" t="s">
        <v>2130</v>
      </c>
      <c r="G335" s="76"/>
      <c r="H335" s="76"/>
      <c r="I335" s="76"/>
      <c r="J335" s="76"/>
      <c r="K335" s="76"/>
      <c r="L335" s="76"/>
      <c r="M335" s="76"/>
      <c r="N335" s="76"/>
      <c r="O335" s="76"/>
      <c r="P335" s="76"/>
      <c r="Q335" s="76"/>
      <c r="R335" s="76"/>
      <c r="S335" s="76"/>
      <c r="T335" s="76"/>
      <c r="U335" s="76"/>
      <c r="V335" s="76"/>
      <c r="W335" s="76"/>
      <c r="X335" s="76"/>
      <c r="Y335" s="76"/>
      <c r="Z335" s="76"/>
      <c r="AA335" s="76"/>
      <c r="AB335" s="76"/>
      <c r="AC335" s="76"/>
      <c r="AD335" s="550"/>
      <c r="AE335" s="76"/>
      <c r="AF335" s="76"/>
      <c r="AG335" s="8"/>
      <c r="AH335" s="76"/>
      <c r="AI335" s="76"/>
      <c r="AJ335" s="117"/>
      <c r="AK335" s="117"/>
      <c r="AL335" s="117"/>
      <c r="AM335" s="117"/>
      <c r="AN335" s="267"/>
      <c r="AO335" s="1"/>
      <c r="AP335" s="203"/>
      <c r="AQ335" s="1"/>
      <c r="AR335" s="1"/>
      <c r="AS335" s="1"/>
      <c r="AT335" s="1"/>
      <c r="AU335" s="1"/>
      <c r="AV335" s="1"/>
      <c r="AW335" s="1"/>
      <c r="AX335" s="1"/>
      <c r="AY335" s="1"/>
      <c r="AZ335" s="1"/>
      <c r="BA335" s="1"/>
      <c r="BB335" s="1"/>
      <c r="BC335" s="1"/>
      <c r="BD335" s="126"/>
      <c r="BE335" s="126"/>
      <c r="BF335" s="126"/>
      <c r="BG335" s="126"/>
      <c r="BH335" s="126"/>
      <c r="BI335" s="1"/>
      <c r="BJ335" s="1"/>
      <c r="BK335" s="1"/>
      <c r="BL335" s="1"/>
      <c r="BM335" s="1"/>
      <c r="BN335" s="1"/>
      <c r="BO335" s="1"/>
      <c r="BP335" s="1"/>
      <c r="BQ335" s="1"/>
      <c r="BR335" s="1"/>
      <c r="BS335" s="1"/>
      <c r="BT335" s="1"/>
      <c r="BU335" s="1"/>
      <c r="BV335" s="1"/>
      <c r="BW335" s="1"/>
      <c r="BX335" s="1"/>
      <c r="BY335" s="1"/>
      <c r="BZ335" s="1"/>
      <c r="CA335" s="1"/>
    </row>
    <row r="336" spans="1:79" ht="12.75" hidden="1" customHeight="1">
      <c r="A336" s="117"/>
      <c r="B336" s="76"/>
      <c r="C336" s="7"/>
      <c r="D336" s="7"/>
      <c r="E336" s="352"/>
      <c r="F336" s="549"/>
      <c r="G336" s="76"/>
      <c r="H336" s="76"/>
      <c r="I336" s="76"/>
      <c r="J336" s="76"/>
      <c r="K336" s="76"/>
      <c r="L336" s="76"/>
      <c r="M336" s="76"/>
      <c r="N336" s="76"/>
      <c r="O336" s="76"/>
      <c r="P336" s="76"/>
      <c r="Q336" s="76"/>
      <c r="R336" s="76"/>
      <c r="S336" s="76"/>
      <c r="T336" s="76"/>
      <c r="U336" s="76"/>
      <c r="V336" s="76"/>
      <c r="W336" s="76"/>
      <c r="X336" s="76"/>
      <c r="Y336" s="76"/>
      <c r="Z336" s="76"/>
      <c r="AA336" s="76"/>
      <c r="AB336" s="76"/>
      <c r="AC336" s="76"/>
      <c r="AD336" s="550"/>
      <c r="AE336" s="76"/>
      <c r="AF336" s="76"/>
      <c r="AG336" s="8"/>
      <c r="AH336" s="76"/>
      <c r="AI336" s="76"/>
      <c r="AJ336" s="117"/>
      <c r="AK336" s="117"/>
      <c r="AL336" s="117"/>
      <c r="AM336" s="117"/>
      <c r="AN336" s="267"/>
      <c r="AO336" s="1"/>
      <c r="AP336" s="1" t="s">
        <v>1137</v>
      </c>
      <c r="AQ336" s="1"/>
      <c r="AR336" s="1"/>
      <c r="AS336" s="1"/>
      <c r="AT336" s="1"/>
      <c r="AU336" s="1"/>
      <c r="AV336" s="1"/>
      <c r="AW336" s="1"/>
      <c r="AX336" s="1"/>
      <c r="AY336" s="1"/>
      <c r="AZ336" s="1"/>
      <c r="BA336" s="1"/>
      <c r="BB336" s="1"/>
      <c r="BC336" s="1"/>
      <c r="BD336" s="126"/>
      <c r="BE336" s="126"/>
      <c r="BF336" s="126"/>
      <c r="BG336" s="126"/>
      <c r="BH336" s="126"/>
      <c r="BI336" s="1"/>
      <c r="BJ336" s="1"/>
      <c r="BK336" s="1"/>
      <c r="BL336" s="1"/>
      <c r="BM336" s="1"/>
      <c r="BN336" s="1"/>
      <c r="BO336" s="1"/>
      <c r="BP336" s="1"/>
      <c r="BQ336" s="1"/>
      <c r="BR336" s="1"/>
      <c r="BS336" s="1"/>
      <c r="BT336" s="1"/>
      <c r="BU336" s="1"/>
      <c r="BV336" s="1"/>
      <c r="BW336" s="1"/>
      <c r="BX336" s="1"/>
      <c r="BY336" s="1"/>
      <c r="BZ336" s="1"/>
      <c r="CA336" s="1"/>
    </row>
    <row r="337" spans="1:79" ht="12.75" hidden="1" customHeight="1">
      <c r="A337" s="117"/>
      <c r="B337" s="76"/>
      <c r="C337" s="7"/>
      <c r="D337" s="7"/>
      <c r="E337" s="352"/>
      <c r="F337" s="551"/>
      <c r="G337" s="221" t="s">
        <v>44</v>
      </c>
      <c r="H337" s="221"/>
      <c r="I337" s="1437" t="s">
        <v>1137</v>
      </c>
      <c r="J337" s="901"/>
      <c r="K337" s="901"/>
      <c r="L337" s="901"/>
      <c r="M337" s="901"/>
      <c r="N337" s="901"/>
      <c r="O337" s="901"/>
      <c r="P337" s="901"/>
      <c r="Q337" s="901"/>
      <c r="R337" s="901"/>
      <c r="S337" s="901"/>
      <c r="T337" s="901"/>
      <c r="U337" s="901"/>
      <c r="V337" s="901"/>
      <c r="W337" s="901"/>
      <c r="X337" s="901"/>
      <c r="Y337" s="901"/>
      <c r="Z337" s="901"/>
      <c r="AA337" s="901"/>
      <c r="AB337" s="901"/>
      <c r="AC337" s="901"/>
      <c r="AD337" s="1434"/>
      <c r="AE337" s="76"/>
      <c r="AF337" s="76"/>
      <c r="AG337" s="8"/>
      <c r="AH337" s="76"/>
      <c r="AI337" s="76"/>
      <c r="AJ337" s="117"/>
      <c r="AK337" s="117"/>
      <c r="AL337" s="117"/>
      <c r="AM337" s="117"/>
      <c r="AN337" s="267"/>
      <c r="AO337" s="1"/>
      <c r="AP337" s="1" t="s">
        <v>2131</v>
      </c>
      <c r="AQ337" s="1"/>
      <c r="AR337" s="1"/>
      <c r="AS337" s="1"/>
      <c r="AT337" s="1"/>
      <c r="AU337" s="1"/>
      <c r="AV337" s="1"/>
      <c r="AW337" s="1"/>
      <c r="AX337" s="1"/>
      <c r="AY337" s="1"/>
      <c r="AZ337" s="1"/>
      <c r="BA337" s="1"/>
      <c r="BB337" s="1"/>
      <c r="BC337" s="1"/>
      <c r="BD337" s="126"/>
      <c r="BE337" s="126"/>
      <c r="BF337" s="126"/>
      <c r="BG337" s="126"/>
      <c r="BH337" s="126"/>
      <c r="BI337" s="1"/>
      <c r="BJ337" s="1"/>
      <c r="BK337" s="1"/>
      <c r="BL337" s="1"/>
      <c r="BM337" s="1"/>
      <c r="BN337" s="1"/>
      <c r="BO337" s="1"/>
      <c r="BP337" s="1"/>
      <c r="BQ337" s="1"/>
      <c r="BR337" s="1"/>
      <c r="BS337" s="1"/>
      <c r="BT337" s="1"/>
      <c r="BU337" s="1"/>
      <c r="BV337" s="1"/>
      <c r="BW337" s="1"/>
      <c r="BX337" s="1"/>
      <c r="BY337" s="1"/>
      <c r="BZ337" s="1"/>
      <c r="CA337" s="1"/>
    </row>
    <row r="338" spans="1:79" ht="12.75" hidden="1" customHeight="1">
      <c r="A338" s="117"/>
      <c r="B338" s="76"/>
      <c r="C338" s="7"/>
      <c r="D338" s="7"/>
      <c r="E338" s="352"/>
      <c r="F338" s="551"/>
      <c r="G338" s="221"/>
      <c r="H338" s="221"/>
      <c r="I338" s="1048"/>
      <c r="J338" s="893"/>
      <c r="K338" s="893"/>
      <c r="L338" s="893"/>
      <c r="M338" s="893"/>
      <c r="N338" s="893"/>
      <c r="O338" s="893"/>
      <c r="P338" s="893"/>
      <c r="Q338" s="893"/>
      <c r="R338" s="893"/>
      <c r="S338" s="893"/>
      <c r="T338" s="893"/>
      <c r="U338" s="893"/>
      <c r="V338" s="893"/>
      <c r="W338" s="893"/>
      <c r="X338" s="893"/>
      <c r="Y338" s="893"/>
      <c r="Z338" s="893"/>
      <c r="AA338" s="893"/>
      <c r="AB338" s="893"/>
      <c r="AC338" s="893"/>
      <c r="AD338" s="1387"/>
      <c r="AE338" s="76"/>
      <c r="AF338" s="76"/>
      <c r="AG338" s="8"/>
      <c r="AH338" s="76"/>
      <c r="AI338" s="76"/>
      <c r="AJ338" s="117"/>
      <c r="AK338" s="117"/>
      <c r="AL338" s="117"/>
      <c r="AM338" s="117"/>
      <c r="AN338" s="267"/>
      <c r="AO338" s="1"/>
      <c r="AP338" s="1" t="s">
        <v>2132</v>
      </c>
      <c r="AQ338" s="1"/>
      <c r="AR338" s="1"/>
      <c r="AS338" s="1"/>
      <c r="AT338" s="1"/>
      <c r="AU338" s="1"/>
      <c r="AV338" s="1"/>
      <c r="AW338" s="1"/>
      <c r="AX338" s="1"/>
      <c r="AY338" s="1"/>
      <c r="AZ338" s="1"/>
      <c r="BA338" s="1"/>
      <c r="BB338" s="1"/>
      <c r="BC338" s="1"/>
      <c r="BD338" s="126"/>
      <c r="BE338" s="126"/>
      <c r="BF338" s="126"/>
      <c r="BG338" s="126"/>
      <c r="BH338" s="126"/>
      <c r="BI338" s="1"/>
      <c r="BJ338" s="1"/>
      <c r="BK338" s="1"/>
      <c r="BL338" s="1"/>
      <c r="BM338" s="1"/>
      <c r="BN338" s="1"/>
      <c r="BO338" s="1"/>
      <c r="BP338" s="1"/>
      <c r="BQ338" s="1"/>
      <c r="BR338" s="1"/>
      <c r="BS338" s="1"/>
      <c r="BT338" s="1"/>
      <c r="BU338" s="1"/>
      <c r="BV338" s="1"/>
      <c r="BW338" s="1"/>
      <c r="BX338" s="1"/>
      <c r="BY338" s="1"/>
      <c r="BZ338" s="1"/>
      <c r="CA338" s="1"/>
    </row>
    <row r="339" spans="1:79" ht="12.75" hidden="1" customHeight="1">
      <c r="A339" s="117"/>
      <c r="B339" s="76"/>
      <c r="C339" s="7"/>
      <c r="D339" s="7"/>
      <c r="E339" s="352"/>
      <c r="F339" s="551"/>
      <c r="G339" s="221"/>
      <c r="H339" s="221"/>
      <c r="I339" s="1048"/>
      <c r="J339" s="893"/>
      <c r="K339" s="893"/>
      <c r="L339" s="893"/>
      <c r="M339" s="893"/>
      <c r="N339" s="893"/>
      <c r="O339" s="893"/>
      <c r="P339" s="893"/>
      <c r="Q339" s="893"/>
      <c r="R339" s="893"/>
      <c r="S339" s="893"/>
      <c r="T339" s="893"/>
      <c r="U339" s="893"/>
      <c r="V339" s="893"/>
      <c r="W339" s="893"/>
      <c r="X339" s="893"/>
      <c r="Y339" s="893"/>
      <c r="Z339" s="893"/>
      <c r="AA339" s="893"/>
      <c r="AB339" s="893"/>
      <c r="AC339" s="893"/>
      <c r="AD339" s="1387"/>
      <c r="AE339" s="76"/>
      <c r="AF339" s="76"/>
      <c r="AG339" s="8"/>
      <c r="AH339" s="76"/>
      <c r="AI339" s="76"/>
      <c r="AJ339" s="117"/>
      <c r="AK339" s="117"/>
      <c r="AL339" s="117"/>
      <c r="AM339" s="117"/>
      <c r="AN339" s="267"/>
      <c r="AO339" s="1"/>
      <c r="AP339" s="1" t="s">
        <v>2133</v>
      </c>
      <c r="AQ339" s="1"/>
      <c r="AR339" s="1"/>
      <c r="AS339" s="1"/>
      <c r="AT339" s="1"/>
      <c r="AU339" s="1"/>
      <c r="AV339" s="1"/>
      <c r="AW339" s="1"/>
      <c r="AX339" s="1"/>
      <c r="AY339" s="1"/>
      <c r="AZ339" s="1"/>
      <c r="BA339" s="1"/>
      <c r="BB339" s="1"/>
      <c r="BC339" s="1"/>
      <c r="BD339" s="126"/>
      <c r="BE339" s="126"/>
      <c r="BF339" s="126"/>
      <c r="BG339" s="126"/>
      <c r="BH339" s="126"/>
      <c r="BI339" s="1"/>
      <c r="BJ339" s="1"/>
      <c r="BK339" s="1"/>
      <c r="BL339" s="1"/>
      <c r="BM339" s="1"/>
      <c r="BN339" s="1"/>
      <c r="BO339" s="1"/>
      <c r="BP339" s="1"/>
      <c r="BQ339" s="1"/>
      <c r="BR339" s="1"/>
      <c r="BS339" s="1"/>
      <c r="BT339" s="1"/>
      <c r="BU339" s="1"/>
      <c r="BV339" s="1"/>
      <c r="BW339" s="1"/>
      <c r="BX339" s="1"/>
      <c r="BY339" s="1"/>
      <c r="BZ339" s="1"/>
      <c r="CA339" s="1"/>
    </row>
    <row r="340" spans="1:79" ht="12.75" hidden="1" customHeight="1">
      <c r="A340" s="117"/>
      <c r="B340" s="76"/>
      <c r="C340" s="7"/>
      <c r="D340" s="7"/>
      <c r="E340" s="352"/>
      <c r="F340" s="549"/>
      <c r="G340" s="76"/>
      <c r="H340" s="76"/>
      <c r="I340" s="1098"/>
      <c r="J340" s="961"/>
      <c r="K340" s="961"/>
      <c r="L340" s="961"/>
      <c r="M340" s="961"/>
      <c r="N340" s="961"/>
      <c r="O340" s="961"/>
      <c r="P340" s="961"/>
      <c r="Q340" s="961"/>
      <c r="R340" s="961"/>
      <c r="S340" s="961"/>
      <c r="T340" s="961"/>
      <c r="U340" s="961"/>
      <c r="V340" s="961"/>
      <c r="W340" s="961"/>
      <c r="X340" s="961"/>
      <c r="Y340" s="961"/>
      <c r="Z340" s="961"/>
      <c r="AA340" s="961"/>
      <c r="AB340" s="961"/>
      <c r="AC340" s="961"/>
      <c r="AD340" s="1436"/>
      <c r="AE340" s="76"/>
      <c r="AF340" s="76"/>
      <c r="AG340" s="8"/>
      <c r="AH340" s="76"/>
      <c r="AI340" s="76"/>
      <c r="AJ340" s="117"/>
      <c r="AK340" s="117"/>
      <c r="AL340" s="117"/>
      <c r="AM340" s="117"/>
      <c r="AN340" s="267"/>
      <c r="AO340" s="1"/>
      <c r="AP340" s="1" t="s">
        <v>2134</v>
      </c>
      <c r="AQ340" s="1"/>
      <c r="AR340" s="1"/>
      <c r="AS340" s="1"/>
      <c r="AT340" s="1"/>
      <c r="AU340" s="1"/>
      <c r="AV340" s="1"/>
      <c r="AW340" s="1"/>
      <c r="AX340" s="1"/>
      <c r="AY340" s="1"/>
      <c r="AZ340" s="1"/>
      <c r="BA340" s="1"/>
      <c r="BB340" s="1"/>
      <c r="BC340" s="1"/>
      <c r="BD340" s="126"/>
      <c r="BE340" s="126"/>
      <c r="BF340" s="126"/>
      <c r="BG340" s="126"/>
      <c r="BH340" s="126"/>
      <c r="BI340" s="1"/>
      <c r="BJ340" s="1"/>
      <c r="BK340" s="1"/>
      <c r="BL340" s="1"/>
      <c r="BM340" s="1"/>
      <c r="BN340" s="1"/>
      <c r="BO340" s="1"/>
      <c r="BP340" s="1"/>
      <c r="BQ340" s="1"/>
      <c r="BR340" s="1"/>
      <c r="BS340" s="1"/>
      <c r="BT340" s="1"/>
      <c r="BU340" s="1"/>
      <c r="BV340" s="1"/>
      <c r="BW340" s="1"/>
      <c r="BX340" s="1"/>
      <c r="BY340" s="1"/>
      <c r="BZ340" s="1"/>
      <c r="CA340" s="1"/>
    </row>
    <row r="341" spans="1:79" ht="12.75" hidden="1" customHeight="1">
      <c r="A341" s="117"/>
      <c r="B341" s="76"/>
      <c r="C341" s="7"/>
      <c r="D341" s="7"/>
      <c r="E341" s="352"/>
      <c r="F341" s="549"/>
      <c r="G341" s="76"/>
      <c r="H341" s="76"/>
      <c r="I341" s="76"/>
      <c r="J341" s="76"/>
      <c r="K341" s="76"/>
      <c r="L341" s="76"/>
      <c r="M341" s="76"/>
      <c r="N341" s="76"/>
      <c r="O341" s="76"/>
      <c r="P341" s="76"/>
      <c r="Q341" s="76"/>
      <c r="R341" s="76"/>
      <c r="S341" s="76"/>
      <c r="T341" s="76"/>
      <c r="U341" s="76"/>
      <c r="V341" s="76"/>
      <c r="W341" s="76"/>
      <c r="X341" s="76"/>
      <c r="Y341" s="76"/>
      <c r="Z341" s="76"/>
      <c r="AA341" s="76"/>
      <c r="AB341" s="76"/>
      <c r="AC341" s="76"/>
      <c r="AD341" s="550"/>
      <c r="AE341" s="76"/>
      <c r="AF341" s="76"/>
      <c r="AG341" s="8"/>
      <c r="AH341" s="76"/>
      <c r="AI341" s="76"/>
      <c r="AJ341" s="117"/>
      <c r="AK341" s="117"/>
      <c r="AL341" s="117"/>
      <c r="AM341" s="117"/>
      <c r="AN341" s="267"/>
      <c r="AO341" s="1"/>
      <c r="AP341" s="203"/>
      <c r="AQ341" s="1"/>
      <c r="AR341" s="1"/>
      <c r="AS341" s="1"/>
      <c r="AT341" s="1"/>
      <c r="AU341" s="1"/>
      <c r="AV341" s="1"/>
      <c r="AW341" s="1"/>
      <c r="AX341" s="1"/>
      <c r="AY341" s="1"/>
      <c r="AZ341" s="1"/>
      <c r="BA341" s="1"/>
      <c r="BB341" s="1"/>
      <c r="BC341" s="1"/>
      <c r="BD341" s="126"/>
      <c r="BE341" s="126"/>
      <c r="BF341" s="126"/>
      <c r="BG341" s="126"/>
      <c r="BH341" s="126"/>
      <c r="BI341" s="1"/>
      <c r="BJ341" s="1"/>
      <c r="BK341" s="1"/>
      <c r="BL341" s="1"/>
      <c r="BM341" s="1"/>
      <c r="BN341" s="1"/>
      <c r="BO341" s="1"/>
      <c r="BP341" s="1"/>
      <c r="BQ341" s="1"/>
      <c r="BR341" s="1"/>
      <c r="BS341" s="1"/>
      <c r="BT341" s="1"/>
      <c r="BU341" s="1"/>
      <c r="BV341" s="1"/>
      <c r="BW341" s="1"/>
      <c r="BX341" s="1"/>
      <c r="BY341" s="1"/>
      <c r="BZ341" s="1"/>
      <c r="CA341" s="1"/>
    </row>
    <row r="342" spans="1:79" ht="12.75" hidden="1" customHeight="1">
      <c r="A342" s="117"/>
      <c r="B342" s="76"/>
      <c r="C342" s="7"/>
      <c r="D342" s="7"/>
      <c r="E342" s="352"/>
      <c r="F342" s="549"/>
      <c r="G342" s="76" t="s">
        <v>51</v>
      </c>
      <c r="H342" s="76"/>
      <c r="I342" s="1437" t="s">
        <v>1137</v>
      </c>
      <c r="J342" s="901"/>
      <c r="K342" s="901"/>
      <c r="L342" s="901"/>
      <c r="M342" s="901"/>
      <c r="N342" s="901"/>
      <c r="O342" s="901"/>
      <c r="P342" s="901"/>
      <c r="Q342" s="901"/>
      <c r="R342" s="901"/>
      <c r="S342" s="901"/>
      <c r="T342" s="901"/>
      <c r="U342" s="901"/>
      <c r="V342" s="901"/>
      <c r="W342" s="901"/>
      <c r="X342" s="901"/>
      <c r="Y342" s="901"/>
      <c r="Z342" s="901"/>
      <c r="AA342" s="901"/>
      <c r="AB342" s="901"/>
      <c r="AC342" s="901"/>
      <c r="AD342" s="1434"/>
      <c r="AE342" s="76"/>
      <c r="AF342" s="76"/>
      <c r="AG342" s="8"/>
      <c r="AH342" s="76"/>
      <c r="AI342" s="76"/>
      <c r="AJ342" s="117"/>
      <c r="AK342" s="117"/>
      <c r="AL342" s="117"/>
      <c r="AM342" s="117"/>
      <c r="AN342" s="267"/>
      <c r="AO342" s="1"/>
      <c r="AP342" s="1"/>
      <c r="AQ342" s="1"/>
      <c r="AR342" s="1"/>
      <c r="AS342" s="1"/>
      <c r="AT342" s="1"/>
      <c r="AU342" s="1"/>
      <c r="AV342" s="1"/>
      <c r="AW342" s="1"/>
      <c r="AX342" s="1"/>
      <c r="AY342" s="1"/>
      <c r="AZ342" s="1"/>
      <c r="BA342" s="1"/>
      <c r="BB342" s="1"/>
      <c r="BC342" s="1"/>
      <c r="BD342" s="126"/>
      <c r="BE342" s="126"/>
      <c r="BF342" s="126"/>
      <c r="BG342" s="126"/>
      <c r="BH342" s="126"/>
      <c r="BI342" s="1"/>
      <c r="BJ342" s="1"/>
      <c r="BK342" s="1"/>
      <c r="BL342" s="1"/>
      <c r="BM342" s="1"/>
      <c r="BN342" s="1"/>
      <c r="BO342" s="1"/>
      <c r="BP342" s="1"/>
      <c r="BQ342" s="1"/>
      <c r="BR342" s="1"/>
      <c r="BS342" s="1"/>
      <c r="BT342" s="1"/>
      <c r="BU342" s="1"/>
      <c r="BV342" s="1"/>
      <c r="BW342" s="1"/>
      <c r="BX342" s="1"/>
      <c r="BY342" s="1"/>
      <c r="BZ342" s="1"/>
      <c r="CA342" s="1"/>
    </row>
    <row r="343" spans="1:79" ht="12.75" hidden="1" customHeight="1">
      <c r="A343" s="117"/>
      <c r="B343" s="76"/>
      <c r="C343" s="7"/>
      <c r="D343" s="7"/>
      <c r="E343" s="352"/>
      <c r="F343" s="549"/>
      <c r="G343" s="76"/>
      <c r="H343" s="76"/>
      <c r="I343" s="1048"/>
      <c r="J343" s="893"/>
      <c r="K343" s="893"/>
      <c r="L343" s="893"/>
      <c r="M343" s="893"/>
      <c r="N343" s="893"/>
      <c r="O343" s="893"/>
      <c r="P343" s="893"/>
      <c r="Q343" s="893"/>
      <c r="R343" s="893"/>
      <c r="S343" s="893"/>
      <c r="T343" s="893"/>
      <c r="U343" s="893"/>
      <c r="V343" s="893"/>
      <c r="W343" s="893"/>
      <c r="X343" s="893"/>
      <c r="Y343" s="893"/>
      <c r="Z343" s="893"/>
      <c r="AA343" s="893"/>
      <c r="AB343" s="893"/>
      <c r="AC343" s="893"/>
      <c r="AD343" s="1387"/>
      <c r="AE343" s="76"/>
      <c r="AF343" s="76"/>
      <c r="AG343" s="8"/>
      <c r="AH343" s="76"/>
      <c r="AI343" s="76"/>
      <c r="AJ343" s="117"/>
      <c r="AK343" s="117"/>
      <c r="AL343" s="117"/>
      <c r="AM343" s="117"/>
      <c r="AN343" s="267"/>
      <c r="AO343" s="1"/>
      <c r="AP343" s="1" t="s">
        <v>1137</v>
      </c>
      <c r="AQ343" s="1"/>
      <c r="AR343" s="1"/>
      <c r="AS343" s="1"/>
      <c r="AT343" s="1"/>
      <c r="AU343" s="1"/>
      <c r="AV343" s="1"/>
      <c r="AW343" s="1"/>
      <c r="AX343" s="1"/>
      <c r="AY343" s="1"/>
      <c r="AZ343" s="1"/>
      <c r="BA343" s="1"/>
      <c r="BB343" s="1"/>
      <c r="BC343" s="1"/>
      <c r="BD343" s="126"/>
      <c r="BE343" s="126"/>
      <c r="BF343" s="126"/>
      <c r="BG343" s="126"/>
      <c r="BH343" s="126"/>
      <c r="BI343" s="1"/>
      <c r="BJ343" s="1"/>
      <c r="BK343" s="1"/>
      <c r="BL343" s="1"/>
      <c r="BM343" s="1"/>
      <c r="BN343" s="1"/>
      <c r="BO343" s="1"/>
      <c r="BP343" s="1"/>
      <c r="BQ343" s="1"/>
      <c r="BR343" s="1"/>
      <c r="BS343" s="1"/>
      <c r="BT343" s="1"/>
      <c r="BU343" s="1"/>
      <c r="BV343" s="1"/>
      <c r="BW343" s="1"/>
      <c r="BX343" s="1"/>
      <c r="BY343" s="1"/>
      <c r="BZ343" s="1"/>
      <c r="CA343" s="1"/>
    </row>
    <row r="344" spans="1:79" ht="12.75" hidden="1" customHeight="1">
      <c r="A344" s="117"/>
      <c r="B344" s="76"/>
      <c r="C344" s="7"/>
      <c r="D344" s="7"/>
      <c r="E344" s="352"/>
      <c r="F344" s="552"/>
      <c r="G344" s="553"/>
      <c r="H344" s="553"/>
      <c r="I344" s="1098"/>
      <c r="J344" s="961"/>
      <c r="K344" s="961"/>
      <c r="L344" s="961"/>
      <c r="M344" s="961"/>
      <c r="N344" s="961"/>
      <c r="O344" s="961"/>
      <c r="P344" s="961"/>
      <c r="Q344" s="961"/>
      <c r="R344" s="961"/>
      <c r="S344" s="961"/>
      <c r="T344" s="961"/>
      <c r="U344" s="961"/>
      <c r="V344" s="961"/>
      <c r="W344" s="961"/>
      <c r="X344" s="961"/>
      <c r="Y344" s="961"/>
      <c r="Z344" s="961"/>
      <c r="AA344" s="961"/>
      <c r="AB344" s="961"/>
      <c r="AC344" s="961"/>
      <c r="AD344" s="1436"/>
      <c r="AE344" s="76"/>
      <c r="AF344" s="76"/>
      <c r="AG344" s="8"/>
      <c r="AH344" s="76"/>
      <c r="AI344" s="76"/>
      <c r="AJ344" s="117"/>
      <c r="AK344" s="117"/>
      <c r="AL344" s="117"/>
      <c r="AM344" s="117"/>
      <c r="AN344" s="267"/>
      <c r="AO344" s="1"/>
      <c r="AP344" s="1" t="s">
        <v>2135</v>
      </c>
      <c r="AQ344" s="1"/>
      <c r="AR344" s="1"/>
      <c r="AS344" s="1"/>
      <c r="AT344" s="1"/>
      <c r="AU344" s="1"/>
      <c r="AV344" s="1"/>
      <c r="AW344" s="1"/>
      <c r="AX344" s="1"/>
      <c r="AY344" s="1"/>
      <c r="AZ344" s="1"/>
      <c r="BA344" s="1"/>
      <c r="BB344" s="1"/>
      <c r="BC344" s="1"/>
      <c r="BD344" s="126"/>
      <c r="BE344" s="126"/>
      <c r="BF344" s="126"/>
      <c r="BG344" s="126"/>
      <c r="BH344" s="126"/>
      <c r="BI344" s="1"/>
      <c r="BJ344" s="1"/>
      <c r="BK344" s="1"/>
      <c r="BL344" s="1"/>
      <c r="BM344" s="1"/>
      <c r="BN344" s="1"/>
      <c r="BO344" s="1"/>
      <c r="BP344" s="1"/>
      <c r="BQ344" s="1"/>
      <c r="BR344" s="1"/>
      <c r="BS344" s="1"/>
      <c r="BT344" s="1"/>
      <c r="BU344" s="1"/>
      <c r="BV344" s="1"/>
      <c r="BW344" s="1"/>
      <c r="BX344" s="1"/>
      <c r="BY344" s="1"/>
      <c r="BZ344" s="1"/>
      <c r="CA344" s="1"/>
    </row>
    <row r="345" spans="1:79" ht="12.75" hidden="1" customHeight="1">
      <c r="A345" s="117"/>
      <c r="B345" s="76"/>
      <c r="C345" s="117"/>
      <c r="D345" s="76"/>
      <c r="E345" s="117"/>
      <c r="F345" s="14"/>
      <c r="G345" s="76"/>
      <c r="H345" s="76"/>
      <c r="I345" s="76"/>
      <c r="J345" s="76"/>
      <c r="K345" s="76"/>
      <c r="L345" s="76"/>
      <c r="M345" s="76"/>
      <c r="N345" s="76"/>
      <c r="O345" s="76"/>
      <c r="P345" s="76"/>
      <c r="Q345" s="76"/>
      <c r="R345" s="76"/>
      <c r="S345" s="76"/>
      <c r="T345" s="76"/>
      <c r="U345" s="76"/>
      <c r="V345" s="76"/>
      <c r="W345" s="76"/>
      <c r="X345" s="76"/>
      <c r="Y345" s="76"/>
      <c r="Z345" s="76"/>
      <c r="AA345" s="76"/>
      <c r="AB345" s="76"/>
      <c r="AC345" s="76"/>
      <c r="AD345" s="76"/>
      <c r="AE345" s="76"/>
      <c r="AF345" s="76"/>
      <c r="AG345" s="76"/>
      <c r="AH345" s="76"/>
      <c r="AI345" s="76"/>
      <c r="AJ345" s="117"/>
      <c r="AK345" s="117"/>
      <c r="AL345" s="117"/>
      <c r="AM345" s="117"/>
      <c r="AN345" s="267"/>
      <c r="AO345" s="1"/>
      <c r="AP345" s="1" t="s">
        <v>2136</v>
      </c>
      <c r="AQ345" s="1"/>
      <c r="AR345" s="1"/>
      <c r="AS345" s="1"/>
      <c r="AT345" s="1"/>
      <c r="AU345" s="1"/>
      <c r="AV345" s="1"/>
      <c r="AW345" s="1"/>
      <c r="AX345" s="1"/>
      <c r="AY345" s="1"/>
      <c r="AZ345" s="1"/>
      <c r="BA345" s="1"/>
      <c r="BB345" s="1"/>
      <c r="BC345" s="1"/>
      <c r="BD345" s="126"/>
      <c r="BE345" s="126"/>
      <c r="BF345" s="126"/>
      <c r="BG345" s="126"/>
      <c r="BH345" s="126"/>
      <c r="BI345" s="1"/>
      <c r="BJ345" s="1"/>
      <c r="BK345" s="1"/>
      <c r="BL345" s="1"/>
      <c r="BM345" s="1"/>
      <c r="BN345" s="1"/>
      <c r="BO345" s="1"/>
      <c r="BP345" s="1"/>
      <c r="BQ345" s="1"/>
      <c r="BR345" s="1"/>
      <c r="BS345" s="1"/>
      <c r="BT345" s="1"/>
      <c r="BU345" s="1"/>
      <c r="BV345" s="1"/>
      <c r="BW345" s="1"/>
      <c r="BX345" s="1"/>
      <c r="BY345" s="1"/>
      <c r="BZ345" s="1"/>
      <c r="CA345" s="1"/>
    </row>
    <row r="346" spans="1:79" ht="12.75" hidden="1" customHeight="1">
      <c r="A346" s="981" t="s">
        <v>2137</v>
      </c>
      <c r="B346" s="893"/>
      <c r="C346" s="973" t="s">
        <v>855</v>
      </c>
      <c r="D346" s="969"/>
      <c r="E346" s="352"/>
      <c r="F346" s="1427" t="s">
        <v>2138</v>
      </c>
      <c r="G346" s="1384"/>
      <c r="H346" s="1384"/>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5"/>
      <c r="AE346" s="76"/>
      <c r="AF346" s="76"/>
      <c r="AG346" s="8" t="s">
        <v>2116</v>
      </c>
      <c r="AH346" s="76"/>
      <c r="AI346" s="76"/>
      <c r="AJ346" s="117"/>
      <c r="AK346" s="117"/>
      <c r="AL346" s="117"/>
      <c r="AM346" s="117"/>
      <c r="AN346" s="267"/>
      <c r="AO346" s="1"/>
      <c r="AP346" s="1"/>
      <c r="AQ346" s="1"/>
      <c r="AR346" s="1"/>
      <c r="AS346" s="1"/>
      <c r="AT346" s="1"/>
      <c r="AU346" s="1"/>
      <c r="AV346" s="1"/>
      <c r="AW346" s="1"/>
      <c r="AX346" s="1"/>
      <c r="AY346" s="1"/>
      <c r="AZ346" s="1"/>
      <c r="BA346" s="1"/>
      <c r="BB346" s="1"/>
      <c r="BC346" s="1"/>
      <c r="BD346" s="126"/>
      <c r="BE346" s="126"/>
      <c r="BF346" s="126"/>
      <c r="BG346" s="126"/>
      <c r="BH346" s="126"/>
      <c r="BI346" s="1"/>
      <c r="BJ346" s="1"/>
      <c r="BK346" s="1"/>
      <c r="BL346" s="1"/>
      <c r="BM346" s="1"/>
      <c r="BN346" s="1"/>
      <c r="BO346" s="1"/>
      <c r="BP346" s="1"/>
      <c r="BQ346" s="1"/>
      <c r="BR346" s="1"/>
      <c r="BS346" s="1"/>
      <c r="BT346" s="1"/>
      <c r="BU346" s="1"/>
      <c r="BV346" s="1"/>
      <c r="BW346" s="1"/>
      <c r="BX346" s="1"/>
      <c r="BY346" s="1"/>
      <c r="BZ346" s="1"/>
      <c r="CA346" s="1"/>
    </row>
    <row r="347" spans="1:79" ht="15" hidden="1" customHeight="1">
      <c r="A347" s="117"/>
      <c r="B347" s="76"/>
      <c r="C347" s="76"/>
      <c r="D347" s="76"/>
      <c r="E347" s="76"/>
      <c r="F347" s="1386"/>
      <c r="G347" s="893"/>
      <c r="H347" s="893"/>
      <c r="I347" s="893"/>
      <c r="J347" s="893"/>
      <c r="K347" s="893"/>
      <c r="L347" s="893"/>
      <c r="M347" s="893"/>
      <c r="N347" s="893"/>
      <c r="O347" s="893"/>
      <c r="P347" s="893"/>
      <c r="Q347" s="893"/>
      <c r="R347" s="893"/>
      <c r="S347" s="893"/>
      <c r="T347" s="893"/>
      <c r="U347" s="893"/>
      <c r="V347" s="893"/>
      <c r="W347" s="893"/>
      <c r="X347" s="893"/>
      <c r="Y347" s="893"/>
      <c r="Z347" s="893"/>
      <c r="AA347" s="893"/>
      <c r="AB347" s="893"/>
      <c r="AC347" s="893"/>
      <c r="AD347" s="1387"/>
      <c r="AE347" s="76"/>
      <c r="AF347" s="76"/>
      <c r="AG347" s="76"/>
      <c r="AH347" s="76"/>
      <c r="AI347" s="76"/>
      <c r="AJ347" s="117"/>
      <c r="AK347" s="117"/>
      <c r="AL347" s="117"/>
      <c r="AM347" s="117"/>
      <c r="AN347" s="267"/>
      <c r="AO347" s="1"/>
      <c r="AP347" s="1"/>
      <c r="AQ347" s="1"/>
      <c r="AR347" s="1"/>
      <c r="AS347" s="1"/>
      <c r="AT347" s="1"/>
      <c r="AU347" s="1"/>
      <c r="AV347" s="1"/>
      <c r="AW347" s="1"/>
      <c r="AX347" s="1"/>
      <c r="AY347" s="1"/>
      <c r="AZ347" s="1"/>
      <c r="BA347" s="1"/>
      <c r="BB347" s="1"/>
      <c r="BC347" s="1"/>
      <c r="BD347" s="126"/>
      <c r="BE347" s="126"/>
      <c r="BF347" s="126"/>
      <c r="BG347" s="126"/>
      <c r="BH347" s="126"/>
      <c r="BI347" s="1"/>
      <c r="BJ347" s="1"/>
      <c r="BK347" s="1"/>
      <c r="BL347" s="1"/>
      <c r="BM347" s="1"/>
      <c r="BN347" s="1"/>
      <c r="BO347" s="1"/>
      <c r="BP347" s="1"/>
      <c r="BQ347" s="1"/>
      <c r="BR347" s="1"/>
      <c r="BS347" s="1"/>
      <c r="BT347" s="1"/>
      <c r="BU347" s="1"/>
      <c r="BV347" s="1"/>
      <c r="BW347" s="1"/>
      <c r="BX347" s="1"/>
      <c r="BY347" s="1"/>
      <c r="BZ347" s="1"/>
      <c r="CA347" s="1"/>
    </row>
    <row r="348" spans="1:79" ht="15" hidden="1" customHeight="1">
      <c r="A348" s="117"/>
      <c r="B348" s="76"/>
      <c r="C348" s="76"/>
      <c r="D348" s="76"/>
      <c r="E348" s="76"/>
      <c r="F348" s="1386"/>
      <c r="G348" s="893"/>
      <c r="H348" s="893"/>
      <c r="I348" s="893"/>
      <c r="J348" s="893"/>
      <c r="K348" s="893"/>
      <c r="L348" s="893"/>
      <c r="M348" s="893"/>
      <c r="N348" s="893"/>
      <c r="O348" s="893"/>
      <c r="P348" s="893"/>
      <c r="Q348" s="893"/>
      <c r="R348" s="893"/>
      <c r="S348" s="893"/>
      <c r="T348" s="893"/>
      <c r="U348" s="893"/>
      <c r="V348" s="893"/>
      <c r="W348" s="893"/>
      <c r="X348" s="893"/>
      <c r="Y348" s="893"/>
      <c r="Z348" s="893"/>
      <c r="AA348" s="893"/>
      <c r="AB348" s="893"/>
      <c r="AC348" s="893"/>
      <c r="AD348" s="1387"/>
      <c r="AE348" s="76"/>
      <c r="AF348" s="76"/>
      <c r="AG348" s="76"/>
      <c r="AH348" s="76"/>
      <c r="AI348" s="76"/>
      <c r="AJ348" s="117"/>
      <c r="AK348" s="117"/>
      <c r="AL348" s="117"/>
      <c r="AM348" s="556"/>
      <c r="AN348" s="1"/>
      <c r="AO348" s="1"/>
      <c r="AP348" s="1"/>
      <c r="AQ348" s="1"/>
      <c r="AR348" s="1"/>
      <c r="AS348" s="1"/>
      <c r="AT348" s="1"/>
      <c r="AU348" s="1"/>
      <c r="AV348" s="1"/>
      <c r="AW348" s="1"/>
      <c r="AX348" s="1"/>
      <c r="AY348" s="1"/>
      <c r="AZ348" s="1"/>
      <c r="BA348" s="1"/>
      <c r="BB348" s="1"/>
      <c r="BC348" s="1"/>
      <c r="BD348" s="126"/>
      <c r="BE348" s="126"/>
      <c r="BF348" s="126"/>
      <c r="BG348" s="126"/>
      <c r="BH348" s="126"/>
      <c r="BI348" s="1"/>
      <c r="BJ348" s="1"/>
      <c r="BK348" s="1"/>
      <c r="BL348" s="1"/>
      <c r="BM348" s="1"/>
      <c r="BN348" s="1"/>
      <c r="BO348" s="1"/>
      <c r="BP348" s="1"/>
      <c r="BQ348" s="1"/>
      <c r="BR348" s="1"/>
      <c r="BS348" s="1"/>
      <c r="BT348" s="1"/>
      <c r="BU348" s="1"/>
      <c r="BV348" s="1"/>
      <c r="BW348" s="1"/>
      <c r="BX348" s="1"/>
      <c r="BY348" s="1"/>
      <c r="BZ348" s="1"/>
      <c r="CA348" s="1"/>
    </row>
    <row r="349" spans="1:79" ht="12.75" hidden="1" customHeight="1">
      <c r="A349" s="117"/>
      <c r="B349" s="76"/>
      <c r="C349" s="117"/>
      <c r="D349" s="76"/>
      <c r="E349" s="117"/>
      <c r="F349" s="557" t="s">
        <v>2139</v>
      </c>
      <c r="G349" s="558"/>
      <c r="H349" s="558"/>
      <c r="I349" s="558"/>
      <c r="J349" s="558"/>
      <c r="K349" s="558"/>
      <c r="L349" s="558"/>
      <c r="M349" s="558"/>
      <c r="N349" s="558"/>
      <c r="O349" s="558"/>
      <c r="P349" s="558"/>
      <c r="Q349" s="558"/>
      <c r="R349" s="558"/>
      <c r="S349" s="558"/>
      <c r="T349" s="558"/>
      <c r="U349" s="558"/>
      <c r="V349" s="558"/>
      <c r="W349" s="558"/>
      <c r="X349" s="558"/>
      <c r="Y349" s="558"/>
      <c r="Z349" s="558"/>
      <c r="AA349" s="558"/>
      <c r="AB349" s="558"/>
      <c r="AC349" s="558"/>
      <c r="AD349" s="559"/>
      <c r="AE349" s="76"/>
      <c r="AF349" s="76"/>
      <c r="AG349" s="76"/>
      <c r="AH349" s="76"/>
      <c r="AI349" s="76"/>
      <c r="AJ349" s="117"/>
      <c r="AK349" s="117"/>
      <c r="AL349" s="117"/>
      <c r="AM349" s="556"/>
      <c r="AN349" s="203"/>
      <c r="AO349" s="203"/>
      <c r="AP349" s="1"/>
      <c r="AQ349" s="1"/>
      <c r="AR349" s="1"/>
      <c r="AS349" s="1"/>
      <c r="AT349" s="1"/>
      <c r="AU349" s="1"/>
      <c r="AV349" s="1"/>
      <c r="AW349" s="1"/>
      <c r="AX349" s="1"/>
      <c r="AY349" s="1"/>
      <c r="AZ349" s="1"/>
      <c r="BA349" s="1"/>
      <c r="BB349" s="1"/>
      <c r="BC349" s="1"/>
      <c r="BD349" s="126"/>
      <c r="BE349" s="126"/>
      <c r="BF349" s="126"/>
      <c r="BG349" s="126"/>
      <c r="BH349" s="126"/>
      <c r="BI349" s="1"/>
      <c r="BJ349" s="1"/>
      <c r="BK349" s="1"/>
      <c r="BL349" s="1"/>
      <c r="BM349" s="1"/>
      <c r="BN349" s="1"/>
      <c r="BO349" s="1"/>
      <c r="BP349" s="1"/>
      <c r="BQ349" s="1"/>
      <c r="BR349" s="1"/>
      <c r="BS349" s="1"/>
      <c r="BT349" s="1"/>
      <c r="BU349" s="1"/>
      <c r="BV349" s="1"/>
      <c r="BW349" s="1"/>
      <c r="BX349" s="1"/>
      <c r="BY349" s="1"/>
      <c r="BZ349" s="1"/>
      <c r="CA349" s="1"/>
    </row>
    <row r="350" spans="1:79" ht="12.75" hidden="1" customHeight="1">
      <c r="A350" s="117"/>
      <c r="B350" s="76"/>
      <c r="C350" s="117"/>
      <c r="D350" s="76"/>
      <c r="E350" s="117"/>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c r="AD350" s="41"/>
      <c r="AE350" s="76"/>
      <c r="AF350" s="76"/>
      <c r="AG350" s="76"/>
      <c r="AH350" s="76"/>
      <c r="AI350" s="76"/>
      <c r="AJ350" s="117"/>
      <c r="AK350" s="117"/>
      <c r="AL350" s="117"/>
      <c r="AM350" s="556"/>
      <c r="AN350" s="203"/>
      <c r="AO350" s="203"/>
      <c r="AP350" s="1"/>
      <c r="AQ350" s="1"/>
      <c r="AR350" s="1"/>
      <c r="AS350" s="1"/>
      <c r="AT350" s="1"/>
      <c r="AU350" s="1"/>
      <c r="AV350" s="1"/>
      <c r="AW350" s="1"/>
      <c r="AX350" s="1"/>
      <c r="AY350" s="1"/>
      <c r="AZ350" s="1"/>
      <c r="BA350" s="1"/>
      <c r="BB350" s="1"/>
      <c r="BC350" s="1"/>
      <c r="BD350" s="126"/>
      <c r="BE350" s="126"/>
      <c r="BF350" s="126"/>
      <c r="BG350" s="126"/>
      <c r="BH350" s="126"/>
      <c r="BI350" s="1"/>
      <c r="BJ350" s="1"/>
      <c r="BK350" s="1"/>
      <c r="BL350" s="1"/>
      <c r="BM350" s="1"/>
      <c r="BN350" s="1"/>
      <c r="BO350" s="1"/>
      <c r="BP350" s="1"/>
      <c r="BQ350" s="1"/>
      <c r="BR350" s="1"/>
      <c r="BS350" s="1"/>
      <c r="BT350" s="1"/>
      <c r="BU350" s="1"/>
      <c r="BV350" s="1"/>
      <c r="BW350" s="1"/>
      <c r="BX350" s="1"/>
      <c r="BY350" s="1"/>
      <c r="BZ350" s="1"/>
      <c r="CA350" s="1"/>
    </row>
    <row r="351" spans="1:79" ht="12.75" customHeight="1">
      <c r="A351" s="425"/>
      <c r="B351" s="560"/>
      <c r="C351" s="560"/>
      <c r="D351" s="560"/>
      <c r="E351" s="560"/>
      <c r="F351" s="560"/>
      <c r="G351" s="560"/>
      <c r="H351" s="560"/>
      <c r="I351" s="560"/>
      <c r="J351" s="560"/>
      <c r="K351" s="560"/>
      <c r="L351" s="560"/>
      <c r="M351" s="560"/>
      <c r="N351" s="560"/>
      <c r="O351" s="560"/>
      <c r="P351" s="560"/>
      <c r="Q351" s="560"/>
      <c r="R351" s="560"/>
      <c r="S351" s="560"/>
      <c r="T351" s="560"/>
      <c r="U351" s="560"/>
      <c r="V351" s="560"/>
      <c r="W351" s="560"/>
      <c r="X351" s="560"/>
      <c r="Y351" s="560"/>
      <c r="Z351" s="560"/>
      <c r="AA351" s="560"/>
      <c r="AB351" s="560"/>
      <c r="AC351" s="561"/>
      <c r="AD351" s="560"/>
      <c r="AE351" s="371"/>
      <c r="AF351" s="371"/>
      <c r="AG351" s="371"/>
      <c r="AH351" s="371"/>
      <c r="AI351" s="372"/>
      <c r="AJ351" s="372" t="s">
        <v>2140</v>
      </c>
      <c r="AK351" s="945">
        <f>IF(NOT(OR(Application!M364="Yes",Application!M365="Yes")),0,AP308)</f>
        <v>0</v>
      </c>
      <c r="AL351" s="921"/>
      <c r="AM351" s="943"/>
      <c r="AN351" s="203"/>
      <c r="AO351" s="203"/>
      <c r="AP351" s="1"/>
      <c r="AQ351" s="1"/>
      <c r="AR351" s="1"/>
      <c r="AS351" s="1"/>
      <c r="AT351" s="1"/>
      <c r="AU351" s="1"/>
      <c r="AV351" s="1"/>
      <c r="AW351" s="1"/>
      <c r="AX351" s="1"/>
      <c r="AY351" s="1"/>
      <c r="AZ351" s="1"/>
      <c r="BA351" s="1"/>
      <c r="BB351" s="1"/>
      <c r="BC351" s="1"/>
      <c r="BD351" s="126"/>
      <c r="BE351" s="126"/>
      <c r="BF351" s="126"/>
      <c r="BG351" s="126"/>
      <c r="BH351" s="126"/>
      <c r="BI351" s="1"/>
      <c r="BJ351" s="1"/>
      <c r="BK351" s="1"/>
      <c r="BL351" s="1"/>
      <c r="BM351" s="1"/>
      <c r="BN351" s="1"/>
      <c r="BO351" s="1"/>
      <c r="BP351" s="1"/>
      <c r="BQ351" s="1"/>
      <c r="BR351" s="1"/>
      <c r="BS351" s="1"/>
      <c r="BT351" s="1"/>
      <c r="BU351" s="1"/>
      <c r="BV351" s="1"/>
      <c r="BW351" s="1"/>
      <c r="BX351" s="1"/>
      <c r="BY351" s="1"/>
      <c r="BZ351" s="1"/>
      <c r="CA351" s="1"/>
    </row>
    <row r="352" spans="1:79" ht="12.75" customHeight="1">
      <c r="A352" s="432"/>
      <c r="B352" s="432"/>
      <c r="C352" s="432"/>
      <c r="D352" s="432"/>
      <c r="E352" s="432"/>
      <c r="F352" s="432"/>
      <c r="G352" s="432"/>
      <c r="H352" s="432"/>
      <c r="I352" s="432"/>
      <c r="J352" s="432"/>
      <c r="K352" s="432"/>
      <c r="L352" s="432"/>
      <c r="M352" s="432"/>
      <c r="N352" s="432"/>
      <c r="O352" s="432"/>
      <c r="P352" s="432"/>
      <c r="Q352" s="432"/>
      <c r="R352" s="432"/>
      <c r="S352" s="432"/>
      <c r="T352" s="432"/>
      <c r="U352" s="432"/>
      <c r="V352" s="432"/>
      <c r="W352" s="432"/>
      <c r="X352" s="432"/>
      <c r="Y352" s="432"/>
      <c r="Z352" s="432"/>
      <c r="AA352" s="432"/>
      <c r="AB352" s="432"/>
      <c r="AC352" s="432"/>
      <c r="AD352" s="432"/>
      <c r="AE352" s="432"/>
      <c r="AF352" s="432"/>
      <c r="AG352" s="432"/>
      <c r="AH352" s="432"/>
      <c r="AI352" s="432"/>
      <c r="AJ352" s="432"/>
      <c r="AK352" s="432"/>
      <c r="AL352" s="432"/>
      <c r="AM352" s="432"/>
      <c r="AN352" s="424"/>
      <c r="AO352" s="117"/>
      <c r="AP352" s="117"/>
      <c r="AQ352" s="117"/>
      <c r="AR352" s="117"/>
      <c r="AS352" s="117"/>
      <c r="AT352" s="117"/>
      <c r="AU352" s="117"/>
      <c r="AV352" s="117"/>
      <c r="AW352" s="117"/>
      <c r="AX352" s="117"/>
      <c r="AY352" s="117"/>
      <c r="AZ352" s="117"/>
      <c r="BA352" s="117"/>
      <c r="BB352" s="117"/>
      <c r="BC352" s="117"/>
      <c r="BD352" s="117"/>
      <c r="BE352" s="117"/>
      <c r="BF352" s="117"/>
      <c r="BG352" s="117"/>
      <c r="BH352" s="117"/>
      <c r="BI352" s="117"/>
      <c r="BJ352" s="117"/>
      <c r="BK352" s="117"/>
      <c r="BL352" s="117"/>
      <c r="BM352" s="117"/>
      <c r="BN352" s="117"/>
      <c r="BO352" s="117"/>
      <c r="BP352" s="117"/>
      <c r="BQ352" s="117"/>
      <c r="BR352" s="117"/>
      <c r="BS352" s="117"/>
      <c r="BT352" s="117"/>
      <c r="BU352" s="117"/>
      <c r="BV352" s="117"/>
      <c r="BW352" s="117"/>
      <c r="BX352" s="117"/>
      <c r="BY352" s="117"/>
      <c r="BZ352" s="117"/>
      <c r="CA352" s="117"/>
    </row>
    <row r="353" spans="1:79"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424"/>
      <c r="AO353" s="117"/>
      <c r="AP353" s="117"/>
      <c r="AQ353" s="117"/>
      <c r="AR353" s="117"/>
      <c r="AS353" s="117"/>
      <c r="AT353" s="117"/>
      <c r="AU353" s="117"/>
      <c r="AV353" s="117"/>
      <c r="AW353" s="117"/>
      <c r="AX353" s="117"/>
      <c r="AY353" s="117"/>
      <c r="AZ353" s="117"/>
      <c r="BA353" s="117"/>
      <c r="BB353" s="117"/>
      <c r="BC353" s="117"/>
      <c r="BD353" s="117"/>
      <c r="BE353" s="117"/>
      <c r="BF353" s="117"/>
      <c r="BG353" s="117"/>
      <c r="BH353" s="117"/>
      <c r="BI353" s="117"/>
      <c r="BJ353" s="117"/>
      <c r="BK353" s="117"/>
      <c r="BL353" s="117"/>
      <c r="BM353" s="117"/>
      <c r="BN353" s="117"/>
      <c r="BO353" s="117"/>
      <c r="BP353" s="117"/>
      <c r="BQ353" s="117"/>
      <c r="BR353" s="117"/>
      <c r="BS353" s="117"/>
      <c r="BT353" s="117"/>
      <c r="BU353" s="117"/>
      <c r="BV353" s="117"/>
      <c r="BW353" s="117"/>
      <c r="BX353" s="117"/>
      <c r="BY353" s="117"/>
      <c r="BZ353" s="117"/>
      <c r="CA353" s="117"/>
    </row>
    <row r="354" spans="1:79" ht="12.75" customHeight="1">
      <c r="A354" s="62" t="s">
        <v>2141</v>
      </c>
      <c r="B354" s="8" t="s">
        <v>2142</v>
      </c>
      <c r="C354" s="1"/>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8"/>
      <c r="AD354" s="117"/>
      <c r="AE354" s="1396" t="s">
        <v>1871</v>
      </c>
      <c r="AF354" s="893"/>
      <c r="AG354" s="893"/>
      <c r="AH354" s="893"/>
      <c r="AI354" s="893"/>
      <c r="AJ354" s="893"/>
      <c r="AK354" s="893"/>
      <c r="AL354" s="8"/>
      <c r="AM354" s="8"/>
      <c r="AN354" s="421"/>
      <c r="AO354" s="117"/>
      <c r="AP354" s="117"/>
      <c r="AQ354" s="117"/>
      <c r="AR354" s="117"/>
      <c r="AS354" s="117"/>
      <c r="AT354" s="117"/>
      <c r="AU354" s="117"/>
      <c r="AV354" s="117"/>
      <c r="AW354" s="117"/>
      <c r="AX354" s="117"/>
      <c r="AY354" s="117"/>
      <c r="AZ354" s="117"/>
      <c r="BA354" s="117"/>
      <c r="BB354" s="117"/>
      <c r="BC354" s="117"/>
      <c r="BD354" s="117"/>
      <c r="BE354" s="117"/>
      <c r="BF354" s="117"/>
      <c r="BG354" s="117"/>
      <c r="BH354" s="117"/>
      <c r="BI354" s="117"/>
      <c r="BJ354" s="117"/>
      <c r="BK354" s="117"/>
      <c r="BL354" s="117"/>
      <c r="BM354" s="117"/>
      <c r="BN354" s="117"/>
      <c r="BO354" s="117"/>
      <c r="BP354" s="117"/>
      <c r="BQ354" s="117"/>
      <c r="BR354" s="117"/>
      <c r="BS354" s="117"/>
      <c r="BT354" s="117"/>
      <c r="BU354" s="117"/>
      <c r="BV354" s="117"/>
      <c r="BW354" s="117"/>
      <c r="BX354" s="117"/>
      <c r="BY354" s="117"/>
      <c r="BZ354" s="117"/>
      <c r="CA354" s="117"/>
    </row>
    <row r="355" spans="1:79" ht="12.75" customHeight="1">
      <c r="A355" s="8"/>
      <c r="B355" s="8"/>
      <c r="C355" s="1"/>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8"/>
      <c r="AD355" s="117"/>
      <c r="AE355" s="237"/>
      <c r="AF355" s="237"/>
      <c r="AG355" s="237"/>
      <c r="AH355" s="237"/>
      <c r="AI355" s="237"/>
      <c r="AJ355" s="237"/>
      <c r="AK355" s="237"/>
      <c r="AL355" s="8"/>
      <c r="AM355" s="8"/>
      <c r="AN355" s="421"/>
      <c r="AO355" s="117"/>
      <c r="AP355" s="117"/>
      <c r="AQ355" s="117"/>
      <c r="AR355" s="117"/>
      <c r="AS355" s="117"/>
      <c r="AT355" s="117"/>
      <c r="AU355" s="117"/>
      <c r="AV355" s="117"/>
      <c r="AW355" s="117"/>
      <c r="AX355" s="117"/>
      <c r="AY355" s="117"/>
      <c r="AZ355" s="117"/>
      <c r="BA355" s="117"/>
      <c r="BB355" s="117"/>
      <c r="BC355" s="117"/>
      <c r="BD355" s="117"/>
      <c r="BE355" s="117"/>
      <c r="BF355" s="117"/>
      <c r="BG355" s="117"/>
      <c r="BH355" s="117"/>
      <c r="BI355" s="117"/>
      <c r="BJ355" s="117"/>
      <c r="BK355" s="117"/>
      <c r="BL355" s="117"/>
      <c r="BM355" s="117"/>
      <c r="BN355" s="117"/>
      <c r="BO355" s="117"/>
      <c r="BP355" s="117"/>
      <c r="BQ355" s="117"/>
      <c r="BR355" s="117"/>
      <c r="BS355" s="117"/>
      <c r="BT355" s="117"/>
      <c r="BU355" s="117"/>
      <c r="BV355" s="117"/>
      <c r="BW355" s="117"/>
      <c r="BX355" s="117"/>
      <c r="BY355" s="117"/>
      <c r="BZ355" s="117"/>
      <c r="CA355" s="117"/>
    </row>
    <row r="356" spans="1:79" ht="12.75" customHeight="1">
      <c r="A356" s="117"/>
      <c r="B356" s="100"/>
      <c r="C356" s="1428" t="s">
        <v>2143</v>
      </c>
      <c r="D356" s="893"/>
      <c r="E356" s="893"/>
      <c r="F356" s="893"/>
      <c r="G356" s="893"/>
      <c r="H356" s="893"/>
      <c r="I356" s="893"/>
      <c r="J356" s="893"/>
      <c r="K356" s="893"/>
      <c r="L356" s="893"/>
      <c r="M356" s="893"/>
      <c r="N356" s="893"/>
      <c r="O356" s="893"/>
      <c r="P356" s="893"/>
      <c r="Q356" s="893"/>
      <c r="R356" s="893"/>
      <c r="S356" s="893"/>
      <c r="T356" s="893"/>
      <c r="U356" s="893"/>
      <c r="V356" s="893"/>
      <c r="W356" s="893"/>
      <c r="X356" s="893"/>
      <c r="Y356" s="893"/>
      <c r="Z356" s="893"/>
      <c r="AA356" s="893"/>
      <c r="AB356" s="893"/>
      <c r="AC356" s="893"/>
      <c r="AD356" s="893"/>
      <c r="AE356" s="893"/>
      <c r="AF356" s="893"/>
      <c r="AG356" s="893"/>
      <c r="AH356" s="893"/>
      <c r="AI356" s="893"/>
      <c r="AJ356" s="893"/>
      <c r="AK356" s="65"/>
      <c r="AL356" s="65"/>
      <c r="AM356" s="65"/>
      <c r="AN356" s="424"/>
      <c r="AO356" s="117"/>
      <c r="AP356" s="117"/>
      <c r="AQ356" s="117"/>
      <c r="AR356" s="117"/>
      <c r="AS356" s="117"/>
      <c r="AT356" s="117"/>
      <c r="AU356" s="117"/>
      <c r="AV356" s="117"/>
      <c r="AW356" s="117"/>
      <c r="AX356" s="117"/>
      <c r="AY356" s="117"/>
      <c r="AZ356" s="117"/>
      <c r="BA356" s="117"/>
      <c r="BB356" s="117"/>
      <c r="BC356" s="117"/>
      <c r="BD356" s="117"/>
      <c r="BE356" s="117"/>
      <c r="BF356" s="117"/>
      <c r="BG356" s="117"/>
      <c r="BH356" s="117"/>
      <c r="BI356" s="117"/>
      <c r="BJ356" s="117"/>
      <c r="BK356" s="117"/>
      <c r="BL356" s="117"/>
      <c r="BM356" s="117"/>
      <c r="BN356" s="117"/>
      <c r="BO356" s="117"/>
      <c r="BP356" s="117"/>
      <c r="BQ356" s="117"/>
      <c r="BR356" s="117"/>
      <c r="BS356" s="117"/>
      <c r="BT356" s="117"/>
      <c r="BU356" s="117"/>
      <c r="BV356" s="117"/>
      <c r="BW356" s="117"/>
      <c r="BX356" s="117"/>
      <c r="BY356" s="117"/>
      <c r="BZ356" s="117"/>
      <c r="CA356" s="117"/>
    </row>
    <row r="357" spans="1:79" ht="12.75" customHeight="1">
      <c r="A357" s="65"/>
      <c r="B357" s="100"/>
      <c r="C357" s="893"/>
      <c r="D357" s="893"/>
      <c r="E357" s="893"/>
      <c r="F357" s="893"/>
      <c r="G357" s="893"/>
      <c r="H357" s="893"/>
      <c r="I357" s="893"/>
      <c r="J357" s="893"/>
      <c r="K357" s="893"/>
      <c r="L357" s="893"/>
      <c r="M357" s="893"/>
      <c r="N357" s="893"/>
      <c r="O357" s="893"/>
      <c r="P357" s="893"/>
      <c r="Q357" s="893"/>
      <c r="R357" s="893"/>
      <c r="S357" s="893"/>
      <c r="T357" s="893"/>
      <c r="U357" s="893"/>
      <c r="V357" s="893"/>
      <c r="W357" s="893"/>
      <c r="X357" s="893"/>
      <c r="Y357" s="893"/>
      <c r="Z357" s="893"/>
      <c r="AA357" s="893"/>
      <c r="AB357" s="893"/>
      <c r="AC357" s="893"/>
      <c r="AD357" s="893"/>
      <c r="AE357" s="893"/>
      <c r="AF357" s="893"/>
      <c r="AG357" s="893"/>
      <c r="AH357" s="893"/>
      <c r="AI357" s="893"/>
      <c r="AJ357" s="893"/>
      <c r="AK357" s="65"/>
      <c r="AL357" s="65"/>
      <c r="AM357" s="65"/>
      <c r="AN357" s="424"/>
      <c r="AO357" s="117"/>
      <c r="AP357" s="117"/>
      <c r="AQ357" s="117"/>
      <c r="AR357" s="117"/>
      <c r="AS357" s="117"/>
      <c r="AT357" s="117"/>
      <c r="AU357" s="117"/>
      <c r="AV357" s="117"/>
      <c r="AW357" s="117"/>
      <c r="AX357" s="117"/>
      <c r="AY357" s="117"/>
      <c r="AZ357" s="117"/>
      <c r="BA357" s="117"/>
      <c r="BB357" s="117"/>
      <c r="BC357" s="117"/>
      <c r="BD357" s="117"/>
      <c r="BE357" s="117"/>
      <c r="BF357" s="117"/>
      <c r="BG357" s="117"/>
      <c r="BH357" s="117"/>
      <c r="BI357" s="117"/>
      <c r="BJ357" s="117"/>
      <c r="BK357" s="117"/>
      <c r="BL357" s="117"/>
      <c r="BM357" s="117"/>
      <c r="BN357" s="117"/>
      <c r="BO357" s="117"/>
      <c r="BP357" s="117"/>
      <c r="BQ357" s="117"/>
      <c r="BR357" s="117"/>
      <c r="BS357" s="117"/>
      <c r="BT357" s="117"/>
      <c r="BU357" s="117"/>
      <c r="BV357" s="117"/>
      <c r="BW357" s="117"/>
      <c r="BX357" s="117"/>
      <c r="BY357" s="117"/>
      <c r="BZ357" s="117"/>
      <c r="CA357" s="117"/>
    </row>
    <row r="358" spans="1:79" ht="12.75" customHeight="1">
      <c r="A358" s="65"/>
      <c r="B358" s="100"/>
      <c r="C358" s="893"/>
      <c r="D358" s="893"/>
      <c r="E358" s="893"/>
      <c r="F358" s="893"/>
      <c r="G358" s="893"/>
      <c r="H358" s="893"/>
      <c r="I358" s="893"/>
      <c r="J358" s="893"/>
      <c r="K358" s="893"/>
      <c r="L358" s="893"/>
      <c r="M358" s="893"/>
      <c r="N358" s="893"/>
      <c r="O358" s="893"/>
      <c r="P358" s="893"/>
      <c r="Q358" s="893"/>
      <c r="R358" s="893"/>
      <c r="S358" s="893"/>
      <c r="T358" s="893"/>
      <c r="U358" s="893"/>
      <c r="V358" s="893"/>
      <c r="W358" s="893"/>
      <c r="X358" s="893"/>
      <c r="Y358" s="893"/>
      <c r="Z358" s="893"/>
      <c r="AA358" s="893"/>
      <c r="AB358" s="893"/>
      <c r="AC358" s="893"/>
      <c r="AD358" s="893"/>
      <c r="AE358" s="893"/>
      <c r="AF358" s="893"/>
      <c r="AG358" s="893"/>
      <c r="AH358" s="893"/>
      <c r="AI358" s="893"/>
      <c r="AJ358" s="893"/>
      <c r="AK358" s="65"/>
      <c r="AL358" s="65"/>
      <c r="AM358" s="65"/>
      <c r="AN358" s="424"/>
      <c r="AO358" s="117"/>
      <c r="AP358" s="117"/>
      <c r="AQ358" s="1"/>
      <c r="AR358" s="117"/>
      <c r="AS358" s="117"/>
      <c r="AT358" s="117"/>
      <c r="AU358" s="117"/>
      <c r="AV358" s="117"/>
      <c r="AW358" s="117"/>
      <c r="AX358" s="117"/>
      <c r="AY358" s="117"/>
      <c r="AZ358" s="117"/>
      <c r="BA358" s="117"/>
      <c r="BB358" s="117"/>
      <c r="BC358" s="117"/>
      <c r="BD358" s="117"/>
      <c r="BE358" s="117"/>
      <c r="BF358" s="117"/>
      <c r="BG358" s="117"/>
      <c r="BH358" s="117"/>
      <c r="BI358" s="117"/>
      <c r="BJ358" s="117"/>
      <c r="BK358" s="117"/>
      <c r="BL358" s="117"/>
      <c r="BM358" s="117"/>
      <c r="BN358" s="117"/>
      <c r="BO358" s="117"/>
      <c r="BP358" s="117"/>
      <c r="BQ358" s="117"/>
      <c r="BR358" s="117"/>
      <c r="BS358" s="117"/>
      <c r="BT358" s="117"/>
      <c r="BU358" s="117"/>
      <c r="BV358" s="117"/>
      <c r="BW358" s="117"/>
      <c r="BX358" s="117"/>
      <c r="BY358" s="117"/>
      <c r="BZ358" s="117"/>
      <c r="CA358" s="117"/>
    </row>
    <row r="359" spans="1:79" ht="12.75" customHeight="1">
      <c r="A359" s="65"/>
      <c r="B359" s="100"/>
      <c r="C359" s="893"/>
      <c r="D359" s="893"/>
      <c r="E359" s="893"/>
      <c r="F359" s="893"/>
      <c r="G359" s="893"/>
      <c r="H359" s="893"/>
      <c r="I359" s="893"/>
      <c r="J359" s="893"/>
      <c r="K359" s="893"/>
      <c r="L359" s="893"/>
      <c r="M359" s="893"/>
      <c r="N359" s="893"/>
      <c r="O359" s="893"/>
      <c r="P359" s="893"/>
      <c r="Q359" s="893"/>
      <c r="R359" s="893"/>
      <c r="S359" s="893"/>
      <c r="T359" s="893"/>
      <c r="U359" s="893"/>
      <c r="V359" s="893"/>
      <c r="W359" s="893"/>
      <c r="X359" s="893"/>
      <c r="Y359" s="893"/>
      <c r="Z359" s="893"/>
      <c r="AA359" s="893"/>
      <c r="AB359" s="893"/>
      <c r="AC359" s="893"/>
      <c r="AD359" s="893"/>
      <c r="AE359" s="893"/>
      <c r="AF359" s="893"/>
      <c r="AG359" s="893"/>
      <c r="AH359" s="893"/>
      <c r="AI359" s="893"/>
      <c r="AJ359" s="893"/>
      <c r="AK359" s="65"/>
      <c r="AL359" s="65"/>
      <c r="AM359" s="65"/>
      <c r="AN359" s="424"/>
      <c r="AO359" s="117"/>
      <c r="AP359" s="117"/>
      <c r="AQ359" s="1"/>
      <c r="AR359" s="117"/>
      <c r="AS359" s="117"/>
      <c r="AT359" s="117"/>
      <c r="AU359" s="117"/>
      <c r="AV359" s="117"/>
      <c r="AW359" s="117"/>
      <c r="AX359" s="117"/>
      <c r="AY359" s="117"/>
      <c r="AZ359" s="117"/>
      <c r="BA359" s="117"/>
      <c r="BB359" s="117"/>
      <c r="BC359" s="117"/>
      <c r="BD359" s="117"/>
      <c r="BE359" s="117"/>
      <c r="BF359" s="117"/>
      <c r="BG359" s="117"/>
      <c r="BH359" s="117"/>
      <c r="BI359" s="117"/>
      <c r="BJ359" s="117"/>
      <c r="BK359" s="117"/>
      <c r="BL359" s="117"/>
      <c r="BM359" s="117"/>
      <c r="BN359" s="117"/>
      <c r="BO359" s="117"/>
      <c r="BP359" s="117"/>
      <c r="BQ359" s="117"/>
      <c r="BR359" s="117"/>
      <c r="BS359" s="117"/>
      <c r="BT359" s="117"/>
      <c r="BU359" s="117"/>
      <c r="BV359" s="117"/>
      <c r="BW359" s="117"/>
      <c r="BX359" s="117"/>
      <c r="BY359" s="117"/>
      <c r="BZ359" s="117"/>
      <c r="CA359" s="117"/>
    </row>
    <row r="360" spans="1:79" ht="12" customHeight="1">
      <c r="A360" s="65"/>
      <c r="B360" s="100"/>
      <c r="C360" s="893"/>
      <c r="D360" s="893"/>
      <c r="E360" s="893"/>
      <c r="F360" s="893"/>
      <c r="G360" s="893"/>
      <c r="H360" s="893"/>
      <c r="I360" s="893"/>
      <c r="J360" s="893"/>
      <c r="K360" s="893"/>
      <c r="L360" s="893"/>
      <c r="M360" s="893"/>
      <c r="N360" s="893"/>
      <c r="O360" s="893"/>
      <c r="P360" s="893"/>
      <c r="Q360" s="893"/>
      <c r="R360" s="893"/>
      <c r="S360" s="893"/>
      <c r="T360" s="893"/>
      <c r="U360" s="893"/>
      <c r="V360" s="893"/>
      <c r="W360" s="893"/>
      <c r="X360" s="893"/>
      <c r="Y360" s="893"/>
      <c r="Z360" s="893"/>
      <c r="AA360" s="893"/>
      <c r="AB360" s="893"/>
      <c r="AC360" s="893"/>
      <c r="AD360" s="893"/>
      <c r="AE360" s="893"/>
      <c r="AF360" s="893"/>
      <c r="AG360" s="893"/>
      <c r="AH360" s="893"/>
      <c r="AI360" s="893"/>
      <c r="AJ360" s="893"/>
      <c r="AK360" s="65"/>
      <c r="AL360" s="65"/>
      <c r="AM360" s="65"/>
      <c r="AN360" s="424"/>
      <c r="AO360" s="117"/>
      <c r="AP360" s="117"/>
      <c r="AQ360" s="1"/>
      <c r="AR360" s="1"/>
      <c r="AS360" s="117"/>
      <c r="AT360" s="117"/>
      <c r="AU360" s="117"/>
      <c r="AV360" s="117"/>
      <c r="AW360" s="117"/>
      <c r="AX360" s="117"/>
      <c r="AY360" s="117"/>
      <c r="AZ360" s="117"/>
      <c r="BA360" s="117"/>
      <c r="BB360" s="117"/>
      <c r="BC360" s="117"/>
      <c r="BD360" s="117"/>
      <c r="BE360" s="117"/>
      <c r="BF360" s="117"/>
      <c r="BG360" s="117"/>
      <c r="BH360" s="117"/>
      <c r="BI360" s="117"/>
      <c r="BJ360" s="117"/>
      <c r="BK360" s="117"/>
      <c r="BL360" s="117"/>
      <c r="BM360" s="117"/>
      <c r="BN360" s="117"/>
      <c r="BO360" s="117"/>
      <c r="BP360" s="117"/>
      <c r="BQ360" s="117"/>
      <c r="BR360" s="117"/>
      <c r="BS360" s="117"/>
      <c r="BT360" s="117"/>
      <c r="BU360" s="117"/>
      <c r="BV360" s="117"/>
      <c r="BW360" s="117"/>
      <c r="BX360" s="117"/>
      <c r="BY360" s="117"/>
      <c r="BZ360" s="117"/>
      <c r="CA360" s="117"/>
    </row>
    <row r="361" spans="1:79" ht="45.75" customHeight="1">
      <c r="A361" s="65"/>
      <c r="B361" s="100"/>
      <c r="C361" s="1428" t="s">
        <v>2144</v>
      </c>
      <c r="D361" s="893"/>
      <c r="E361" s="893"/>
      <c r="F361" s="893"/>
      <c r="G361" s="893"/>
      <c r="H361" s="893"/>
      <c r="I361" s="893"/>
      <c r="J361" s="893"/>
      <c r="K361" s="893"/>
      <c r="L361" s="893"/>
      <c r="M361" s="893"/>
      <c r="N361" s="893"/>
      <c r="O361" s="893"/>
      <c r="P361" s="893"/>
      <c r="Q361" s="893"/>
      <c r="R361" s="893"/>
      <c r="S361" s="893"/>
      <c r="T361" s="893"/>
      <c r="U361" s="893"/>
      <c r="V361" s="893"/>
      <c r="W361" s="893"/>
      <c r="X361" s="893"/>
      <c r="Y361" s="893"/>
      <c r="Z361" s="893"/>
      <c r="AA361" s="893"/>
      <c r="AB361" s="893"/>
      <c r="AC361" s="893"/>
      <c r="AD361" s="893"/>
      <c r="AE361" s="893"/>
      <c r="AF361" s="893"/>
      <c r="AG361" s="893"/>
      <c r="AH361" s="893"/>
      <c r="AI361" s="893"/>
      <c r="AJ361" s="893"/>
      <c r="AK361" s="65"/>
      <c r="AL361" s="65"/>
      <c r="AM361" s="65"/>
      <c r="AN361" s="424"/>
      <c r="AO361" s="117"/>
      <c r="AP361" s="117"/>
      <c r="AQ361" s="1"/>
      <c r="AR361" s="1"/>
      <c r="AS361" s="117"/>
      <c r="AT361" s="117"/>
      <c r="AU361" s="117"/>
      <c r="AV361" s="117"/>
      <c r="AW361" s="117"/>
      <c r="AX361" s="117"/>
      <c r="AY361" s="117"/>
      <c r="AZ361" s="117"/>
      <c r="BA361" s="117"/>
      <c r="BB361" s="117"/>
      <c r="BC361" s="117"/>
      <c r="BD361" s="117"/>
      <c r="BE361" s="117"/>
      <c r="BF361" s="117"/>
      <c r="BG361" s="117"/>
      <c r="BH361" s="117"/>
      <c r="BI361" s="117"/>
      <c r="BJ361" s="117"/>
      <c r="BK361" s="117"/>
      <c r="BL361" s="117"/>
      <c r="BM361" s="117"/>
      <c r="BN361" s="117"/>
      <c r="BO361" s="117"/>
      <c r="BP361" s="117"/>
      <c r="BQ361" s="117"/>
      <c r="BR361" s="117"/>
      <c r="BS361" s="117"/>
      <c r="BT361" s="117"/>
      <c r="BU361" s="117"/>
      <c r="BV361" s="117"/>
      <c r="BW361" s="117"/>
      <c r="BX361" s="117"/>
      <c r="BY361" s="117"/>
      <c r="BZ361" s="117"/>
      <c r="CA361" s="117"/>
    </row>
    <row r="362" spans="1:79" ht="12" customHeight="1">
      <c r="A362" s="65"/>
      <c r="B362" s="100"/>
      <c r="C362" s="563"/>
      <c r="D362" s="563"/>
      <c r="E362" s="563"/>
      <c r="F362" s="563"/>
      <c r="G362" s="563"/>
      <c r="H362" s="563"/>
      <c r="I362" s="563"/>
      <c r="J362" s="563"/>
      <c r="K362" s="563"/>
      <c r="L362" s="563"/>
      <c r="M362" s="563"/>
      <c r="N362" s="563"/>
      <c r="O362" s="563"/>
      <c r="P362" s="563"/>
      <c r="Q362" s="563"/>
      <c r="R362" s="563"/>
      <c r="S362" s="563"/>
      <c r="T362" s="563"/>
      <c r="U362" s="563"/>
      <c r="V362" s="563"/>
      <c r="W362" s="563"/>
      <c r="X362" s="563"/>
      <c r="Y362" s="563"/>
      <c r="Z362" s="563"/>
      <c r="AA362" s="563"/>
      <c r="AB362" s="563"/>
      <c r="AC362" s="563"/>
      <c r="AD362" s="563"/>
      <c r="AE362" s="563"/>
      <c r="AF362" s="563"/>
      <c r="AG362" s="563"/>
      <c r="AH362" s="563"/>
      <c r="AI362" s="563"/>
      <c r="AJ362" s="563"/>
      <c r="AK362" s="65"/>
      <c r="AL362" s="65"/>
      <c r="AM362" s="65"/>
      <c r="AN362" s="424"/>
      <c r="AO362" s="117"/>
      <c r="AP362" s="117"/>
      <c r="AQ362" s="1"/>
      <c r="AR362" s="1"/>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c r="CA362" s="117"/>
    </row>
    <row r="363" spans="1:79" ht="12.75" customHeight="1">
      <c r="A363" s="65"/>
      <c r="B363" s="100"/>
      <c r="C363" s="1428" t="s">
        <v>2145</v>
      </c>
      <c r="D363" s="893"/>
      <c r="E363" s="893"/>
      <c r="F363" s="893"/>
      <c r="G363" s="893"/>
      <c r="H363" s="893"/>
      <c r="I363" s="893"/>
      <c r="J363" s="893"/>
      <c r="K363" s="893"/>
      <c r="L363" s="893"/>
      <c r="M363" s="893"/>
      <c r="N363" s="893"/>
      <c r="O363" s="893"/>
      <c r="P363" s="893"/>
      <c r="Q363" s="893"/>
      <c r="R363" s="893"/>
      <c r="S363" s="893"/>
      <c r="T363" s="893"/>
      <c r="U363" s="893"/>
      <c r="V363" s="893"/>
      <c r="W363" s="893"/>
      <c r="X363" s="893"/>
      <c r="Y363" s="893"/>
      <c r="Z363" s="893"/>
      <c r="AA363" s="893"/>
      <c r="AB363" s="893"/>
      <c r="AC363" s="893"/>
      <c r="AD363" s="893"/>
      <c r="AE363" s="893"/>
      <c r="AF363" s="893"/>
      <c r="AG363" s="893"/>
      <c r="AH363" s="893"/>
      <c r="AI363" s="893"/>
      <c r="AJ363" s="893"/>
      <c r="AK363" s="65"/>
      <c r="AL363" s="65"/>
      <c r="AM363" s="65"/>
      <c r="AN363" s="424"/>
      <c r="AO363" s="117"/>
      <c r="AP363" s="117"/>
      <c r="AQ363" s="1"/>
      <c r="AR363" s="1"/>
      <c r="AS363" s="117"/>
      <c r="AT363" s="117"/>
      <c r="AU363" s="117"/>
      <c r="AV363" s="117"/>
      <c r="AW363" s="117"/>
      <c r="AX363" s="117"/>
      <c r="AY363" s="117"/>
      <c r="AZ363" s="117"/>
      <c r="BA363" s="117"/>
      <c r="BB363" s="117"/>
      <c r="BC363" s="117"/>
      <c r="BD363" s="117"/>
      <c r="BE363" s="117"/>
      <c r="BF363" s="117"/>
      <c r="BG363" s="117"/>
      <c r="BH363" s="117"/>
      <c r="BI363" s="117"/>
      <c r="BJ363" s="117"/>
      <c r="BK363" s="117"/>
      <c r="BL363" s="117"/>
      <c r="BM363" s="117"/>
      <c r="BN363" s="117"/>
      <c r="BO363" s="117"/>
      <c r="BP363" s="117"/>
      <c r="BQ363" s="117"/>
      <c r="BR363" s="117"/>
      <c r="BS363" s="117"/>
      <c r="BT363" s="117"/>
      <c r="BU363" s="117"/>
      <c r="BV363" s="117"/>
      <c r="BW363" s="117"/>
      <c r="BX363" s="117"/>
      <c r="BY363" s="117"/>
      <c r="BZ363" s="117"/>
      <c r="CA363" s="117"/>
    </row>
    <row r="364" spans="1:79" ht="30" customHeight="1">
      <c r="A364" s="65"/>
      <c r="B364" s="100"/>
      <c r="C364" s="893"/>
      <c r="D364" s="893"/>
      <c r="E364" s="893"/>
      <c r="F364" s="893"/>
      <c r="G364" s="893"/>
      <c r="H364" s="893"/>
      <c r="I364" s="893"/>
      <c r="J364" s="893"/>
      <c r="K364" s="893"/>
      <c r="L364" s="893"/>
      <c r="M364" s="893"/>
      <c r="N364" s="893"/>
      <c r="O364" s="893"/>
      <c r="P364" s="893"/>
      <c r="Q364" s="893"/>
      <c r="R364" s="893"/>
      <c r="S364" s="893"/>
      <c r="T364" s="893"/>
      <c r="U364" s="893"/>
      <c r="V364" s="893"/>
      <c r="W364" s="893"/>
      <c r="X364" s="893"/>
      <c r="Y364" s="893"/>
      <c r="Z364" s="893"/>
      <c r="AA364" s="893"/>
      <c r="AB364" s="893"/>
      <c r="AC364" s="893"/>
      <c r="AD364" s="893"/>
      <c r="AE364" s="893"/>
      <c r="AF364" s="893"/>
      <c r="AG364" s="893"/>
      <c r="AH364" s="893"/>
      <c r="AI364" s="893"/>
      <c r="AJ364" s="893"/>
      <c r="AK364" s="65"/>
      <c r="AL364" s="65"/>
      <c r="AM364" s="65"/>
      <c r="AN364" s="424"/>
      <c r="AO364" s="117"/>
      <c r="AP364" s="117"/>
      <c r="AQ364" s="117"/>
      <c r="AR364" s="1"/>
      <c r="AS364" s="117"/>
      <c r="AT364" s="117"/>
      <c r="AU364" s="117"/>
      <c r="AV364" s="117"/>
      <c r="AW364" s="117"/>
      <c r="AX364" s="117"/>
      <c r="AY364" s="117"/>
      <c r="AZ364" s="117"/>
      <c r="BA364" s="117"/>
      <c r="BB364" s="117"/>
      <c r="BC364" s="117"/>
      <c r="BD364" s="117"/>
      <c r="BE364" s="117"/>
      <c r="BF364" s="117"/>
      <c r="BG364" s="117"/>
      <c r="BH364" s="117"/>
      <c r="BI364" s="117"/>
      <c r="BJ364" s="117"/>
      <c r="BK364" s="117"/>
      <c r="BL364" s="117"/>
      <c r="BM364" s="117"/>
      <c r="BN364" s="117"/>
      <c r="BO364" s="117"/>
      <c r="BP364" s="117"/>
      <c r="BQ364" s="117"/>
      <c r="BR364" s="117"/>
      <c r="BS364" s="117"/>
      <c r="BT364" s="117"/>
      <c r="BU364" s="117"/>
      <c r="BV364" s="117"/>
      <c r="BW364" s="117"/>
      <c r="BX364" s="117"/>
      <c r="BY364" s="117"/>
      <c r="BZ364" s="117"/>
      <c r="CA364" s="117"/>
    </row>
    <row r="365" spans="1:79" ht="12.75" customHeight="1">
      <c r="A365" s="65"/>
      <c r="B365" s="100"/>
      <c r="C365" s="893"/>
      <c r="D365" s="893"/>
      <c r="E365" s="893"/>
      <c r="F365" s="893"/>
      <c r="G365" s="893"/>
      <c r="H365" s="893"/>
      <c r="I365" s="893"/>
      <c r="J365" s="893"/>
      <c r="K365" s="893"/>
      <c r="L365" s="893"/>
      <c r="M365" s="893"/>
      <c r="N365" s="893"/>
      <c r="O365" s="893"/>
      <c r="P365" s="893"/>
      <c r="Q365" s="893"/>
      <c r="R365" s="893"/>
      <c r="S365" s="893"/>
      <c r="T365" s="893"/>
      <c r="U365" s="893"/>
      <c r="V365" s="893"/>
      <c r="W365" s="893"/>
      <c r="X365" s="893"/>
      <c r="Y365" s="893"/>
      <c r="Z365" s="893"/>
      <c r="AA365" s="893"/>
      <c r="AB365" s="893"/>
      <c r="AC365" s="893"/>
      <c r="AD365" s="893"/>
      <c r="AE365" s="893"/>
      <c r="AF365" s="893"/>
      <c r="AG365" s="893"/>
      <c r="AH365" s="893"/>
      <c r="AI365" s="893"/>
      <c r="AJ365" s="893"/>
      <c r="AK365" s="65"/>
      <c r="AL365" s="65"/>
      <c r="AM365" s="65"/>
      <c r="AN365" s="424"/>
      <c r="AO365" s="117"/>
      <c r="AP365" s="117"/>
      <c r="AQ365" s="117"/>
      <c r="AR365" s="1"/>
      <c r="AS365" s="117"/>
      <c r="AT365" s="117"/>
      <c r="AU365" s="117"/>
      <c r="AV365" s="117"/>
      <c r="AW365" s="117"/>
      <c r="AX365" s="117"/>
      <c r="AY365" s="117"/>
      <c r="AZ365" s="117"/>
      <c r="BA365" s="117"/>
      <c r="BB365" s="117"/>
      <c r="BC365" s="117"/>
      <c r="BD365" s="117"/>
      <c r="BE365" s="117"/>
      <c r="BF365" s="117"/>
      <c r="BG365" s="117"/>
      <c r="BH365" s="117"/>
      <c r="BI365" s="117"/>
      <c r="BJ365" s="117"/>
      <c r="BK365" s="117"/>
      <c r="BL365" s="117"/>
      <c r="BM365" s="117"/>
      <c r="BN365" s="117"/>
      <c r="BO365" s="117"/>
      <c r="BP365" s="117"/>
      <c r="BQ365" s="117"/>
      <c r="BR365" s="117"/>
      <c r="BS365" s="117"/>
      <c r="BT365" s="117"/>
      <c r="BU365" s="117"/>
      <c r="BV365" s="117"/>
      <c r="BW365" s="117"/>
      <c r="BX365" s="117"/>
      <c r="BY365" s="117"/>
      <c r="BZ365" s="117"/>
      <c r="CA365" s="117"/>
    </row>
    <row r="366" spans="1:79" ht="12.75" customHeight="1">
      <c r="A366" s="65"/>
      <c r="B366" s="100"/>
      <c r="C366" s="1428" t="s">
        <v>2146</v>
      </c>
      <c r="D366" s="893"/>
      <c r="E366" s="893"/>
      <c r="F366" s="893"/>
      <c r="G366" s="893"/>
      <c r="H366" s="893"/>
      <c r="I366" s="893"/>
      <c r="J366" s="893"/>
      <c r="K366" s="893"/>
      <c r="L366" s="893"/>
      <c r="M366" s="893"/>
      <c r="N366" s="893"/>
      <c r="O366" s="893"/>
      <c r="P366" s="893"/>
      <c r="Q366" s="893"/>
      <c r="R366" s="893"/>
      <c r="S366" s="893"/>
      <c r="T366" s="893"/>
      <c r="U366" s="893"/>
      <c r="V366" s="893"/>
      <c r="W366" s="893"/>
      <c r="X366" s="893"/>
      <c r="Y366" s="893"/>
      <c r="Z366" s="893"/>
      <c r="AA366" s="893"/>
      <c r="AB366" s="893"/>
      <c r="AC366" s="893"/>
      <c r="AD366" s="893"/>
      <c r="AE366" s="893"/>
      <c r="AF366" s="893"/>
      <c r="AG366" s="893"/>
      <c r="AH366" s="893"/>
      <c r="AI366" s="893"/>
      <c r="AJ366" s="893"/>
      <c r="AK366" s="65"/>
      <c r="AL366" s="65"/>
      <c r="AM366" s="65"/>
      <c r="AN366" s="424"/>
      <c r="AO366" s="117"/>
      <c r="AP366" s="117"/>
      <c r="AQ366" s="1"/>
      <c r="AR366" s="1"/>
      <c r="AS366" s="117"/>
      <c r="AT366" s="117"/>
      <c r="AU366" s="117"/>
      <c r="AV366" s="117"/>
      <c r="AW366" s="117"/>
      <c r="AX366" s="117"/>
      <c r="AY366" s="117"/>
      <c r="AZ366" s="117"/>
      <c r="BA366" s="117"/>
      <c r="BB366" s="117"/>
      <c r="BC366" s="117"/>
      <c r="BD366" s="117"/>
      <c r="BE366" s="117"/>
      <c r="BF366" s="117"/>
      <c r="BG366" s="117"/>
      <c r="BH366" s="117"/>
      <c r="BI366" s="117"/>
      <c r="BJ366" s="117"/>
      <c r="BK366" s="117"/>
      <c r="BL366" s="117"/>
      <c r="BM366" s="117"/>
      <c r="BN366" s="117"/>
      <c r="BO366" s="117"/>
      <c r="BP366" s="117"/>
      <c r="BQ366" s="117"/>
      <c r="BR366" s="117"/>
      <c r="BS366" s="117"/>
      <c r="BT366" s="117"/>
      <c r="BU366" s="117"/>
      <c r="BV366" s="117"/>
      <c r="BW366" s="117"/>
      <c r="BX366" s="117"/>
      <c r="BY366" s="117"/>
      <c r="BZ366" s="117"/>
      <c r="CA366" s="117"/>
    </row>
    <row r="367" spans="1:79" ht="12.75" customHeight="1">
      <c r="A367" s="65"/>
      <c r="B367" s="100"/>
      <c r="C367" s="893"/>
      <c r="D367" s="893"/>
      <c r="E367" s="893"/>
      <c r="F367" s="893"/>
      <c r="G367" s="893"/>
      <c r="H367" s="893"/>
      <c r="I367" s="893"/>
      <c r="J367" s="893"/>
      <c r="K367" s="893"/>
      <c r="L367" s="893"/>
      <c r="M367" s="893"/>
      <c r="N367" s="893"/>
      <c r="O367" s="893"/>
      <c r="P367" s="893"/>
      <c r="Q367" s="893"/>
      <c r="R367" s="893"/>
      <c r="S367" s="893"/>
      <c r="T367" s="893"/>
      <c r="U367" s="893"/>
      <c r="V367" s="893"/>
      <c r="W367" s="893"/>
      <c r="X367" s="893"/>
      <c r="Y367" s="893"/>
      <c r="Z367" s="893"/>
      <c r="AA367" s="893"/>
      <c r="AB367" s="893"/>
      <c r="AC367" s="893"/>
      <c r="AD367" s="893"/>
      <c r="AE367" s="893"/>
      <c r="AF367" s="893"/>
      <c r="AG367" s="893"/>
      <c r="AH367" s="893"/>
      <c r="AI367" s="893"/>
      <c r="AJ367" s="893"/>
      <c r="AK367" s="65"/>
      <c r="AL367" s="65"/>
      <c r="AM367" s="65"/>
      <c r="AN367" s="424"/>
      <c r="AO367" s="117"/>
      <c r="AP367" s="117"/>
      <c r="AQ367" s="1"/>
      <c r="AR367" s="1"/>
      <c r="AS367" s="117"/>
      <c r="AT367" s="117"/>
      <c r="AU367" s="117"/>
      <c r="AV367" s="117"/>
      <c r="AW367" s="117"/>
      <c r="AX367" s="117"/>
      <c r="AY367" s="117"/>
      <c r="AZ367" s="117"/>
      <c r="BA367" s="117"/>
      <c r="BB367" s="117"/>
      <c r="BC367" s="117"/>
      <c r="BD367" s="117"/>
      <c r="BE367" s="117"/>
      <c r="BF367" s="117"/>
      <c r="BG367" s="117"/>
      <c r="BH367" s="117"/>
      <c r="BI367" s="117"/>
      <c r="BJ367" s="117"/>
      <c r="BK367" s="117"/>
      <c r="BL367" s="117"/>
      <c r="BM367" s="117"/>
      <c r="BN367" s="117"/>
      <c r="BO367" s="117"/>
      <c r="BP367" s="117"/>
      <c r="BQ367" s="117"/>
      <c r="BR367" s="117"/>
      <c r="BS367" s="117"/>
      <c r="BT367" s="117"/>
      <c r="BU367" s="117"/>
      <c r="BV367" s="117"/>
      <c r="BW367" s="117"/>
      <c r="BX367" s="117"/>
      <c r="BY367" s="117"/>
      <c r="BZ367" s="117"/>
      <c r="CA367" s="117"/>
    </row>
    <row r="368" spans="1:79" ht="12.75" customHeight="1">
      <c r="A368" s="65"/>
      <c r="B368" s="100"/>
      <c r="C368" s="893"/>
      <c r="D368" s="893"/>
      <c r="E368" s="893"/>
      <c r="F368" s="893"/>
      <c r="G368" s="893"/>
      <c r="H368" s="893"/>
      <c r="I368" s="893"/>
      <c r="J368" s="893"/>
      <c r="K368" s="893"/>
      <c r="L368" s="893"/>
      <c r="M368" s="893"/>
      <c r="N368" s="893"/>
      <c r="O368" s="893"/>
      <c r="P368" s="893"/>
      <c r="Q368" s="893"/>
      <c r="R368" s="893"/>
      <c r="S368" s="893"/>
      <c r="T368" s="893"/>
      <c r="U368" s="893"/>
      <c r="V368" s="893"/>
      <c r="W368" s="893"/>
      <c r="X368" s="893"/>
      <c r="Y368" s="893"/>
      <c r="Z368" s="893"/>
      <c r="AA368" s="893"/>
      <c r="AB368" s="893"/>
      <c r="AC368" s="893"/>
      <c r="AD368" s="893"/>
      <c r="AE368" s="893"/>
      <c r="AF368" s="893"/>
      <c r="AG368" s="893"/>
      <c r="AH368" s="893"/>
      <c r="AI368" s="893"/>
      <c r="AJ368" s="893"/>
      <c r="AK368" s="65"/>
      <c r="AL368" s="65"/>
      <c r="AM368" s="65"/>
      <c r="AN368" s="424"/>
      <c r="AO368" s="117"/>
      <c r="AP368" s="117"/>
      <c r="AQ368" s="1"/>
      <c r="AR368" s="1"/>
      <c r="AS368" s="117"/>
      <c r="AT368" s="117"/>
      <c r="AU368" s="117"/>
      <c r="AV368" s="117"/>
      <c r="AW368" s="117"/>
      <c r="AX368" s="117"/>
      <c r="AY368" s="117"/>
      <c r="AZ368" s="117"/>
      <c r="BA368" s="117"/>
      <c r="BB368" s="117"/>
      <c r="BC368" s="117"/>
      <c r="BD368" s="117"/>
      <c r="BE368" s="117"/>
      <c r="BF368" s="117"/>
      <c r="BG368" s="117"/>
      <c r="BH368" s="117"/>
      <c r="BI368" s="117"/>
      <c r="BJ368" s="117"/>
      <c r="BK368" s="117"/>
      <c r="BL368" s="117"/>
      <c r="BM368" s="117"/>
      <c r="BN368" s="117"/>
      <c r="BO368" s="117"/>
      <c r="BP368" s="117"/>
      <c r="BQ368" s="117"/>
      <c r="BR368" s="117"/>
      <c r="BS368" s="117"/>
      <c r="BT368" s="117"/>
      <c r="BU368" s="117"/>
      <c r="BV368" s="117"/>
      <c r="BW368" s="117"/>
      <c r="BX368" s="117"/>
      <c r="BY368" s="117"/>
      <c r="BZ368" s="117"/>
      <c r="CA368" s="117"/>
    </row>
    <row r="369" spans="1:79" ht="12.75" customHeight="1">
      <c r="A369" s="65"/>
      <c r="B369" s="100"/>
      <c r="C369" s="893"/>
      <c r="D369" s="893"/>
      <c r="E369" s="893"/>
      <c r="F369" s="893"/>
      <c r="G369" s="893"/>
      <c r="H369" s="893"/>
      <c r="I369" s="893"/>
      <c r="J369" s="893"/>
      <c r="K369" s="893"/>
      <c r="L369" s="893"/>
      <c r="M369" s="893"/>
      <c r="N369" s="893"/>
      <c r="O369" s="893"/>
      <c r="P369" s="893"/>
      <c r="Q369" s="893"/>
      <c r="R369" s="893"/>
      <c r="S369" s="893"/>
      <c r="T369" s="893"/>
      <c r="U369" s="893"/>
      <c r="V369" s="893"/>
      <c r="W369" s="893"/>
      <c r="X369" s="893"/>
      <c r="Y369" s="893"/>
      <c r="Z369" s="893"/>
      <c r="AA369" s="893"/>
      <c r="AB369" s="893"/>
      <c r="AC369" s="893"/>
      <c r="AD369" s="893"/>
      <c r="AE369" s="893"/>
      <c r="AF369" s="893"/>
      <c r="AG369" s="893"/>
      <c r="AH369" s="893"/>
      <c r="AI369" s="893"/>
      <c r="AJ369" s="893"/>
      <c r="AK369" s="65"/>
      <c r="AL369" s="65"/>
      <c r="AM369" s="65"/>
      <c r="AN369" s="424"/>
      <c r="AO369" s="567"/>
      <c r="AP369" s="567"/>
      <c r="AQ369" s="1"/>
      <c r="AR369" s="117"/>
      <c r="AS369" s="117"/>
      <c r="AT369" s="117"/>
      <c r="AU369" s="117"/>
      <c r="AV369" s="117"/>
      <c r="AW369" s="117"/>
      <c r="AX369" s="117"/>
      <c r="AY369" s="117"/>
      <c r="AZ369" s="117"/>
      <c r="BA369" s="117"/>
      <c r="BB369" s="117"/>
      <c r="BC369" s="117"/>
      <c r="BD369" s="117"/>
      <c r="BE369" s="117"/>
      <c r="BF369" s="117"/>
      <c r="BG369" s="117"/>
      <c r="BH369" s="117"/>
      <c r="BI369" s="117"/>
      <c r="BJ369" s="117"/>
      <c r="BK369" s="117"/>
      <c r="BL369" s="117"/>
      <c r="BM369" s="117"/>
      <c r="BN369" s="117"/>
      <c r="BO369" s="117"/>
      <c r="BP369" s="117"/>
      <c r="BQ369" s="117"/>
      <c r="BR369" s="117"/>
      <c r="BS369" s="117"/>
      <c r="BT369" s="117"/>
      <c r="BU369" s="117"/>
      <c r="BV369" s="117"/>
      <c r="BW369" s="117"/>
      <c r="BX369" s="117"/>
      <c r="BY369" s="117"/>
      <c r="BZ369" s="117"/>
      <c r="CA369" s="117"/>
    </row>
    <row r="370" spans="1:79" ht="11.25" customHeight="1">
      <c r="A370" s="65"/>
      <c r="B370" s="100"/>
      <c r="C370" s="893"/>
      <c r="D370" s="893"/>
      <c r="E370" s="893"/>
      <c r="F370" s="893"/>
      <c r="G370" s="893"/>
      <c r="H370" s="893"/>
      <c r="I370" s="893"/>
      <c r="J370" s="893"/>
      <c r="K370" s="893"/>
      <c r="L370" s="893"/>
      <c r="M370" s="893"/>
      <c r="N370" s="893"/>
      <c r="O370" s="893"/>
      <c r="P370" s="893"/>
      <c r="Q370" s="893"/>
      <c r="R370" s="893"/>
      <c r="S370" s="893"/>
      <c r="T370" s="893"/>
      <c r="U370" s="893"/>
      <c r="V370" s="893"/>
      <c r="W370" s="893"/>
      <c r="X370" s="893"/>
      <c r="Y370" s="893"/>
      <c r="Z370" s="893"/>
      <c r="AA370" s="893"/>
      <c r="AB370" s="893"/>
      <c r="AC370" s="893"/>
      <c r="AD370" s="893"/>
      <c r="AE370" s="893"/>
      <c r="AF370" s="893"/>
      <c r="AG370" s="893"/>
      <c r="AH370" s="893"/>
      <c r="AI370" s="893"/>
      <c r="AJ370" s="893"/>
      <c r="AK370" s="65"/>
      <c r="AL370" s="65"/>
      <c r="AM370" s="65"/>
      <c r="AN370" s="424"/>
      <c r="AO370" s="568" t="s">
        <v>39</v>
      </c>
      <c r="AP370" s="249">
        <f>IF(C394="Yes",5,0)</f>
        <v>0</v>
      </c>
      <c r="AQ370" s="117"/>
      <c r="AR370" s="117"/>
      <c r="AS370" s="8" t="s">
        <v>2147</v>
      </c>
      <c r="AT370" s="117"/>
      <c r="AU370" s="117"/>
      <c r="AV370" s="117"/>
      <c r="AW370" s="117"/>
      <c r="AX370" s="117"/>
      <c r="AY370" s="117"/>
      <c r="AZ370" s="117"/>
      <c r="BA370" s="117"/>
      <c r="BB370" s="117"/>
      <c r="BC370" s="117"/>
      <c r="BD370" s="117"/>
      <c r="BE370" s="117"/>
      <c r="BF370" s="117"/>
      <c r="BG370" s="117"/>
      <c r="BH370" s="117"/>
      <c r="BI370" s="117"/>
      <c r="BJ370" s="117"/>
      <c r="BK370" s="117"/>
      <c r="BL370" s="117"/>
      <c r="BM370" s="117"/>
      <c r="BN370" s="117"/>
      <c r="BO370" s="117"/>
      <c r="BP370" s="117"/>
      <c r="BQ370" s="117"/>
      <c r="BR370" s="117"/>
      <c r="BS370" s="117"/>
      <c r="BT370" s="117"/>
      <c r="BU370" s="117"/>
      <c r="BV370" s="117"/>
      <c r="BW370" s="117"/>
      <c r="BX370" s="117"/>
      <c r="BY370" s="117"/>
      <c r="BZ370" s="117"/>
      <c r="CA370" s="117"/>
    </row>
    <row r="371" spans="1:79" ht="12.75" customHeight="1">
      <c r="A371" s="65"/>
      <c r="B371" s="100"/>
      <c r="C371" s="893"/>
      <c r="D371" s="893"/>
      <c r="E371" s="893"/>
      <c r="F371" s="893"/>
      <c r="G371" s="893"/>
      <c r="H371" s="893"/>
      <c r="I371" s="893"/>
      <c r="J371" s="893"/>
      <c r="K371" s="893"/>
      <c r="L371" s="893"/>
      <c r="M371" s="893"/>
      <c r="N371" s="893"/>
      <c r="O371" s="893"/>
      <c r="P371" s="893"/>
      <c r="Q371" s="893"/>
      <c r="R371" s="893"/>
      <c r="S371" s="893"/>
      <c r="T371" s="893"/>
      <c r="U371" s="893"/>
      <c r="V371" s="893"/>
      <c r="W371" s="893"/>
      <c r="X371" s="893"/>
      <c r="Y371" s="893"/>
      <c r="Z371" s="893"/>
      <c r="AA371" s="893"/>
      <c r="AB371" s="893"/>
      <c r="AC371" s="893"/>
      <c r="AD371" s="893"/>
      <c r="AE371" s="893"/>
      <c r="AF371" s="893"/>
      <c r="AG371" s="893"/>
      <c r="AH371" s="893"/>
      <c r="AI371" s="893"/>
      <c r="AJ371" s="893"/>
      <c r="AK371" s="65"/>
      <c r="AL371" s="65"/>
      <c r="AM371" s="65"/>
      <c r="AN371" s="424"/>
      <c r="AO371" s="568" t="s">
        <v>56</v>
      </c>
      <c r="AP371" s="249">
        <f>IF(C402="Yes",5,0)</f>
        <v>0</v>
      </c>
      <c r="AQ371" s="117"/>
      <c r="AR371" s="117"/>
      <c r="AS371" s="942">
        <f>IF(Application!D211="Non-Targeted",(SUM(AQ379+AQ388)),AS375)</f>
        <v>10</v>
      </c>
      <c r="AT371" s="943"/>
      <c r="AU371" s="117"/>
      <c r="AV371" s="117"/>
      <c r="AW371" s="117"/>
      <c r="AX371" s="117"/>
      <c r="AY371" s="117"/>
      <c r="AZ371" s="117"/>
      <c r="BA371" s="117"/>
      <c r="BB371" s="117"/>
      <c r="BC371" s="117"/>
      <c r="BD371" s="117"/>
      <c r="BE371" s="117"/>
      <c r="BF371" s="117"/>
      <c r="BG371" s="117"/>
      <c r="BH371" s="117"/>
      <c r="BI371" s="117"/>
      <c r="BJ371" s="117"/>
      <c r="BK371" s="117"/>
      <c r="BL371" s="117"/>
      <c r="BM371" s="117"/>
      <c r="BN371" s="117"/>
      <c r="BO371" s="117"/>
      <c r="BP371" s="117"/>
      <c r="BQ371" s="117"/>
      <c r="BR371" s="117"/>
      <c r="BS371" s="117"/>
      <c r="BT371" s="117"/>
      <c r="BU371" s="117"/>
      <c r="BV371" s="117"/>
      <c r="BW371" s="117"/>
      <c r="BX371" s="117"/>
      <c r="BY371" s="117"/>
      <c r="BZ371" s="117"/>
      <c r="CA371" s="117"/>
    </row>
    <row r="372" spans="1:79" ht="12.75" customHeight="1">
      <c r="A372" s="65"/>
      <c r="B372" s="100"/>
      <c r="C372" s="893"/>
      <c r="D372" s="893"/>
      <c r="E372" s="893"/>
      <c r="F372" s="893"/>
      <c r="G372" s="893"/>
      <c r="H372" s="893"/>
      <c r="I372" s="893"/>
      <c r="J372" s="893"/>
      <c r="K372" s="893"/>
      <c r="L372" s="893"/>
      <c r="M372" s="893"/>
      <c r="N372" s="893"/>
      <c r="O372" s="893"/>
      <c r="P372" s="893"/>
      <c r="Q372" s="893"/>
      <c r="R372" s="893"/>
      <c r="S372" s="893"/>
      <c r="T372" s="893"/>
      <c r="U372" s="893"/>
      <c r="V372" s="893"/>
      <c r="W372" s="893"/>
      <c r="X372" s="893"/>
      <c r="Y372" s="893"/>
      <c r="Z372" s="893"/>
      <c r="AA372" s="893"/>
      <c r="AB372" s="893"/>
      <c r="AC372" s="893"/>
      <c r="AD372" s="893"/>
      <c r="AE372" s="893"/>
      <c r="AF372" s="893"/>
      <c r="AG372" s="893"/>
      <c r="AH372" s="893"/>
      <c r="AI372" s="893"/>
      <c r="AJ372" s="893"/>
      <c r="AK372" s="65"/>
      <c r="AL372" s="65"/>
      <c r="AM372" s="65"/>
      <c r="AN372" s="424"/>
      <c r="AO372" s="568" t="s">
        <v>67</v>
      </c>
      <c r="AP372" s="249">
        <f>IF(C410="Yes",7,0)</f>
        <v>7</v>
      </c>
      <c r="AQ372" s="117"/>
      <c r="AR372" s="117"/>
      <c r="AS372" s="8" t="s">
        <v>2148</v>
      </c>
      <c r="AT372" s="117"/>
      <c r="AU372" s="117"/>
      <c r="AV372" s="117"/>
      <c r="AW372" s="117"/>
      <c r="AX372" s="117"/>
      <c r="AY372" s="117"/>
      <c r="AZ372" s="117"/>
      <c r="BA372" s="117"/>
      <c r="BB372" s="117"/>
      <c r="BC372" s="117"/>
      <c r="BD372" s="117"/>
      <c r="BE372" s="117"/>
      <c r="BF372" s="117"/>
      <c r="BG372" s="117"/>
      <c r="BH372" s="117"/>
      <c r="BI372" s="117"/>
      <c r="BJ372" s="117"/>
      <c r="BK372" s="117"/>
      <c r="BL372" s="117"/>
      <c r="BM372" s="117"/>
      <c r="BN372" s="117"/>
      <c r="BO372" s="117"/>
      <c r="BP372" s="117"/>
      <c r="BQ372" s="117"/>
      <c r="BR372" s="117"/>
      <c r="BS372" s="117"/>
      <c r="BT372" s="117"/>
      <c r="BU372" s="117"/>
      <c r="BV372" s="117"/>
      <c r="BW372" s="117"/>
      <c r="BX372" s="117"/>
      <c r="BY372" s="117"/>
      <c r="BZ372" s="117"/>
      <c r="CA372" s="117"/>
    </row>
    <row r="373" spans="1:79" ht="12.75" customHeight="1">
      <c r="A373" s="117"/>
      <c r="B373" s="100"/>
      <c r="C373" s="893"/>
      <c r="D373" s="893"/>
      <c r="E373" s="893"/>
      <c r="F373" s="893"/>
      <c r="G373" s="893"/>
      <c r="H373" s="893"/>
      <c r="I373" s="893"/>
      <c r="J373" s="893"/>
      <c r="K373" s="893"/>
      <c r="L373" s="893"/>
      <c r="M373" s="893"/>
      <c r="N373" s="893"/>
      <c r="O373" s="893"/>
      <c r="P373" s="893"/>
      <c r="Q373" s="893"/>
      <c r="R373" s="893"/>
      <c r="S373" s="893"/>
      <c r="T373" s="893"/>
      <c r="U373" s="893"/>
      <c r="V373" s="893"/>
      <c r="W373" s="893"/>
      <c r="X373" s="893"/>
      <c r="Y373" s="893"/>
      <c r="Z373" s="893"/>
      <c r="AA373" s="893"/>
      <c r="AB373" s="893"/>
      <c r="AC373" s="893"/>
      <c r="AD373" s="893"/>
      <c r="AE373" s="893"/>
      <c r="AF373" s="893"/>
      <c r="AG373" s="893"/>
      <c r="AH373" s="893"/>
      <c r="AI373" s="893"/>
      <c r="AJ373" s="893"/>
      <c r="AK373" s="65"/>
      <c r="AL373" s="65"/>
      <c r="AM373" s="65"/>
      <c r="AN373" s="424"/>
      <c r="AO373" s="424"/>
      <c r="AP373" s="249">
        <f>IF(C412="Yes",5,0)</f>
        <v>0</v>
      </c>
      <c r="AQ373" s="117"/>
      <c r="AR373" s="117"/>
      <c r="AS373" s="942">
        <f>IF(AND(AQ379&gt;0,AQ388&gt;0),(AQ379+AQ388)/2,0)</f>
        <v>0</v>
      </c>
      <c r="AT373" s="943"/>
      <c r="AU373" s="117"/>
      <c r="AV373" s="117"/>
      <c r="AW373" s="117"/>
      <c r="AX373" s="117"/>
      <c r="AY373" s="117"/>
      <c r="AZ373" s="117"/>
      <c r="BA373" s="117"/>
      <c r="BB373" s="117"/>
      <c r="BC373" s="117"/>
      <c r="BD373" s="117"/>
      <c r="BE373" s="117"/>
      <c r="BF373" s="117"/>
      <c r="BG373" s="117"/>
      <c r="BH373" s="117"/>
      <c r="BI373" s="117"/>
      <c r="BJ373" s="117"/>
      <c r="BK373" s="117"/>
      <c r="BL373" s="117"/>
      <c r="BM373" s="117"/>
      <c r="BN373" s="117"/>
      <c r="BO373" s="117"/>
      <c r="BP373" s="117"/>
      <c r="BQ373" s="117"/>
      <c r="BR373" s="117"/>
      <c r="BS373" s="117"/>
      <c r="BT373" s="117"/>
      <c r="BU373" s="117"/>
      <c r="BV373" s="117"/>
      <c r="BW373" s="117"/>
      <c r="BX373" s="117"/>
      <c r="BY373" s="117"/>
      <c r="BZ373" s="117"/>
      <c r="CA373" s="117"/>
    </row>
    <row r="374" spans="1:79" ht="12.75" customHeight="1">
      <c r="A374" s="65"/>
      <c r="B374" s="100"/>
      <c r="C374" s="893"/>
      <c r="D374" s="893"/>
      <c r="E374" s="893"/>
      <c r="F374" s="893"/>
      <c r="G374" s="893"/>
      <c r="H374" s="893"/>
      <c r="I374" s="893"/>
      <c r="J374" s="893"/>
      <c r="K374" s="893"/>
      <c r="L374" s="893"/>
      <c r="M374" s="893"/>
      <c r="N374" s="893"/>
      <c r="O374" s="893"/>
      <c r="P374" s="893"/>
      <c r="Q374" s="893"/>
      <c r="R374" s="893"/>
      <c r="S374" s="893"/>
      <c r="T374" s="893"/>
      <c r="U374" s="893"/>
      <c r="V374" s="893"/>
      <c r="W374" s="893"/>
      <c r="X374" s="893"/>
      <c r="Y374" s="893"/>
      <c r="Z374" s="893"/>
      <c r="AA374" s="893"/>
      <c r="AB374" s="893"/>
      <c r="AC374" s="893"/>
      <c r="AD374" s="893"/>
      <c r="AE374" s="893"/>
      <c r="AF374" s="893"/>
      <c r="AG374" s="893"/>
      <c r="AH374" s="893"/>
      <c r="AI374" s="893"/>
      <c r="AJ374" s="893"/>
      <c r="AK374" s="65"/>
      <c r="AL374" s="65"/>
      <c r="AM374" s="65"/>
      <c r="AN374" s="424"/>
      <c r="AO374" s="568" t="s">
        <v>119</v>
      </c>
      <c r="AP374" s="249">
        <f>IF(C420="Yes",5,0)</f>
        <v>0</v>
      </c>
      <c r="AQ374" s="117"/>
      <c r="AR374" s="117"/>
      <c r="AS374" s="8" t="s">
        <v>2149</v>
      </c>
      <c r="AT374" s="117"/>
      <c r="AU374" s="117"/>
      <c r="AV374" s="117"/>
      <c r="AW374" s="117"/>
      <c r="AX374" s="117"/>
      <c r="AY374" s="117"/>
      <c r="AZ374" s="117"/>
      <c r="BA374" s="117"/>
      <c r="BB374" s="117"/>
      <c r="BC374" s="117"/>
      <c r="BD374" s="117"/>
      <c r="BE374" s="117"/>
      <c r="BF374" s="117"/>
      <c r="BG374" s="117"/>
      <c r="BH374" s="117"/>
      <c r="BI374" s="117"/>
      <c r="BJ374" s="117"/>
      <c r="BK374" s="117"/>
      <c r="BL374" s="117"/>
      <c r="BM374" s="117"/>
      <c r="BN374" s="117"/>
      <c r="BO374" s="117"/>
      <c r="BP374" s="117"/>
      <c r="BQ374" s="117"/>
      <c r="BR374" s="117"/>
      <c r="BS374" s="117"/>
      <c r="BT374" s="117"/>
      <c r="BU374" s="117"/>
      <c r="BV374" s="117"/>
      <c r="BW374" s="117"/>
      <c r="BX374" s="117"/>
      <c r="BY374" s="117"/>
      <c r="BZ374" s="117"/>
      <c r="CA374" s="117"/>
    </row>
    <row r="375" spans="1:79" ht="12.75" customHeight="1">
      <c r="A375" s="65"/>
      <c r="B375" s="100"/>
      <c r="C375" s="1429" t="s">
        <v>2150</v>
      </c>
      <c r="D375" s="893"/>
      <c r="E375" s="893"/>
      <c r="F375" s="893"/>
      <c r="G375" s="893"/>
      <c r="H375" s="893"/>
      <c r="I375" s="893"/>
      <c r="J375" s="893"/>
      <c r="K375" s="893"/>
      <c r="L375" s="893"/>
      <c r="M375" s="893"/>
      <c r="N375" s="893"/>
      <c r="O375" s="893"/>
      <c r="P375" s="893"/>
      <c r="Q375" s="893"/>
      <c r="R375" s="893"/>
      <c r="S375" s="893"/>
      <c r="T375" s="893"/>
      <c r="U375" s="893"/>
      <c r="V375" s="893"/>
      <c r="W375" s="893"/>
      <c r="X375" s="893"/>
      <c r="Y375" s="893"/>
      <c r="Z375" s="893"/>
      <c r="AA375" s="893"/>
      <c r="AB375" s="893"/>
      <c r="AC375" s="893"/>
      <c r="AD375" s="893"/>
      <c r="AE375" s="893"/>
      <c r="AF375" s="893"/>
      <c r="AG375" s="893"/>
      <c r="AH375" s="893"/>
      <c r="AI375" s="893"/>
      <c r="AJ375" s="893"/>
      <c r="AK375" s="65"/>
      <c r="AL375" s="65"/>
      <c r="AM375" s="65"/>
      <c r="AN375" s="424"/>
      <c r="AO375" s="424"/>
      <c r="AP375" s="249">
        <f>IF(C422="Yes",3,0)</f>
        <v>3</v>
      </c>
      <c r="AQ375" s="117"/>
      <c r="AR375" s="117"/>
      <c r="AS375" s="942">
        <f>IF(AQ379=0,AQ388,AQ379)</f>
        <v>10</v>
      </c>
      <c r="AT375" s="943"/>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c r="CA375" s="117"/>
    </row>
    <row r="376" spans="1:79" ht="12.75" customHeight="1">
      <c r="A376" s="65"/>
      <c r="B376" s="100"/>
      <c r="C376" s="893"/>
      <c r="D376" s="893"/>
      <c r="E376" s="893"/>
      <c r="F376" s="893"/>
      <c r="G376" s="893"/>
      <c r="H376" s="893"/>
      <c r="I376" s="893"/>
      <c r="J376" s="893"/>
      <c r="K376" s="893"/>
      <c r="L376" s="893"/>
      <c r="M376" s="893"/>
      <c r="N376" s="893"/>
      <c r="O376" s="893"/>
      <c r="P376" s="893"/>
      <c r="Q376" s="893"/>
      <c r="R376" s="893"/>
      <c r="S376" s="893"/>
      <c r="T376" s="893"/>
      <c r="U376" s="893"/>
      <c r="V376" s="893"/>
      <c r="W376" s="893"/>
      <c r="X376" s="893"/>
      <c r="Y376" s="893"/>
      <c r="Z376" s="893"/>
      <c r="AA376" s="893"/>
      <c r="AB376" s="893"/>
      <c r="AC376" s="893"/>
      <c r="AD376" s="893"/>
      <c r="AE376" s="893"/>
      <c r="AF376" s="893"/>
      <c r="AG376" s="893"/>
      <c r="AH376" s="893"/>
      <c r="AI376" s="893"/>
      <c r="AJ376" s="893"/>
      <c r="AK376" s="65"/>
      <c r="AL376" s="65"/>
      <c r="AM376" s="65"/>
      <c r="AN376" s="424"/>
      <c r="AO376" s="568" t="s">
        <v>124</v>
      </c>
      <c r="AP376" s="249">
        <f>IF(C425="Yes",5,0)</f>
        <v>0</v>
      </c>
      <c r="AQ376" s="117"/>
      <c r="AR376" s="117"/>
      <c r="AS376" s="117"/>
      <c r="AT376" s="117"/>
      <c r="AU376" s="117"/>
      <c r="AV376" s="117"/>
      <c r="AW376" s="117"/>
      <c r="AX376" s="117"/>
      <c r="AY376" s="117"/>
      <c r="AZ376" s="117"/>
      <c r="BA376" s="117"/>
      <c r="BB376" s="117"/>
      <c r="BC376" s="117"/>
      <c r="BD376" s="117"/>
      <c r="BE376" s="117"/>
      <c r="BF376" s="117"/>
      <c r="BG376" s="117"/>
      <c r="BH376" s="117"/>
      <c r="BI376" s="117"/>
      <c r="BJ376" s="117"/>
      <c r="BK376" s="117"/>
      <c r="BL376" s="117"/>
      <c r="BM376" s="117"/>
      <c r="BN376" s="117"/>
      <c r="BO376" s="117"/>
      <c r="BP376" s="117"/>
      <c r="BQ376" s="117"/>
      <c r="BR376" s="117"/>
      <c r="BS376" s="117"/>
      <c r="BT376" s="117"/>
      <c r="BU376" s="117"/>
      <c r="BV376" s="117"/>
      <c r="BW376" s="117"/>
      <c r="BX376" s="117"/>
      <c r="BY376" s="117"/>
      <c r="BZ376" s="117"/>
      <c r="CA376" s="117"/>
    </row>
    <row r="377" spans="1:79" ht="12.75" customHeight="1">
      <c r="A377" s="65"/>
      <c r="B377" s="100"/>
      <c r="C377" s="893"/>
      <c r="D377" s="893"/>
      <c r="E377" s="893"/>
      <c r="F377" s="893"/>
      <c r="G377" s="893"/>
      <c r="H377" s="893"/>
      <c r="I377" s="893"/>
      <c r="J377" s="893"/>
      <c r="K377" s="893"/>
      <c r="L377" s="893"/>
      <c r="M377" s="893"/>
      <c r="N377" s="893"/>
      <c r="O377" s="893"/>
      <c r="P377" s="893"/>
      <c r="Q377" s="893"/>
      <c r="R377" s="893"/>
      <c r="S377" s="893"/>
      <c r="T377" s="893"/>
      <c r="U377" s="893"/>
      <c r="V377" s="893"/>
      <c r="W377" s="893"/>
      <c r="X377" s="893"/>
      <c r="Y377" s="893"/>
      <c r="Z377" s="893"/>
      <c r="AA377" s="893"/>
      <c r="AB377" s="893"/>
      <c r="AC377" s="893"/>
      <c r="AD377" s="893"/>
      <c r="AE377" s="893"/>
      <c r="AF377" s="893"/>
      <c r="AG377" s="893"/>
      <c r="AH377" s="893"/>
      <c r="AI377" s="893"/>
      <c r="AJ377" s="893"/>
      <c r="AK377" s="65"/>
      <c r="AL377" s="65"/>
      <c r="AM377" s="65"/>
      <c r="AN377" s="424"/>
      <c r="AO377" s="568" t="s">
        <v>1811</v>
      </c>
      <c r="AP377" s="249">
        <f>IF(C434="Yes",5,0)</f>
        <v>0</v>
      </c>
      <c r="AQ377" s="117"/>
      <c r="AR377" s="117"/>
      <c r="AS377" s="117"/>
      <c r="AT377" s="117"/>
      <c r="AU377" s="117"/>
      <c r="AV377" s="117"/>
      <c r="AW377" s="117"/>
      <c r="AX377" s="117"/>
      <c r="AY377" s="117"/>
      <c r="AZ377" s="117"/>
      <c r="BA377" s="117"/>
      <c r="BB377" s="117"/>
      <c r="BC377" s="117"/>
      <c r="BD377" s="117"/>
      <c r="BE377" s="117"/>
      <c r="BF377" s="117"/>
      <c r="BG377" s="117"/>
      <c r="BH377" s="117"/>
      <c r="BI377" s="117"/>
      <c r="BJ377" s="117"/>
      <c r="BK377" s="117"/>
      <c r="BL377" s="117"/>
      <c r="BM377" s="117"/>
      <c r="BN377" s="117"/>
      <c r="BO377" s="117"/>
      <c r="BP377" s="117"/>
      <c r="BQ377" s="117"/>
      <c r="BR377" s="117"/>
      <c r="BS377" s="117"/>
      <c r="BT377" s="117"/>
      <c r="BU377" s="117"/>
      <c r="BV377" s="117"/>
      <c r="BW377" s="117"/>
      <c r="BX377" s="117"/>
      <c r="BY377" s="117"/>
      <c r="BZ377" s="117"/>
      <c r="CA377" s="117"/>
    </row>
    <row r="378" spans="1:79" ht="11.25" customHeight="1">
      <c r="A378" s="65"/>
      <c r="B378" s="100"/>
      <c r="C378" s="893"/>
      <c r="D378" s="893"/>
      <c r="E378" s="893"/>
      <c r="F378" s="893"/>
      <c r="G378" s="893"/>
      <c r="H378" s="893"/>
      <c r="I378" s="893"/>
      <c r="J378" s="893"/>
      <c r="K378" s="893"/>
      <c r="L378" s="893"/>
      <c r="M378" s="893"/>
      <c r="N378" s="893"/>
      <c r="O378" s="893"/>
      <c r="P378" s="893"/>
      <c r="Q378" s="893"/>
      <c r="R378" s="893"/>
      <c r="S378" s="893"/>
      <c r="T378" s="893"/>
      <c r="U378" s="893"/>
      <c r="V378" s="893"/>
      <c r="W378" s="893"/>
      <c r="X378" s="893"/>
      <c r="Y378" s="893"/>
      <c r="Z378" s="893"/>
      <c r="AA378" s="893"/>
      <c r="AB378" s="893"/>
      <c r="AC378" s="893"/>
      <c r="AD378" s="893"/>
      <c r="AE378" s="893"/>
      <c r="AF378" s="893"/>
      <c r="AG378" s="893"/>
      <c r="AH378" s="893"/>
      <c r="AI378" s="893"/>
      <c r="AJ378" s="893"/>
      <c r="AK378" s="65"/>
      <c r="AL378" s="65"/>
      <c r="AM378" s="65"/>
      <c r="AN378" s="424"/>
      <c r="AO378" s="571"/>
      <c r="AP378" s="251">
        <f>IF(C436="Yes",3,0)</f>
        <v>0</v>
      </c>
      <c r="AQ378" s="117"/>
      <c r="AR378" s="117"/>
      <c r="AS378" s="117"/>
      <c r="AT378" s="117"/>
      <c r="AU378" s="117"/>
      <c r="AV378" s="117"/>
      <c r="AW378" s="117"/>
      <c r="AX378" s="117"/>
      <c r="AY378" s="117"/>
      <c r="AZ378" s="117"/>
      <c r="BA378" s="117"/>
      <c r="BB378" s="117"/>
      <c r="BC378" s="117"/>
      <c r="BD378" s="117"/>
      <c r="BE378" s="117"/>
      <c r="BF378" s="117"/>
      <c r="BG378" s="117"/>
      <c r="BH378" s="117"/>
      <c r="BI378" s="117"/>
      <c r="BJ378" s="117"/>
      <c r="BK378" s="117"/>
      <c r="BL378" s="117"/>
      <c r="BM378" s="117"/>
      <c r="BN378" s="117"/>
      <c r="BO378" s="117"/>
      <c r="BP378" s="117"/>
      <c r="BQ378" s="117"/>
      <c r="BR378" s="117"/>
      <c r="BS378" s="117"/>
      <c r="BT378" s="117"/>
      <c r="BU378" s="117"/>
      <c r="BV378" s="117"/>
      <c r="BW378" s="117"/>
      <c r="BX378" s="117"/>
      <c r="BY378" s="117"/>
      <c r="BZ378" s="117"/>
      <c r="CA378" s="117"/>
    </row>
    <row r="379" spans="1:79" ht="12" customHeight="1">
      <c r="A379" s="65"/>
      <c r="B379" s="100"/>
      <c r="C379" s="893"/>
      <c r="D379" s="893"/>
      <c r="E379" s="893"/>
      <c r="F379" s="893"/>
      <c r="G379" s="893"/>
      <c r="H379" s="893"/>
      <c r="I379" s="893"/>
      <c r="J379" s="893"/>
      <c r="K379" s="893"/>
      <c r="L379" s="893"/>
      <c r="M379" s="893"/>
      <c r="N379" s="893"/>
      <c r="O379" s="893"/>
      <c r="P379" s="893"/>
      <c r="Q379" s="893"/>
      <c r="R379" s="893"/>
      <c r="S379" s="893"/>
      <c r="T379" s="893"/>
      <c r="U379" s="893"/>
      <c r="V379" s="893"/>
      <c r="W379" s="893"/>
      <c r="X379" s="893"/>
      <c r="Y379" s="893"/>
      <c r="Z379" s="893"/>
      <c r="AA379" s="893"/>
      <c r="AB379" s="893"/>
      <c r="AC379" s="893"/>
      <c r="AD379" s="893"/>
      <c r="AE379" s="893"/>
      <c r="AF379" s="893"/>
      <c r="AG379" s="893"/>
      <c r="AH379" s="893"/>
      <c r="AI379" s="893"/>
      <c r="AJ379" s="893"/>
      <c r="AK379" s="65"/>
      <c r="AL379" s="65"/>
      <c r="AM379" s="65"/>
      <c r="AN379" s="424"/>
      <c r="AO379" s="572" t="s">
        <v>2151</v>
      </c>
      <c r="AP379" s="6">
        <f>SUM(AP370:AP378)</f>
        <v>10</v>
      </c>
      <c r="AQ379" s="1082">
        <f>IF(AP379&gt;0,AP379,0)</f>
        <v>10</v>
      </c>
      <c r="AR379" s="943"/>
      <c r="AS379" s="117"/>
      <c r="AT379" s="117"/>
      <c r="AU379" s="117"/>
      <c r="AV379" s="117"/>
      <c r="AW379" s="117"/>
      <c r="AX379" s="117"/>
      <c r="AY379" s="117"/>
      <c r="AZ379" s="117"/>
      <c r="BA379" s="117"/>
      <c r="BB379" s="117"/>
      <c r="BC379" s="117"/>
      <c r="BD379" s="117"/>
      <c r="BE379" s="117"/>
      <c r="BF379" s="117"/>
      <c r="BG379" s="117"/>
      <c r="BH379" s="117"/>
      <c r="BI379" s="117"/>
      <c r="BJ379" s="117"/>
      <c r="BK379" s="117"/>
      <c r="BL379" s="117"/>
      <c r="BM379" s="117"/>
      <c r="BN379" s="117"/>
      <c r="BO379" s="117"/>
      <c r="BP379" s="117"/>
      <c r="BQ379" s="117"/>
      <c r="BR379" s="117"/>
      <c r="BS379" s="117"/>
      <c r="BT379" s="117"/>
      <c r="BU379" s="117"/>
      <c r="BV379" s="117"/>
      <c r="BW379" s="117"/>
      <c r="BX379" s="117"/>
      <c r="BY379" s="117"/>
      <c r="BZ379" s="117"/>
      <c r="CA379" s="117"/>
    </row>
    <row r="380" spans="1:79" ht="12.75" customHeight="1">
      <c r="A380" s="65"/>
      <c r="B380" s="100"/>
      <c r="C380" s="893"/>
      <c r="D380" s="893"/>
      <c r="E380" s="893"/>
      <c r="F380" s="893"/>
      <c r="G380" s="893"/>
      <c r="H380" s="893"/>
      <c r="I380" s="893"/>
      <c r="J380" s="893"/>
      <c r="K380" s="893"/>
      <c r="L380" s="893"/>
      <c r="M380" s="893"/>
      <c r="N380" s="893"/>
      <c r="O380" s="893"/>
      <c r="P380" s="893"/>
      <c r="Q380" s="893"/>
      <c r="R380" s="893"/>
      <c r="S380" s="893"/>
      <c r="T380" s="893"/>
      <c r="U380" s="893"/>
      <c r="V380" s="893"/>
      <c r="W380" s="893"/>
      <c r="X380" s="893"/>
      <c r="Y380" s="893"/>
      <c r="Z380" s="893"/>
      <c r="AA380" s="893"/>
      <c r="AB380" s="893"/>
      <c r="AC380" s="893"/>
      <c r="AD380" s="893"/>
      <c r="AE380" s="893"/>
      <c r="AF380" s="893"/>
      <c r="AG380" s="893"/>
      <c r="AH380" s="893"/>
      <c r="AI380" s="893"/>
      <c r="AJ380" s="893"/>
      <c r="AK380" s="65"/>
      <c r="AL380" s="65"/>
      <c r="AM380" s="65"/>
      <c r="AN380" s="424"/>
      <c r="AO380" s="117"/>
      <c r="AP380" s="1"/>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c r="CA380" s="117"/>
    </row>
    <row r="381" spans="1:79" ht="12.75" customHeight="1">
      <c r="A381" s="65"/>
      <c r="B381" s="100"/>
      <c r="C381" s="573"/>
      <c r="D381" s="573"/>
      <c r="E381" s="573"/>
      <c r="F381" s="573"/>
      <c r="G381" s="573"/>
      <c r="H381" s="573"/>
      <c r="I381" s="573"/>
      <c r="J381" s="573"/>
      <c r="K381" s="573"/>
      <c r="L381" s="573"/>
      <c r="M381" s="573"/>
      <c r="N381" s="573"/>
      <c r="O381" s="573"/>
      <c r="P381" s="573"/>
      <c r="Q381" s="573"/>
      <c r="R381" s="573"/>
      <c r="S381" s="573"/>
      <c r="T381" s="573"/>
      <c r="U381" s="573"/>
      <c r="V381" s="573"/>
      <c r="W381" s="573"/>
      <c r="X381" s="573"/>
      <c r="Y381" s="573"/>
      <c r="Z381" s="573"/>
      <c r="AA381" s="573"/>
      <c r="AB381" s="573"/>
      <c r="AC381" s="573"/>
      <c r="AD381" s="573"/>
      <c r="AE381" s="573"/>
      <c r="AF381" s="573"/>
      <c r="AG381" s="573"/>
      <c r="AH381" s="573"/>
      <c r="AI381" s="573"/>
      <c r="AJ381" s="573"/>
      <c r="AK381" s="65"/>
      <c r="AL381" s="65"/>
      <c r="AM381" s="65"/>
      <c r="AN381" s="424"/>
      <c r="AO381" s="568" t="s">
        <v>1814</v>
      </c>
      <c r="AP381" s="249">
        <f>IF(C443="Yes",5,0)</f>
        <v>0</v>
      </c>
      <c r="AQ381" s="117"/>
      <c r="AR381" s="117"/>
      <c r="AS381" s="117"/>
      <c r="AT381" s="117"/>
      <c r="AU381" s="117"/>
      <c r="AV381" s="117"/>
      <c r="AW381" s="117"/>
      <c r="AX381" s="117"/>
      <c r="AY381" s="117"/>
      <c r="AZ381" s="117"/>
      <c r="BA381" s="117"/>
      <c r="BB381" s="117"/>
      <c r="BC381" s="117"/>
      <c r="BD381" s="117"/>
      <c r="BE381" s="117"/>
      <c r="BF381" s="117"/>
      <c r="BG381" s="117"/>
      <c r="BH381" s="117"/>
      <c r="BI381" s="117"/>
      <c r="BJ381" s="117"/>
      <c r="BK381" s="117"/>
      <c r="BL381" s="117"/>
      <c r="BM381" s="117"/>
      <c r="BN381" s="117"/>
      <c r="BO381" s="117"/>
      <c r="BP381" s="117"/>
      <c r="BQ381" s="117"/>
      <c r="BR381" s="117"/>
      <c r="BS381" s="117"/>
      <c r="BT381" s="117"/>
      <c r="BU381" s="117"/>
      <c r="BV381" s="117"/>
      <c r="BW381" s="117"/>
      <c r="BX381" s="117"/>
      <c r="BY381" s="117"/>
      <c r="BZ381" s="117"/>
      <c r="CA381" s="117"/>
    </row>
    <row r="382" spans="1:79" ht="12.75" customHeight="1">
      <c r="A382" s="65"/>
      <c r="B382" s="100"/>
      <c r="C382" s="1428" t="s">
        <v>2152</v>
      </c>
      <c r="D382" s="893"/>
      <c r="E382" s="893"/>
      <c r="F382" s="893"/>
      <c r="G382" s="893"/>
      <c r="H382" s="893"/>
      <c r="I382" s="893"/>
      <c r="J382" s="893"/>
      <c r="K382" s="893"/>
      <c r="L382" s="893"/>
      <c r="M382" s="893"/>
      <c r="N382" s="893"/>
      <c r="O382" s="893"/>
      <c r="P382" s="893"/>
      <c r="Q382" s="893"/>
      <c r="R382" s="893"/>
      <c r="S382" s="893"/>
      <c r="T382" s="893"/>
      <c r="U382" s="893"/>
      <c r="V382" s="893"/>
      <c r="W382" s="893"/>
      <c r="X382" s="893"/>
      <c r="Y382" s="893"/>
      <c r="Z382" s="893"/>
      <c r="AA382" s="893"/>
      <c r="AB382" s="893"/>
      <c r="AC382" s="893"/>
      <c r="AD382" s="893"/>
      <c r="AE382" s="893"/>
      <c r="AF382" s="893"/>
      <c r="AG382" s="893"/>
      <c r="AH382" s="893"/>
      <c r="AI382" s="893"/>
      <c r="AJ382" s="893"/>
      <c r="AK382" s="65"/>
      <c r="AL382" s="65"/>
      <c r="AM382" s="65"/>
      <c r="AN382" s="424"/>
      <c r="AO382" s="568" t="s">
        <v>1821</v>
      </c>
      <c r="AP382" s="249">
        <f>IF(C455="Yes",5,0)</f>
        <v>0</v>
      </c>
      <c r="AQ382" s="117"/>
      <c r="AR382" s="117"/>
      <c r="AS382" s="117"/>
      <c r="AT382" s="117"/>
      <c r="AU382" s="117"/>
      <c r="AV382" s="117"/>
      <c r="AW382" s="117"/>
      <c r="AX382" s="117"/>
      <c r="AY382" s="117"/>
      <c r="AZ382" s="117"/>
      <c r="BA382" s="117"/>
      <c r="BB382" s="117"/>
      <c r="BC382" s="117"/>
      <c r="BD382" s="117"/>
      <c r="BE382" s="117"/>
      <c r="BF382" s="117"/>
      <c r="BG382" s="117"/>
      <c r="BH382" s="117"/>
      <c r="BI382" s="117"/>
      <c r="BJ382" s="117"/>
      <c r="BK382" s="117"/>
      <c r="BL382" s="117"/>
      <c r="BM382" s="117"/>
      <c r="BN382" s="117"/>
      <c r="BO382" s="117"/>
      <c r="BP382" s="117"/>
      <c r="BQ382" s="117"/>
      <c r="BR382" s="117"/>
      <c r="BS382" s="117"/>
      <c r="BT382" s="117"/>
      <c r="BU382" s="117"/>
      <c r="BV382" s="117"/>
      <c r="BW382" s="117"/>
      <c r="BX382" s="117"/>
      <c r="BY382" s="117"/>
      <c r="BZ382" s="117"/>
      <c r="CA382" s="117"/>
    </row>
    <row r="383" spans="1:79" ht="12.75" customHeight="1">
      <c r="A383" s="65"/>
      <c r="B383" s="100"/>
      <c r="C383" s="893"/>
      <c r="D383" s="893"/>
      <c r="E383" s="893"/>
      <c r="F383" s="893"/>
      <c r="G383" s="893"/>
      <c r="H383" s="893"/>
      <c r="I383" s="893"/>
      <c r="J383" s="893"/>
      <c r="K383" s="893"/>
      <c r="L383" s="893"/>
      <c r="M383" s="893"/>
      <c r="N383" s="893"/>
      <c r="O383" s="893"/>
      <c r="P383" s="893"/>
      <c r="Q383" s="893"/>
      <c r="R383" s="893"/>
      <c r="S383" s="893"/>
      <c r="T383" s="893"/>
      <c r="U383" s="893"/>
      <c r="V383" s="893"/>
      <c r="W383" s="893"/>
      <c r="X383" s="893"/>
      <c r="Y383" s="893"/>
      <c r="Z383" s="893"/>
      <c r="AA383" s="893"/>
      <c r="AB383" s="893"/>
      <c r="AC383" s="893"/>
      <c r="AD383" s="893"/>
      <c r="AE383" s="893"/>
      <c r="AF383" s="893"/>
      <c r="AG383" s="893"/>
      <c r="AH383" s="893"/>
      <c r="AI383" s="893"/>
      <c r="AJ383" s="893"/>
      <c r="AK383" s="65"/>
      <c r="AL383" s="65"/>
      <c r="AM383" s="65"/>
      <c r="AN383" s="424"/>
      <c r="AO383" s="568" t="s">
        <v>1824</v>
      </c>
      <c r="AP383" s="249">
        <f>IF(C462="Yes",5,0)</f>
        <v>0</v>
      </c>
      <c r="AQ383" s="117"/>
      <c r="AR383" s="117"/>
      <c r="AS383" s="117"/>
      <c r="AT383" s="117"/>
      <c r="AU383" s="117"/>
      <c r="AV383" s="117"/>
      <c r="AW383" s="117"/>
      <c r="AX383" s="117"/>
      <c r="AY383" s="117"/>
      <c r="AZ383" s="117"/>
      <c r="BA383" s="117"/>
      <c r="BB383" s="117"/>
      <c r="BC383" s="117"/>
      <c r="BD383" s="117"/>
      <c r="BE383" s="117"/>
      <c r="BF383" s="117"/>
      <c r="BG383" s="117"/>
      <c r="BH383" s="117"/>
      <c r="BI383" s="117"/>
      <c r="BJ383" s="117"/>
      <c r="BK383" s="117"/>
      <c r="BL383" s="117"/>
      <c r="BM383" s="117"/>
      <c r="BN383" s="117"/>
      <c r="BO383" s="117"/>
      <c r="BP383" s="117"/>
      <c r="BQ383" s="117"/>
      <c r="BR383" s="117"/>
      <c r="BS383" s="117"/>
      <c r="BT383" s="117"/>
      <c r="BU383" s="117"/>
      <c r="BV383" s="117"/>
      <c r="BW383" s="117"/>
      <c r="BX383" s="117"/>
      <c r="BY383" s="117"/>
      <c r="BZ383" s="117"/>
      <c r="CA383" s="117"/>
    </row>
    <row r="384" spans="1:79" ht="67.5" customHeight="1">
      <c r="A384" s="65"/>
      <c r="B384" s="100"/>
      <c r="C384" s="893"/>
      <c r="D384" s="893"/>
      <c r="E384" s="893"/>
      <c r="F384" s="893"/>
      <c r="G384" s="893"/>
      <c r="H384" s="893"/>
      <c r="I384" s="893"/>
      <c r="J384" s="893"/>
      <c r="K384" s="893"/>
      <c r="L384" s="893"/>
      <c r="M384" s="893"/>
      <c r="N384" s="893"/>
      <c r="O384" s="893"/>
      <c r="P384" s="893"/>
      <c r="Q384" s="893"/>
      <c r="R384" s="893"/>
      <c r="S384" s="893"/>
      <c r="T384" s="893"/>
      <c r="U384" s="893"/>
      <c r="V384" s="893"/>
      <c r="W384" s="893"/>
      <c r="X384" s="893"/>
      <c r="Y384" s="893"/>
      <c r="Z384" s="893"/>
      <c r="AA384" s="893"/>
      <c r="AB384" s="893"/>
      <c r="AC384" s="893"/>
      <c r="AD384" s="893"/>
      <c r="AE384" s="893"/>
      <c r="AF384" s="893"/>
      <c r="AG384" s="893"/>
      <c r="AH384" s="893"/>
      <c r="AI384" s="893"/>
      <c r="AJ384" s="893"/>
      <c r="AK384" s="65"/>
      <c r="AL384" s="65"/>
      <c r="AM384" s="65"/>
      <c r="AN384" s="424"/>
      <c r="AO384" s="568" t="s">
        <v>1828</v>
      </c>
      <c r="AP384" s="574">
        <f>IF(C466="Yes",5,0)</f>
        <v>0</v>
      </c>
      <c r="AQ384" s="117"/>
      <c r="AR384" s="117"/>
      <c r="AS384" s="117"/>
      <c r="AT384" s="117"/>
      <c r="AU384" s="117"/>
      <c r="AV384" s="117"/>
      <c r="AW384" s="117"/>
      <c r="AX384" s="117"/>
      <c r="AY384" s="117"/>
      <c r="AZ384" s="117"/>
      <c r="BA384" s="117"/>
      <c r="BB384" s="117"/>
      <c r="BC384" s="117"/>
      <c r="BD384" s="117"/>
      <c r="BE384" s="117"/>
      <c r="BF384" s="117"/>
      <c r="BG384" s="117"/>
      <c r="BH384" s="117"/>
      <c r="BI384" s="117"/>
      <c r="BJ384" s="117"/>
      <c r="BK384" s="117"/>
      <c r="BL384" s="117"/>
      <c r="BM384" s="117"/>
      <c r="BN384" s="117"/>
      <c r="BO384" s="117"/>
      <c r="BP384" s="117"/>
      <c r="BQ384" s="117"/>
      <c r="BR384" s="117"/>
      <c r="BS384" s="117"/>
      <c r="BT384" s="117"/>
      <c r="BU384" s="117"/>
      <c r="BV384" s="117"/>
      <c r="BW384" s="117"/>
      <c r="BX384" s="117"/>
      <c r="BY384" s="117"/>
      <c r="BZ384" s="117"/>
      <c r="CA384" s="117"/>
    </row>
    <row r="385" spans="1:79" ht="12" customHeight="1">
      <c r="A385" s="117"/>
      <c r="B385" s="100"/>
      <c r="C385" s="117" t="s">
        <v>2153</v>
      </c>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65"/>
      <c r="AG385" s="65"/>
      <c r="AH385" s="65"/>
      <c r="AI385" s="65"/>
      <c r="AJ385" s="65"/>
      <c r="AK385" s="65"/>
      <c r="AL385" s="65"/>
      <c r="AM385" s="65"/>
      <c r="AN385" s="424"/>
      <c r="AO385" s="568" t="s">
        <v>1831</v>
      </c>
      <c r="AP385" s="249">
        <f>IF(C470="Yes",5,0)</f>
        <v>0</v>
      </c>
      <c r="AQ385" s="117"/>
      <c r="AR385" s="117"/>
      <c r="AS385" s="117"/>
      <c r="AT385" s="117"/>
      <c r="AU385" s="117"/>
      <c r="AV385" s="117"/>
      <c r="AW385" s="117"/>
      <c r="AX385" s="117"/>
      <c r="AY385" s="117"/>
      <c r="AZ385" s="117"/>
      <c r="BA385" s="117"/>
      <c r="BB385" s="117"/>
      <c r="BC385" s="117"/>
      <c r="BD385" s="117"/>
      <c r="BE385" s="117"/>
      <c r="BF385" s="117"/>
      <c r="BG385" s="117"/>
      <c r="BH385" s="117"/>
      <c r="BI385" s="117"/>
      <c r="BJ385" s="117"/>
      <c r="BK385" s="117"/>
      <c r="BL385" s="117"/>
      <c r="BM385" s="117"/>
      <c r="BN385" s="117"/>
      <c r="BO385" s="117"/>
      <c r="BP385" s="117"/>
      <c r="BQ385" s="117"/>
      <c r="BR385" s="117"/>
      <c r="BS385" s="117"/>
      <c r="BT385" s="117"/>
      <c r="BU385" s="117"/>
      <c r="BV385" s="117"/>
      <c r="BW385" s="117"/>
      <c r="BX385" s="117"/>
      <c r="BY385" s="117"/>
      <c r="BZ385" s="117"/>
      <c r="CA385" s="117"/>
    </row>
    <row r="386" spans="1:79" ht="12.75" customHeight="1">
      <c r="A386" s="65"/>
      <c r="B386" s="100"/>
      <c r="C386" s="577" t="s">
        <v>2154</v>
      </c>
      <c r="D386" s="578"/>
      <c r="E386" s="578"/>
      <c r="F386" s="578"/>
      <c r="G386" s="578"/>
      <c r="H386" s="578"/>
      <c r="I386" s="578"/>
      <c r="J386" s="578"/>
      <c r="K386" s="578"/>
      <c r="L386" s="578"/>
      <c r="M386" s="579"/>
      <c r="N386" s="579"/>
      <c r="O386" s="580"/>
      <c r="P386" s="578"/>
      <c r="Q386" s="578"/>
      <c r="R386" s="579"/>
      <c r="S386" s="579"/>
      <c r="T386" s="578"/>
      <c r="U386" s="1430">
        <f>Application!DU808-U387</f>
        <v>390</v>
      </c>
      <c r="V386" s="1272"/>
      <c r="W386" s="1431"/>
      <c r="X386" s="578"/>
      <c r="Y386" s="578"/>
      <c r="Z386" s="578"/>
      <c r="AA386" s="581"/>
      <c r="AB386" s="582"/>
      <c r="AC386" s="582"/>
      <c r="AD386" s="582"/>
      <c r="AE386" s="65"/>
      <c r="AF386" s="65"/>
      <c r="AG386" s="65"/>
      <c r="AH386" s="65"/>
      <c r="AI386" s="65"/>
      <c r="AJ386" s="65"/>
      <c r="AK386" s="65"/>
      <c r="AL386" s="65"/>
      <c r="AM386" s="65"/>
      <c r="AN386" s="424"/>
      <c r="AO386" s="568" t="s">
        <v>1833</v>
      </c>
      <c r="AP386" s="249">
        <f>IF(C479="Yes",5,0)</f>
        <v>0</v>
      </c>
      <c r="AQ386" s="117"/>
      <c r="AR386" s="117"/>
      <c r="AS386" s="117"/>
      <c r="AT386" s="117"/>
      <c r="AU386" s="117"/>
      <c r="AV386" s="117"/>
      <c r="AW386" s="117"/>
      <c r="AX386" s="117"/>
      <c r="AY386" s="117"/>
      <c r="AZ386" s="117"/>
      <c r="BA386" s="117"/>
      <c r="BB386" s="117"/>
      <c r="BC386" s="117"/>
      <c r="BD386" s="117"/>
      <c r="BE386" s="117"/>
      <c r="BF386" s="117"/>
      <c r="BG386" s="117"/>
      <c r="BH386" s="117"/>
      <c r="BI386" s="117"/>
      <c r="BJ386" s="117"/>
      <c r="BK386" s="117"/>
      <c r="BL386" s="117"/>
      <c r="BM386" s="117"/>
      <c r="BN386" s="117"/>
      <c r="BO386" s="117"/>
      <c r="BP386" s="117"/>
      <c r="BQ386" s="117"/>
      <c r="BR386" s="117"/>
      <c r="BS386" s="117"/>
      <c r="BT386" s="117"/>
      <c r="BU386" s="117"/>
      <c r="BV386" s="117"/>
      <c r="BW386" s="117"/>
      <c r="BX386" s="117"/>
      <c r="BY386" s="117"/>
      <c r="BZ386" s="117"/>
      <c r="CA386" s="117"/>
    </row>
    <row r="387" spans="1:79" ht="12.75" customHeight="1">
      <c r="A387" s="65"/>
      <c r="B387" s="100"/>
      <c r="C387" s="583" t="s">
        <v>2155</v>
      </c>
      <c r="D387" s="567"/>
      <c r="E387" s="567"/>
      <c r="F387" s="567"/>
      <c r="G387" s="567"/>
      <c r="H387" s="567"/>
      <c r="I387" s="567"/>
      <c r="J387" s="567"/>
      <c r="K387" s="567"/>
      <c r="L387" s="567"/>
      <c r="M387" s="567"/>
      <c r="N387" s="567"/>
      <c r="O387" s="567"/>
      <c r="P387" s="567"/>
      <c r="Q387" s="567"/>
      <c r="R387" s="567"/>
      <c r="S387" s="567"/>
      <c r="T387" s="567"/>
      <c r="U387" s="1432">
        <f>IF(Application!D211="SRO",Application!DU761,Application!AG762)</f>
        <v>0</v>
      </c>
      <c r="V387" s="968"/>
      <c r="W387" s="969"/>
      <c r="X387" s="567"/>
      <c r="Y387" s="567"/>
      <c r="Z387" s="567"/>
      <c r="AA387" s="584"/>
      <c r="AB387" s="117"/>
      <c r="AC387" s="585"/>
      <c r="AD387" s="585"/>
      <c r="AE387" s="65"/>
      <c r="AF387" s="65"/>
      <c r="AG387" s="65"/>
      <c r="AH387" s="65"/>
      <c r="AI387" s="65"/>
      <c r="AJ387" s="65"/>
      <c r="AK387" s="65"/>
      <c r="AL387" s="65"/>
      <c r="AM387" s="65"/>
      <c r="AN387" s="424"/>
      <c r="AO387" s="571"/>
      <c r="AP387" s="251"/>
      <c r="AQ387" s="117"/>
      <c r="AR387" s="117"/>
      <c r="AS387" s="117"/>
      <c r="AT387" s="117"/>
      <c r="AU387" s="117"/>
      <c r="AV387" s="117"/>
      <c r="AW387" s="117"/>
      <c r="AX387" s="117"/>
      <c r="AY387" s="117"/>
      <c r="AZ387" s="117"/>
      <c r="BA387" s="117"/>
      <c r="BB387" s="117"/>
      <c r="BC387" s="117"/>
      <c r="BD387" s="117"/>
      <c r="BE387" s="117"/>
      <c r="BF387" s="117"/>
      <c r="BG387" s="117"/>
      <c r="BH387" s="117"/>
      <c r="BI387" s="117"/>
      <c r="BJ387" s="117"/>
      <c r="BK387" s="117"/>
      <c r="BL387" s="117"/>
      <c r="BM387" s="117"/>
      <c r="BN387" s="117"/>
      <c r="BO387" s="117"/>
      <c r="BP387" s="117"/>
      <c r="BQ387" s="117"/>
      <c r="BR387" s="117"/>
      <c r="BS387" s="117"/>
      <c r="BT387" s="117"/>
      <c r="BU387" s="117"/>
      <c r="BV387" s="117"/>
      <c r="BW387" s="117"/>
      <c r="BX387" s="117"/>
      <c r="BY387" s="117"/>
      <c r="BZ387" s="117"/>
      <c r="CA387" s="117"/>
    </row>
    <row r="388" spans="1:79" ht="12.75" customHeight="1">
      <c r="A388" s="65"/>
      <c r="B388" s="100"/>
      <c r="C388" s="514"/>
      <c r="D388" s="117"/>
      <c r="E388" s="117"/>
      <c r="F388" s="117"/>
      <c r="G388" s="117"/>
      <c r="H388" s="117"/>
      <c r="I388" s="117"/>
      <c r="J388" s="117"/>
      <c r="K388" s="117"/>
      <c r="L388" s="117"/>
      <c r="M388" s="117"/>
      <c r="N388" s="117"/>
      <c r="O388" s="117"/>
      <c r="P388" s="117"/>
      <c r="Q388" s="117"/>
      <c r="R388" s="117"/>
      <c r="S388" s="117"/>
      <c r="T388" s="117"/>
      <c r="U388" s="586"/>
      <c r="V388" s="586"/>
      <c r="W388" s="586"/>
      <c r="X388" s="117"/>
      <c r="Y388" s="117"/>
      <c r="Z388" s="117"/>
      <c r="AA388" s="117"/>
      <c r="AB388" s="117"/>
      <c r="AC388" s="585"/>
      <c r="AD388" s="585"/>
      <c r="AE388" s="65"/>
      <c r="AF388" s="65"/>
      <c r="AG388" s="65"/>
      <c r="AH388" s="65"/>
      <c r="AI388" s="65"/>
      <c r="AJ388" s="65"/>
      <c r="AK388" s="65"/>
      <c r="AL388" s="65"/>
      <c r="AM388" s="65"/>
      <c r="AN388" s="424"/>
      <c r="AO388" s="587" t="s">
        <v>2151</v>
      </c>
      <c r="AP388" s="588">
        <f>SUM(AP381:AP386)</f>
        <v>0</v>
      </c>
      <c r="AQ388" s="1082">
        <f>IF(AP388&gt;0,AP388,0)</f>
        <v>0</v>
      </c>
      <c r="AR388" s="943"/>
      <c r="AS388" s="117"/>
      <c r="AT388" s="117"/>
      <c r="AU388" s="117"/>
      <c r="AV388" s="117"/>
      <c r="AW388" s="117"/>
      <c r="AX388" s="117"/>
      <c r="AY388" s="117"/>
      <c r="AZ388" s="117"/>
      <c r="BA388" s="117"/>
      <c r="BB388" s="117"/>
      <c r="BC388" s="117"/>
      <c r="BD388" s="117"/>
      <c r="BE388" s="117"/>
      <c r="BF388" s="117"/>
      <c r="BG388" s="117"/>
      <c r="BH388" s="117"/>
      <c r="BI388" s="117"/>
      <c r="BJ388" s="117"/>
      <c r="BK388" s="117"/>
      <c r="BL388" s="117"/>
      <c r="BM388" s="117"/>
      <c r="BN388" s="117"/>
      <c r="BO388" s="117"/>
      <c r="BP388" s="117"/>
      <c r="BQ388" s="117"/>
      <c r="BR388" s="117"/>
      <c r="BS388" s="117"/>
      <c r="BT388" s="117"/>
      <c r="BU388" s="117"/>
      <c r="BV388" s="117"/>
      <c r="BW388" s="117"/>
      <c r="BX388" s="117"/>
      <c r="BY388" s="117"/>
      <c r="BZ388" s="117"/>
      <c r="CA388" s="117"/>
    </row>
    <row r="389" spans="1:79" ht="12.75" customHeight="1">
      <c r="A389" s="65"/>
      <c r="B389" s="1"/>
      <c r="C389" s="86" t="s">
        <v>2156</v>
      </c>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424"/>
      <c r="AO389" s="117"/>
      <c r="AP389" s="117"/>
      <c r="AQ389" s="117"/>
      <c r="AR389" s="117"/>
      <c r="AS389" s="117"/>
      <c r="AT389" s="117"/>
      <c r="AU389" s="117"/>
      <c r="AV389" s="117"/>
      <c r="AW389" s="117"/>
      <c r="AX389" s="117"/>
      <c r="AY389" s="117"/>
      <c r="AZ389" s="117"/>
      <c r="BA389" s="117"/>
      <c r="BB389" s="117"/>
      <c r="BC389" s="117"/>
      <c r="BD389" s="117"/>
      <c r="BE389" s="117"/>
      <c r="BF389" s="117"/>
      <c r="BG389" s="117"/>
      <c r="BH389" s="117"/>
      <c r="BI389" s="117"/>
      <c r="BJ389" s="117"/>
      <c r="BK389" s="117"/>
      <c r="BL389" s="117"/>
      <c r="BM389" s="117"/>
      <c r="BN389" s="117"/>
      <c r="BO389" s="117"/>
      <c r="BP389" s="117"/>
      <c r="BQ389" s="117"/>
      <c r="BR389" s="117"/>
      <c r="BS389" s="203"/>
      <c r="BT389" s="203"/>
      <c r="BU389" s="1"/>
      <c r="BV389" s="1"/>
      <c r="BW389" s="1"/>
      <c r="BX389" s="117"/>
      <c r="BY389" s="117"/>
      <c r="BZ389" s="117"/>
      <c r="CA389" s="117"/>
    </row>
    <row r="390" spans="1:79" ht="12.75" customHeight="1">
      <c r="A390" s="1"/>
      <c r="B390" s="1"/>
      <c r="C390" s="591"/>
      <c r="D390" s="592"/>
      <c r="E390" s="593" t="s">
        <v>1874</v>
      </c>
      <c r="F390" s="1405" t="s">
        <v>2159</v>
      </c>
      <c r="G390" s="1384"/>
      <c r="H390" s="1384"/>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595"/>
      <c r="AH390" s="595"/>
      <c r="AI390" s="595"/>
      <c r="AJ390" s="595"/>
      <c r="AK390" s="595"/>
      <c r="AL390" s="596"/>
      <c r="AM390" s="1"/>
      <c r="AN390" s="424"/>
      <c r="AO390" s="117"/>
      <c r="AP390" s="1"/>
      <c r="AQ390" s="117"/>
      <c r="AR390" s="117"/>
      <c r="AS390" s="117"/>
      <c r="AT390" s="117"/>
      <c r="AU390" s="117"/>
      <c r="AV390" s="117"/>
      <c r="AW390" s="117"/>
      <c r="AX390" s="117"/>
      <c r="AY390" s="117"/>
      <c r="AZ390" s="117"/>
      <c r="BA390" s="117"/>
      <c r="BB390" s="117"/>
      <c r="BC390" s="117"/>
      <c r="BD390" s="117"/>
      <c r="BE390" s="117"/>
      <c r="BF390" s="117"/>
      <c r="BG390" s="117"/>
      <c r="BH390" s="117"/>
      <c r="BI390" s="117"/>
      <c r="BJ390" s="117"/>
      <c r="BK390" s="117"/>
      <c r="BL390" s="117"/>
      <c r="BM390" s="117"/>
      <c r="BN390" s="117"/>
      <c r="BO390" s="117"/>
      <c r="BP390" s="117"/>
      <c r="BQ390" s="117"/>
      <c r="BR390" s="117"/>
      <c r="BS390" s="203"/>
      <c r="BT390" s="203"/>
      <c r="BU390" s="1"/>
      <c r="BV390" s="1"/>
      <c r="BW390" s="1"/>
      <c r="BX390" s="1"/>
      <c r="BY390" s="1"/>
      <c r="BZ390" s="1"/>
      <c r="CA390" s="1"/>
    </row>
    <row r="391" spans="1:79" ht="12.75" customHeight="1">
      <c r="A391" s="1"/>
      <c r="B391" s="1"/>
      <c r="C391" s="597"/>
      <c r="D391" s="1"/>
      <c r="E391" s="598"/>
      <c r="F391" s="893"/>
      <c r="G391" s="893"/>
      <c r="H391" s="893"/>
      <c r="I391" s="893"/>
      <c r="J391" s="893"/>
      <c r="K391" s="893"/>
      <c r="L391" s="893"/>
      <c r="M391" s="893"/>
      <c r="N391" s="893"/>
      <c r="O391" s="893"/>
      <c r="P391" s="893"/>
      <c r="Q391" s="893"/>
      <c r="R391" s="893"/>
      <c r="S391" s="893"/>
      <c r="T391" s="893"/>
      <c r="U391" s="893"/>
      <c r="V391" s="893"/>
      <c r="W391" s="893"/>
      <c r="X391" s="893"/>
      <c r="Y391" s="893"/>
      <c r="Z391" s="893"/>
      <c r="AA391" s="893"/>
      <c r="AB391" s="893"/>
      <c r="AC391" s="893"/>
      <c r="AD391" s="893"/>
      <c r="AE391" s="893"/>
      <c r="AF391" s="893"/>
      <c r="AG391" s="8"/>
      <c r="AH391" s="8"/>
      <c r="AI391" s="8"/>
      <c r="AJ391" s="8"/>
      <c r="AK391" s="8"/>
      <c r="AL391" s="599"/>
      <c r="AM391" s="1"/>
      <c r="AN391" s="424"/>
      <c r="AO391" s="117"/>
      <c r="AP391" s="1"/>
      <c r="AQ391" s="117"/>
      <c r="AR391" s="117"/>
      <c r="AS391" s="117"/>
      <c r="AT391" s="117"/>
      <c r="AU391" s="117"/>
      <c r="AV391" s="117"/>
      <c r="AW391" s="117"/>
      <c r="AX391" s="117"/>
      <c r="AY391" s="117"/>
      <c r="AZ391" s="117"/>
      <c r="BA391" s="117"/>
      <c r="BB391" s="117"/>
      <c r="BC391" s="117"/>
      <c r="BD391" s="117"/>
      <c r="BE391" s="117"/>
      <c r="BF391" s="117"/>
      <c r="BG391" s="117"/>
      <c r="BH391" s="117"/>
      <c r="BI391" s="117"/>
      <c r="BJ391" s="117"/>
      <c r="BK391" s="117"/>
      <c r="BL391" s="117"/>
      <c r="BM391" s="117"/>
      <c r="BN391" s="117"/>
      <c r="BO391" s="117"/>
      <c r="BP391" s="117"/>
      <c r="BQ391" s="117"/>
      <c r="BR391" s="117"/>
      <c r="BS391" s="203"/>
      <c r="BT391" s="203"/>
      <c r="BU391" s="1"/>
      <c r="BV391" s="1"/>
      <c r="BW391" s="1"/>
      <c r="BX391" s="1"/>
      <c r="BY391" s="1"/>
      <c r="BZ391" s="1"/>
      <c r="CA391" s="1"/>
    </row>
    <row r="392" spans="1:79" ht="12.75" customHeight="1">
      <c r="A392" s="1"/>
      <c r="B392" s="1"/>
      <c r="C392" s="597"/>
      <c r="D392" s="1"/>
      <c r="E392" s="598"/>
      <c r="F392" s="893"/>
      <c r="G392" s="893"/>
      <c r="H392" s="893"/>
      <c r="I392" s="893"/>
      <c r="J392" s="893"/>
      <c r="K392" s="893"/>
      <c r="L392" s="893"/>
      <c r="M392" s="893"/>
      <c r="N392" s="893"/>
      <c r="O392" s="893"/>
      <c r="P392" s="893"/>
      <c r="Q392" s="893"/>
      <c r="R392" s="893"/>
      <c r="S392" s="893"/>
      <c r="T392" s="893"/>
      <c r="U392" s="893"/>
      <c r="V392" s="893"/>
      <c r="W392" s="893"/>
      <c r="X392" s="893"/>
      <c r="Y392" s="893"/>
      <c r="Z392" s="893"/>
      <c r="AA392" s="893"/>
      <c r="AB392" s="893"/>
      <c r="AC392" s="893"/>
      <c r="AD392" s="893"/>
      <c r="AE392" s="893"/>
      <c r="AF392" s="893"/>
      <c r="AG392" s="8"/>
      <c r="AH392" s="8"/>
      <c r="AI392" s="8"/>
      <c r="AJ392" s="8"/>
      <c r="AK392" s="8"/>
      <c r="AL392" s="599"/>
      <c r="AM392" s="1"/>
      <c r="AN392" s="424"/>
      <c r="AO392" s="117"/>
      <c r="AP392" s="117"/>
      <c r="AQ392" s="117"/>
      <c r="AR392" s="117"/>
      <c r="AS392" s="117"/>
      <c r="AT392" s="117"/>
      <c r="AU392" s="117"/>
      <c r="AV392" s="117"/>
      <c r="AW392" s="117"/>
      <c r="AX392" s="117"/>
      <c r="AY392" s="117"/>
      <c r="AZ392" s="117"/>
      <c r="BA392" s="117"/>
      <c r="BB392" s="117"/>
      <c r="BC392" s="117"/>
      <c r="BD392" s="117"/>
      <c r="BE392" s="117"/>
      <c r="BF392" s="117"/>
      <c r="BG392" s="117"/>
      <c r="BH392" s="117"/>
      <c r="BI392" s="117"/>
      <c r="BJ392" s="117"/>
      <c r="BK392" s="117"/>
      <c r="BL392" s="117"/>
      <c r="BM392" s="117"/>
      <c r="BN392" s="117"/>
      <c r="BO392" s="117"/>
      <c r="BP392" s="117"/>
      <c r="BQ392" s="117"/>
      <c r="BR392" s="117"/>
      <c r="BS392" s="203"/>
      <c r="BT392" s="203"/>
      <c r="BU392" s="1"/>
      <c r="BV392" s="1"/>
      <c r="BW392" s="1"/>
      <c r="BX392" s="1"/>
      <c r="BY392" s="1"/>
      <c r="BZ392" s="1"/>
      <c r="CA392" s="1"/>
    </row>
    <row r="393" spans="1:79" ht="12.75" customHeight="1">
      <c r="A393" s="1"/>
      <c r="B393" s="1"/>
      <c r="C393" s="597"/>
      <c r="D393" s="1"/>
      <c r="E393" s="598"/>
      <c r="F393" s="893"/>
      <c r="G393" s="893"/>
      <c r="H393" s="893"/>
      <c r="I393" s="893"/>
      <c r="J393" s="893"/>
      <c r="K393" s="893"/>
      <c r="L393" s="893"/>
      <c r="M393" s="893"/>
      <c r="N393" s="893"/>
      <c r="O393" s="893"/>
      <c r="P393" s="893"/>
      <c r="Q393" s="893"/>
      <c r="R393" s="893"/>
      <c r="S393" s="893"/>
      <c r="T393" s="893"/>
      <c r="U393" s="893"/>
      <c r="V393" s="893"/>
      <c r="W393" s="893"/>
      <c r="X393" s="893"/>
      <c r="Y393" s="893"/>
      <c r="Z393" s="893"/>
      <c r="AA393" s="893"/>
      <c r="AB393" s="893"/>
      <c r="AC393" s="893"/>
      <c r="AD393" s="893"/>
      <c r="AE393" s="893"/>
      <c r="AF393" s="893"/>
      <c r="AG393" s="8"/>
      <c r="AH393" s="8"/>
      <c r="AI393" s="8"/>
      <c r="AJ393" s="8"/>
      <c r="AK393" s="8"/>
      <c r="AL393" s="599"/>
      <c r="AM393" s="1"/>
      <c r="AN393" s="424"/>
      <c r="AO393" s="117"/>
      <c r="AP393" s="117"/>
      <c r="AQ393" s="117"/>
      <c r="AR393" s="117"/>
      <c r="AS393" s="117"/>
      <c r="AT393" s="117"/>
      <c r="AU393" s="117"/>
      <c r="AV393" s="117"/>
      <c r="AW393" s="117"/>
      <c r="AX393" s="117"/>
      <c r="AY393" s="117"/>
      <c r="AZ393" s="117"/>
      <c r="BA393" s="117"/>
      <c r="BB393" s="117"/>
      <c r="BC393" s="117"/>
      <c r="BD393" s="117"/>
      <c r="BE393" s="117"/>
      <c r="BF393" s="117"/>
      <c r="BG393" s="117"/>
      <c r="BH393" s="117"/>
      <c r="BI393" s="117"/>
      <c r="BJ393" s="117"/>
      <c r="BK393" s="117"/>
      <c r="BL393" s="117"/>
      <c r="BM393" s="117"/>
      <c r="BN393" s="117"/>
      <c r="BO393" s="117"/>
      <c r="BP393" s="117"/>
      <c r="BQ393" s="117"/>
      <c r="BR393" s="117"/>
      <c r="BS393" s="203"/>
      <c r="BT393" s="203"/>
      <c r="BU393" s="1"/>
      <c r="BV393" s="1"/>
      <c r="BW393" s="1"/>
      <c r="BX393" s="1"/>
      <c r="BY393" s="1"/>
      <c r="BZ393" s="1"/>
      <c r="CA393" s="1"/>
    </row>
    <row r="394" spans="1:79" ht="12.75" customHeight="1">
      <c r="A394" s="1"/>
      <c r="B394" s="1"/>
      <c r="C394" s="1401" t="s">
        <v>855</v>
      </c>
      <c r="D394" s="969"/>
      <c r="E394" s="598"/>
      <c r="F394" s="600" t="s">
        <v>2160</v>
      </c>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117"/>
      <c r="AF394" s="939" t="s">
        <v>2161</v>
      </c>
      <c r="AG394" s="893"/>
      <c r="AH394" s="893"/>
      <c r="AI394" s="893"/>
      <c r="AJ394" s="893"/>
      <c r="AK394" s="893"/>
      <c r="AL394" s="1387"/>
      <c r="AM394" s="601"/>
      <c r="AN394" s="117"/>
      <c r="AO394" s="117"/>
      <c r="AP394" s="117"/>
      <c r="AQ394" s="117"/>
      <c r="AR394" s="117"/>
      <c r="AS394" s="117"/>
      <c r="AT394" s="117"/>
      <c r="AU394" s="117"/>
      <c r="AV394" s="117"/>
      <c r="AW394" s="117"/>
      <c r="AX394" s="117"/>
      <c r="AY394" s="117"/>
      <c r="AZ394" s="117"/>
      <c r="BA394" s="117"/>
      <c r="BB394" s="117"/>
      <c r="BC394" s="117"/>
      <c r="BD394" s="117"/>
      <c r="BE394" s="117"/>
      <c r="BF394" s="117"/>
      <c r="BG394" s="117"/>
      <c r="BH394" s="117"/>
      <c r="BI394" s="117"/>
      <c r="BJ394" s="117"/>
      <c r="BK394" s="117"/>
      <c r="BL394" s="117"/>
      <c r="BM394" s="117"/>
      <c r="BN394" s="117"/>
      <c r="BO394" s="117"/>
      <c r="BP394" s="117"/>
      <c r="BQ394" s="117"/>
      <c r="BR394" s="117"/>
      <c r="BS394" s="203"/>
      <c r="BT394" s="203"/>
      <c r="BU394" s="1"/>
      <c r="BV394" s="1"/>
      <c r="BW394" s="1"/>
      <c r="BX394" s="1"/>
      <c r="BY394" s="1"/>
      <c r="BZ394" s="1"/>
      <c r="CA394" s="1"/>
    </row>
    <row r="395" spans="1:79" ht="12.75" customHeight="1">
      <c r="A395" s="1"/>
      <c r="B395" s="1"/>
      <c r="C395" s="602"/>
      <c r="D395" s="604"/>
      <c r="E395" s="605"/>
      <c r="F395" s="606"/>
      <c r="G395" s="607"/>
      <c r="H395" s="607"/>
      <c r="I395" s="607"/>
      <c r="J395" s="607"/>
      <c r="K395" s="607"/>
      <c r="L395" s="607"/>
      <c r="M395" s="607"/>
      <c r="N395" s="607"/>
      <c r="O395" s="607"/>
      <c r="P395" s="607"/>
      <c r="Q395" s="607"/>
      <c r="R395" s="607"/>
      <c r="S395" s="607"/>
      <c r="T395" s="607"/>
      <c r="U395" s="607"/>
      <c r="V395" s="607"/>
      <c r="W395" s="607"/>
      <c r="X395" s="607"/>
      <c r="Y395" s="607"/>
      <c r="Z395" s="607"/>
      <c r="AA395" s="607"/>
      <c r="AB395" s="607"/>
      <c r="AC395" s="607"/>
      <c r="AD395" s="607"/>
      <c r="AE395" s="609"/>
      <c r="AF395" s="609"/>
      <c r="AG395" s="609"/>
      <c r="AH395" s="609"/>
      <c r="AI395" s="609"/>
      <c r="AJ395" s="609"/>
      <c r="AK395" s="609"/>
      <c r="AL395" s="610"/>
      <c r="AM395" s="611"/>
      <c r="AN395" s="424"/>
      <c r="AO395" s="117"/>
      <c r="AP395" s="117"/>
      <c r="AQ395" s="117"/>
      <c r="AR395" s="117"/>
      <c r="AS395" s="117"/>
      <c r="AT395" s="117"/>
      <c r="AU395" s="117"/>
      <c r="AV395" s="117"/>
      <c r="AW395" s="117"/>
      <c r="AX395" s="117"/>
      <c r="AY395" s="117"/>
      <c r="AZ395" s="117"/>
      <c r="BA395" s="117"/>
      <c r="BB395" s="117"/>
      <c r="BC395" s="117"/>
      <c r="BD395" s="117"/>
      <c r="BE395" s="117"/>
      <c r="BF395" s="117"/>
      <c r="BG395" s="117"/>
      <c r="BH395" s="117"/>
      <c r="BI395" s="117"/>
      <c r="BJ395" s="117"/>
      <c r="BK395" s="117"/>
      <c r="BL395" s="117"/>
      <c r="BM395" s="117"/>
      <c r="BN395" s="117"/>
      <c r="BO395" s="117"/>
      <c r="BP395" s="117"/>
      <c r="BQ395" s="117"/>
      <c r="BR395" s="117"/>
      <c r="BS395" s="117"/>
      <c r="BT395" s="117"/>
      <c r="BU395" s="117"/>
      <c r="BV395" s="117"/>
      <c r="BW395" s="117"/>
      <c r="BX395" s="117"/>
      <c r="BY395" s="117"/>
      <c r="BZ395" s="117"/>
      <c r="CA395" s="117"/>
    </row>
    <row r="396" spans="1:79" ht="12.75" customHeight="1">
      <c r="A396" s="1"/>
      <c r="B396" s="1"/>
      <c r="C396" s="7"/>
      <c r="D396" s="7"/>
      <c r="E396" s="598"/>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10"/>
      <c r="AF396" s="10"/>
      <c r="AG396" s="10"/>
      <c r="AH396" s="10"/>
      <c r="AI396" s="10"/>
      <c r="AJ396" s="10"/>
      <c r="AK396" s="10"/>
      <c r="AL396" s="10"/>
      <c r="AM396" s="1"/>
      <c r="AN396" s="424"/>
      <c r="AO396" s="117"/>
      <c r="AP396" s="117"/>
      <c r="AQ396" s="117"/>
      <c r="AR396" s="117"/>
      <c r="AS396" s="117"/>
      <c r="AT396" s="117"/>
      <c r="AU396" s="117"/>
      <c r="AV396" s="117"/>
      <c r="AW396" s="117"/>
      <c r="AX396" s="117"/>
      <c r="AY396" s="117"/>
      <c r="AZ396" s="117"/>
      <c r="BA396" s="117"/>
      <c r="BB396" s="117"/>
      <c r="BC396" s="117"/>
      <c r="BD396" s="117"/>
      <c r="BE396" s="117"/>
      <c r="BF396" s="117"/>
      <c r="BG396" s="117"/>
      <c r="BH396" s="117"/>
      <c r="BI396" s="117"/>
      <c r="BJ396" s="117"/>
      <c r="BK396" s="117"/>
      <c r="BL396" s="117"/>
      <c r="BM396" s="117"/>
      <c r="BN396" s="117"/>
      <c r="BO396" s="117"/>
      <c r="BP396" s="117"/>
      <c r="BQ396" s="117"/>
      <c r="BR396" s="117"/>
      <c r="BS396" s="203"/>
      <c r="BT396" s="203"/>
      <c r="BU396" s="1"/>
      <c r="BV396" s="1"/>
      <c r="BW396" s="1"/>
      <c r="BX396" s="1"/>
      <c r="BY396" s="1"/>
      <c r="BZ396" s="1"/>
      <c r="CA396" s="1"/>
    </row>
    <row r="397" spans="1:79" ht="12.75" customHeight="1">
      <c r="A397" s="1"/>
      <c r="B397" s="1"/>
      <c r="C397" s="591"/>
      <c r="D397" s="592"/>
      <c r="E397" s="593" t="s">
        <v>1880</v>
      </c>
      <c r="F397" s="1405" t="s">
        <v>2163</v>
      </c>
      <c r="G397" s="1384"/>
      <c r="H397" s="1384"/>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595"/>
      <c r="AH397" s="595"/>
      <c r="AI397" s="595"/>
      <c r="AJ397" s="595"/>
      <c r="AK397" s="595"/>
      <c r="AL397" s="596"/>
      <c r="AM397" s="1"/>
      <c r="AN397" s="424"/>
      <c r="AO397" s="117"/>
      <c r="AP397" s="117"/>
      <c r="AQ397" s="117"/>
      <c r="AR397" s="117"/>
      <c r="AS397" s="117"/>
      <c r="AT397" s="117"/>
      <c r="AU397" s="117"/>
      <c r="AV397" s="117"/>
      <c r="AW397" s="117"/>
      <c r="AX397" s="117"/>
      <c r="AY397" s="117"/>
      <c r="AZ397" s="117"/>
      <c r="BA397" s="117"/>
      <c r="BB397" s="117"/>
      <c r="BC397" s="117"/>
      <c r="BD397" s="117"/>
      <c r="BE397" s="117"/>
      <c r="BF397" s="117"/>
      <c r="BG397" s="117"/>
      <c r="BH397" s="117"/>
      <c r="BI397" s="117"/>
      <c r="BJ397" s="117"/>
      <c r="BK397" s="117"/>
      <c r="BL397" s="117"/>
      <c r="BM397" s="117"/>
      <c r="BN397" s="117"/>
      <c r="BO397" s="117"/>
      <c r="BP397" s="117"/>
      <c r="BQ397" s="117"/>
      <c r="BR397" s="117"/>
      <c r="BS397" s="203"/>
      <c r="BT397" s="203"/>
      <c r="BU397" s="1"/>
      <c r="BV397" s="1"/>
      <c r="BW397" s="1"/>
      <c r="BX397" s="1"/>
      <c r="BY397" s="1"/>
      <c r="BZ397" s="1"/>
      <c r="CA397" s="1"/>
    </row>
    <row r="398" spans="1:79" ht="12.75" customHeight="1">
      <c r="A398" s="1"/>
      <c r="B398" s="1"/>
      <c r="C398" s="597"/>
      <c r="D398" s="1"/>
      <c r="E398" s="598"/>
      <c r="F398" s="893"/>
      <c r="G398" s="893"/>
      <c r="H398" s="893"/>
      <c r="I398" s="893"/>
      <c r="J398" s="893"/>
      <c r="K398" s="893"/>
      <c r="L398" s="893"/>
      <c r="M398" s="893"/>
      <c r="N398" s="893"/>
      <c r="O398" s="893"/>
      <c r="P398" s="893"/>
      <c r="Q398" s="893"/>
      <c r="R398" s="893"/>
      <c r="S398" s="893"/>
      <c r="T398" s="893"/>
      <c r="U398" s="893"/>
      <c r="V398" s="893"/>
      <c r="W398" s="893"/>
      <c r="X398" s="893"/>
      <c r="Y398" s="893"/>
      <c r="Z398" s="893"/>
      <c r="AA398" s="893"/>
      <c r="AB398" s="893"/>
      <c r="AC398" s="893"/>
      <c r="AD398" s="893"/>
      <c r="AE398" s="893"/>
      <c r="AF398" s="893"/>
      <c r="AG398" s="8"/>
      <c r="AH398" s="8"/>
      <c r="AI398" s="8"/>
      <c r="AJ398" s="8"/>
      <c r="AK398" s="8"/>
      <c r="AL398" s="599"/>
      <c r="AM398" s="1"/>
      <c r="AN398" s="424"/>
      <c r="AO398" s="117"/>
      <c r="AP398" s="117"/>
      <c r="AQ398" s="117"/>
      <c r="AR398" s="117"/>
      <c r="AS398" s="117"/>
      <c r="AT398" s="117"/>
      <c r="AU398" s="117"/>
      <c r="AV398" s="117"/>
      <c r="AW398" s="117"/>
      <c r="AX398" s="117"/>
      <c r="AY398" s="117"/>
      <c r="AZ398" s="117"/>
      <c r="BA398" s="117"/>
      <c r="BB398" s="117"/>
      <c r="BC398" s="117"/>
      <c r="BD398" s="117"/>
      <c r="BE398" s="117"/>
      <c r="BF398" s="117"/>
      <c r="BG398" s="117"/>
      <c r="BH398" s="117"/>
      <c r="BI398" s="117"/>
      <c r="BJ398" s="117"/>
      <c r="BK398" s="117"/>
      <c r="BL398" s="117"/>
      <c r="BM398" s="117"/>
      <c r="BN398" s="117"/>
      <c r="BO398" s="117"/>
      <c r="BP398" s="117"/>
      <c r="BQ398" s="117"/>
      <c r="BR398" s="117"/>
      <c r="BS398" s="203"/>
      <c r="BT398" s="203"/>
      <c r="BU398" s="1"/>
      <c r="BV398" s="1"/>
      <c r="BW398" s="1"/>
      <c r="BX398" s="1"/>
      <c r="BY398" s="1"/>
      <c r="BZ398" s="1"/>
      <c r="CA398" s="1"/>
    </row>
    <row r="399" spans="1:79" ht="12.75" customHeight="1">
      <c r="A399" s="1"/>
      <c r="B399" s="1"/>
      <c r="C399" s="597"/>
      <c r="D399" s="1"/>
      <c r="E399" s="598"/>
      <c r="F399" s="893"/>
      <c r="G399" s="893"/>
      <c r="H399" s="893"/>
      <c r="I399" s="893"/>
      <c r="J399" s="893"/>
      <c r="K399" s="893"/>
      <c r="L399" s="893"/>
      <c r="M399" s="893"/>
      <c r="N399" s="893"/>
      <c r="O399" s="893"/>
      <c r="P399" s="893"/>
      <c r="Q399" s="893"/>
      <c r="R399" s="893"/>
      <c r="S399" s="893"/>
      <c r="T399" s="893"/>
      <c r="U399" s="893"/>
      <c r="V399" s="893"/>
      <c r="W399" s="893"/>
      <c r="X399" s="893"/>
      <c r="Y399" s="893"/>
      <c r="Z399" s="893"/>
      <c r="AA399" s="893"/>
      <c r="AB399" s="893"/>
      <c r="AC399" s="893"/>
      <c r="AD399" s="893"/>
      <c r="AE399" s="893"/>
      <c r="AF399" s="893"/>
      <c r="AG399" s="8"/>
      <c r="AH399" s="8"/>
      <c r="AI399" s="8"/>
      <c r="AJ399" s="8"/>
      <c r="AK399" s="8"/>
      <c r="AL399" s="599"/>
      <c r="AM399" s="1"/>
      <c r="AN399" s="424"/>
      <c r="AO399" s="117"/>
      <c r="AP399" s="117"/>
      <c r="AQ399" s="117"/>
      <c r="AR399" s="117"/>
      <c r="AS399" s="117"/>
      <c r="AT399" s="117"/>
      <c r="AU399" s="117"/>
      <c r="AV399" s="117"/>
      <c r="AW399" s="117"/>
      <c r="AX399" s="117"/>
      <c r="AY399" s="117"/>
      <c r="AZ399" s="117"/>
      <c r="BA399" s="117"/>
      <c r="BB399" s="117"/>
      <c r="BC399" s="117"/>
      <c r="BD399" s="117"/>
      <c r="BE399" s="117"/>
      <c r="BF399" s="117"/>
      <c r="BG399" s="117"/>
      <c r="BH399" s="117"/>
      <c r="BI399" s="117"/>
      <c r="BJ399" s="117"/>
      <c r="BK399" s="117"/>
      <c r="BL399" s="117"/>
      <c r="BM399" s="117"/>
      <c r="BN399" s="117"/>
      <c r="BO399" s="117"/>
      <c r="BP399" s="117"/>
      <c r="BQ399" s="117"/>
      <c r="BR399" s="117"/>
      <c r="BS399" s="203"/>
      <c r="BT399" s="203"/>
      <c r="BU399" s="1"/>
      <c r="BV399" s="1"/>
      <c r="BW399" s="1"/>
      <c r="BX399" s="1"/>
      <c r="BY399" s="1"/>
      <c r="BZ399" s="1"/>
      <c r="CA399" s="1"/>
    </row>
    <row r="400" spans="1:79" ht="12.75" customHeight="1">
      <c r="A400" s="1"/>
      <c r="B400" s="1"/>
      <c r="C400" s="597"/>
      <c r="D400" s="1"/>
      <c r="E400" s="598"/>
      <c r="F400" s="893"/>
      <c r="G400" s="893"/>
      <c r="H400" s="893"/>
      <c r="I400" s="893"/>
      <c r="J400" s="893"/>
      <c r="K400" s="893"/>
      <c r="L400" s="893"/>
      <c r="M400" s="893"/>
      <c r="N400" s="893"/>
      <c r="O400" s="893"/>
      <c r="P400" s="893"/>
      <c r="Q400" s="893"/>
      <c r="R400" s="893"/>
      <c r="S400" s="893"/>
      <c r="T400" s="893"/>
      <c r="U400" s="893"/>
      <c r="V400" s="893"/>
      <c r="W400" s="893"/>
      <c r="X400" s="893"/>
      <c r="Y400" s="893"/>
      <c r="Z400" s="893"/>
      <c r="AA400" s="893"/>
      <c r="AB400" s="893"/>
      <c r="AC400" s="893"/>
      <c r="AD400" s="893"/>
      <c r="AE400" s="893"/>
      <c r="AF400" s="893"/>
      <c r="AG400" s="8"/>
      <c r="AH400" s="8"/>
      <c r="AI400" s="8"/>
      <c r="AJ400" s="8"/>
      <c r="AK400" s="8"/>
      <c r="AL400" s="599"/>
      <c r="AM400" s="1"/>
      <c r="AN400" s="424"/>
      <c r="AO400" s="117"/>
      <c r="AP400" s="117"/>
      <c r="AQ400" s="117"/>
      <c r="AR400" s="117"/>
      <c r="AS400" s="117"/>
      <c r="AT400" s="117"/>
      <c r="AU400" s="117"/>
      <c r="AV400" s="117"/>
      <c r="AW400" s="117"/>
      <c r="AX400" s="117"/>
      <c r="AY400" s="117"/>
      <c r="AZ400" s="117"/>
      <c r="BA400" s="117"/>
      <c r="BB400" s="117"/>
      <c r="BC400" s="117"/>
      <c r="BD400" s="117"/>
      <c r="BE400" s="117"/>
      <c r="BF400" s="117"/>
      <c r="BG400" s="117"/>
      <c r="BH400" s="117"/>
      <c r="BI400" s="117"/>
      <c r="BJ400" s="117"/>
      <c r="BK400" s="117"/>
      <c r="BL400" s="117"/>
      <c r="BM400" s="117"/>
      <c r="BN400" s="117"/>
      <c r="BO400" s="117"/>
      <c r="BP400" s="117"/>
      <c r="BQ400" s="117"/>
      <c r="BR400" s="117"/>
      <c r="BS400" s="203"/>
      <c r="BT400" s="203"/>
      <c r="BU400" s="1"/>
      <c r="BV400" s="1"/>
      <c r="BW400" s="1"/>
      <c r="BX400" s="1"/>
      <c r="BY400" s="1"/>
      <c r="BZ400" s="1"/>
      <c r="CA400" s="1"/>
    </row>
    <row r="401" spans="1:79" ht="12.75" customHeight="1">
      <c r="A401" s="1"/>
      <c r="B401" s="1"/>
      <c r="C401" s="597"/>
      <c r="D401" s="1"/>
      <c r="E401" s="598"/>
      <c r="F401" s="893"/>
      <c r="G401" s="893"/>
      <c r="H401" s="893"/>
      <c r="I401" s="893"/>
      <c r="J401" s="893"/>
      <c r="K401" s="893"/>
      <c r="L401" s="893"/>
      <c r="M401" s="893"/>
      <c r="N401" s="893"/>
      <c r="O401" s="893"/>
      <c r="P401" s="893"/>
      <c r="Q401" s="893"/>
      <c r="R401" s="893"/>
      <c r="S401" s="893"/>
      <c r="T401" s="893"/>
      <c r="U401" s="893"/>
      <c r="V401" s="893"/>
      <c r="W401" s="893"/>
      <c r="X401" s="893"/>
      <c r="Y401" s="893"/>
      <c r="Z401" s="893"/>
      <c r="AA401" s="893"/>
      <c r="AB401" s="893"/>
      <c r="AC401" s="893"/>
      <c r="AD401" s="893"/>
      <c r="AE401" s="893"/>
      <c r="AF401" s="893"/>
      <c r="AG401" s="117"/>
      <c r="AH401" s="117"/>
      <c r="AI401" s="117"/>
      <c r="AJ401" s="117"/>
      <c r="AK401" s="117"/>
      <c r="AL401" s="612"/>
      <c r="AM401" s="117"/>
      <c r="AN401" s="424"/>
      <c r="AO401" s="117"/>
      <c r="AP401" s="117"/>
      <c r="AQ401" s="117"/>
      <c r="AR401" s="117"/>
      <c r="AS401" s="117"/>
      <c r="AT401" s="117"/>
      <c r="AU401" s="117"/>
      <c r="AV401" s="117"/>
      <c r="AW401" s="117"/>
      <c r="AX401" s="117"/>
      <c r="AY401" s="117"/>
      <c r="AZ401" s="117"/>
      <c r="BA401" s="117"/>
      <c r="BB401" s="117"/>
      <c r="BC401" s="117"/>
      <c r="BD401" s="117"/>
      <c r="BE401" s="117"/>
      <c r="BF401" s="117"/>
      <c r="BG401" s="117"/>
      <c r="BH401" s="117"/>
      <c r="BI401" s="117"/>
      <c r="BJ401" s="117"/>
      <c r="BK401" s="117"/>
      <c r="BL401" s="117"/>
      <c r="BM401" s="117"/>
      <c r="BN401" s="117"/>
      <c r="BO401" s="117"/>
      <c r="BP401" s="117"/>
      <c r="BQ401" s="117"/>
      <c r="BR401" s="117"/>
      <c r="BS401" s="203"/>
      <c r="BT401" s="203"/>
      <c r="BU401" s="1"/>
      <c r="BV401" s="1"/>
      <c r="BW401" s="1"/>
      <c r="BX401" s="1"/>
      <c r="BY401" s="1"/>
      <c r="BZ401" s="1"/>
      <c r="CA401" s="1"/>
    </row>
    <row r="402" spans="1:79" ht="12.75" customHeight="1">
      <c r="A402" s="1"/>
      <c r="B402" s="1"/>
      <c r="C402" s="1401" t="s">
        <v>855</v>
      </c>
      <c r="D402" s="969"/>
      <c r="E402" s="598"/>
      <c r="F402" s="600" t="s">
        <v>2164</v>
      </c>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117"/>
      <c r="AF402" s="939" t="s">
        <v>2161</v>
      </c>
      <c r="AG402" s="893"/>
      <c r="AH402" s="893"/>
      <c r="AI402" s="893"/>
      <c r="AJ402" s="893"/>
      <c r="AK402" s="893"/>
      <c r="AL402" s="1387"/>
      <c r="AM402" s="611"/>
      <c r="AN402" s="424"/>
      <c r="AO402" s="117"/>
      <c r="AP402" s="117"/>
      <c r="AQ402" s="117"/>
      <c r="AR402" s="117"/>
      <c r="AS402" s="117"/>
      <c r="AT402" s="117"/>
      <c r="AU402" s="117"/>
      <c r="AV402" s="117"/>
      <c r="AW402" s="117"/>
      <c r="AX402" s="117"/>
      <c r="AY402" s="117"/>
      <c r="AZ402" s="117"/>
      <c r="BA402" s="117"/>
      <c r="BB402" s="117"/>
      <c r="BC402" s="117"/>
      <c r="BD402" s="117"/>
      <c r="BE402" s="117"/>
      <c r="BF402" s="117"/>
      <c r="BG402" s="117"/>
      <c r="BH402" s="117"/>
      <c r="BI402" s="117"/>
      <c r="BJ402" s="117"/>
      <c r="BK402" s="117"/>
      <c r="BL402" s="117"/>
      <c r="BM402" s="117"/>
      <c r="BN402" s="117"/>
      <c r="BO402" s="117"/>
      <c r="BP402" s="117"/>
      <c r="BQ402" s="117"/>
      <c r="BR402" s="117"/>
      <c r="BS402" s="203"/>
      <c r="BT402" s="203"/>
      <c r="BU402" s="1"/>
      <c r="BV402" s="1"/>
      <c r="BW402" s="1"/>
      <c r="BX402" s="1"/>
      <c r="BY402" s="1"/>
      <c r="BZ402" s="1"/>
      <c r="CA402" s="1"/>
    </row>
    <row r="403" spans="1:79" ht="12.75" customHeight="1">
      <c r="A403" s="1"/>
      <c r="B403" s="1"/>
      <c r="C403" s="613"/>
      <c r="D403" s="453"/>
      <c r="E403" s="605"/>
      <c r="F403" s="614"/>
      <c r="G403" s="615"/>
      <c r="H403" s="615"/>
      <c r="I403" s="615"/>
      <c r="J403" s="615"/>
      <c r="K403" s="615"/>
      <c r="L403" s="615"/>
      <c r="M403" s="615"/>
      <c r="N403" s="615"/>
      <c r="O403" s="615"/>
      <c r="P403" s="615"/>
      <c r="Q403" s="615"/>
      <c r="R403" s="615"/>
      <c r="S403" s="615"/>
      <c r="T403" s="615"/>
      <c r="U403" s="615"/>
      <c r="V403" s="615"/>
      <c r="W403" s="615"/>
      <c r="X403" s="615"/>
      <c r="Y403" s="615"/>
      <c r="Z403" s="615"/>
      <c r="AA403" s="615"/>
      <c r="AB403" s="615"/>
      <c r="AC403" s="615"/>
      <c r="AD403" s="615"/>
      <c r="AE403" s="453"/>
      <c r="AF403" s="399"/>
      <c r="AG403" s="453"/>
      <c r="AH403" s="609"/>
      <c r="AI403" s="609"/>
      <c r="AJ403" s="609"/>
      <c r="AK403" s="609"/>
      <c r="AL403" s="616"/>
      <c r="AM403" s="611"/>
      <c r="AN403" s="424"/>
      <c r="AO403" s="117"/>
      <c r="AP403" s="117"/>
      <c r="AQ403" s="117"/>
      <c r="AR403" s="117"/>
      <c r="AS403" s="117"/>
      <c r="AT403" s="117"/>
      <c r="AU403" s="117"/>
      <c r="AV403" s="117"/>
      <c r="AW403" s="117"/>
      <c r="AX403" s="117"/>
      <c r="AY403" s="117"/>
      <c r="AZ403" s="117"/>
      <c r="BA403" s="117"/>
      <c r="BB403" s="117"/>
      <c r="BC403" s="117"/>
      <c r="BD403" s="117"/>
      <c r="BE403" s="117"/>
      <c r="BF403" s="117"/>
      <c r="BG403" s="117"/>
      <c r="BH403" s="117"/>
      <c r="BI403" s="117"/>
      <c r="BJ403" s="117"/>
      <c r="BK403" s="117"/>
      <c r="BL403" s="117"/>
      <c r="BM403" s="117"/>
      <c r="BN403" s="117"/>
      <c r="BO403" s="117"/>
      <c r="BP403" s="117"/>
      <c r="BQ403" s="117"/>
      <c r="BR403" s="117"/>
      <c r="BS403" s="203"/>
      <c r="BT403" s="203"/>
      <c r="BU403" s="1"/>
      <c r="BV403" s="1"/>
      <c r="BW403" s="1"/>
      <c r="BX403" s="1"/>
      <c r="BY403" s="1"/>
      <c r="BZ403" s="1"/>
      <c r="CA403" s="1"/>
    </row>
    <row r="404" spans="1:79" ht="12.75" customHeight="1">
      <c r="A404" s="1"/>
      <c r="B404" s="1"/>
      <c r="C404" s="1"/>
      <c r="D404" s="1"/>
      <c r="E404" s="598"/>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1"/>
      <c r="AF404" s="8"/>
      <c r="AG404" s="1"/>
      <c r="AH404" s="117"/>
      <c r="AI404" s="117"/>
      <c r="AJ404" s="117"/>
      <c r="AK404" s="117"/>
      <c r="AL404" s="117"/>
      <c r="AM404" s="1"/>
      <c r="AN404" s="424"/>
      <c r="AO404" s="117"/>
      <c r="AP404" s="117"/>
      <c r="AQ404" s="117"/>
      <c r="AR404" s="117"/>
      <c r="AS404" s="117"/>
      <c r="AT404" s="117"/>
      <c r="AU404" s="117"/>
      <c r="AV404" s="117"/>
      <c r="AW404" s="117"/>
      <c r="AX404" s="117"/>
      <c r="AY404" s="117"/>
      <c r="AZ404" s="117"/>
      <c r="BA404" s="117"/>
      <c r="BB404" s="117"/>
      <c r="BC404" s="117"/>
      <c r="BD404" s="117"/>
      <c r="BE404" s="117"/>
      <c r="BF404" s="117"/>
      <c r="BG404" s="117"/>
      <c r="BH404" s="117"/>
      <c r="BI404" s="117"/>
      <c r="BJ404" s="117"/>
      <c r="BK404" s="117"/>
      <c r="BL404" s="117"/>
      <c r="BM404" s="117"/>
      <c r="BN404" s="117"/>
      <c r="BO404" s="117"/>
      <c r="BP404" s="117"/>
      <c r="BQ404" s="117"/>
      <c r="BR404" s="117"/>
      <c r="BS404" s="203"/>
      <c r="BT404" s="203"/>
      <c r="BU404" s="1"/>
      <c r="BV404" s="1"/>
      <c r="BW404" s="1"/>
      <c r="BX404" s="1"/>
      <c r="BY404" s="1"/>
      <c r="BZ404" s="1"/>
      <c r="CA404" s="1"/>
    </row>
    <row r="405" spans="1:79" ht="12.75" customHeight="1">
      <c r="A405" s="1"/>
      <c r="B405" s="1"/>
      <c r="C405" s="591"/>
      <c r="D405" s="592"/>
      <c r="E405" s="593" t="s">
        <v>1888</v>
      </c>
      <c r="F405" s="1405" t="s">
        <v>2165</v>
      </c>
      <c r="G405" s="1384"/>
      <c r="H405" s="1384"/>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595"/>
      <c r="AH405" s="595"/>
      <c r="AI405" s="595"/>
      <c r="AJ405" s="595"/>
      <c r="AK405" s="595"/>
      <c r="AL405" s="596"/>
      <c r="AM405" s="1"/>
      <c r="AN405" s="424"/>
      <c r="AO405" s="117"/>
      <c r="AP405" s="117"/>
      <c r="AQ405" s="117"/>
      <c r="AR405" s="117"/>
      <c r="AS405" s="117"/>
      <c r="AT405" s="117"/>
      <c r="AU405" s="117"/>
      <c r="AV405" s="117"/>
      <c r="AW405" s="117"/>
      <c r="AX405" s="117"/>
      <c r="AY405" s="117"/>
      <c r="AZ405" s="117"/>
      <c r="BA405" s="117"/>
      <c r="BB405" s="117"/>
      <c r="BC405" s="117"/>
      <c r="BD405" s="117"/>
      <c r="BE405" s="117"/>
      <c r="BF405" s="117"/>
      <c r="BG405" s="117"/>
      <c r="BH405" s="117"/>
      <c r="BI405" s="117"/>
      <c r="BJ405" s="117"/>
      <c r="BK405" s="117"/>
      <c r="BL405" s="117"/>
      <c r="BM405" s="117"/>
      <c r="BN405" s="117"/>
      <c r="BO405" s="117"/>
      <c r="BP405" s="117"/>
      <c r="BQ405" s="117"/>
      <c r="BR405" s="117"/>
      <c r="BS405" s="1"/>
      <c r="BT405" s="1"/>
      <c r="BU405" s="1"/>
      <c r="BV405" s="1"/>
      <c r="BW405" s="1"/>
      <c r="BX405" s="1"/>
      <c r="BY405" s="1"/>
      <c r="BZ405" s="1"/>
      <c r="CA405" s="1"/>
    </row>
    <row r="406" spans="1:79" ht="12.75" customHeight="1">
      <c r="A406" s="1"/>
      <c r="B406" s="1"/>
      <c r="C406" s="597"/>
      <c r="D406" s="1"/>
      <c r="E406" s="598"/>
      <c r="F406" s="893"/>
      <c r="G406" s="893"/>
      <c r="H406" s="893"/>
      <c r="I406" s="893"/>
      <c r="J406" s="893"/>
      <c r="K406" s="893"/>
      <c r="L406" s="893"/>
      <c r="M406" s="893"/>
      <c r="N406" s="893"/>
      <c r="O406" s="893"/>
      <c r="P406" s="893"/>
      <c r="Q406" s="893"/>
      <c r="R406" s="893"/>
      <c r="S406" s="893"/>
      <c r="T406" s="893"/>
      <c r="U406" s="893"/>
      <c r="V406" s="893"/>
      <c r="W406" s="893"/>
      <c r="X406" s="893"/>
      <c r="Y406" s="893"/>
      <c r="Z406" s="893"/>
      <c r="AA406" s="893"/>
      <c r="AB406" s="893"/>
      <c r="AC406" s="893"/>
      <c r="AD406" s="893"/>
      <c r="AE406" s="893"/>
      <c r="AF406" s="893"/>
      <c r="AG406" s="8"/>
      <c r="AH406" s="8"/>
      <c r="AI406" s="8"/>
      <c r="AJ406" s="8"/>
      <c r="AK406" s="8"/>
      <c r="AL406" s="599"/>
      <c r="AM406" s="1"/>
      <c r="AN406" s="424"/>
      <c r="AO406" s="117"/>
      <c r="AP406" s="117"/>
      <c r="AQ406" s="117"/>
      <c r="AR406" s="117"/>
      <c r="AS406" s="117"/>
      <c r="AT406" s="117"/>
      <c r="AU406" s="117"/>
      <c r="AV406" s="117"/>
      <c r="AW406" s="117"/>
      <c r="AX406" s="117"/>
      <c r="AY406" s="117"/>
      <c r="AZ406" s="117"/>
      <c r="BA406" s="117"/>
      <c r="BB406" s="117"/>
      <c r="BC406" s="117"/>
      <c r="BD406" s="117"/>
      <c r="BE406" s="117"/>
      <c r="BF406" s="117"/>
      <c r="BG406" s="117"/>
      <c r="BH406" s="117"/>
      <c r="BI406" s="117"/>
      <c r="BJ406" s="117"/>
      <c r="BK406" s="117"/>
      <c r="BL406" s="117"/>
      <c r="BM406" s="117"/>
      <c r="BN406" s="117"/>
      <c r="BO406" s="117"/>
      <c r="BP406" s="117"/>
      <c r="BQ406" s="117"/>
      <c r="BR406" s="117"/>
      <c r="BS406" s="1"/>
      <c r="BT406" s="1"/>
      <c r="BU406" s="1"/>
      <c r="BV406" s="1"/>
      <c r="BW406" s="1"/>
      <c r="BX406" s="1"/>
      <c r="BY406" s="1"/>
      <c r="BZ406" s="1"/>
      <c r="CA406" s="1"/>
    </row>
    <row r="407" spans="1:79" ht="12.75" customHeight="1">
      <c r="A407" s="1"/>
      <c r="B407" s="1"/>
      <c r="C407" s="597"/>
      <c r="D407" s="1"/>
      <c r="E407" s="598"/>
      <c r="F407" s="893"/>
      <c r="G407" s="893"/>
      <c r="H407" s="893"/>
      <c r="I407" s="893"/>
      <c r="J407" s="893"/>
      <c r="K407" s="893"/>
      <c r="L407" s="893"/>
      <c r="M407" s="893"/>
      <c r="N407" s="893"/>
      <c r="O407" s="893"/>
      <c r="P407" s="893"/>
      <c r="Q407" s="893"/>
      <c r="R407" s="893"/>
      <c r="S407" s="893"/>
      <c r="T407" s="893"/>
      <c r="U407" s="893"/>
      <c r="V407" s="893"/>
      <c r="W407" s="893"/>
      <c r="X407" s="893"/>
      <c r="Y407" s="893"/>
      <c r="Z407" s="893"/>
      <c r="AA407" s="893"/>
      <c r="AB407" s="893"/>
      <c r="AC407" s="893"/>
      <c r="AD407" s="893"/>
      <c r="AE407" s="893"/>
      <c r="AF407" s="893"/>
      <c r="AG407" s="8"/>
      <c r="AH407" s="8"/>
      <c r="AI407" s="8"/>
      <c r="AJ407" s="8"/>
      <c r="AK407" s="8"/>
      <c r="AL407" s="599"/>
      <c r="AM407" s="1"/>
      <c r="AN407" s="424"/>
      <c r="AO407" s="117"/>
      <c r="AP407" s="117"/>
      <c r="AQ407" s="117"/>
      <c r="AR407" s="117"/>
      <c r="AS407" s="117"/>
      <c r="AT407" s="117"/>
      <c r="AU407" s="117"/>
      <c r="AV407" s="117"/>
      <c r="AW407" s="117"/>
      <c r="AX407" s="117"/>
      <c r="AY407" s="117"/>
      <c r="AZ407" s="117"/>
      <c r="BA407" s="117"/>
      <c r="BB407" s="117"/>
      <c r="BC407" s="117"/>
      <c r="BD407" s="117"/>
      <c r="BE407" s="117"/>
      <c r="BF407" s="117"/>
      <c r="BG407" s="117"/>
      <c r="BH407" s="117"/>
      <c r="BI407" s="117"/>
      <c r="BJ407" s="117"/>
      <c r="BK407" s="117"/>
      <c r="BL407" s="117"/>
      <c r="BM407" s="117"/>
      <c r="BN407" s="117"/>
      <c r="BO407" s="117"/>
      <c r="BP407" s="117"/>
      <c r="BQ407" s="117"/>
      <c r="BR407" s="117"/>
      <c r="BS407" s="1"/>
      <c r="BT407" s="1"/>
      <c r="BU407" s="1"/>
      <c r="BV407" s="1"/>
      <c r="BW407" s="1"/>
      <c r="BX407" s="1"/>
      <c r="BY407" s="1"/>
      <c r="BZ407" s="1"/>
      <c r="CA407" s="1"/>
    </row>
    <row r="408" spans="1:79" ht="12.75" customHeight="1">
      <c r="A408" s="1"/>
      <c r="B408" s="1"/>
      <c r="C408" s="597"/>
      <c r="D408" s="1"/>
      <c r="E408" s="598"/>
      <c r="F408" s="893"/>
      <c r="G408" s="893"/>
      <c r="H408" s="893"/>
      <c r="I408" s="893"/>
      <c r="J408" s="893"/>
      <c r="K408" s="893"/>
      <c r="L408" s="893"/>
      <c r="M408" s="893"/>
      <c r="N408" s="893"/>
      <c r="O408" s="893"/>
      <c r="P408" s="893"/>
      <c r="Q408" s="893"/>
      <c r="R408" s="893"/>
      <c r="S408" s="893"/>
      <c r="T408" s="893"/>
      <c r="U408" s="893"/>
      <c r="V408" s="893"/>
      <c r="W408" s="893"/>
      <c r="X408" s="893"/>
      <c r="Y408" s="893"/>
      <c r="Z408" s="893"/>
      <c r="AA408" s="893"/>
      <c r="AB408" s="893"/>
      <c r="AC408" s="893"/>
      <c r="AD408" s="893"/>
      <c r="AE408" s="893"/>
      <c r="AF408" s="893"/>
      <c r="AG408" s="8"/>
      <c r="AH408" s="8"/>
      <c r="AI408" s="8"/>
      <c r="AJ408" s="8"/>
      <c r="AK408" s="8"/>
      <c r="AL408" s="599"/>
      <c r="AM408" s="1"/>
      <c r="AN408" s="424"/>
      <c r="AO408" s="117"/>
      <c r="AP408" s="117"/>
      <c r="AQ408" s="117"/>
      <c r="AR408" s="117"/>
      <c r="AS408" s="117"/>
      <c r="AT408" s="117"/>
      <c r="AU408" s="117"/>
      <c r="AV408" s="117"/>
      <c r="AW408" s="117"/>
      <c r="AX408" s="117"/>
      <c r="AY408" s="117"/>
      <c r="AZ408" s="117"/>
      <c r="BA408" s="117"/>
      <c r="BB408" s="117"/>
      <c r="BC408" s="117"/>
      <c r="BD408" s="117"/>
      <c r="BE408" s="117"/>
      <c r="BF408" s="117"/>
      <c r="BG408" s="117"/>
      <c r="BH408" s="117"/>
      <c r="BI408" s="117"/>
      <c r="BJ408" s="117"/>
      <c r="BK408" s="117"/>
      <c r="BL408" s="117"/>
      <c r="BM408" s="117"/>
      <c r="BN408" s="117"/>
      <c r="BO408" s="117"/>
      <c r="BP408" s="117"/>
      <c r="BQ408" s="117"/>
      <c r="BR408" s="117"/>
      <c r="BS408" s="1"/>
      <c r="BT408" s="1"/>
      <c r="BU408" s="1"/>
      <c r="BV408" s="1"/>
      <c r="BW408" s="1"/>
      <c r="BX408" s="1"/>
      <c r="BY408" s="1"/>
      <c r="BZ408" s="1"/>
      <c r="CA408" s="1"/>
    </row>
    <row r="409" spans="1:79" ht="12.75" customHeight="1">
      <c r="A409" s="1"/>
      <c r="B409" s="1"/>
      <c r="C409" s="597"/>
      <c r="D409" s="1"/>
      <c r="E409" s="598"/>
      <c r="F409" s="893"/>
      <c r="G409" s="893"/>
      <c r="H409" s="893"/>
      <c r="I409" s="893"/>
      <c r="J409" s="893"/>
      <c r="K409" s="893"/>
      <c r="L409" s="893"/>
      <c r="M409" s="893"/>
      <c r="N409" s="893"/>
      <c r="O409" s="893"/>
      <c r="P409" s="893"/>
      <c r="Q409" s="893"/>
      <c r="R409" s="893"/>
      <c r="S409" s="893"/>
      <c r="T409" s="893"/>
      <c r="U409" s="893"/>
      <c r="V409" s="893"/>
      <c r="W409" s="893"/>
      <c r="X409" s="893"/>
      <c r="Y409" s="893"/>
      <c r="Z409" s="893"/>
      <c r="AA409" s="893"/>
      <c r="AB409" s="893"/>
      <c r="AC409" s="893"/>
      <c r="AD409" s="893"/>
      <c r="AE409" s="893"/>
      <c r="AF409" s="893"/>
      <c r="AG409" s="8"/>
      <c r="AH409" s="8"/>
      <c r="AI409" s="8"/>
      <c r="AJ409" s="8"/>
      <c r="AK409" s="8"/>
      <c r="AL409" s="599"/>
      <c r="AM409" s="1"/>
      <c r="AN409" s="424"/>
      <c r="AO409" s="117"/>
      <c r="AP409" s="117"/>
      <c r="AQ409" s="117"/>
      <c r="AR409" s="117"/>
      <c r="AS409" s="117"/>
      <c r="AT409" s="117"/>
      <c r="AU409" s="117"/>
      <c r="AV409" s="117"/>
      <c r="AW409" s="117"/>
      <c r="AX409" s="117"/>
      <c r="AY409" s="117"/>
      <c r="AZ409" s="117"/>
      <c r="BA409" s="117"/>
      <c r="BB409" s="117"/>
      <c r="BC409" s="117"/>
      <c r="BD409" s="117"/>
      <c r="BE409" s="117"/>
      <c r="BF409" s="117"/>
      <c r="BG409" s="117"/>
      <c r="BH409" s="117"/>
      <c r="BI409" s="117"/>
      <c r="BJ409" s="117"/>
      <c r="BK409" s="117"/>
      <c r="BL409" s="117"/>
      <c r="BM409" s="117"/>
      <c r="BN409" s="117"/>
      <c r="BO409" s="117"/>
      <c r="BP409" s="117"/>
      <c r="BQ409" s="117"/>
      <c r="BR409" s="117"/>
      <c r="BS409" s="1"/>
      <c r="BT409" s="1"/>
      <c r="BU409" s="1"/>
      <c r="BV409" s="1"/>
      <c r="BW409" s="1"/>
      <c r="BX409" s="1"/>
      <c r="BY409" s="1"/>
      <c r="BZ409" s="1"/>
      <c r="CA409" s="1"/>
    </row>
    <row r="410" spans="1:79" ht="12.75" customHeight="1">
      <c r="A410" s="1"/>
      <c r="B410" s="1"/>
      <c r="C410" s="1401" t="s">
        <v>901</v>
      </c>
      <c r="D410" s="969"/>
      <c r="E410" s="598"/>
      <c r="F410" s="600" t="s">
        <v>2166</v>
      </c>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117"/>
      <c r="AF410" s="939" t="s">
        <v>2167</v>
      </c>
      <c r="AG410" s="893"/>
      <c r="AH410" s="893"/>
      <c r="AI410" s="893"/>
      <c r="AJ410" s="893"/>
      <c r="AK410" s="893"/>
      <c r="AL410" s="1387"/>
      <c r="AM410" s="601"/>
      <c r="AN410" s="117"/>
      <c r="AO410" s="117"/>
      <c r="AP410" s="117"/>
      <c r="AQ410" s="117"/>
      <c r="AR410" s="117"/>
      <c r="AS410" s="117"/>
      <c r="AT410" s="117"/>
      <c r="AU410" s="117"/>
      <c r="AV410" s="117"/>
      <c r="AW410" s="117"/>
      <c r="AX410" s="117"/>
      <c r="AY410" s="117"/>
      <c r="AZ410" s="117"/>
      <c r="BA410" s="117"/>
      <c r="BB410" s="117"/>
      <c r="BC410" s="117"/>
      <c r="BD410" s="117"/>
      <c r="BE410" s="117"/>
      <c r="BF410" s="117"/>
      <c r="BG410" s="117"/>
      <c r="BH410" s="117"/>
      <c r="BI410" s="117"/>
      <c r="BJ410" s="117"/>
      <c r="BK410" s="117"/>
      <c r="BL410" s="117"/>
      <c r="BM410" s="117"/>
      <c r="BN410" s="117"/>
      <c r="BO410" s="117"/>
      <c r="BP410" s="117"/>
      <c r="BQ410" s="117"/>
      <c r="BR410" s="117"/>
      <c r="BS410" s="1"/>
      <c r="BT410" s="1"/>
      <c r="BU410" s="1"/>
      <c r="BV410" s="1"/>
      <c r="BW410" s="1"/>
      <c r="BX410" s="1"/>
      <c r="BY410" s="1"/>
      <c r="BZ410" s="1"/>
      <c r="CA410" s="1"/>
    </row>
    <row r="411" spans="1:79" ht="12.75" customHeight="1">
      <c r="A411" s="1"/>
      <c r="B411" s="1"/>
      <c r="C411" s="597"/>
      <c r="D411" s="1"/>
      <c r="E411" s="598"/>
      <c r="F411" s="320"/>
      <c r="G411" s="320"/>
      <c r="H411" s="320"/>
      <c r="I411" s="320"/>
      <c r="J411" s="320"/>
      <c r="K411" s="320"/>
      <c r="L411" s="320"/>
      <c r="M411" s="320"/>
      <c r="N411" s="320"/>
      <c r="O411" s="320"/>
      <c r="P411" s="320"/>
      <c r="Q411" s="320"/>
      <c r="R411" s="320"/>
      <c r="S411" s="320"/>
      <c r="T411" s="320"/>
      <c r="U411" s="320"/>
      <c r="V411" s="320"/>
      <c r="W411" s="320"/>
      <c r="X411" s="320"/>
      <c r="Y411" s="320"/>
      <c r="Z411" s="320"/>
      <c r="AA411" s="320"/>
      <c r="AB411" s="320"/>
      <c r="AC411" s="320"/>
      <c r="AD411" s="320"/>
      <c r="AE411" s="117"/>
      <c r="AF411" s="117"/>
      <c r="AG411" s="117"/>
      <c r="AH411" s="117"/>
      <c r="AI411" s="117"/>
      <c r="AJ411" s="117"/>
      <c r="AK411" s="117"/>
      <c r="AL411" s="612"/>
      <c r="AM411" s="1"/>
      <c r="AN411" s="424"/>
      <c r="AO411" s="117"/>
      <c r="AP411" s="117"/>
      <c r="AQ411" s="117"/>
      <c r="AR411" s="117"/>
      <c r="AS411" s="117"/>
      <c r="AT411" s="117"/>
      <c r="AU411" s="117"/>
      <c r="AV411" s="117"/>
      <c r="AW411" s="117"/>
      <c r="AX411" s="117"/>
      <c r="AY411" s="117"/>
      <c r="AZ411" s="117"/>
      <c r="BA411" s="117"/>
      <c r="BB411" s="117"/>
      <c r="BC411" s="117"/>
      <c r="BD411" s="117"/>
      <c r="BE411" s="117"/>
      <c r="BF411" s="117"/>
      <c r="BG411" s="117"/>
      <c r="BH411" s="117"/>
      <c r="BI411" s="117"/>
      <c r="BJ411" s="117"/>
      <c r="BK411" s="117"/>
      <c r="BL411" s="117"/>
      <c r="BM411" s="117"/>
      <c r="BN411" s="117"/>
      <c r="BO411" s="117"/>
      <c r="BP411" s="117"/>
      <c r="BQ411" s="117"/>
      <c r="BR411" s="117"/>
      <c r="BS411" s="1"/>
      <c r="BT411" s="1"/>
      <c r="BU411" s="1"/>
      <c r="BV411" s="1"/>
      <c r="BW411" s="1"/>
      <c r="BX411" s="1"/>
      <c r="BY411" s="1"/>
      <c r="BZ411" s="1"/>
      <c r="CA411" s="1"/>
    </row>
    <row r="412" spans="1:79" ht="12.75" customHeight="1">
      <c r="A412" s="1"/>
      <c r="B412" s="1"/>
      <c r="C412" s="1401" t="s">
        <v>855</v>
      </c>
      <c r="D412" s="969"/>
      <c r="E412" s="598"/>
      <c r="F412" s="617" t="s">
        <v>2168</v>
      </c>
      <c r="G412" s="320"/>
      <c r="H412" s="320"/>
      <c r="I412" s="320"/>
      <c r="J412" s="320"/>
      <c r="K412" s="320"/>
      <c r="L412" s="320"/>
      <c r="M412" s="320"/>
      <c r="N412" s="320"/>
      <c r="O412" s="320"/>
      <c r="P412" s="320"/>
      <c r="Q412" s="320"/>
      <c r="R412" s="320"/>
      <c r="S412" s="320"/>
      <c r="T412" s="320"/>
      <c r="U412" s="320"/>
      <c r="V412" s="320"/>
      <c r="W412" s="320"/>
      <c r="X412" s="320"/>
      <c r="Y412" s="320"/>
      <c r="Z412" s="320"/>
      <c r="AA412" s="320"/>
      <c r="AB412" s="320"/>
      <c r="AC412" s="320"/>
      <c r="AD412" s="320"/>
      <c r="AE412" s="117"/>
      <c r="AF412" s="939" t="s">
        <v>2161</v>
      </c>
      <c r="AG412" s="893"/>
      <c r="AH412" s="893"/>
      <c r="AI412" s="893"/>
      <c r="AJ412" s="893"/>
      <c r="AK412" s="893"/>
      <c r="AL412" s="1387"/>
      <c r="AM412" s="1"/>
      <c r="AN412" s="424"/>
      <c r="AO412" s="117"/>
      <c r="AP412" s="117"/>
      <c r="AQ412" s="117"/>
      <c r="AR412" s="117"/>
      <c r="AS412" s="117"/>
      <c r="AT412" s="117"/>
      <c r="AU412" s="117"/>
      <c r="AV412" s="117"/>
      <c r="AW412" s="117"/>
      <c r="AX412" s="117"/>
      <c r="AY412" s="117"/>
      <c r="AZ412" s="117"/>
      <c r="BA412" s="117"/>
      <c r="BB412" s="117"/>
      <c r="BC412" s="117"/>
      <c r="BD412" s="117"/>
      <c r="BE412" s="117"/>
      <c r="BF412" s="117"/>
      <c r="BG412" s="117"/>
      <c r="BH412" s="117"/>
      <c r="BI412" s="117"/>
      <c r="BJ412" s="117"/>
      <c r="BK412" s="117"/>
      <c r="BL412" s="117"/>
      <c r="BM412" s="117"/>
      <c r="BN412" s="117"/>
      <c r="BO412" s="117"/>
      <c r="BP412" s="117"/>
      <c r="BQ412" s="117"/>
      <c r="BR412" s="117"/>
      <c r="BS412" s="1"/>
      <c r="BT412" s="1"/>
      <c r="BU412" s="1"/>
      <c r="BV412" s="117"/>
      <c r="BW412" s="117"/>
      <c r="BX412" s="117"/>
      <c r="BY412" s="117"/>
      <c r="BZ412" s="117"/>
      <c r="CA412" s="117"/>
    </row>
    <row r="413" spans="1:79" ht="12.75" customHeight="1">
      <c r="A413" s="1"/>
      <c r="B413" s="1"/>
      <c r="C413" s="618"/>
      <c r="D413" s="117"/>
      <c r="E413" s="598"/>
      <c r="F413" s="117"/>
      <c r="G413" s="320"/>
      <c r="H413" s="320"/>
      <c r="I413" s="320"/>
      <c r="J413" s="320"/>
      <c r="K413" s="320"/>
      <c r="L413" s="320"/>
      <c r="M413" s="320"/>
      <c r="N413" s="320"/>
      <c r="O413" s="320"/>
      <c r="P413" s="320"/>
      <c r="Q413" s="320"/>
      <c r="R413" s="320"/>
      <c r="S413" s="320"/>
      <c r="T413" s="320"/>
      <c r="U413" s="320"/>
      <c r="V413" s="320"/>
      <c r="W413" s="320"/>
      <c r="X413" s="320"/>
      <c r="Y413" s="320"/>
      <c r="Z413" s="320"/>
      <c r="AA413" s="320"/>
      <c r="AB413" s="320"/>
      <c r="AC413" s="320"/>
      <c r="AD413" s="320"/>
      <c r="AE413" s="117"/>
      <c r="AF413" s="117"/>
      <c r="AG413" s="117"/>
      <c r="AH413" s="117"/>
      <c r="AI413" s="117"/>
      <c r="AJ413" s="117"/>
      <c r="AK413" s="117"/>
      <c r="AL413" s="612"/>
      <c r="AM413" s="1"/>
      <c r="AN413" s="424"/>
      <c r="AO413" s="117"/>
      <c r="AP413" s="117"/>
      <c r="AQ413" s="117"/>
      <c r="AR413" s="117"/>
      <c r="AS413" s="117"/>
      <c r="AT413" s="117"/>
      <c r="AU413" s="117"/>
      <c r="AV413" s="117"/>
      <c r="AW413" s="117"/>
      <c r="AX413" s="117"/>
      <c r="AY413" s="117"/>
      <c r="AZ413" s="117"/>
      <c r="BA413" s="117"/>
      <c r="BB413" s="117"/>
      <c r="BC413" s="117"/>
      <c r="BD413" s="117"/>
      <c r="BE413" s="117"/>
      <c r="BF413" s="117"/>
      <c r="BG413" s="117"/>
      <c r="BH413" s="117"/>
      <c r="BI413" s="117"/>
      <c r="BJ413" s="117"/>
      <c r="BK413" s="117"/>
      <c r="BL413" s="117"/>
      <c r="BM413" s="117"/>
      <c r="BN413" s="117"/>
      <c r="BO413" s="117"/>
      <c r="BP413" s="117"/>
      <c r="BQ413" s="117"/>
      <c r="BR413" s="117"/>
      <c r="BS413" s="1"/>
      <c r="BT413" s="1"/>
      <c r="BU413" s="1"/>
      <c r="BV413" s="117"/>
      <c r="BW413" s="117"/>
      <c r="BX413" s="117"/>
      <c r="BY413" s="117"/>
      <c r="BZ413" s="117"/>
      <c r="CA413" s="117"/>
    </row>
    <row r="414" spans="1:79" ht="12.75" customHeight="1">
      <c r="A414" s="1"/>
      <c r="B414" s="1"/>
      <c r="C414" s="613"/>
      <c r="D414" s="453"/>
      <c r="E414" s="605"/>
      <c r="F414" s="619" t="s">
        <v>2169</v>
      </c>
      <c r="G414" s="614"/>
      <c r="H414" s="614"/>
      <c r="I414" s="614"/>
      <c r="J414" s="614"/>
      <c r="K414" s="614"/>
      <c r="L414" s="614"/>
      <c r="M414" s="614"/>
      <c r="N414" s="614"/>
      <c r="O414" s="614"/>
      <c r="P414" s="614"/>
      <c r="Q414" s="614"/>
      <c r="R414" s="614"/>
      <c r="S414" s="614"/>
      <c r="T414" s="614"/>
      <c r="U414" s="614"/>
      <c r="V414" s="614"/>
      <c r="W414" s="614"/>
      <c r="X414" s="614"/>
      <c r="Y414" s="614"/>
      <c r="Z414" s="614"/>
      <c r="AA414" s="614"/>
      <c r="AB414" s="614"/>
      <c r="AC414" s="614"/>
      <c r="AD414" s="614"/>
      <c r="AE414" s="453"/>
      <c r="AF414" s="399"/>
      <c r="AG414" s="453"/>
      <c r="AH414" s="609"/>
      <c r="AI414" s="609"/>
      <c r="AJ414" s="609"/>
      <c r="AK414" s="609"/>
      <c r="AL414" s="616"/>
      <c r="AM414" s="1"/>
      <c r="AN414" s="424"/>
      <c r="AO414" s="117"/>
      <c r="AP414" s="117"/>
      <c r="AQ414" s="117"/>
      <c r="AR414" s="117"/>
      <c r="AS414" s="117"/>
      <c r="AT414" s="117"/>
      <c r="AU414" s="117"/>
      <c r="AV414" s="117"/>
      <c r="AW414" s="117"/>
      <c r="AX414" s="117"/>
      <c r="AY414" s="117"/>
      <c r="AZ414" s="117"/>
      <c r="BA414" s="117"/>
      <c r="BB414" s="117"/>
      <c r="BC414" s="117"/>
      <c r="BD414" s="117"/>
      <c r="BE414" s="117"/>
      <c r="BF414" s="117"/>
      <c r="BG414" s="117"/>
      <c r="BH414" s="117"/>
      <c r="BI414" s="117"/>
      <c r="BJ414" s="117"/>
      <c r="BK414" s="117"/>
      <c r="BL414" s="117"/>
      <c r="BM414" s="117"/>
      <c r="BN414" s="117"/>
      <c r="BO414" s="117"/>
      <c r="BP414" s="117"/>
      <c r="BQ414" s="117"/>
      <c r="BR414" s="117"/>
      <c r="BS414" s="1"/>
      <c r="BT414" s="1"/>
      <c r="BU414" s="1"/>
      <c r="BV414" s="117"/>
      <c r="BW414" s="117"/>
      <c r="BX414" s="117"/>
      <c r="BY414" s="117"/>
      <c r="BZ414" s="117"/>
      <c r="CA414" s="117"/>
    </row>
    <row r="415" spans="1:79" ht="12.75" customHeight="1">
      <c r="A415" s="1"/>
      <c r="B415" s="1"/>
      <c r="C415" s="1"/>
      <c r="D415" s="1"/>
      <c r="E415" s="598"/>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1"/>
      <c r="AF415" s="8"/>
      <c r="AG415" s="1"/>
      <c r="AH415" s="117"/>
      <c r="AI415" s="117"/>
      <c r="AJ415" s="117"/>
      <c r="AK415" s="117"/>
      <c r="AL415" s="117"/>
      <c r="AM415" s="1"/>
      <c r="AN415" s="424"/>
      <c r="AO415" s="117"/>
      <c r="AP415" s="117"/>
      <c r="AQ415" s="117"/>
      <c r="AR415" s="117"/>
      <c r="AS415" s="117"/>
      <c r="AT415" s="117"/>
      <c r="AU415" s="117"/>
      <c r="AV415" s="117"/>
      <c r="AW415" s="117"/>
      <c r="AX415" s="117"/>
      <c r="AY415" s="117"/>
      <c r="AZ415" s="117"/>
      <c r="BA415" s="117"/>
      <c r="BB415" s="117"/>
      <c r="BC415" s="117"/>
      <c r="BD415" s="117"/>
      <c r="BE415" s="117"/>
      <c r="BF415" s="117"/>
      <c r="BG415" s="117"/>
      <c r="BH415" s="117"/>
      <c r="BI415" s="117"/>
      <c r="BJ415" s="117"/>
      <c r="BK415" s="117"/>
      <c r="BL415" s="117"/>
      <c r="BM415" s="117"/>
      <c r="BN415" s="117"/>
      <c r="BO415" s="117"/>
      <c r="BP415" s="117"/>
      <c r="BQ415" s="117"/>
      <c r="BR415" s="117"/>
      <c r="BS415" s="1"/>
      <c r="BT415" s="1"/>
      <c r="BU415" s="1"/>
      <c r="BV415" s="117"/>
      <c r="BW415" s="117"/>
      <c r="BX415" s="117"/>
      <c r="BY415" s="117"/>
      <c r="BZ415" s="117"/>
      <c r="CA415" s="117"/>
    </row>
    <row r="416" spans="1:79" ht="12.75" customHeight="1">
      <c r="A416" s="1"/>
      <c r="B416" s="1"/>
      <c r="C416" s="591"/>
      <c r="D416" s="592"/>
      <c r="E416" s="593" t="s">
        <v>1891</v>
      </c>
      <c r="F416" s="1405" t="s">
        <v>2170</v>
      </c>
      <c r="G416" s="1384"/>
      <c r="H416" s="1384"/>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595"/>
      <c r="AH416" s="595"/>
      <c r="AI416" s="595"/>
      <c r="AJ416" s="595"/>
      <c r="AK416" s="595"/>
      <c r="AL416" s="596"/>
      <c r="AM416" s="1"/>
      <c r="AN416" s="424"/>
      <c r="AO416" s="117"/>
      <c r="AP416" s="117"/>
      <c r="AQ416" s="117"/>
      <c r="AR416" s="117"/>
      <c r="AS416" s="117"/>
      <c r="AT416" s="117"/>
      <c r="AU416" s="117"/>
      <c r="AV416" s="117"/>
      <c r="AW416" s="117"/>
      <c r="AX416" s="117"/>
      <c r="AY416" s="117"/>
      <c r="AZ416" s="117"/>
      <c r="BA416" s="117"/>
      <c r="BB416" s="117"/>
      <c r="BC416" s="117"/>
      <c r="BD416" s="117"/>
      <c r="BE416" s="117"/>
      <c r="BF416" s="117"/>
      <c r="BG416" s="117"/>
      <c r="BH416" s="117"/>
      <c r="BI416" s="117"/>
      <c r="BJ416" s="117"/>
      <c r="BK416" s="117"/>
      <c r="BL416" s="117"/>
      <c r="BM416" s="117"/>
      <c r="BN416" s="117"/>
      <c r="BO416" s="117"/>
      <c r="BP416" s="117"/>
      <c r="BQ416" s="117"/>
      <c r="BR416" s="117"/>
      <c r="BS416" s="1"/>
      <c r="BT416" s="1"/>
      <c r="BU416" s="1"/>
      <c r="BV416" s="1"/>
      <c r="BW416" s="1"/>
      <c r="BX416" s="1"/>
      <c r="BY416" s="1"/>
      <c r="BZ416" s="1"/>
      <c r="CA416" s="1"/>
    </row>
    <row r="417" spans="1:79" ht="12.75" customHeight="1">
      <c r="A417" s="1"/>
      <c r="B417" s="1"/>
      <c r="C417" s="597"/>
      <c r="D417" s="1"/>
      <c r="E417" s="598"/>
      <c r="F417" s="893"/>
      <c r="G417" s="893"/>
      <c r="H417" s="893"/>
      <c r="I417" s="893"/>
      <c r="J417" s="893"/>
      <c r="K417" s="893"/>
      <c r="L417" s="893"/>
      <c r="M417" s="893"/>
      <c r="N417" s="893"/>
      <c r="O417" s="893"/>
      <c r="P417" s="893"/>
      <c r="Q417" s="893"/>
      <c r="R417" s="893"/>
      <c r="S417" s="893"/>
      <c r="T417" s="893"/>
      <c r="U417" s="893"/>
      <c r="V417" s="893"/>
      <c r="W417" s="893"/>
      <c r="X417" s="893"/>
      <c r="Y417" s="893"/>
      <c r="Z417" s="893"/>
      <c r="AA417" s="893"/>
      <c r="AB417" s="893"/>
      <c r="AC417" s="893"/>
      <c r="AD417" s="893"/>
      <c r="AE417" s="893"/>
      <c r="AF417" s="893"/>
      <c r="AG417" s="8"/>
      <c r="AH417" s="8"/>
      <c r="AI417" s="8"/>
      <c r="AJ417" s="8"/>
      <c r="AK417" s="8"/>
      <c r="AL417" s="599"/>
      <c r="AM417" s="1"/>
      <c r="AN417" s="424"/>
      <c r="AO417" s="117"/>
      <c r="AP417" s="117"/>
      <c r="AQ417" s="117"/>
      <c r="AR417" s="117"/>
      <c r="AS417" s="117"/>
      <c r="AT417" s="117"/>
      <c r="AU417" s="117"/>
      <c r="AV417" s="117"/>
      <c r="AW417" s="117"/>
      <c r="AX417" s="117"/>
      <c r="AY417" s="117"/>
      <c r="AZ417" s="117"/>
      <c r="BA417" s="117"/>
      <c r="BB417" s="117"/>
      <c r="BC417" s="117"/>
      <c r="BD417" s="117"/>
      <c r="BE417" s="117"/>
      <c r="BF417" s="117"/>
      <c r="BG417" s="117"/>
      <c r="BH417" s="117"/>
      <c r="BI417" s="117"/>
      <c r="BJ417" s="117"/>
      <c r="BK417" s="117"/>
      <c r="BL417" s="117"/>
      <c r="BM417" s="117"/>
      <c r="BN417" s="117"/>
      <c r="BO417" s="117"/>
      <c r="BP417" s="117"/>
      <c r="BQ417" s="117"/>
      <c r="BR417" s="117"/>
      <c r="BS417" s="1"/>
      <c r="BT417" s="1"/>
      <c r="BU417" s="1"/>
      <c r="BV417" s="1"/>
      <c r="BW417" s="1"/>
      <c r="BX417" s="1"/>
      <c r="BY417" s="1"/>
      <c r="BZ417" s="1"/>
      <c r="CA417" s="1"/>
    </row>
    <row r="418" spans="1:79" ht="12.75" customHeight="1">
      <c r="A418" s="1"/>
      <c r="B418" s="1"/>
      <c r="C418" s="597"/>
      <c r="D418" s="1"/>
      <c r="E418" s="598"/>
      <c r="F418" s="893"/>
      <c r="G418" s="893"/>
      <c r="H418" s="893"/>
      <c r="I418" s="893"/>
      <c r="J418" s="893"/>
      <c r="K418" s="893"/>
      <c r="L418" s="893"/>
      <c r="M418" s="893"/>
      <c r="N418" s="893"/>
      <c r="O418" s="893"/>
      <c r="P418" s="893"/>
      <c r="Q418" s="893"/>
      <c r="R418" s="893"/>
      <c r="S418" s="893"/>
      <c r="T418" s="893"/>
      <c r="U418" s="893"/>
      <c r="V418" s="893"/>
      <c r="W418" s="893"/>
      <c r="X418" s="893"/>
      <c r="Y418" s="893"/>
      <c r="Z418" s="893"/>
      <c r="AA418" s="893"/>
      <c r="AB418" s="893"/>
      <c r="AC418" s="893"/>
      <c r="AD418" s="893"/>
      <c r="AE418" s="893"/>
      <c r="AF418" s="893"/>
      <c r="AG418" s="8"/>
      <c r="AH418" s="8"/>
      <c r="AI418" s="8"/>
      <c r="AJ418" s="8"/>
      <c r="AK418" s="8"/>
      <c r="AL418" s="599"/>
      <c r="AM418" s="1"/>
      <c r="AN418" s="345"/>
      <c r="AO418" s="203"/>
      <c r="AP418" s="1"/>
      <c r="AQ418" s="1"/>
      <c r="AR418" s="1"/>
      <c r="AS418" s="1"/>
      <c r="AT418" s="1"/>
      <c r="AU418" s="1"/>
      <c r="AV418" s="1"/>
      <c r="AW418" s="1"/>
      <c r="AX418" s="1"/>
      <c r="AY418" s="1"/>
      <c r="AZ418" s="1"/>
      <c r="BA418" s="1"/>
      <c r="BB418" s="1"/>
      <c r="BC418" s="1"/>
      <c r="BD418" s="126"/>
      <c r="BE418" s="126"/>
      <c r="BF418" s="126"/>
      <c r="BG418" s="126"/>
      <c r="BH418" s="126"/>
      <c r="BI418" s="1"/>
      <c r="BJ418" s="1"/>
      <c r="BK418" s="1"/>
      <c r="BL418" s="1"/>
      <c r="BM418" s="1"/>
      <c r="BN418" s="1"/>
      <c r="BO418" s="1"/>
      <c r="BP418" s="1"/>
      <c r="BQ418" s="1"/>
      <c r="BR418" s="1"/>
      <c r="BS418" s="1"/>
      <c r="BT418" s="1"/>
      <c r="BU418" s="1"/>
      <c r="BV418" s="1"/>
      <c r="BW418" s="1"/>
      <c r="BX418" s="1"/>
      <c r="BY418" s="1"/>
      <c r="BZ418" s="1"/>
      <c r="CA418" s="1"/>
    </row>
    <row r="419" spans="1:79" ht="12.75" customHeight="1">
      <c r="A419" s="117"/>
      <c r="B419" s="1"/>
      <c r="C419" s="597"/>
      <c r="D419" s="1"/>
      <c r="E419" s="598"/>
      <c r="F419" s="893"/>
      <c r="G419" s="893"/>
      <c r="H419" s="893"/>
      <c r="I419" s="893"/>
      <c r="J419" s="893"/>
      <c r="K419" s="893"/>
      <c r="L419" s="893"/>
      <c r="M419" s="893"/>
      <c r="N419" s="893"/>
      <c r="O419" s="893"/>
      <c r="P419" s="893"/>
      <c r="Q419" s="893"/>
      <c r="R419" s="893"/>
      <c r="S419" s="893"/>
      <c r="T419" s="893"/>
      <c r="U419" s="893"/>
      <c r="V419" s="893"/>
      <c r="W419" s="893"/>
      <c r="X419" s="893"/>
      <c r="Y419" s="893"/>
      <c r="Z419" s="893"/>
      <c r="AA419" s="893"/>
      <c r="AB419" s="893"/>
      <c r="AC419" s="893"/>
      <c r="AD419" s="893"/>
      <c r="AE419" s="893"/>
      <c r="AF419" s="893"/>
      <c r="AG419" s="8"/>
      <c r="AH419" s="8"/>
      <c r="AI419" s="8"/>
      <c r="AJ419" s="8"/>
      <c r="AK419" s="8"/>
      <c r="AL419" s="599"/>
      <c r="AM419" s="1"/>
      <c r="AN419" s="424"/>
      <c r="AO419" s="117"/>
      <c r="AP419" s="117"/>
      <c r="AQ419" s="117"/>
      <c r="AR419" s="117"/>
      <c r="AS419" s="117"/>
      <c r="AT419" s="117"/>
      <c r="AU419" s="117"/>
      <c r="AV419" s="117"/>
      <c r="AW419" s="117"/>
      <c r="AX419" s="117"/>
      <c r="AY419" s="117"/>
      <c r="AZ419" s="117"/>
      <c r="BA419" s="117"/>
      <c r="BB419" s="117"/>
      <c r="BC419" s="117"/>
      <c r="BD419" s="117"/>
      <c r="BE419" s="117"/>
      <c r="BF419" s="117"/>
      <c r="BG419" s="117"/>
      <c r="BH419" s="117"/>
      <c r="BI419" s="117"/>
      <c r="BJ419" s="117"/>
      <c r="BK419" s="117"/>
      <c r="BL419" s="117"/>
      <c r="BM419" s="117"/>
      <c r="BN419" s="117"/>
      <c r="BO419" s="117"/>
      <c r="BP419" s="117"/>
      <c r="BQ419" s="117"/>
      <c r="BR419" s="117"/>
      <c r="BS419" s="1"/>
      <c r="BT419" s="1"/>
      <c r="BU419" s="117"/>
      <c r="BV419" s="117"/>
      <c r="BW419" s="117"/>
      <c r="BX419" s="117"/>
      <c r="BY419" s="1"/>
      <c r="BZ419" s="1"/>
      <c r="CA419" s="1"/>
    </row>
    <row r="420" spans="1:79" ht="12.75" customHeight="1">
      <c r="A420" s="1"/>
      <c r="B420" s="1"/>
      <c r="C420" s="1401" t="s">
        <v>855</v>
      </c>
      <c r="D420" s="969"/>
      <c r="E420" s="598"/>
      <c r="F420" s="600" t="s">
        <v>2172</v>
      </c>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117"/>
      <c r="AF420" s="939" t="s">
        <v>2161</v>
      </c>
      <c r="AG420" s="893"/>
      <c r="AH420" s="893"/>
      <c r="AI420" s="893"/>
      <c r="AJ420" s="893"/>
      <c r="AK420" s="893"/>
      <c r="AL420" s="1387"/>
      <c r="AM420" s="1"/>
      <c r="AN420" s="424"/>
      <c r="AO420" s="117"/>
      <c r="AP420" s="117"/>
      <c r="AQ420" s="117"/>
      <c r="AR420" s="117"/>
      <c r="AS420" s="117"/>
      <c r="AT420" s="117"/>
      <c r="AU420" s="117"/>
      <c r="AV420" s="117"/>
      <c r="AW420" s="117"/>
      <c r="AX420" s="117"/>
      <c r="AY420" s="117"/>
      <c r="AZ420" s="117"/>
      <c r="BA420" s="117"/>
      <c r="BB420" s="117"/>
      <c r="BC420" s="117"/>
      <c r="BD420" s="117"/>
      <c r="BE420" s="117"/>
      <c r="BF420" s="117"/>
      <c r="BG420" s="117"/>
      <c r="BH420" s="117"/>
      <c r="BI420" s="117"/>
      <c r="BJ420" s="117"/>
      <c r="BK420" s="117"/>
      <c r="BL420" s="117"/>
      <c r="BM420" s="117"/>
      <c r="BN420" s="117"/>
      <c r="BO420" s="117"/>
      <c r="BP420" s="117"/>
      <c r="BQ420" s="117"/>
      <c r="BR420" s="117"/>
      <c r="BS420" s="1"/>
      <c r="BT420" s="1"/>
      <c r="BU420" s="117"/>
      <c r="BV420" s="117"/>
      <c r="BW420" s="117"/>
      <c r="BX420" s="117"/>
      <c r="BY420" s="1"/>
      <c r="BZ420" s="1"/>
      <c r="CA420" s="1"/>
    </row>
    <row r="421" spans="1:79" ht="12.75" customHeight="1">
      <c r="A421" s="1"/>
      <c r="B421" s="1"/>
      <c r="C421" s="597"/>
      <c r="D421" s="1"/>
      <c r="E421" s="598"/>
      <c r="F421" s="117"/>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117"/>
      <c r="AF421" s="117"/>
      <c r="AG421" s="117"/>
      <c r="AH421" s="117"/>
      <c r="AI421" s="117"/>
      <c r="AJ421" s="117"/>
      <c r="AK421" s="117"/>
      <c r="AL421" s="612"/>
      <c r="AM421" s="1"/>
      <c r="AN421" s="424"/>
      <c r="AO421" s="117"/>
      <c r="AP421" s="117"/>
      <c r="AQ421" s="117"/>
      <c r="AR421" s="117"/>
      <c r="AS421" s="117"/>
      <c r="AT421" s="117"/>
      <c r="AU421" s="117"/>
      <c r="AV421" s="117"/>
      <c r="AW421" s="117"/>
      <c r="AX421" s="117"/>
      <c r="AY421" s="117"/>
      <c r="AZ421" s="117"/>
      <c r="BA421" s="117"/>
      <c r="BB421" s="117"/>
      <c r="BC421" s="117"/>
      <c r="BD421" s="117"/>
      <c r="BE421" s="117"/>
      <c r="BF421" s="117"/>
      <c r="BG421" s="117"/>
      <c r="BH421" s="117"/>
      <c r="BI421" s="117"/>
      <c r="BJ421" s="117"/>
      <c r="BK421" s="117"/>
      <c r="BL421" s="117"/>
      <c r="BM421" s="117"/>
      <c r="BN421" s="117"/>
      <c r="BO421" s="117"/>
      <c r="BP421" s="117"/>
      <c r="BQ421" s="117"/>
      <c r="BR421" s="117"/>
      <c r="BS421" s="1"/>
      <c r="BT421" s="1"/>
      <c r="BU421" s="117"/>
      <c r="BV421" s="117"/>
      <c r="BW421" s="117"/>
      <c r="BX421" s="117"/>
      <c r="BY421" s="1"/>
      <c r="BZ421" s="1"/>
      <c r="CA421" s="1"/>
    </row>
    <row r="422" spans="1:79" ht="12.75" customHeight="1">
      <c r="A422" s="1"/>
      <c r="B422" s="1"/>
      <c r="C422" s="1401" t="s">
        <v>901</v>
      </c>
      <c r="D422" s="969"/>
      <c r="E422" s="598"/>
      <c r="F422" s="600" t="s">
        <v>2173</v>
      </c>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117"/>
      <c r="AF422" s="939" t="s">
        <v>2174</v>
      </c>
      <c r="AG422" s="893"/>
      <c r="AH422" s="893"/>
      <c r="AI422" s="893"/>
      <c r="AJ422" s="893"/>
      <c r="AK422" s="893"/>
      <c r="AL422" s="1387"/>
      <c r="AM422" s="1"/>
      <c r="AN422" s="424"/>
      <c r="AO422" s="117"/>
      <c r="AP422" s="117"/>
      <c r="AQ422" s="117"/>
      <c r="AR422" s="117"/>
      <c r="AS422" s="117"/>
      <c r="AT422" s="117"/>
      <c r="AU422" s="117"/>
      <c r="AV422" s="117"/>
      <c r="AW422" s="117"/>
      <c r="AX422" s="117"/>
      <c r="AY422" s="117"/>
      <c r="AZ422" s="117"/>
      <c r="BA422" s="117"/>
      <c r="BB422" s="117"/>
      <c r="BC422" s="117"/>
      <c r="BD422" s="117"/>
      <c r="BE422" s="117"/>
      <c r="BF422" s="117"/>
      <c r="BG422" s="117"/>
      <c r="BH422" s="117"/>
      <c r="BI422" s="117"/>
      <c r="BJ422" s="117"/>
      <c r="BK422" s="117"/>
      <c r="BL422" s="117"/>
      <c r="BM422" s="117"/>
      <c r="BN422" s="117"/>
      <c r="BO422" s="117"/>
      <c r="BP422" s="117"/>
      <c r="BQ422" s="117"/>
      <c r="BR422" s="117"/>
      <c r="BS422" s="1"/>
      <c r="BT422" s="1"/>
      <c r="BU422" s="117"/>
      <c r="BV422" s="117"/>
      <c r="BW422" s="117"/>
      <c r="BX422" s="117"/>
      <c r="BY422" s="1"/>
      <c r="BZ422" s="1"/>
      <c r="CA422" s="1"/>
    </row>
    <row r="423" spans="1:79" ht="12.75" customHeight="1">
      <c r="A423" s="1"/>
      <c r="B423" s="1"/>
      <c r="C423" s="620"/>
      <c r="D423" s="609"/>
      <c r="E423" s="605"/>
      <c r="F423" s="609"/>
      <c r="G423" s="607"/>
      <c r="H423" s="607"/>
      <c r="I423" s="607"/>
      <c r="J423" s="607"/>
      <c r="K423" s="607"/>
      <c r="L423" s="607"/>
      <c r="M423" s="607"/>
      <c r="N423" s="607"/>
      <c r="O423" s="607"/>
      <c r="P423" s="607"/>
      <c r="Q423" s="607"/>
      <c r="R423" s="607"/>
      <c r="S423" s="607"/>
      <c r="T423" s="607"/>
      <c r="U423" s="607"/>
      <c r="V423" s="607"/>
      <c r="W423" s="607"/>
      <c r="X423" s="607"/>
      <c r="Y423" s="607"/>
      <c r="Z423" s="607"/>
      <c r="AA423" s="607"/>
      <c r="AB423" s="607"/>
      <c r="AC423" s="607"/>
      <c r="AD423" s="607"/>
      <c r="AE423" s="609"/>
      <c r="AF423" s="609"/>
      <c r="AG423" s="609"/>
      <c r="AH423" s="609"/>
      <c r="AI423" s="609"/>
      <c r="AJ423" s="609"/>
      <c r="AK423" s="609"/>
      <c r="AL423" s="616"/>
      <c r="AM423" s="1"/>
      <c r="AN423" s="424"/>
      <c r="AO423" s="117"/>
      <c r="AP423" s="117"/>
      <c r="AQ423" s="117"/>
      <c r="AR423" s="117"/>
      <c r="AS423" s="117"/>
      <c r="AT423" s="117"/>
      <c r="AU423" s="117"/>
      <c r="AV423" s="117"/>
      <c r="AW423" s="117"/>
      <c r="AX423" s="117"/>
      <c r="AY423" s="117"/>
      <c r="AZ423" s="117"/>
      <c r="BA423" s="117"/>
      <c r="BB423" s="117"/>
      <c r="BC423" s="117"/>
      <c r="BD423" s="117"/>
      <c r="BE423" s="117"/>
      <c r="BF423" s="117"/>
      <c r="BG423" s="117"/>
      <c r="BH423" s="117"/>
      <c r="BI423" s="117"/>
      <c r="BJ423" s="117"/>
      <c r="BK423" s="117"/>
      <c r="BL423" s="117"/>
      <c r="BM423" s="117"/>
      <c r="BN423" s="117"/>
      <c r="BO423" s="117"/>
      <c r="BP423" s="117"/>
      <c r="BQ423" s="117"/>
      <c r="BR423" s="117"/>
      <c r="BS423" s="1"/>
      <c r="BT423" s="1"/>
      <c r="BU423" s="117"/>
      <c r="BV423" s="117"/>
      <c r="BW423" s="117"/>
      <c r="BX423" s="117"/>
      <c r="BY423" s="1"/>
      <c r="BZ423" s="1"/>
      <c r="CA423" s="1"/>
    </row>
    <row r="424" spans="1:79" ht="12.75" customHeight="1">
      <c r="A424" s="1"/>
      <c r="B424" s="1"/>
      <c r="C424" s="1"/>
      <c r="D424" s="1"/>
      <c r="E424" s="598"/>
      <c r="F424" s="117"/>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1"/>
      <c r="AF424" s="8"/>
      <c r="AG424" s="1"/>
      <c r="AH424" s="117"/>
      <c r="AI424" s="117"/>
      <c r="AJ424" s="117"/>
      <c r="AK424" s="117"/>
      <c r="AL424" s="117"/>
      <c r="AM424" s="1"/>
      <c r="AN424" s="424"/>
      <c r="AO424" s="117"/>
      <c r="AP424" s="117"/>
      <c r="AQ424" s="117"/>
      <c r="AR424" s="117"/>
      <c r="AS424" s="117"/>
      <c r="AT424" s="117"/>
      <c r="AU424" s="117"/>
      <c r="AV424" s="117"/>
      <c r="AW424" s="117"/>
      <c r="AX424" s="117"/>
      <c r="AY424" s="117"/>
      <c r="AZ424" s="117"/>
      <c r="BA424" s="117"/>
      <c r="BB424" s="117"/>
      <c r="BC424" s="117"/>
      <c r="BD424" s="117"/>
      <c r="BE424" s="117"/>
      <c r="BF424" s="117"/>
      <c r="BG424" s="117"/>
      <c r="BH424" s="117"/>
      <c r="BI424" s="117"/>
      <c r="BJ424" s="117"/>
      <c r="BK424" s="117"/>
      <c r="BL424" s="117"/>
      <c r="BM424" s="117"/>
      <c r="BN424" s="117"/>
      <c r="BO424" s="117"/>
      <c r="BP424" s="117"/>
      <c r="BQ424" s="117"/>
      <c r="BR424" s="117"/>
      <c r="BS424" s="1"/>
      <c r="BT424" s="1"/>
      <c r="BU424" s="117"/>
      <c r="BV424" s="117"/>
      <c r="BW424" s="117"/>
      <c r="BX424" s="117"/>
      <c r="BY424" s="1"/>
      <c r="BZ424" s="1"/>
      <c r="CA424" s="1"/>
    </row>
    <row r="425" spans="1:79" ht="12.75" customHeight="1">
      <c r="A425" s="1"/>
      <c r="B425" s="1"/>
      <c r="C425" s="1401" t="s">
        <v>855</v>
      </c>
      <c r="D425" s="969"/>
      <c r="E425" s="593" t="s">
        <v>2175</v>
      </c>
      <c r="F425" s="1405" t="s">
        <v>2176</v>
      </c>
      <c r="G425" s="1384"/>
      <c r="H425" s="1384"/>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595"/>
      <c r="AG425" s="439"/>
      <c r="AH425" s="592"/>
      <c r="AI425" s="592"/>
      <c r="AJ425" s="592"/>
      <c r="AK425" s="592"/>
      <c r="AL425" s="622"/>
      <c r="AM425" s="1"/>
      <c r="AN425" s="424"/>
      <c r="AO425" s="117"/>
      <c r="AP425" s="117"/>
      <c r="AQ425" s="117"/>
      <c r="AR425" s="117"/>
      <c r="AS425" s="117"/>
      <c r="AT425" s="117"/>
      <c r="AU425" s="117"/>
      <c r="AV425" s="117"/>
      <c r="AW425" s="117"/>
      <c r="AX425" s="117"/>
      <c r="AY425" s="117"/>
      <c r="AZ425" s="117"/>
      <c r="BA425" s="117"/>
      <c r="BB425" s="117"/>
      <c r="BC425" s="117"/>
      <c r="BD425" s="117"/>
      <c r="BE425" s="117"/>
      <c r="BF425" s="117"/>
      <c r="BG425" s="117"/>
      <c r="BH425" s="117"/>
      <c r="BI425" s="117"/>
      <c r="BJ425" s="117"/>
      <c r="BK425" s="117"/>
      <c r="BL425" s="117"/>
      <c r="BM425" s="117"/>
      <c r="BN425" s="117"/>
      <c r="BO425" s="117"/>
      <c r="BP425" s="117"/>
      <c r="BQ425" s="117"/>
      <c r="BR425" s="117"/>
      <c r="BS425" s="1"/>
      <c r="BT425" s="1"/>
      <c r="BU425" s="117"/>
      <c r="BV425" s="117"/>
      <c r="BW425" s="117"/>
      <c r="BX425" s="117"/>
      <c r="BY425" s="1"/>
      <c r="BZ425" s="1"/>
      <c r="CA425" s="1"/>
    </row>
    <row r="426" spans="1:79" ht="12.75" customHeight="1">
      <c r="A426" s="1"/>
      <c r="B426" s="1"/>
      <c r="C426" s="618"/>
      <c r="D426" s="117"/>
      <c r="E426" s="117"/>
      <c r="F426" s="893"/>
      <c r="G426" s="893"/>
      <c r="H426" s="893"/>
      <c r="I426" s="893"/>
      <c r="J426" s="893"/>
      <c r="K426" s="893"/>
      <c r="L426" s="893"/>
      <c r="M426" s="893"/>
      <c r="N426" s="893"/>
      <c r="O426" s="893"/>
      <c r="P426" s="893"/>
      <c r="Q426" s="893"/>
      <c r="R426" s="893"/>
      <c r="S426" s="893"/>
      <c r="T426" s="893"/>
      <c r="U426" s="893"/>
      <c r="V426" s="893"/>
      <c r="W426" s="893"/>
      <c r="X426" s="893"/>
      <c r="Y426" s="893"/>
      <c r="Z426" s="893"/>
      <c r="AA426" s="893"/>
      <c r="AB426" s="893"/>
      <c r="AC426" s="893"/>
      <c r="AD426" s="893"/>
      <c r="AE426" s="893"/>
      <c r="AF426" s="1376" t="s">
        <v>2161</v>
      </c>
      <c r="AG426" s="893"/>
      <c r="AH426" s="893"/>
      <c r="AI426" s="893"/>
      <c r="AJ426" s="893"/>
      <c r="AK426" s="893"/>
      <c r="AL426" s="1387"/>
      <c r="AM426" s="1"/>
      <c r="AN426" s="424"/>
      <c r="AO426" s="117"/>
      <c r="AP426" s="117"/>
      <c r="AQ426" s="117"/>
      <c r="AR426" s="117"/>
      <c r="AS426" s="117"/>
      <c r="AT426" s="117"/>
      <c r="AU426" s="117"/>
      <c r="AV426" s="117"/>
      <c r="AW426" s="117"/>
      <c r="AX426" s="117"/>
      <c r="AY426" s="117"/>
      <c r="AZ426" s="117"/>
      <c r="BA426" s="117"/>
      <c r="BB426" s="117"/>
      <c r="BC426" s="117"/>
      <c r="BD426" s="117"/>
      <c r="BE426" s="117"/>
      <c r="BF426" s="117"/>
      <c r="BG426" s="117"/>
      <c r="BH426" s="117"/>
      <c r="BI426" s="117"/>
      <c r="BJ426" s="117"/>
      <c r="BK426" s="117"/>
      <c r="BL426" s="117"/>
      <c r="BM426" s="117"/>
      <c r="BN426" s="117"/>
      <c r="BO426" s="117"/>
      <c r="BP426" s="117"/>
      <c r="BQ426" s="117"/>
      <c r="BR426" s="117"/>
      <c r="BS426" s="1"/>
      <c r="BT426" s="1"/>
      <c r="BU426" s="117"/>
      <c r="BV426" s="117"/>
      <c r="BW426" s="117"/>
      <c r="BX426" s="117"/>
      <c r="BY426" s="1"/>
      <c r="BZ426" s="1"/>
      <c r="CA426" s="1"/>
    </row>
    <row r="427" spans="1:79" ht="12.75" customHeight="1">
      <c r="A427" s="1"/>
      <c r="B427" s="1"/>
      <c r="C427" s="597"/>
      <c r="D427" s="1"/>
      <c r="E427" s="598"/>
      <c r="F427" s="893"/>
      <c r="G427" s="893"/>
      <c r="H427" s="893"/>
      <c r="I427" s="893"/>
      <c r="J427" s="893"/>
      <c r="K427" s="893"/>
      <c r="L427" s="893"/>
      <c r="M427" s="893"/>
      <c r="N427" s="893"/>
      <c r="O427" s="893"/>
      <c r="P427" s="893"/>
      <c r="Q427" s="893"/>
      <c r="R427" s="893"/>
      <c r="S427" s="893"/>
      <c r="T427" s="893"/>
      <c r="U427" s="893"/>
      <c r="V427" s="893"/>
      <c r="W427" s="893"/>
      <c r="X427" s="893"/>
      <c r="Y427" s="893"/>
      <c r="Z427" s="893"/>
      <c r="AA427" s="893"/>
      <c r="AB427" s="893"/>
      <c r="AC427" s="893"/>
      <c r="AD427" s="893"/>
      <c r="AE427" s="893"/>
      <c r="AF427" s="117"/>
      <c r="AG427" s="117"/>
      <c r="AH427" s="117"/>
      <c r="AI427" s="117"/>
      <c r="AJ427" s="117"/>
      <c r="AK427" s="117"/>
      <c r="AL427" s="612"/>
      <c r="AM427" s="1"/>
      <c r="AN427" s="424"/>
      <c r="AO427" s="117"/>
      <c r="AP427" s="117"/>
      <c r="AQ427" s="117"/>
      <c r="AR427" s="117"/>
      <c r="AS427" s="117"/>
      <c r="AT427" s="117"/>
      <c r="AU427" s="117"/>
      <c r="AV427" s="117"/>
      <c r="AW427" s="117"/>
      <c r="AX427" s="117"/>
      <c r="AY427" s="117"/>
      <c r="AZ427" s="117"/>
      <c r="BA427" s="117"/>
      <c r="BB427" s="117"/>
      <c r="BC427" s="117"/>
      <c r="BD427" s="117"/>
      <c r="BE427" s="117"/>
      <c r="BF427" s="117"/>
      <c r="BG427" s="117"/>
      <c r="BH427" s="117"/>
      <c r="BI427" s="117"/>
      <c r="BJ427" s="117"/>
      <c r="BK427" s="117"/>
      <c r="BL427" s="117"/>
      <c r="BM427" s="117"/>
      <c r="BN427" s="117"/>
      <c r="BO427" s="117"/>
      <c r="BP427" s="117"/>
      <c r="BQ427" s="117"/>
      <c r="BR427" s="117"/>
      <c r="BS427" s="1"/>
      <c r="BT427" s="1"/>
      <c r="BU427" s="1"/>
      <c r="BV427" s="1"/>
      <c r="BW427" s="1"/>
      <c r="BX427" s="1"/>
      <c r="BY427" s="1"/>
      <c r="BZ427" s="1"/>
      <c r="CA427" s="1"/>
    </row>
    <row r="428" spans="1:79" ht="12.75" customHeight="1">
      <c r="A428" s="1"/>
      <c r="B428" s="1"/>
      <c r="C428" s="613"/>
      <c r="D428" s="453"/>
      <c r="E428" s="605"/>
      <c r="F428" s="1389"/>
      <c r="G428" s="1389"/>
      <c r="H428" s="1389"/>
      <c r="I428" s="1389"/>
      <c r="J428" s="1389"/>
      <c r="K428" s="1389"/>
      <c r="L428" s="1389"/>
      <c r="M428" s="1389"/>
      <c r="N428" s="1389"/>
      <c r="O428" s="1389"/>
      <c r="P428" s="1389"/>
      <c r="Q428" s="1389"/>
      <c r="R428" s="1389"/>
      <c r="S428" s="1389"/>
      <c r="T428" s="1389"/>
      <c r="U428" s="1389"/>
      <c r="V428" s="1389"/>
      <c r="W428" s="1389"/>
      <c r="X428" s="1389"/>
      <c r="Y428" s="1389"/>
      <c r="Z428" s="1389"/>
      <c r="AA428" s="1389"/>
      <c r="AB428" s="1389"/>
      <c r="AC428" s="1389"/>
      <c r="AD428" s="1389"/>
      <c r="AE428" s="1389"/>
      <c r="AF428" s="399"/>
      <c r="AG428" s="453"/>
      <c r="AH428" s="609"/>
      <c r="AI428" s="609"/>
      <c r="AJ428" s="609"/>
      <c r="AK428" s="609"/>
      <c r="AL428" s="616"/>
      <c r="AM428" s="1"/>
      <c r="AN428" s="424"/>
      <c r="AO428" s="117"/>
      <c r="AP428" s="117"/>
      <c r="AQ428" s="117"/>
      <c r="AR428" s="117"/>
      <c r="AS428" s="117"/>
      <c r="AT428" s="117"/>
      <c r="AU428" s="117"/>
      <c r="AV428" s="117"/>
      <c r="AW428" s="117"/>
      <c r="AX428" s="117"/>
      <c r="AY428" s="117"/>
      <c r="AZ428" s="117"/>
      <c r="BA428" s="117"/>
      <c r="BB428" s="117"/>
      <c r="BC428" s="117"/>
      <c r="BD428" s="117"/>
      <c r="BE428" s="117"/>
      <c r="BF428" s="117"/>
      <c r="BG428" s="117"/>
      <c r="BH428" s="117"/>
      <c r="BI428" s="117"/>
      <c r="BJ428" s="117"/>
      <c r="BK428" s="117"/>
      <c r="BL428" s="117"/>
      <c r="BM428" s="117"/>
      <c r="BN428" s="117"/>
      <c r="BO428" s="117"/>
      <c r="BP428" s="117"/>
      <c r="BQ428" s="117"/>
      <c r="BR428" s="117"/>
      <c r="BS428" s="117"/>
      <c r="BT428" s="117"/>
      <c r="BU428" s="117"/>
      <c r="BV428" s="117"/>
      <c r="BW428" s="117"/>
      <c r="BX428" s="117"/>
      <c r="BY428" s="117"/>
      <c r="BZ428" s="117"/>
      <c r="CA428" s="117"/>
    </row>
    <row r="429" spans="1:79" ht="12.75" customHeight="1">
      <c r="A429" s="1"/>
      <c r="B429" s="1"/>
      <c r="C429" s="1"/>
      <c r="D429" s="1"/>
      <c r="E429" s="598"/>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1"/>
      <c r="AF429" s="8"/>
      <c r="AG429" s="1"/>
      <c r="AH429" s="117"/>
      <c r="AI429" s="117"/>
      <c r="AJ429" s="117"/>
      <c r="AK429" s="117"/>
      <c r="AL429" s="117"/>
      <c r="AM429" s="1"/>
      <c r="AN429" s="345"/>
      <c r="AO429" s="203"/>
      <c r="AP429" s="1"/>
      <c r="AQ429" s="1"/>
      <c r="AR429" s="1"/>
      <c r="AS429" s="1"/>
      <c r="AT429" s="1"/>
      <c r="AU429" s="1"/>
      <c r="AV429" s="1"/>
      <c r="AW429" s="1"/>
      <c r="AX429" s="1"/>
      <c r="AY429" s="1"/>
      <c r="AZ429" s="1"/>
      <c r="BA429" s="1"/>
      <c r="BB429" s="1"/>
      <c r="BC429" s="1"/>
      <c r="BD429" s="126"/>
      <c r="BE429" s="126"/>
      <c r="BF429" s="126"/>
      <c r="BG429" s="126"/>
      <c r="BH429" s="126"/>
      <c r="BI429" s="1"/>
      <c r="BJ429" s="1"/>
      <c r="BK429" s="1"/>
      <c r="BL429" s="1"/>
      <c r="BM429" s="1"/>
      <c r="BN429" s="1"/>
      <c r="BO429" s="1"/>
      <c r="BP429" s="1"/>
      <c r="BQ429" s="1"/>
      <c r="BR429" s="1"/>
      <c r="BS429" s="1"/>
      <c r="BT429" s="1"/>
      <c r="BU429" s="1"/>
      <c r="BV429" s="1"/>
      <c r="BW429" s="1"/>
      <c r="BX429" s="1"/>
      <c r="BY429" s="1"/>
      <c r="BZ429" s="1"/>
      <c r="CA429" s="1"/>
    </row>
    <row r="430" spans="1:79" ht="12.75" customHeight="1">
      <c r="A430" s="1"/>
      <c r="B430" s="1"/>
      <c r="C430" s="623"/>
      <c r="D430" s="439"/>
      <c r="E430" s="593" t="s">
        <v>2178</v>
      </c>
      <c r="F430" s="1405" t="s">
        <v>2179</v>
      </c>
      <c r="G430" s="1384"/>
      <c r="H430" s="1384"/>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439"/>
      <c r="AG430" s="439"/>
      <c r="AH430" s="439"/>
      <c r="AI430" s="439"/>
      <c r="AJ430" s="439"/>
      <c r="AK430" s="439"/>
      <c r="AL430" s="624"/>
      <c r="AM430" s="1"/>
      <c r="AN430" s="345"/>
      <c r="AO430" s="203"/>
      <c r="AP430" s="1"/>
      <c r="AQ430" s="1"/>
      <c r="AR430" s="1"/>
      <c r="AS430" s="1"/>
      <c r="AT430" s="1"/>
      <c r="AU430" s="1"/>
      <c r="AV430" s="1"/>
      <c r="AW430" s="1"/>
      <c r="AX430" s="1"/>
      <c r="AY430" s="1"/>
      <c r="AZ430" s="1"/>
      <c r="BA430" s="1"/>
      <c r="BB430" s="1"/>
      <c r="BC430" s="1"/>
      <c r="BD430" s="126"/>
      <c r="BE430" s="126"/>
      <c r="BF430" s="126"/>
      <c r="BG430" s="126"/>
      <c r="BH430" s="126"/>
      <c r="BI430" s="1"/>
      <c r="BJ430" s="1"/>
      <c r="BK430" s="1"/>
      <c r="BL430" s="1"/>
      <c r="BM430" s="1"/>
      <c r="BN430" s="1"/>
      <c r="BO430" s="1"/>
      <c r="BP430" s="1"/>
      <c r="BQ430" s="1"/>
      <c r="BR430" s="1"/>
      <c r="BS430" s="1"/>
      <c r="BT430" s="1"/>
      <c r="BU430" s="1"/>
      <c r="BV430" s="1"/>
      <c r="BW430" s="1"/>
      <c r="BX430" s="1"/>
      <c r="BY430" s="1"/>
      <c r="BZ430" s="1"/>
      <c r="CA430" s="1"/>
    </row>
    <row r="431" spans="1:79" ht="12.75" customHeight="1">
      <c r="A431" s="1"/>
      <c r="B431" s="1"/>
      <c r="C431" s="597"/>
      <c r="D431" s="1"/>
      <c r="E431" s="598"/>
      <c r="F431" s="893"/>
      <c r="G431" s="893"/>
      <c r="H431" s="893"/>
      <c r="I431" s="893"/>
      <c r="J431" s="893"/>
      <c r="K431" s="893"/>
      <c r="L431" s="893"/>
      <c r="M431" s="893"/>
      <c r="N431" s="893"/>
      <c r="O431" s="893"/>
      <c r="P431" s="893"/>
      <c r="Q431" s="893"/>
      <c r="R431" s="893"/>
      <c r="S431" s="893"/>
      <c r="T431" s="893"/>
      <c r="U431" s="893"/>
      <c r="V431" s="893"/>
      <c r="W431" s="893"/>
      <c r="X431" s="893"/>
      <c r="Y431" s="893"/>
      <c r="Z431" s="893"/>
      <c r="AA431" s="893"/>
      <c r="AB431" s="893"/>
      <c r="AC431" s="893"/>
      <c r="AD431" s="893"/>
      <c r="AE431" s="893"/>
      <c r="AF431" s="8"/>
      <c r="AG431" s="1"/>
      <c r="AH431" s="117"/>
      <c r="AI431" s="117"/>
      <c r="AJ431" s="117"/>
      <c r="AK431" s="117"/>
      <c r="AL431" s="612"/>
      <c r="AM431" s="1"/>
      <c r="AN431" s="345"/>
      <c r="AO431" s="203"/>
      <c r="AP431" s="1"/>
      <c r="AQ431" s="1"/>
      <c r="AR431" s="1"/>
      <c r="AS431" s="1"/>
      <c r="AT431" s="1"/>
      <c r="AU431" s="1"/>
      <c r="AV431" s="1"/>
      <c r="AW431" s="1"/>
      <c r="AX431" s="1"/>
      <c r="AY431" s="1"/>
      <c r="AZ431" s="1"/>
      <c r="BA431" s="1"/>
      <c r="BB431" s="1"/>
      <c r="BC431" s="1"/>
      <c r="BD431" s="126"/>
      <c r="BE431" s="126"/>
      <c r="BF431" s="126"/>
      <c r="BG431" s="126"/>
      <c r="BH431" s="126"/>
      <c r="BI431" s="1"/>
      <c r="BJ431" s="1"/>
      <c r="BK431" s="1"/>
      <c r="BL431" s="1"/>
      <c r="BM431" s="1"/>
      <c r="BN431" s="1"/>
      <c r="BO431" s="1"/>
      <c r="BP431" s="1"/>
      <c r="BQ431" s="1"/>
      <c r="BR431" s="1"/>
      <c r="BS431" s="1"/>
      <c r="BT431" s="1"/>
      <c r="BU431" s="1"/>
      <c r="BV431" s="1"/>
      <c r="BW431" s="1"/>
      <c r="BX431" s="1"/>
      <c r="BY431" s="1"/>
      <c r="BZ431" s="1"/>
      <c r="CA431" s="1"/>
    </row>
    <row r="432" spans="1:79" ht="12.75" customHeight="1">
      <c r="A432" s="1"/>
      <c r="B432" s="1"/>
      <c r="C432" s="597"/>
      <c r="D432" s="1"/>
      <c r="E432" s="598"/>
      <c r="F432" s="893"/>
      <c r="G432" s="893"/>
      <c r="H432" s="893"/>
      <c r="I432" s="893"/>
      <c r="J432" s="893"/>
      <c r="K432" s="893"/>
      <c r="L432" s="893"/>
      <c r="M432" s="893"/>
      <c r="N432" s="893"/>
      <c r="O432" s="893"/>
      <c r="P432" s="893"/>
      <c r="Q432" s="893"/>
      <c r="R432" s="893"/>
      <c r="S432" s="893"/>
      <c r="T432" s="893"/>
      <c r="U432" s="893"/>
      <c r="V432" s="893"/>
      <c r="W432" s="893"/>
      <c r="X432" s="893"/>
      <c r="Y432" s="893"/>
      <c r="Z432" s="893"/>
      <c r="AA432" s="893"/>
      <c r="AB432" s="893"/>
      <c r="AC432" s="893"/>
      <c r="AD432" s="893"/>
      <c r="AE432" s="893"/>
      <c r="AF432" s="117"/>
      <c r="AG432" s="117"/>
      <c r="AH432" s="117"/>
      <c r="AI432" s="117"/>
      <c r="AJ432" s="117"/>
      <c r="AK432" s="117"/>
      <c r="AL432" s="612"/>
      <c r="AM432" s="1"/>
      <c r="AN432" s="424"/>
      <c r="AO432" s="117"/>
      <c r="AP432" s="117"/>
      <c r="AQ432" s="117"/>
      <c r="AR432" s="117"/>
      <c r="AS432" s="117"/>
      <c r="AT432" s="117"/>
      <c r="AU432" s="117"/>
      <c r="AV432" s="117"/>
      <c r="AW432" s="117"/>
      <c r="AX432" s="117"/>
      <c r="AY432" s="117"/>
      <c r="AZ432" s="117"/>
      <c r="BA432" s="117"/>
      <c r="BB432" s="117"/>
      <c r="BC432" s="117"/>
      <c r="BD432" s="117"/>
      <c r="BE432" s="117"/>
      <c r="BF432" s="117"/>
      <c r="BG432" s="117"/>
      <c r="BH432" s="117"/>
      <c r="BI432" s="117"/>
      <c r="BJ432" s="117"/>
      <c r="BK432" s="117"/>
      <c r="BL432" s="117"/>
      <c r="BM432" s="117"/>
      <c r="BN432" s="117"/>
      <c r="BO432" s="117"/>
      <c r="BP432" s="117"/>
      <c r="BQ432" s="117"/>
      <c r="BR432" s="117"/>
      <c r="BS432" s="117"/>
      <c r="BT432" s="117"/>
      <c r="BU432" s="117"/>
      <c r="BV432" s="117"/>
      <c r="BW432" s="117"/>
      <c r="BX432" s="117"/>
      <c r="BY432" s="117"/>
      <c r="BZ432" s="117"/>
      <c r="CA432" s="117"/>
    </row>
    <row r="433" spans="1:79" ht="12.75" customHeight="1">
      <c r="A433" s="1"/>
      <c r="B433" s="1"/>
      <c r="C433" s="618"/>
      <c r="D433" s="117"/>
      <c r="E433" s="117"/>
      <c r="F433" s="893"/>
      <c r="G433" s="893"/>
      <c r="H433" s="893"/>
      <c r="I433" s="893"/>
      <c r="J433" s="893"/>
      <c r="K433" s="893"/>
      <c r="L433" s="893"/>
      <c r="M433" s="893"/>
      <c r="N433" s="893"/>
      <c r="O433" s="893"/>
      <c r="P433" s="893"/>
      <c r="Q433" s="893"/>
      <c r="R433" s="893"/>
      <c r="S433" s="893"/>
      <c r="T433" s="893"/>
      <c r="U433" s="893"/>
      <c r="V433" s="893"/>
      <c r="W433" s="893"/>
      <c r="X433" s="893"/>
      <c r="Y433" s="893"/>
      <c r="Z433" s="893"/>
      <c r="AA433" s="893"/>
      <c r="AB433" s="893"/>
      <c r="AC433" s="893"/>
      <c r="AD433" s="893"/>
      <c r="AE433" s="893"/>
      <c r="AF433" s="117"/>
      <c r="AG433" s="117"/>
      <c r="AH433" s="117"/>
      <c r="AI433" s="117"/>
      <c r="AJ433" s="117"/>
      <c r="AK433" s="117"/>
      <c r="AL433" s="612"/>
      <c r="AM433" s="1"/>
      <c r="AN433" s="424"/>
      <c r="AO433" s="117"/>
      <c r="AP433" s="117"/>
      <c r="AQ433" s="117"/>
      <c r="AR433" s="117"/>
      <c r="AS433" s="117"/>
      <c r="AT433" s="117"/>
      <c r="AU433" s="117"/>
      <c r="AV433" s="117"/>
      <c r="AW433" s="117"/>
      <c r="AX433" s="117"/>
      <c r="AY433" s="117"/>
      <c r="AZ433" s="117"/>
      <c r="BA433" s="117"/>
      <c r="BB433" s="117"/>
      <c r="BC433" s="117"/>
      <c r="BD433" s="117"/>
      <c r="BE433" s="117"/>
      <c r="BF433" s="117"/>
      <c r="BG433" s="117"/>
      <c r="BH433" s="117"/>
      <c r="BI433" s="117"/>
      <c r="BJ433" s="117"/>
      <c r="BK433" s="117"/>
      <c r="BL433" s="117"/>
      <c r="BM433" s="117"/>
      <c r="BN433" s="117"/>
      <c r="BO433" s="117"/>
      <c r="BP433" s="117"/>
      <c r="BQ433" s="117"/>
      <c r="BR433" s="117"/>
      <c r="BS433" s="117"/>
      <c r="BT433" s="117"/>
      <c r="BU433" s="117"/>
      <c r="BV433" s="117"/>
      <c r="BW433" s="117"/>
      <c r="BX433" s="117"/>
      <c r="BY433" s="117"/>
      <c r="BZ433" s="117"/>
      <c r="CA433" s="117"/>
    </row>
    <row r="434" spans="1:79" ht="12.75" customHeight="1">
      <c r="A434" s="1"/>
      <c r="B434" s="1"/>
      <c r="C434" s="1401" t="s">
        <v>855</v>
      </c>
      <c r="D434" s="969"/>
      <c r="E434" s="598"/>
      <c r="F434" s="600" t="s">
        <v>2180</v>
      </c>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117"/>
      <c r="AF434" s="1376" t="s">
        <v>2161</v>
      </c>
      <c r="AG434" s="893"/>
      <c r="AH434" s="893"/>
      <c r="AI434" s="893"/>
      <c r="AJ434" s="893"/>
      <c r="AK434" s="893"/>
      <c r="AL434" s="1387"/>
      <c r="AM434" s="1"/>
      <c r="AN434" s="424"/>
      <c r="AO434" s="117"/>
      <c r="AP434" s="117"/>
      <c r="AQ434" s="117"/>
      <c r="AR434" s="117"/>
      <c r="AS434" s="117"/>
      <c r="AT434" s="117"/>
      <c r="AU434" s="117"/>
      <c r="AV434" s="117"/>
      <c r="AW434" s="117"/>
      <c r="AX434" s="117"/>
      <c r="AY434" s="117"/>
      <c r="AZ434" s="117"/>
      <c r="BA434" s="117"/>
      <c r="BB434" s="117"/>
      <c r="BC434" s="117"/>
      <c r="BD434" s="117"/>
      <c r="BE434" s="117"/>
      <c r="BF434" s="117"/>
      <c r="BG434" s="117"/>
      <c r="BH434" s="117"/>
      <c r="BI434" s="117"/>
      <c r="BJ434" s="117"/>
      <c r="BK434" s="117"/>
      <c r="BL434" s="117"/>
      <c r="BM434" s="117"/>
      <c r="BN434" s="117"/>
      <c r="BO434" s="117"/>
      <c r="BP434" s="117"/>
      <c r="BQ434" s="117"/>
      <c r="BR434" s="117"/>
      <c r="BS434" s="117"/>
      <c r="BT434" s="117"/>
      <c r="BU434" s="117"/>
      <c r="BV434" s="117"/>
      <c r="BW434" s="117"/>
      <c r="BX434" s="117"/>
      <c r="BY434" s="117"/>
      <c r="BZ434" s="117"/>
      <c r="CA434" s="117"/>
    </row>
    <row r="435" spans="1:79" ht="12.75" customHeight="1">
      <c r="A435" s="1"/>
      <c r="B435" s="1"/>
      <c r="C435" s="618"/>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c r="AL435" s="612"/>
      <c r="AM435" s="1"/>
      <c r="AN435" s="424"/>
      <c r="AO435" s="117"/>
      <c r="AP435" s="117"/>
      <c r="AQ435" s="117"/>
      <c r="AR435" s="117"/>
      <c r="AS435" s="117"/>
      <c r="AT435" s="117"/>
      <c r="AU435" s="117"/>
      <c r="AV435" s="117"/>
      <c r="AW435" s="117"/>
      <c r="AX435" s="117"/>
      <c r="AY435" s="117"/>
      <c r="AZ435" s="117"/>
      <c r="BA435" s="117"/>
      <c r="BB435" s="117"/>
      <c r="BC435" s="117"/>
      <c r="BD435" s="117"/>
      <c r="BE435" s="117"/>
      <c r="BF435" s="117"/>
      <c r="BG435" s="117"/>
      <c r="BH435" s="117"/>
      <c r="BI435" s="117"/>
      <c r="BJ435" s="117"/>
      <c r="BK435" s="117"/>
      <c r="BL435" s="117"/>
      <c r="BM435" s="117"/>
      <c r="BN435" s="117"/>
      <c r="BO435" s="117"/>
      <c r="BP435" s="117"/>
      <c r="BQ435" s="117"/>
      <c r="BR435" s="117"/>
      <c r="BS435" s="117"/>
      <c r="BT435" s="117"/>
      <c r="BU435" s="117"/>
      <c r="BV435" s="117"/>
      <c r="BW435" s="117"/>
      <c r="BX435" s="117"/>
      <c r="BY435" s="117"/>
      <c r="BZ435" s="117"/>
      <c r="CA435" s="117"/>
    </row>
    <row r="436" spans="1:79" ht="12.75" customHeight="1">
      <c r="A436" s="1"/>
      <c r="B436" s="1"/>
      <c r="C436" s="1401" t="s">
        <v>855</v>
      </c>
      <c r="D436" s="969"/>
      <c r="E436" s="598"/>
      <c r="F436" s="600" t="s">
        <v>2181</v>
      </c>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117"/>
      <c r="AF436" s="1376" t="s">
        <v>2174</v>
      </c>
      <c r="AG436" s="893"/>
      <c r="AH436" s="893"/>
      <c r="AI436" s="893"/>
      <c r="AJ436" s="893"/>
      <c r="AK436" s="893"/>
      <c r="AL436" s="1387"/>
      <c r="AM436" s="1"/>
      <c r="AN436" s="424"/>
      <c r="AO436" s="514"/>
      <c r="AP436" s="514"/>
      <c r="AQ436" s="117"/>
      <c r="AR436" s="117"/>
      <c r="AS436" s="117"/>
      <c r="AT436" s="117"/>
      <c r="AU436" s="117"/>
      <c r="AV436" s="117"/>
      <c r="AW436" s="117"/>
      <c r="AX436" s="117"/>
      <c r="AY436" s="117"/>
      <c r="AZ436" s="117"/>
      <c r="BA436" s="117"/>
      <c r="BB436" s="117"/>
      <c r="BC436" s="1"/>
      <c r="BD436" s="117"/>
      <c r="BE436" s="117"/>
      <c r="BF436" s="117"/>
      <c r="BG436" s="117"/>
      <c r="BH436" s="117"/>
      <c r="BI436" s="117"/>
      <c r="BJ436" s="117"/>
      <c r="BK436" s="117"/>
      <c r="BL436" s="117"/>
      <c r="BM436" s="117"/>
      <c r="BN436" s="117"/>
      <c r="BO436" s="117"/>
      <c r="BP436" s="117"/>
      <c r="BQ436" s="117"/>
      <c r="BR436" s="117"/>
      <c r="BS436" s="117"/>
      <c r="BT436" s="117"/>
      <c r="BU436" s="117"/>
      <c r="BV436" s="117"/>
      <c r="BW436" s="117"/>
      <c r="BX436" s="117"/>
      <c r="BY436" s="117"/>
      <c r="BZ436" s="117"/>
      <c r="CA436" s="117"/>
    </row>
    <row r="437" spans="1:79" ht="12.75" customHeight="1">
      <c r="A437" s="1"/>
      <c r="B437" s="1"/>
      <c r="C437" s="453"/>
      <c r="D437" s="453"/>
      <c r="E437" s="605"/>
      <c r="F437" s="606"/>
      <c r="G437" s="607"/>
      <c r="H437" s="607"/>
      <c r="I437" s="607"/>
      <c r="J437" s="607"/>
      <c r="K437" s="607"/>
      <c r="L437" s="607"/>
      <c r="M437" s="607"/>
      <c r="N437" s="607"/>
      <c r="O437" s="607"/>
      <c r="P437" s="607"/>
      <c r="Q437" s="607"/>
      <c r="R437" s="607"/>
      <c r="S437" s="607"/>
      <c r="T437" s="607"/>
      <c r="U437" s="607"/>
      <c r="V437" s="607"/>
      <c r="W437" s="607"/>
      <c r="X437" s="607"/>
      <c r="Y437" s="607"/>
      <c r="Z437" s="607"/>
      <c r="AA437" s="607"/>
      <c r="AB437" s="607"/>
      <c r="AC437" s="607"/>
      <c r="AD437" s="607"/>
      <c r="AE437" s="453"/>
      <c r="AF437" s="399"/>
      <c r="AG437" s="453"/>
      <c r="AH437" s="609"/>
      <c r="AI437" s="609"/>
      <c r="AJ437" s="609"/>
      <c r="AK437" s="609"/>
      <c r="AL437" s="616"/>
      <c r="AM437" s="1"/>
      <c r="AN437" s="424"/>
      <c r="AO437" s="117"/>
      <c r="AP437" s="117"/>
      <c r="AQ437" s="117"/>
      <c r="AR437" s="117"/>
      <c r="AS437" s="117"/>
      <c r="AT437" s="117"/>
      <c r="AU437" s="117"/>
      <c r="AV437" s="117"/>
      <c r="AW437" s="117"/>
      <c r="AX437" s="117"/>
      <c r="AY437" s="117"/>
      <c r="AZ437" s="117"/>
      <c r="BA437" s="117"/>
      <c r="BB437" s="117"/>
      <c r="BC437" s="117"/>
      <c r="BD437" s="117"/>
      <c r="BE437" s="117"/>
      <c r="BF437" s="117"/>
      <c r="BG437" s="117"/>
      <c r="BH437" s="117"/>
      <c r="BI437" s="117"/>
      <c r="BJ437" s="117"/>
      <c r="BK437" s="117"/>
      <c r="BL437" s="117"/>
      <c r="BM437" s="117"/>
      <c r="BN437" s="117"/>
      <c r="BO437" s="117"/>
      <c r="BP437" s="117"/>
      <c r="BQ437" s="117"/>
      <c r="BR437" s="117"/>
      <c r="BS437" s="117"/>
      <c r="BT437" s="117"/>
      <c r="BU437" s="117"/>
      <c r="BV437" s="117"/>
      <c r="BW437" s="117"/>
      <c r="BX437" s="117"/>
      <c r="BY437" s="117"/>
      <c r="BZ437" s="117"/>
      <c r="CA437" s="117"/>
    </row>
    <row r="438" spans="1:79" ht="12.75" customHeight="1">
      <c r="A438" s="1"/>
      <c r="B438" s="1"/>
      <c r="C438" s="1"/>
      <c r="D438" s="1"/>
      <c r="E438" s="598"/>
      <c r="F438" s="600"/>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1"/>
      <c r="AF438" s="8"/>
      <c r="AG438" s="1"/>
      <c r="AH438" s="117"/>
      <c r="AI438" s="117"/>
      <c r="AJ438" s="117"/>
      <c r="AK438" s="117"/>
      <c r="AL438" s="117"/>
      <c r="AM438" s="1"/>
      <c r="AN438" s="424"/>
      <c r="AO438" s="117"/>
      <c r="AP438" s="117"/>
      <c r="AQ438" s="117"/>
      <c r="AR438" s="117"/>
      <c r="AS438" s="117"/>
      <c r="AT438" s="117"/>
      <c r="AU438" s="117"/>
      <c r="AV438" s="117"/>
      <c r="AW438" s="117"/>
      <c r="AX438" s="117"/>
      <c r="AY438" s="117"/>
      <c r="AZ438" s="117"/>
      <c r="BA438" s="117"/>
      <c r="BB438" s="117"/>
      <c r="BC438" s="117"/>
      <c r="BD438" s="117"/>
      <c r="BE438" s="117"/>
      <c r="BF438" s="117"/>
      <c r="BG438" s="117"/>
      <c r="BH438" s="117"/>
      <c r="BI438" s="117"/>
      <c r="BJ438" s="117"/>
      <c r="BK438" s="117"/>
      <c r="BL438" s="117"/>
      <c r="BM438" s="117"/>
      <c r="BN438" s="117"/>
      <c r="BO438" s="117"/>
      <c r="BP438" s="117"/>
      <c r="BQ438" s="117"/>
      <c r="BR438" s="117"/>
      <c r="BS438" s="117"/>
      <c r="BT438" s="117"/>
      <c r="BU438" s="117"/>
      <c r="BV438" s="117"/>
      <c r="BW438" s="117"/>
      <c r="BX438" s="117"/>
      <c r="BY438" s="117"/>
      <c r="BZ438" s="117"/>
      <c r="CA438" s="117"/>
    </row>
    <row r="439" spans="1:79" ht="12.75" customHeight="1">
      <c r="A439" s="1"/>
      <c r="B439" s="1"/>
      <c r="C439" s="86" t="s">
        <v>2182</v>
      </c>
      <c r="D439" s="1"/>
      <c r="E439" s="598"/>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1"/>
      <c r="AF439" s="8"/>
      <c r="AG439" s="1"/>
      <c r="AH439" s="117"/>
      <c r="AI439" s="117"/>
      <c r="AJ439" s="117"/>
      <c r="AK439" s="117"/>
      <c r="AL439" s="117"/>
      <c r="AM439" s="1"/>
      <c r="AN439" s="424"/>
      <c r="AO439" s="117"/>
      <c r="AP439" s="117"/>
      <c r="AQ439" s="117"/>
      <c r="AR439" s="117"/>
      <c r="AS439" s="117"/>
      <c r="AT439" s="117"/>
      <c r="AU439" s="117"/>
      <c r="AV439" s="117"/>
      <c r="AW439" s="117"/>
      <c r="AX439" s="117"/>
      <c r="AY439" s="117"/>
      <c r="AZ439" s="117"/>
      <c r="BA439" s="117"/>
      <c r="BB439" s="117"/>
      <c r="BC439" s="117"/>
      <c r="BD439" s="117"/>
      <c r="BE439" s="117"/>
      <c r="BF439" s="117"/>
      <c r="BG439" s="117"/>
      <c r="BH439" s="117"/>
      <c r="BI439" s="117"/>
      <c r="BJ439" s="117"/>
      <c r="BK439" s="117"/>
      <c r="BL439" s="117"/>
      <c r="BM439" s="117"/>
      <c r="BN439" s="117"/>
      <c r="BO439" s="117"/>
      <c r="BP439" s="117"/>
      <c r="BQ439" s="117"/>
      <c r="BR439" s="117"/>
      <c r="BS439" s="117"/>
      <c r="BT439" s="117"/>
      <c r="BU439" s="117"/>
      <c r="BV439" s="117"/>
      <c r="BW439" s="117"/>
      <c r="BX439" s="117"/>
      <c r="BY439" s="117"/>
      <c r="BZ439" s="117"/>
      <c r="CA439" s="117"/>
    </row>
    <row r="440" spans="1:79" ht="12.75" customHeight="1">
      <c r="A440" s="1"/>
      <c r="B440" s="1"/>
      <c r="C440" s="591"/>
      <c r="D440" s="592"/>
      <c r="E440" s="593" t="s">
        <v>2183</v>
      </c>
      <c r="F440" s="1405" t="s">
        <v>2184</v>
      </c>
      <c r="G440" s="1384"/>
      <c r="H440" s="1384"/>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592"/>
      <c r="AG440" s="592"/>
      <c r="AH440" s="592"/>
      <c r="AI440" s="592"/>
      <c r="AJ440" s="592"/>
      <c r="AK440" s="592"/>
      <c r="AL440" s="622"/>
      <c r="AM440" s="1"/>
      <c r="AN440" s="424"/>
      <c r="AO440" s="117"/>
      <c r="AP440" s="117"/>
      <c r="AQ440" s="117"/>
      <c r="AR440" s="117"/>
      <c r="AS440" s="117"/>
      <c r="AT440" s="117"/>
      <c r="AU440" s="117"/>
      <c r="AV440" s="117"/>
      <c r="AW440" s="117"/>
      <c r="AX440" s="117"/>
      <c r="AY440" s="117"/>
      <c r="AZ440" s="117"/>
      <c r="BA440" s="117"/>
      <c r="BB440" s="117"/>
      <c r="BC440" s="117"/>
      <c r="BD440" s="117"/>
      <c r="BE440" s="117"/>
      <c r="BF440" s="117"/>
      <c r="BG440" s="117"/>
      <c r="BH440" s="117"/>
      <c r="BI440" s="117"/>
      <c r="BJ440" s="117"/>
      <c r="BK440" s="117"/>
      <c r="BL440" s="117"/>
      <c r="BM440" s="117"/>
      <c r="BN440" s="117"/>
      <c r="BO440" s="117"/>
      <c r="BP440" s="117"/>
      <c r="BQ440" s="117"/>
      <c r="BR440" s="117"/>
      <c r="BS440" s="117"/>
      <c r="BT440" s="117"/>
      <c r="BU440" s="117"/>
      <c r="BV440" s="117"/>
      <c r="BW440" s="117"/>
      <c r="BX440" s="117"/>
      <c r="BY440" s="117"/>
      <c r="BZ440" s="117"/>
      <c r="CA440" s="117"/>
    </row>
    <row r="441" spans="1:79" ht="12.75" customHeight="1">
      <c r="A441" s="1"/>
      <c r="B441" s="1"/>
      <c r="C441" s="597"/>
      <c r="D441" s="1"/>
      <c r="E441" s="598"/>
      <c r="F441" s="893"/>
      <c r="G441" s="893"/>
      <c r="H441" s="893"/>
      <c r="I441" s="893"/>
      <c r="J441" s="893"/>
      <c r="K441" s="893"/>
      <c r="L441" s="893"/>
      <c r="M441" s="893"/>
      <c r="N441" s="893"/>
      <c r="O441" s="893"/>
      <c r="P441" s="893"/>
      <c r="Q441" s="893"/>
      <c r="R441" s="893"/>
      <c r="S441" s="893"/>
      <c r="T441" s="893"/>
      <c r="U441" s="893"/>
      <c r="V441" s="893"/>
      <c r="W441" s="893"/>
      <c r="X441" s="893"/>
      <c r="Y441" s="893"/>
      <c r="Z441" s="893"/>
      <c r="AA441" s="893"/>
      <c r="AB441" s="893"/>
      <c r="AC441" s="893"/>
      <c r="AD441" s="893"/>
      <c r="AE441" s="893"/>
      <c r="AF441" s="8"/>
      <c r="AG441" s="1"/>
      <c r="AH441" s="117"/>
      <c r="AI441" s="117"/>
      <c r="AJ441" s="117"/>
      <c r="AK441" s="117"/>
      <c r="AL441" s="612"/>
      <c r="AM441" s="1"/>
      <c r="AN441" s="424"/>
      <c r="AO441" s="117"/>
      <c r="AP441" s="117"/>
      <c r="AQ441" s="117"/>
      <c r="AR441" s="117"/>
      <c r="AS441" s="117"/>
      <c r="AT441" s="117"/>
      <c r="AU441" s="117"/>
      <c r="AV441" s="117"/>
      <c r="AW441" s="117"/>
      <c r="AX441" s="117"/>
      <c r="AY441" s="117"/>
      <c r="AZ441" s="117"/>
      <c r="BA441" s="117"/>
      <c r="BB441" s="117"/>
      <c r="BC441" s="117"/>
      <c r="BD441" s="117"/>
      <c r="BE441" s="117"/>
      <c r="BF441" s="117"/>
      <c r="BG441" s="117"/>
      <c r="BH441" s="117"/>
      <c r="BI441" s="117"/>
      <c r="BJ441" s="117"/>
      <c r="BK441" s="117"/>
      <c r="BL441" s="117"/>
      <c r="BM441" s="117"/>
      <c r="BN441" s="117"/>
      <c r="BO441" s="117"/>
      <c r="BP441" s="117"/>
      <c r="BQ441" s="117"/>
      <c r="BR441" s="117"/>
      <c r="BS441" s="117"/>
      <c r="BT441" s="117"/>
      <c r="BU441" s="117"/>
      <c r="BV441" s="117"/>
      <c r="BW441" s="117"/>
      <c r="BX441" s="117"/>
      <c r="BY441" s="117"/>
      <c r="BZ441" s="117"/>
      <c r="CA441" s="117"/>
    </row>
    <row r="442" spans="1:79" ht="12" customHeight="1">
      <c r="A442" s="1"/>
      <c r="B442" s="1"/>
      <c r="C442" s="597"/>
      <c r="D442" s="1"/>
      <c r="E442" s="598"/>
      <c r="F442" s="893"/>
      <c r="G442" s="893"/>
      <c r="H442" s="893"/>
      <c r="I442" s="893"/>
      <c r="J442" s="893"/>
      <c r="K442" s="893"/>
      <c r="L442" s="893"/>
      <c r="M442" s="893"/>
      <c r="N442" s="893"/>
      <c r="O442" s="893"/>
      <c r="P442" s="893"/>
      <c r="Q442" s="893"/>
      <c r="R442" s="893"/>
      <c r="S442" s="893"/>
      <c r="T442" s="893"/>
      <c r="U442" s="893"/>
      <c r="V442" s="893"/>
      <c r="W442" s="893"/>
      <c r="X442" s="893"/>
      <c r="Y442" s="893"/>
      <c r="Z442" s="893"/>
      <c r="AA442" s="893"/>
      <c r="AB442" s="893"/>
      <c r="AC442" s="893"/>
      <c r="AD442" s="893"/>
      <c r="AE442" s="893"/>
      <c r="AF442" s="117"/>
      <c r="AG442" s="117"/>
      <c r="AH442" s="117"/>
      <c r="AI442" s="117"/>
      <c r="AJ442" s="117"/>
      <c r="AK442" s="117"/>
      <c r="AL442" s="612"/>
      <c r="AM442" s="1"/>
      <c r="AN442" s="424"/>
      <c r="AO442" s="117"/>
      <c r="AP442" s="117"/>
      <c r="AQ442" s="117"/>
      <c r="AR442" s="117"/>
      <c r="AS442" s="117"/>
      <c r="AT442" s="117"/>
      <c r="AU442" s="117"/>
      <c r="AV442" s="117"/>
      <c r="AW442" s="117"/>
      <c r="AX442" s="117"/>
      <c r="AY442" s="117"/>
      <c r="AZ442" s="117"/>
      <c r="BA442" s="117"/>
      <c r="BB442" s="117"/>
      <c r="BC442" s="117"/>
      <c r="BD442" s="117"/>
      <c r="BE442" s="117"/>
      <c r="BF442" s="117"/>
      <c r="BG442" s="117"/>
      <c r="BH442" s="117"/>
      <c r="BI442" s="117"/>
      <c r="BJ442" s="117"/>
      <c r="BK442" s="117"/>
      <c r="BL442" s="117"/>
      <c r="BM442" s="117"/>
      <c r="BN442" s="117"/>
      <c r="BO442" s="117"/>
      <c r="BP442" s="117"/>
      <c r="BQ442" s="117"/>
      <c r="BR442" s="117"/>
      <c r="BS442" s="117"/>
      <c r="BT442" s="117"/>
      <c r="BU442" s="117"/>
      <c r="BV442" s="117"/>
      <c r="BW442" s="117"/>
      <c r="BX442" s="117"/>
      <c r="BY442" s="117"/>
      <c r="BZ442" s="117"/>
      <c r="CA442" s="117"/>
    </row>
    <row r="443" spans="1:79" ht="12.75" customHeight="1">
      <c r="A443" s="1"/>
      <c r="B443" s="1"/>
      <c r="C443" s="1401" t="s">
        <v>855</v>
      </c>
      <c r="D443" s="969"/>
      <c r="E443" s="598"/>
      <c r="F443" s="600" t="s">
        <v>2185</v>
      </c>
      <c r="G443" s="625"/>
      <c r="H443" s="625"/>
      <c r="I443" s="625"/>
      <c r="J443" s="625"/>
      <c r="K443" s="625"/>
      <c r="L443" s="625"/>
      <c r="M443" s="625"/>
      <c r="N443" s="625"/>
      <c r="O443" s="625"/>
      <c r="P443" s="625"/>
      <c r="Q443" s="625"/>
      <c r="R443" s="625"/>
      <c r="S443" s="625"/>
      <c r="T443" s="625"/>
      <c r="U443" s="625"/>
      <c r="V443" s="625"/>
      <c r="W443" s="625"/>
      <c r="X443" s="625"/>
      <c r="Y443" s="625"/>
      <c r="Z443" s="625"/>
      <c r="AA443" s="625"/>
      <c r="AB443" s="625"/>
      <c r="AC443" s="625"/>
      <c r="AD443" s="625"/>
      <c r="AE443" s="117"/>
      <c r="AF443" s="1376" t="s">
        <v>2161</v>
      </c>
      <c r="AG443" s="893"/>
      <c r="AH443" s="893"/>
      <c r="AI443" s="893"/>
      <c r="AJ443" s="893"/>
      <c r="AK443" s="893"/>
      <c r="AL443" s="1387"/>
      <c r="AM443" s="1"/>
      <c r="AN443" s="424"/>
      <c r="AO443" s="117"/>
      <c r="AP443" s="117"/>
      <c r="AQ443" s="117"/>
      <c r="AR443" s="117"/>
      <c r="AS443" s="117"/>
      <c r="AT443" s="117"/>
      <c r="AU443" s="117"/>
      <c r="AV443" s="117"/>
      <c r="AW443" s="117"/>
      <c r="AX443" s="117"/>
      <c r="AY443" s="117"/>
      <c r="AZ443" s="117"/>
      <c r="BA443" s="117"/>
      <c r="BB443" s="117"/>
      <c r="BC443" s="117"/>
      <c r="BD443" s="117"/>
      <c r="BE443" s="117"/>
      <c r="BF443" s="117"/>
      <c r="BG443" s="117"/>
      <c r="BH443" s="117"/>
      <c r="BI443" s="117"/>
      <c r="BJ443" s="117"/>
      <c r="BK443" s="117"/>
      <c r="BL443" s="117"/>
      <c r="BM443" s="117"/>
      <c r="BN443" s="117"/>
      <c r="BO443" s="117"/>
      <c r="BP443" s="117"/>
      <c r="BQ443" s="117"/>
      <c r="BR443" s="117"/>
      <c r="BS443" s="117"/>
      <c r="BT443" s="117"/>
      <c r="BU443" s="117"/>
      <c r="BV443" s="117"/>
      <c r="BW443" s="117"/>
      <c r="BX443" s="117"/>
      <c r="BY443" s="117"/>
      <c r="BZ443" s="117"/>
      <c r="CA443" s="117"/>
    </row>
    <row r="444" spans="1:79" ht="12.75" customHeight="1">
      <c r="A444" s="1"/>
      <c r="B444" s="1"/>
      <c r="C444" s="620"/>
      <c r="D444" s="609"/>
      <c r="E444" s="605"/>
      <c r="F444" s="619"/>
      <c r="G444" s="607"/>
      <c r="H444" s="607"/>
      <c r="I444" s="607"/>
      <c r="J444" s="607"/>
      <c r="K444" s="607"/>
      <c r="L444" s="607"/>
      <c r="M444" s="607"/>
      <c r="N444" s="607"/>
      <c r="O444" s="607"/>
      <c r="P444" s="607"/>
      <c r="Q444" s="607"/>
      <c r="R444" s="607"/>
      <c r="S444" s="607"/>
      <c r="T444" s="607"/>
      <c r="U444" s="607"/>
      <c r="V444" s="607"/>
      <c r="W444" s="607"/>
      <c r="X444" s="607"/>
      <c r="Y444" s="607"/>
      <c r="Z444" s="607"/>
      <c r="AA444" s="607"/>
      <c r="AB444" s="607"/>
      <c r="AC444" s="607"/>
      <c r="AD444" s="607"/>
      <c r="AE444" s="609"/>
      <c r="AF444" s="609"/>
      <c r="AG444" s="609"/>
      <c r="AH444" s="609"/>
      <c r="AI444" s="609"/>
      <c r="AJ444" s="609"/>
      <c r="AK444" s="609"/>
      <c r="AL444" s="616"/>
      <c r="AM444" s="1"/>
      <c r="AN444" s="424"/>
      <c r="AO444" s="117"/>
      <c r="AP444" s="117"/>
      <c r="AQ444" s="117"/>
      <c r="AR444" s="117"/>
      <c r="AS444" s="117"/>
      <c r="AT444" s="117"/>
      <c r="AU444" s="117"/>
      <c r="AV444" s="117"/>
      <c r="AW444" s="117"/>
      <c r="AX444" s="117"/>
      <c r="AY444" s="117"/>
      <c r="AZ444" s="117"/>
      <c r="BA444" s="117"/>
      <c r="BB444" s="117"/>
      <c r="BC444" s="117"/>
      <c r="BD444" s="117"/>
      <c r="BE444" s="117"/>
      <c r="BF444" s="117"/>
      <c r="BG444" s="117"/>
      <c r="BH444" s="117"/>
      <c r="BI444" s="117"/>
      <c r="BJ444" s="117"/>
      <c r="BK444" s="117"/>
      <c r="BL444" s="117"/>
      <c r="BM444" s="117"/>
      <c r="BN444" s="117"/>
      <c r="BO444" s="117"/>
      <c r="BP444" s="117"/>
      <c r="BQ444" s="117"/>
      <c r="BR444" s="117"/>
      <c r="BS444" s="117"/>
      <c r="BT444" s="117"/>
      <c r="BU444" s="117"/>
      <c r="BV444" s="117"/>
      <c r="BW444" s="117"/>
      <c r="BX444" s="117"/>
      <c r="BY444" s="117"/>
      <c r="BZ444" s="117"/>
      <c r="CA444" s="117"/>
    </row>
    <row r="445" spans="1:79" ht="12.75" customHeight="1">
      <c r="A445" s="1"/>
      <c r="B445" s="1"/>
      <c r="C445" s="7"/>
      <c r="D445" s="7"/>
      <c r="E445" s="598"/>
      <c r="F445" s="600"/>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1"/>
      <c r="AF445" s="117"/>
      <c r="AG445" s="117"/>
      <c r="AH445" s="117"/>
      <c r="AI445" s="117"/>
      <c r="AJ445" s="117"/>
      <c r="AK445" s="117"/>
      <c r="AL445" s="117"/>
      <c r="AM445" s="1"/>
      <c r="AN445" s="424"/>
      <c r="AO445" s="117"/>
      <c r="AP445" s="117"/>
      <c r="AQ445" s="117"/>
      <c r="AR445" s="117"/>
      <c r="AS445" s="117"/>
      <c r="AT445" s="117"/>
      <c r="AU445" s="117"/>
      <c r="AV445" s="117"/>
      <c r="AW445" s="117"/>
      <c r="AX445" s="117"/>
      <c r="AY445" s="117"/>
      <c r="AZ445" s="117"/>
      <c r="BA445" s="117"/>
      <c r="BB445" s="117"/>
      <c r="BC445" s="117"/>
      <c r="BD445" s="117"/>
      <c r="BE445" s="117"/>
      <c r="BF445" s="117"/>
      <c r="BG445" s="117"/>
      <c r="BH445" s="117"/>
      <c r="BI445" s="117"/>
      <c r="BJ445" s="117"/>
      <c r="BK445" s="117"/>
      <c r="BL445" s="117"/>
      <c r="BM445" s="117"/>
      <c r="BN445" s="117"/>
      <c r="BO445" s="117"/>
      <c r="BP445" s="117"/>
      <c r="BQ445" s="117"/>
      <c r="BR445" s="117"/>
      <c r="BS445" s="117"/>
      <c r="BT445" s="117"/>
      <c r="BU445" s="117"/>
      <c r="BV445" s="117"/>
      <c r="BW445" s="117"/>
      <c r="BX445" s="117"/>
      <c r="BY445" s="117"/>
      <c r="BZ445" s="117"/>
      <c r="CA445" s="117"/>
    </row>
    <row r="446" spans="1:79" ht="12.75" customHeight="1">
      <c r="A446" s="1"/>
      <c r="B446" s="1"/>
      <c r="C446" s="623"/>
      <c r="D446" s="439"/>
      <c r="E446" s="593" t="s">
        <v>2186</v>
      </c>
      <c r="F446" s="1405" t="s">
        <v>2187</v>
      </c>
      <c r="G446" s="1384"/>
      <c r="H446" s="1384"/>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439"/>
      <c r="AG446" s="439"/>
      <c r="AH446" s="439"/>
      <c r="AI446" s="439"/>
      <c r="AJ446" s="439"/>
      <c r="AK446" s="439"/>
      <c r="AL446" s="624"/>
      <c r="AM446" s="1"/>
      <c r="AN446" s="345"/>
      <c r="AO446" s="117"/>
      <c r="AP446" s="117"/>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row>
    <row r="447" spans="1:79" ht="12.75" customHeight="1">
      <c r="A447" s="1"/>
      <c r="B447" s="1"/>
      <c r="C447" s="597"/>
      <c r="D447" s="1"/>
      <c r="E447" s="598"/>
      <c r="F447" s="893"/>
      <c r="G447" s="893"/>
      <c r="H447" s="893"/>
      <c r="I447" s="893"/>
      <c r="J447" s="893"/>
      <c r="K447" s="893"/>
      <c r="L447" s="893"/>
      <c r="M447" s="893"/>
      <c r="N447" s="893"/>
      <c r="O447" s="893"/>
      <c r="P447" s="893"/>
      <c r="Q447" s="893"/>
      <c r="R447" s="893"/>
      <c r="S447" s="893"/>
      <c r="T447" s="893"/>
      <c r="U447" s="893"/>
      <c r="V447" s="893"/>
      <c r="W447" s="893"/>
      <c r="X447" s="893"/>
      <c r="Y447" s="893"/>
      <c r="Z447" s="893"/>
      <c r="AA447" s="893"/>
      <c r="AB447" s="893"/>
      <c r="AC447" s="893"/>
      <c r="AD447" s="893"/>
      <c r="AE447" s="893"/>
      <c r="AF447" s="422"/>
      <c r="AG447" s="422"/>
      <c r="AH447" s="422"/>
      <c r="AI447" s="422"/>
      <c r="AJ447" s="422"/>
      <c r="AK447" s="422"/>
      <c r="AL447" s="626"/>
      <c r="AM447" s="1"/>
      <c r="AN447" s="345"/>
      <c r="AO447" s="117"/>
      <c r="AP447" s="117"/>
      <c r="AQ447" s="1"/>
      <c r="AR447" s="1"/>
      <c r="AS447" s="1"/>
      <c r="AT447" s="1"/>
      <c r="AU447" s="1"/>
      <c r="AV447" s="1"/>
      <c r="AW447" s="1"/>
      <c r="AX447" s="1"/>
      <c r="AY447" s="1"/>
      <c r="AZ447" s="1"/>
      <c r="BA447" s="1"/>
      <c r="BB447" s="1"/>
      <c r="BC447" s="1"/>
      <c r="BD447" s="126"/>
      <c r="BE447" s="126"/>
      <c r="BF447" s="126"/>
      <c r="BG447" s="126"/>
      <c r="BH447" s="126"/>
      <c r="BI447" s="1"/>
      <c r="BJ447" s="1"/>
      <c r="BK447" s="1"/>
      <c r="BL447" s="1"/>
      <c r="BM447" s="1"/>
      <c r="BN447" s="1"/>
      <c r="BO447" s="1"/>
      <c r="BP447" s="1"/>
      <c r="BQ447" s="1"/>
      <c r="BR447" s="1"/>
      <c r="BS447" s="1"/>
      <c r="BT447" s="1"/>
      <c r="BU447" s="1"/>
      <c r="BV447" s="1"/>
      <c r="BW447" s="1"/>
      <c r="BX447" s="1"/>
      <c r="BY447" s="1"/>
      <c r="BZ447" s="1"/>
      <c r="CA447" s="1"/>
    </row>
    <row r="448" spans="1:79" ht="12.75" customHeight="1">
      <c r="A448" s="1"/>
      <c r="B448" s="1"/>
      <c r="C448" s="597"/>
      <c r="D448" s="1"/>
      <c r="E448" s="598"/>
      <c r="F448" s="893"/>
      <c r="G448" s="893"/>
      <c r="H448" s="893"/>
      <c r="I448" s="893"/>
      <c r="J448" s="893"/>
      <c r="K448" s="893"/>
      <c r="L448" s="893"/>
      <c r="M448" s="893"/>
      <c r="N448" s="893"/>
      <c r="O448" s="893"/>
      <c r="P448" s="893"/>
      <c r="Q448" s="893"/>
      <c r="R448" s="893"/>
      <c r="S448" s="893"/>
      <c r="T448" s="893"/>
      <c r="U448" s="893"/>
      <c r="V448" s="893"/>
      <c r="W448" s="893"/>
      <c r="X448" s="893"/>
      <c r="Y448" s="893"/>
      <c r="Z448" s="893"/>
      <c r="AA448" s="893"/>
      <c r="AB448" s="893"/>
      <c r="AC448" s="893"/>
      <c r="AD448" s="893"/>
      <c r="AE448" s="893"/>
      <c r="AF448" s="422"/>
      <c r="AG448" s="422"/>
      <c r="AH448" s="422"/>
      <c r="AI448" s="422"/>
      <c r="AJ448" s="422"/>
      <c r="AK448" s="422"/>
      <c r="AL448" s="626"/>
      <c r="AM448" s="1"/>
      <c r="AN448" s="424"/>
      <c r="AO448" s="117"/>
      <c r="AP448" s="117"/>
      <c r="AQ448" s="117"/>
      <c r="AR448" s="117"/>
      <c r="AS448" s="117"/>
      <c r="AT448" s="117"/>
      <c r="AU448" s="117"/>
      <c r="AV448" s="117"/>
      <c r="AW448" s="117"/>
      <c r="AX448" s="117"/>
      <c r="AY448" s="117"/>
      <c r="AZ448" s="117"/>
      <c r="BA448" s="117"/>
      <c r="BB448" s="117"/>
      <c r="BC448" s="117"/>
      <c r="BD448" s="117"/>
      <c r="BE448" s="117"/>
      <c r="BF448" s="117"/>
      <c r="BG448" s="117"/>
      <c r="BH448" s="117"/>
      <c r="BI448" s="117"/>
      <c r="BJ448" s="117"/>
      <c r="BK448" s="117"/>
      <c r="BL448" s="117"/>
      <c r="BM448" s="117"/>
      <c r="BN448" s="117"/>
      <c r="BO448" s="117"/>
      <c r="BP448" s="117"/>
      <c r="BQ448" s="117"/>
      <c r="BR448" s="117"/>
      <c r="BS448" s="117"/>
      <c r="BT448" s="117"/>
      <c r="BU448" s="117"/>
      <c r="BV448" s="117"/>
      <c r="BW448" s="117"/>
      <c r="BX448" s="117"/>
      <c r="BY448" s="117"/>
      <c r="BZ448" s="117"/>
      <c r="CA448" s="117"/>
    </row>
    <row r="449" spans="1:79" ht="12.75" customHeight="1">
      <c r="A449" s="1"/>
      <c r="B449" s="1"/>
      <c r="C449" s="627"/>
      <c r="D449" s="7"/>
      <c r="E449" s="598"/>
      <c r="F449" s="893"/>
      <c r="G449" s="893"/>
      <c r="H449" s="893"/>
      <c r="I449" s="893"/>
      <c r="J449" s="893"/>
      <c r="K449" s="893"/>
      <c r="L449" s="893"/>
      <c r="M449" s="893"/>
      <c r="N449" s="893"/>
      <c r="O449" s="893"/>
      <c r="P449" s="893"/>
      <c r="Q449" s="893"/>
      <c r="R449" s="893"/>
      <c r="S449" s="893"/>
      <c r="T449" s="893"/>
      <c r="U449" s="893"/>
      <c r="V449" s="893"/>
      <c r="W449" s="893"/>
      <c r="X449" s="893"/>
      <c r="Y449" s="893"/>
      <c r="Z449" s="893"/>
      <c r="AA449" s="893"/>
      <c r="AB449" s="893"/>
      <c r="AC449" s="893"/>
      <c r="AD449" s="893"/>
      <c r="AE449" s="893"/>
      <c r="AF449" s="422"/>
      <c r="AG449" s="422"/>
      <c r="AH449" s="422"/>
      <c r="AI449" s="422"/>
      <c r="AJ449" s="422"/>
      <c r="AK449" s="422"/>
      <c r="AL449" s="626"/>
      <c r="AM449" s="1"/>
      <c r="AN449" s="424"/>
      <c r="AO449" s="203"/>
      <c r="AP449" s="1"/>
      <c r="AQ449" s="117"/>
      <c r="AR449" s="117"/>
      <c r="AS449" s="117"/>
      <c r="AT449" s="117"/>
      <c r="AU449" s="117"/>
      <c r="AV449" s="117"/>
      <c r="AW449" s="117"/>
      <c r="AX449" s="117"/>
      <c r="AY449" s="117"/>
      <c r="AZ449" s="117"/>
      <c r="BA449" s="117"/>
      <c r="BB449" s="117"/>
      <c r="BC449" s="117"/>
      <c r="BD449" s="117"/>
      <c r="BE449" s="117"/>
      <c r="BF449" s="117"/>
      <c r="BG449" s="117"/>
      <c r="BH449" s="117"/>
      <c r="BI449" s="117"/>
      <c r="BJ449" s="117"/>
      <c r="BK449" s="117"/>
      <c r="BL449" s="117"/>
      <c r="BM449" s="117"/>
      <c r="BN449" s="117"/>
      <c r="BO449" s="117"/>
      <c r="BP449" s="117"/>
      <c r="BQ449" s="117"/>
      <c r="BR449" s="117"/>
      <c r="BS449" s="117"/>
      <c r="BT449" s="117"/>
      <c r="BU449" s="117"/>
      <c r="BV449" s="117"/>
      <c r="BW449" s="117"/>
      <c r="BX449" s="117"/>
      <c r="BY449" s="117"/>
      <c r="BZ449" s="117"/>
      <c r="CA449" s="117"/>
    </row>
    <row r="450" spans="1:79" ht="12.75" customHeight="1">
      <c r="A450" s="1"/>
      <c r="B450" s="1"/>
      <c r="C450" s="627"/>
      <c r="D450" s="7"/>
      <c r="E450" s="598"/>
      <c r="F450" s="893"/>
      <c r="G450" s="893"/>
      <c r="H450" s="893"/>
      <c r="I450" s="893"/>
      <c r="J450" s="893"/>
      <c r="K450" s="893"/>
      <c r="L450" s="893"/>
      <c r="M450" s="893"/>
      <c r="N450" s="893"/>
      <c r="O450" s="893"/>
      <c r="P450" s="893"/>
      <c r="Q450" s="893"/>
      <c r="R450" s="893"/>
      <c r="S450" s="893"/>
      <c r="T450" s="893"/>
      <c r="U450" s="893"/>
      <c r="V450" s="893"/>
      <c r="W450" s="893"/>
      <c r="X450" s="893"/>
      <c r="Y450" s="893"/>
      <c r="Z450" s="893"/>
      <c r="AA450" s="893"/>
      <c r="AB450" s="893"/>
      <c r="AC450" s="893"/>
      <c r="AD450" s="893"/>
      <c r="AE450" s="893"/>
      <c r="AF450" s="422"/>
      <c r="AG450" s="422"/>
      <c r="AH450" s="422"/>
      <c r="AI450" s="422"/>
      <c r="AJ450" s="422"/>
      <c r="AK450" s="422"/>
      <c r="AL450" s="626"/>
      <c r="AM450" s="1"/>
      <c r="AN450" s="424"/>
      <c r="AO450" s="117"/>
      <c r="AP450" s="117"/>
      <c r="AQ450" s="117"/>
      <c r="AR450" s="117"/>
      <c r="AS450" s="117"/>
      <c r="AT450" s="117"/>
      <c r="AU450" s="117"/>
      <c r="AV450" s="117"/>
      <c r="AW450" s="117"/>
      <c r="AX450" s="117"/>
      <c r="AY450" s="117"/>
      <c r="AZ450" s="117"/>
      <c r="BA450" s="117"/>
      <c r="BB450" s="117"/>
      <c r="BC450" s="117"/>
      <c r="BD450" s="117"/>
      <c r="BE450" s="117"/>
      <c r="BF450" s="117"/>
      <c r="BG450" s="117"/>
      <c r="BH450" s="117"/>
      <c r="BI450" s="117"/>
      <c r="BJ450" s="117"/>
      <c r="BK450" s="117"/>
      <c r="BL450" s="117"/>
      <c r="BM450" s="117"/>
      <c r="BN450" s="117"/>
      <c r="BO450" s="117"/>
      <c r="BP450" s="117"/>
      <c r="BQ450" s="117"/>
      <c r="BR450" s="117"/>
      <c r="BS450" s="117"/>
      <c r="BT450" s="117"/>
      <c r="BU450" s="117"/>
      <c r="BV450" s="117"/>
      <c r="BW450" s="117"/>
      <c r="BX450" s="117"/>
      <c r="BY450" s="117"/>
      <c r="BZ450" s="117"/>
      <c r="CA450" s="117"/>
    </row>
    <row r="451" spans="1:79" ht="12.75" customHeight="1">
      <c r="A451" s="1"/>
      <c r="B451" s="1"/>
      <c r="C451" s="627"/>
      <c r="D451" s="7"/>
      <c r="E451" s="598"/>
      <c r="F451" s="893"/>
      <c r="G451" s="893"/>
      <c r="H451" s="893"/>
      <c r="I451" s="893"/>
      <c r="J451" s="893"/>
      <c r="K451" s="893"/>
      <c r="L451" s="893"/>
      <c r="M451" s="893"/>
      <c r="N451" s="893"/>
      <c r="O451" s="893"/>
      <c r="P451" s="893"/>
      <c r="Q451" s="893"/>
      <c r="R451" s="893"/>
      <c r="S451" s="893"/>
      <c r="T451" s="893"/>
      <c r="U451" s="893"/>
      <c r="V451" s="893"/>
      <c r="W451" s="893"/>
      <c r="X451" s="893"/>
      <c r="Y451" s="893"/>
      <c r="Z451" s="893"/>
      <c r="AA451" s="893"/>
      <c r="AB451" s="893"/>
      <c r="AC451" s="893"/>
      <c r="AD451" s="893"/>
      <c r="AE451" s="893"/>
      <c r="AF451" s="422"/>
      <c r="AG451" s="422"/>
      <c r="AH451" s="422"/>
      <c r="AI451" s="422"/>
      <c r="AJ451" s="422"/>
      <c r="AK451" s="422"/>
      <c r="AL451" s="626"/>
      <c r="AM451" s="1"/>
      <c r="AN451" s="424"/>
      <c r="AO451" s="117"/>
      <c r="AP451" s="117"/>
      <c r="AQ451" s="117"/>
      <c r="AR451" s="117"/>
      <c r="AS451" s="117"/>
      <c r="AT451" s="117"/>
      <c r="AU451" s="117"/>
      <c r="AV451" s="117"/>
      <c r="AW451" s="117"/>
      <c r="AX451" s="117"/>
      <c r="AY451" s="117"/>
      <c r="AZ451" s="117"/>
      <c r="BA451" s="117"/>
      <c r="BB451" s="117"/>
      <c r="BC451" s="117"/>
      <c r="BD451" s="117"/>
      <c r="BE451" s="117"/>
      <c r="BF451" s="117"/>
      <c r="BG451" s="117"/>
      <c r="BH451" s="117"/>
      <c r="BI451" s="117"/>
      <c r="BJ451" s="117"/>
      <c r="BK451" s="117"/>
      <c r="BL451" s="117"/>
      <c r="BM451" s="117"/>
      <c r="BN451" s="117"/>
      <c r="BO451" s="117"/>
      <c r="BP451" s="117"/>
      <c r="BQ451" s="117"/>
      <c r="BR451" s="117"/>
      <c r="BS451" s="117"/>
      <c r="BT451" s="117"/>
      <c r="BU451" s="117"/>
      <c r="BV451" s="117"/>
      <c r="BW451" s="117"/>
      <c r="BX451" s="117"/>
      <c r="BY451" s="117"/>
      <c r="BZ451" s="117"/>
      <c r="CA451" s="117"/>
    </row>
    <row r="452" spans="1:79" ht="12.75" customHeight="1">
      <c r="A452" s="1"/>
      <c r="B452" s="1"/>
      <c r="C452" s="627"/>
      <c r="D452" s="7"/>
      <c r="E452" s="598"/>
      <c r="F452" s="893"/>
      <c r="G452" s="893"/>
      <c r="H452" s="893"/>
      <c r="I452" s="893"/>
      <c r="J452" s="893"/>
      <c r="K452" s="893"/>
      <c r="L452" s="893"/>
      <c r="M452" s="893"/>
      <c r="N452" s="893"/>
      <c r="O452" s="893"/>
      <c r="P452" s="893"/>
      <c r="Q452" s="893"/>
      <c r="R452" s="893"/>
      <c r="S452" s="893"/>
      <c r="T452" s="893"/>
      <c r="U452" s="893"/>
      <c r="V452" s="893"/>
      <c r="W452" s="893"/>
      <c r="X452" s="893"/>
      <c r="Y452" s="893"/>
      <c r="Z452" s="893"/>
      <c r="AA452" s="893"/>
      <c r="AB452" s="893"/>
      <c r="AC452" s="893"/>
      <c r="AD452" s="893"/>
      <c r="AE452" s="893"/>
      <c r="AF452" s="422"/>
      <c r="AG452" s="422"/>
      <c r="AH452" s="422"/>
      <c r="AI452" s="422"/>
      <c r="AJ452" s="422"/>
      <c r="AK452" s="422"/>
      <c r="AL452" s="626"/>
      <c r="AM452" s="1"/>
      <c r="AN452" s="424"/>
      <c r="AO452" s="117"/>
      <c r="AP452" s="117"/>
      <c r="AQ452" s="117"/>
      <c r="AR452" s="117"/>
      <c r="AS452" s="117"/>
      <c r="AT452" s="117"/>
      <c r="AU452" s="117"/>
      <c r="AV452" s="117"/>
      <c r="AW452" s="117"/>
      <c r="AX452" s="117"/>
      <c r="AY452" s="117"/>
      <c r="AZ452" s="117"/>
      <c r="BA452" s="117"/>
      <c r="BB452" s="117"/>
      <c r="BC452" s="117"/>
      <c r="BD452" s="117"/>
      <c r="BE452" s="117"/>
      <c r="BF452" s="117"/>
      <c r="BG452" s="117"/>
      <c r="BH452" s="117"/>
      <c r="BI452" s="117"/>
      <c r="BJ452" s="117"/>
      <c r="BK452" s="117"/>
      <c r="BL452" s="117"/>
      <c r="BM452" s="117"/>
      <c r="BN452" s="117"/>
      <c r="BO452" s="117"/>
      <c r="BP452" s="117"/>
      <c r="BQ452" s="117"/>
      <c r="BR452" s="117"/>
      <c r="BS452" s="117"/>
      <c r="BT452" s="117"/>
      <c r="BU452" s="117"/>
      <c r="BV452" s="117"/>
      <c r="BW452" s="117"/>
      <c r="BX452" s="117"/>
      <c r="BY452" s="117"/>
      <c r="BZ452" s="117"/>
      <c r="CA452" s="117"/>
    </row>
    <row r="453" spans="1:79" ht="12.75" customHeight="1">
      <c r="A453" s="1"/>
      <c r="B453" s="1"/>
      <c r="C453" s="627"/>
      <c r="D453" s="7"/>
      <c r="E453" s="598"/>
      <c r="F453" s="893"/>
      <c r="G453" s="893"/>
      <c r="H453" s="893"/>
      <c r="I453" s="893"/>
      <c r="J453" s="893"/>
      <c r="K453" s="893"/>
      <c r="L453" s="893"/>
      <c r="M453" s="893"/>
      <c r="N453" s="893"/>
      <c r="O453" s="893"/>
      <c r="P453" s="893"/>
      <c r="Q453" s="893"/>
      <c r="R453" s="893"/>
      <c r="S453" s="893"/>
      <c r="T453" s="893"/>
      <c r="U453" s="893"/>
      <c r="V453" s="893"/>
      <c r="W453" s="893"/>
      <c r="X453" s="893"/>
      <c r="Y453" s="893"/>
      <c r="Z453" s="893"/>
      <c r="AA453" s="893"/>
      <c r="AB453" s="893"/>
      <c r="AC453" s="893"/>
      <c r="AD453" s="893"/>
      <c r="AE453" s="893"/>
      <c r="AF453" s="422"/>
      <c r="AG453" s="422"/>
      <c r="AH453" s="422"/>
      <c r="AI453" s="422"/>
      <c r="AJ453" s="422"/>
      <c r="AK453" s="422"/>
      <c r="AL453" s="626"/>
      <c r="AM453" s="1"/>
      <c r="AN453" s="424"/>
      <c r="AO453" s="117"/>
      <c r="AP453" s="117"/>
      <c r="AQ453" s="117"/>
      <c r="AR453" s="117"/>
      <c r="AS453" s="117"/>
      <c r="AT453" s="117"/>
      <c r="AU453" s="117"/>
      <c r="AV453" s="117"/>
      <c r="AW453" s="117"/>
      <c r="AX453" s="117"/>
      <c r="AY453" s="117"/>
      <c r="AZ453" s="117"/>
      <c r="BA453" s="117"/>
      <c r="BB453" s="117"/>
      <c r="BC453" s="117"/>
      <c r="BD453" s="117"/>
      <c r="BE453" s="117"/>
      <c r="BF453" s="117"/>
      <c r="BG453" s="117"/>
      <c r="BH453" s="117"/>
      <c r="BI453" s="117"/>
      <c r="BJ453" s="117"/>
      <c r="BK453" s="117"/>
      <c r="BL453" s="117"/>
      <c r="BM453" s="117"/>
      <c r="BN453" s="117"/>
      <c r="BO453" s="117"/>
      <c r="BP453" s="117"/>
      <c r="BQ453" s="117"/>
      <c r="BR453" s="117"/>
      <c r="BS453" s="117"/>
      <c r="BT453" s="117"/>
      <c r="BU453" s="117"/>
      <c r="BV453" s="117"/>
      <c r="BW453" s="117"/>
      <c r="BX453" s="117"/>
      <c r="BY453" s="117"/>
      <c r="BZ453" s="117"/>
      <c r="CA453" s="117"/>
    </row>
    <row r="454" spans="1:79" ht="17.25" customHeight="1">
      <c r="A454" s="1"/>
      <c r="B454" s="1"/>
      <c r="C454" s="627"/>
      <c r="D454" s="7"/>
      <c r="E454" s="598"/>
      <c r="F454" s="893"/>
      <c r="G454" s="893"/>
      <c r="H454" s="893"/>
      <c r="I454" s="893"/>
      <c r="J454" s="893"/>
      <c r="K454" s="893"/>
      <c r="L454" s="893"/>
      <c r="M454" s="893"/>
      <c r="N454" s="893"/>
      <c r="O454" s="893"/>
      <c r="P454" s="893"/>
      <c r="Q454" s="893"/>
      <c r="R454" s="893"/>
      <c r="S454" s="893"/>
      <c r="T454" s="893"/>
      <c r="U454" s="893"/>
      <c r="V454" s="893"/>
      <c r="W454" s="893"/>
      <c r="X454" s="893"/>
      <c r="Y454" s="893"/>
      <c r="Z454" s="893"/>
      <c r="AA454" s="893"/>
      <c r="AB454" s="893"/>
      <c r="AC454" s="893"/>
      <c r="AD454" s="893"/>
      <c r="AE454" s="893"/>
      <c r="AF454" s="117"/>
      <c r="AG454" s="117"/>
      <c r="AH454" s="117"/>
      <c r="AI454" s="117"/>
      <c r="AJ454" s="117"/>
      <c r="AK454" s="117"/>
      <c r="AL454" s="612"/>
      <c r="AM454" s="1"/>
      <c r="AN454" s="424"/>
      <c r="AO454" s="117"/>
      <c r="AP454" s="117"/>
      <c r="AQ454" s="117"/>
      <c r="AR454" s="117"/>
      <c r="AS454" s="117"/>
      <c r="AT454" s="117"/>
      <c r="AU454" s="117"/>
      <c r="AV454" s="117"/>
      <c r="AW454" s="117"/>
      <c r="AX454" s="117"/>
      <c r="AY454" s="117"/>
      <c r="AZ454" s="117"/>
      <c r="BA454" s="117"/>
      <c r="BB454" s="117"/>
      <c r="BC454" s="117"/>
      <c r="BD454" s="117"/>
      <c r="BE454" s="117"/>
      <c r="BF454" s="117"/>
      <c r="BG454" s="117"/>
      <c r="BH454" s="117"/>
      <c r="BI454" s="117"/>
      <c r="BJ454" s="117"/>
      <c r="BK454" s="117"/>
      <c r="BL454" s="117"/>
      <c r="BM454" s="117"/>
      <c r="BN454" s="117"/>
      <c r="BO454" s="117"/>
      <c r="BP454" s="117"/>
      <c r="BQ454" s="117"/>
      <c r="BR454" s="117"/>
      <c r="BS454" s="117"/>
      <c r="BT454" s="117"/>
      <c r="BU454" s="117"/>
      <c r="BV454" s="117"/>
      <c r="BW454" s="117"/>
      <c r="BX454" s="117"/>
      <c r="BY454" s="117"/>
      <c r="BZ454" s="117"/>
      <c r="CA454" s="117"/>
    </row>
    <row r="455" spans="1:79" ht="12.75" customHeight="1">
      <c r="A455" s="1"/>
      <c r="B455" s="1"/>
      <c r="C455" s="1401" t="s">
        <v>855</v>
      </c>
      <c r="D455" s="969"/>
      <c r="E455" s="598"/>
      <c r="F455" s="514" t="s">
        <v>2189</v>
      </c>
      <c r="G455" s="4"/>
      <c r="H455" s="4"/>
      <c r="I455" s="4"/>
      <c r="J455" s="4"/>
      <c r="K455" s="4"/>
      <c r="L455" s="4"/>
      <c r="M455" s="4"/>
      <c r="N455" s="4"/>
      <c r="O455" s="4"/>
      <c r="P455" s="4"/>
      <c r="Q455" s="4"/>
      <c r="R455" s="4"/>
      <c r="S455" s="4"/>
      <c r="T455" s="4"/>
      <c r="U455" s="4"/>
      <c r="V455" s="4"/>
      <c r="W455" s="4"/>
      <c r="X455" s="4"/>
      <c r="Y455" s="4"/>
      <c r="Z455" s="4"/>
      <c r="AA455" s="4"/>
      <c r="AB455" s="4"/>
      <c r="AC455" s="4"/>
      <c r="AD455" s="4"/>
      <c r="AE455" s="117"/>
      <c r="AF455" s="1376" t="s">
        <v>2161</v>
      </c>
      <c r="AG455" s="893"/>
      <c r="AH455" s="893"/>
      <c r="AI455" s="893"/>
      <c r="AJ455" s="893"/>
      <c r="AK455" s="893"/>
      <c r="AL455" s="1387"/>
      <c r="AM455" s="1"/>
      <c r="AN455" s="424"/>
      <c r="AO455" s="117"/>
      <c r="AP455" s="117"/>
      <c r="AQ455" s="117"/>
      <c r="AR455" s="117"/>
      <c r="AS455" s="117"/>
      <c r="AT455" s="117"/>
      <c r="AU455" s="117"/>
      <c r="AV455" s="117"/>
      <c r="AW455" s="117"/>
      <c r="AX455" s="117"/>
      <c r="AY455" s="117"/>
      <c r="AZ455" s="117"/>
      <c r="BA455" s="117"/>
      <c r="BB455" s="117"/>
      <c r="BC455" s="117"/>
      <c r="BD455" s="117"/>
      <c r="BE455" s="117"/>
      <c r="BF455" s="117"/>
      <c r="BG455" s="117"/>
      <c r="BH455" s="117"/>
      <c r="BI455" s="117"/>
      <c r="BJ455" s="117"/>
      <c r="BK455" s="117"/>
      <c r="BL455" s="117"/>
      <c r="BM455" s="117"/>
      <c r="BN455" s="117"/>
      <c r="BO455" s="117"/>
      <c r="BP455" s="117"/>
      <c r="BQ455" s="117"/>
      <c r="BR455" s="117"/>
      <c r="BS455" s="117"/>
      <c r="BT455" s="117"/>
      <c r="BU455" s="117"/>
      <c r="BV455" s="117"/>
      <c r="BW455" s="117"/>
      <c r="BX455" s="117"/>
      <c r="BY455" s="117"/>
      <c r="BZ455" s="117"/>
      <c r="CA455" s="117"/>
    </row>
    <row r="456" spans="1:79" ht="12.75" customHeight="1">
      <c r="A456" s="1"/>
      <c r="B456" s="1"/>
      <c r="C456" s="620"/>
      <c r="D456" s="609"/>
      <c r="E456" s="605"/>
      <c r="F456" s="619"/>
      <c r="G456" s="607"/>
      <c r="H456" s="607"/>
      <c r="I456" s="607"/>
      <c r="J456" s="607"/>
      <c r="K456" s="607"/>
      <c r="L456" s="607"/>
      <c r="M456" s="607"/>
      <c r="N456" s="607"/>
      <c r="O456" s="607"/>
      <c r="P456" s="607"/>
      <c r="Q456" s="607"/>
      <c r="R456" s="607"/>
      <c r="S456" s="607"/>
      <c r="T456" s="607"/>
      <c r="U456" s="607"/>
      <c r="V456" s="607"/>
      <c r="W456" s="607"/>
      <c r="X456" s="607"/>
      <c r="Y456" s="607"/>
      <c r="Z456" s="607"/>
      <c r="AA456" s="607"/>
      <c r="AB456" s="607"/>
      <c r="AC456" s="607"/>
      <c r="AD456" s="607"/>
      <c r="AE456" s="609"/>
      <c r="AF456" s="609"/>
      <c r="AG456" s="609"/>
      <c r="AH456" s="609"/>
      <c r="AI456" s="609"/>
      <c r="AJ456" s="609"/>
      <c r="AK456" s="609"/>
      <c r="AL456" s="616"/>
      <c r="AM456" s="1"/>
      <c r="AN456" s="424"/>
      <c r="AO456" s="117"/>
      <c r="AP456" s="117"/>
      <c r="AQ456" s="117"/>
      <c r="AR456" s="117"/>
      <c r="AS456" s="117"/>
      <c r="AT456" s="117"/>
      <c r="AU456" s="117"/>
      <c r="AV456" s="117"/>
      <c r="AW456" s="117"/>
      <c r="AX456" s="117"/>
      <c r="AY456" s="117"/>
      <c r="AZ456" s="117"/>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c r="CA456" s="117"/>
    </row>
    <row r="457" spans="1:79" ht="12.75" customHeight="1">
      <c r="A457" s="1"/>
      <c r="B457" s="1"/>
      <c r="C457" s="7"/>
      <c r="D457" s="7"/>
      <c r="E457" s="598"/>
      <c r="F457" s="600"/>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10"/>
      <c r="AF457" s="10"/>
      <c r="AG457" s="10"/>
      <c r="AH457" s="10"/>
      <c r="AI457" s="10"/>
      <c r="AJ457" s="10"/>
      <c r="AK457" s="10"/>
      <c r="AL457" s="10"/>
      <c r="AM457" s="1"/>
      <c r="AN457" s="424"/>
      <c r="AO457" s="117"/>
      <c r="AP457" s="117"/>
      <c r="AQ457" s="117"/>
      <c r="AR457" s="117"/>
      <c r="AS457" s="117"/>
      <c r="AT457" s="117"/>
      <c r="AU457" s="117"/>
      <c r="AV457" s="117"/>
      <c r="AW457" s="117"/>
      <c r="AX457" s="117"/>
      <c r="AY457" s="117"/>
      <c r="AZ457" s="117"/>
      <c r="BA457" s="117"/>
      <c r="BB457" s="117"/>
      <c r="BC457" s="117"/>
      <c r="BD457" s="117"/>
      <c r="BE457" s="117"/>
      <c r="BF457" s="117"/>
      <c r="BG457" s="117"/>
      <c r="BH457" s="117"/>
      <c r="BI457" s="117"/>
      <c r="BJ457" s="117"/>
      <c r="BK457" s="117"/>
      <c r="BL457" s="117"/>
      <c r="BM457" s="117"/>
      <c r="BN457" s="117"/>
      <c r="BO457" s="117"/>
      <c r="BP457" s="117"/>
      <c r="BQ457" s="117"/>
      <c r="BR457" s="117"/>
      <c r="BS457" s="117"/>
      <c r="BT457" s="117"/>
      <c r="BU457" s="117"/>
      <c r="BV457" s="117"/>
      <c r="BW457" s="117"/>
      <c r="BX457" s="117"/>
      <c r="BY457" s="117"/>
      <c r="BZ457" s="117"/>
      <c r="CA457" s="117"/>
    </row>
    <row r="458" spans="1:79" ht="12.75" customHeight="1">
      <c r="A458" s="1"/>
      <c r="B458" s="1"/>
      <c r="C458" s="591"/>
      <c r="D458" s="592"/>
      <c r="E458" s="593" t="s">
        <v>2190</v>
      </c>
      <c r="F458" s="1405" t="s">
        <v>2191</v>
      </c>
      <c r="G458" s="1384"/>
      <c r="H458" s="1384"/>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592"/>
      <c r="AG458" s="592"/>
      <c r="AH458" s="592"/>
      <c r="AI458" s="592"/>
      <c r="AJ458" s="592"/>
      <c r="AK458" s="592"/>
      <c r="AL458" s="622"/>
      <c r="AM458" s="1"/>
      <c r="AN458" s="424"/>
      <c r="AO458" s="117"/>
      <c r="AP458" s="117"/>
      <c r="AQ458" s="117"/>
      <c r="AR458" s="117"/>
      <c r="AS458" s="117"/>
      <c r="AT458" s="117"/>
      <c r="AU458" s="117"/>
      <c r="AV458" s="117"/>
      <c r="AW458" s="117"/>
      <c r="AX458" s="117"/>
      <c r="AY458" s="117"/>
      <c r="AZ458" s="117"/>
      <c r="BA458" s="117"/>
      <c r="BB458" s="117"/>
      <c r="BC458" s="117"/>
      <c r="BD458" s="117"/>
      <c r="BE458" s="117"/>
      <c r="BF458" s="117"/>
      <c r="BG458" s="117"/>
      <c r="BH458" s="117"/>
      <c r="BI458" s="117"/>
      <c r="BJ458" s="117"/>
      <c r="BK458" s="117"/>
      <c r="BL458" s="117"/>
      <c r="BM458" s="117"/>
      <c r="BN458" s="117"/>
      <c r="BO458" s="117"/>
      <c r="BP458" s="117"/>
      <c r="BQ458" s="117"/>
      <c r="BR458" s="117"/>
      <c r="BS458" s="117"/>
      <c r="BT458" s="117"/>
      <c r="BU458" s="117"/>
      <c r="BV458" s="117"/>
      <c r="BW458" s="117"/>
      <c r="BX458" s="117"/>
      <c r="BY458" s="117"/>
      <c r="BZ458" s="117"/>
      <c r="CA458" s="117"/>
    </row>
    <row r="459" spans="1:79" ht="12.75" customHeight="1">
      <c r="A459" s="1"/>
      <c r="B459" s="1"/>
      <c r="C459" s="627"/>
      <c r="D459" s="7"/>
      <c r="E459" s="598"/>
      <c r="F459" s="893"/>
      <c r="G459" s="893"/>
      <c r="H459" s="893"/>
      <c r="I459" s="893"/>
      <c r="J459" s="893"/>
      <c r="K459" s="893"/>
      <c r="L459" s="893"/>
      <c r="M459" s="893"/>
      <c r="N459" s="893"/>
      <c r="O459" s="893"/>
      <c r="P459" s="893"/>
      <c r="Q459" s="893"/>
      <c r="R459" s="893"/>
      <c r="S459" s="893"/>
      <c r="T459" s="893"/>
      <c r="U459" s="893"/>
      <c r="V459" s="893"/>
      <c r="W459" s="893"/>
      <c r="X459" s="893"/>
      <c r="Y459" s="893"/>
      <c r="Z459" s="893"/>
      <c r="AA459" s="893"/>
      <c r="AB459" s="893"/>
      <c r="AC459" s="893"/>
      <c r="AD459" s="893"/>
      <c r="AE459" s="893"/>
      <c r="AF459" s="10"/>
      <c r="AG459" s="10"/>
      <c r="AH459" s="10"/>
      <c r="AI459" s="10"/>
      <c r="AJ459" s="10"/>
      <c r="AK459" s="10"/>
      <c r="AL459" s="599"/>
      <c r="AM459" s="1"/>
      <c r="AN459" s="424"/>
      <c r="AO459" s="117"/>
      <c r="AP459" s="117"/>
      <c r="AQ459" s="117"/>
      <c r="AR459" s="117"/>
      <c r="AS459" s="117"/>
      <c r="AT459" s="117"/>
      <c r="AU459" s="117"/>
      <c r="AV459" s="117"/>
      <c r="AW459" s="117"/>
      <c r="AX459" s="117"/>
      <c r="AY459" s="117"/>
      <c r="AZ459" s="117"/>
      <c r="BA459" s="117"/>
      <c r="BB459" s="117"/>
      <c r="BC459" s="117"/>
      <c r="BD459" s="117"/>
      <c r="BE459" s="117"/>
      <c r="BF459" s="117"/>
      <c r="BG459" s="117"/>
      <c r="BH459" s="117"/>
      <c r="BI459" s="117"/>
      <c r="BJ459" s="117"/>
      <c r="BK459" s="117"/>
      <c r="BL459" s="117"/>
      <c r="BM459" s="117"/>
      <c r="BN459" s="117"/>
      <c r="BO459" s="117"/>
      <c r="BP459" s="117"/>
      <c r="BQ459" s="117"/>
      <c r="BR459" s="117"/>
      <c r="BS459" s="117"/>
      <c r="BT459" s="117"/>
      <c r="BU459" s="117"/>
      <c r="BV459" s="117"/>
      <c r="BW459" s="117"/>
      <c r="BX459" s="117"/>
      <c r="BY459" s="117"/>
      <c r="BZ459" s="117"/>
      <c r="CA459" s="117"/>
    </row>
    <row r="460" spans="1:79" ht="12.75" customHeight="1">
      <c r="A460" s="1"/>
      <c r="B460" s="1"/>
      <c r="C460" s="627"/>
      <c r="D460" s="7"/>
      <c r="E460" s="598"/>
      <c r="F460" s="893"/>
      <c r="G460" s="893"/>
      <c r="H460" s="893"/>
      <c r="I460" s="893"/>
      <c r="J460" s="893"/>
      <c r="K460" s="893"/>
      <c r="L460" s="893"/>
      <c r="M460" s="893"/>
      <c r="N460" s="893"/>
      <c r="O460" s="893"/>
      <c r="P460" s="893"/>
      <c r="Q460" s="893"/>
      <c r="R460" s="893"/>
      <c r="S460" s="893"/>
      <c r="T460" s="893"/>
      <c r="U460" s="893"/>
      <c r="V460" s="893"/>
      <c r="W460" s="893"/>
      <c r="X460" s="893"/>
      <c r="Y460" s="893"/>
      <c r="Z460" s="893"/>
      <c r="AA460" s="893"/>
      <c r="AB460" s="893"/>
      <c r="AC460" s="893"/>
      <c r="AD460" s="893"/>
      <c r="AE460" s="893"/>
      <c r="AF460" s="10"/>
      <c r="AG460" s="10"/>
      <c r="AH460" s="10"/>
      <c r="AI460" s="10"/>
      <c r="AJ460" s="10"/>
      <c r="AK460" s="10"/>
      <c r="AL460" s="599"/>
      <c r="AM460" s="1"/>
      <c r="AN460" s="424"/>
      <c r="AO460" s="117"/>
      <c r="AP460" s="117"/>
      <c r="AQ460" s="117"/>
      <c r="AR460" s="117"/>
      <c r="AS460" s="117"/>
      <c r="AT460" s="117"/>
      <c r="AU460" s="117"/>
      <c r="AV460" s="117"/>
      <c r="AW460" s="117"/>
      <c r="AX460" s="117"/>
      <c r="AY460" s="117"/>
      <c r="AZ460" s="117"/>
      <c r="BA460" s="117"/>
      <c r="BB460" s="117"/>
      <c r="BC460" s="117"/>
      <c r="BD460" s="117"/>
      <c r="BE460" s="117"/>
      <c r="BF460" s="117"/>
      <c r="BG460" s="117"/>
      <c r="BH460" s="117"/>
      <c r="BI460" s="117"/>
      <c r="BJ460" s="117"/>
      <c r="BK460" s="117"/>
      <c r="BL460" s="117"/>
      <c r="BM460" s="117"/>
      <c r="BN460" s="117"/>
      <c r="BO460" s="117"/>
      <c r="BP460" s="117"/>
      <c r="BQ460" s="117"/>
      <c r="BR460" s="117"/>
      <c r="BS460" s="117"/>
      <c r="BT460" s="117"/>
      <c r="BU460" s="117"/>
      <c r="BV460" s="117"/>
      <c r="BW460" s="117"/>
      <c r="BX460" s="117"/>
      <c r="BY460" s="117"/>
      <c r="BZ460" s="117"/>
      <c r="CA460" s="117"/>
    </row>
    <row r="461" spans="1:79" ht="12.75" customHeight="1">
      <c r="A461" s="1"/>
      <c r="B461" s="1"/>
      <c r="C461" s="627"/>
      <c r="D461" s="7"/>
      <c r="E461" s="598"/>
      <c r="F461" s="893"/>
      <c r="G461" s="893"/>
      <c r="H461" s="893"/>
      <c r="I461" s="893"/>
      <c r="J461" s="893"/>
      <c r="K461" s="893"/>
      <c r="L461" s="893"/>
      <c r="M461" s="893"/>
      <c r="N461" s="893"/>
      <c r="O461" s="893"/>
      <c r="P461" s="893"/>
      <c r="Q461" s="893"/>
      <c r="R461" s="893"/>
      <c r="S461" s="893"/>
      <c r="T461" s="893"/>
      <c r="U461" s="893"/>
      <c r="V461" s="893"/>
      <c r="W461" s="893"/>
      <c r="X461" s="893"/>
      <c r="Y461" s="893"/>
      <c r="Z461" s="893"/>
      <c r="AA461" s="893"/>
      <c r="AB461" s="893"/>
      <c r="AC461" s="893"/>
      <c r="AD461" s="893"/>
      <c r="AE461" s="893"/>
      <c r="AF461" s="117"/>
      <c r="AG461" s="117"/>
      <c r="AH461" s="117"/>
      <c r="AI461" s="117"/>
      <c r="AJ461" s="117"/>
      <c r="AK461" s="117"/>
      <c r="AL461" s="612"/>
      <c r="AM461" s="1"/>
      <c r="AN461" s="424"/>
      <c r="AO461" s="117"/>
      <c r="AP461" s="117"/>
      <c r="AQ461" s="117"/>
      <c r="AR461" s="117"/>
      <c r="AS461" s="117"/>
      <c r="AT461" s="117"/>
      <c r="AU461" s="117"/>
      <c r="AV461" s="117"/>
      <c r="AW461" s="117"/>
      <c r="AX461" s="117"/>
      <c r="AY461" s="117"/>
      <c r="AZ461" s="117"/>
      <c r="BA461" s="117"/>
      <c r="BB461" s="117"/>
      <c r="BC461" s="117"/>
      <c r="BD461" s="117"/>
      <c r="BE461" s="117"/>
      <c r="BF461" s="117"/>
      <c r="BG461" s="117"/>
      <c r="BH461" s="117"/>
      <c r="BI461" s="117"/>
      <c r="BJ461" s="117"/>
      <c r="BK461" s="117"/>
      <c r="BL461" s="117"/>
      <c r="BM461" s="117"/>
      <c r="BN461" s="117"/>
      <c r="BO461" s="117"/>
      <c r="BP461" s="117"/>
      <c r="BQ461" s="117"/>
      <c r="BR461" s="117"/>
      <c r="BS461" s="117"/>
      <c r="BT461" s="117"/>
      <c r="BU461" s="117"/>
      <c r="BV461" s="117"/>
      <c r="BW461" s="117"/>
      <c r="BX461" s="117"/>
      <c r="BY461" s="117"/>
      <c r="BZ461" s="117"/>
      <c r="CA461" s="117"/>
    </row>
    <row r="462" spans="1:79" ht="12.75" customHeight="1">
      <c r="A462" s="1"/>
      <c r="B462" s="1"/>
      <c r="C462" s="1401" t="s">
        <v>855</v>
      </c>
      <c r="D462" s="969"/>
      <c r="E462" s="598"/>
      <c r="F462" s="600" t="s">
        <v>2193</v>
      </c>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117"/>
      <c r="AF462" s="1376" t="s">
        <v>2161</v>
      </c>
      <c r="AG462" s="893"/>
      <c r="AH462" s="893"/>
      <c r="AI462" s="893"/>
      <c r="AJ462" s="893"/>
      <c r="AK462" s="893"/>
      <c r="AL462" s="1387"/>
      <c r="AM462" s="1"/>
      <c r="AN462" s="630"/>
      <c r="AO462" s="117"/>
      <c r="AP462" s="117"/>
      <c r="AQ462" s="117"/>
      <c r="AR462" s="117"/>
      <c r="AS462" s="117"/>
      <c r="AT462" s="117"/>
      <c r="AU462" s="117"/>
      <c r="AV462" s="117"/>
      <c r="AW462" s="117"/>
      <c r="AX462" s="117"/>
      <c r="AY462" s="117"/>
      <c r="AZ462" s="117"/>
      <c r="BA462" s="117"/>
      <c r="BB462" s="117"/>
      <c r="BC462" s="117"/>
      <c r="BD462" s="117"/>
      <c r="BE462" s="117"/>
      <c r="BF462" s="117"/>
      <c r="BG462" s="117"/>
      <c r="BH462" s="117"/>
      <c r="BI462" s="117"/>
      <c r="BJ462" s="117"/>
      <c r="BK462" s="117"/>
      <c r="BL462" s="117"/>
      <c r="BM462" s="117"/>
      <c r="BN462" s="117"/>
      <c r="BO462" s="117"/>
      <c r="BP462" s="117"/>
      <c r="BQ462" s="117"/>
      <c r="BR462" s="117"/>
      <c r="BS462" s="117"/>
      <c r="BT462" s="117"/>
      <c r="BU462" s="117"/>
      <c r="BV462" s="117"/>
      <c r="BW462" s="117"/>
      <c r="BX462" s="117"/>
      <c r="BY462" s="117"/>
      <c r="BZ462" s="117"/>
      <c r="CA462" s="117"/>
    </row>
    <row r="463" spans="1:79" ht="12.75" customHeight="1">
      <c r="A463" s="1"/>
      <c r="B463" s="1"/>
      <c r="C463" s="627"/>
      <c r="D463" s="7"/>
      <c r="E463" s="598"/>
      <c r="F463" s="600"/>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10"/>
      <c r="AF463" s="117"/>
      <c r="AG463" s="117"/>
      <c r="AH463" s="117"/>
      <c r="AI463" s="117"/>
      <c r="AJ463" s="117"/>
      <c r="AK463" s="117"/>
      <c r="AL463" s="612"/>
      <c r="AM463" s="1"/>
      <c r="AN463" s="630"/>
      <c r="AO463" s="117"/>
      <c r="AP463" s="117"/>
      <c r="AQ463" s="117"/>
      <c r="AR463" s="117"/>
      <c r="AS463" s="117"/>
      <c r="AT463" s="117"/>
      <c r="AU463" s="117"/>
      <c r="AV463" s="117"/>
      <c r="AW463" s="117"/>
      <c r="AX463" s="117"/>
      <c r="AY463" s="117"/>
      <c r="AZ463" s="117"/>
      <c r="BA463" s="117"/>
      <c r="BB463" s="117"/>
      <c r="BC463" s="117"/>
      <c r="BD463" s="117"/>
      <c r="BE463" s="117"/>
      <c r="BF463" s="117"/>
      <c r="BG463" s="117"/>
      <c r="BH463" s="117"/>
      <c r="BI463" s="117"/>
      <c r="BJ463" s="117"/>
      <c r="BK463" s="117"/>
      <c r="BL463" s="117"/>
      <c r="BM463" s="117"/>
      <c r="BN463" s="117"/>
      <c r="BO463" s="117"/>
      <c r="BP463" s="117"/>
      <c r="BQ463" s="117"/>
      <c r="BR463" s="117"/>
      <c r="BS463" s="117"/>
      <c r="BT463" s="117"/>
      <c r="BU463" s="117"/>
      <c r="BV463" s="117"/>
      <c r="BW463" s="117"/>
      <c r="BX463" s="117"/>
      <c r="BY463" s="117"/>
      <c r="BZ463" s="117"/>
      <c r="CA463" s="117"/>
    </row>
    <row r="464" spans="1:79" ht="12.75" customHeight="1">
      <c r="A464" s="1"/>
      <c r="B464" s="1"/>
      <c r="C464" s="613"/>
      <c r="D464" s="453"/>
      <c r="E464" s="605"/>
      <c r="F464" s="609" t="s">
        <v>2169</v>
      </c>
      <c r="G464" s="614"/>
      <c r="H464" s="614"/>
      <c r="I464" s="614"/>
      <c r="J464" s="614"/>
      <c r="K464" s="614"/>
      <c r="L464" s="614"/>
      <c r="M464" s="614"/>
      <c r="N464" s="614"/>
      <c r="O464" s="614"/>
      <c r="P464" s="614"/>
      <c r="Q464" s="614"/>
      <c r="R464" s="614"/>
      <c r="S464" s="614"/>
      <c r="T464" s="614"/>
      <c r="U464" s="614"/>
      <c r="V464" s="614"/>
      <c r="W464" s="614"/>
      <c r="X464" s="614"/>
      <c r="Y464" s="614"/>
      <c r="Z464" s="614"/>
      <c r="AA464" s="614"/>
      <c r="AB464" s="614"/>
      <c r="AC464" s="614"/>
      <c r="AD464" s="614"/>
      <c r="AE464" s="453"/>
      <c r="AF464" s="399"/>
      <c r="AG464" s="453"/>
      <c r="AH464" s="609"/>
      <c r="AI464" s="609"/>
      <c r="AJ464" s="609"/>
      <c r="AK464" s="609"/>
      <c r="AL464" s="616"/>
      <c r="AM464" s="1"/>
      <c r="AN464" s="630"/>
      <c r="AO464" s="117"/>
      <c r="AP464" s="117"/>
      <c r="AQ464" s="117"/>
      <c r="AR464" s="117"/>
      <c r="AS464" s="117"/>
      <c r="AT464" s="117"/>
      <c r="AU464" s="117"/>
      <c r="AV464" s="117"/>
      <c r="AW464" s="117"/>
      <c r="AX464" s="117"/>
      <c r="AY464" s="117"/>
      <c r="AZ464" s="117"/>
      <c r="BA464" s="117"/>
      <c r="BB464" s="117"/>
      <c r="BC464" s="117"/>
      <c r="BD464" s="117"/>
      <c r="BE464" s="117"/>
      <c r="BF464" s="117"/>
      <c r="BG464" s="117"/>
      <c r="BH464" s="117"/>
      <c r="BI464" s="117"/>
      <c r="BJ464" s="117"/>
      <c r="BK464" s="117"/>
      <c r="BL464" s="117"/>
      <c r="BM464" s="117"/>
      <c r="BN464" s="117"/>
      <c r="BO464" s="117"/>
      <c r="BP464" s="117"/>
      <c r="BQ464" s="117"/>
      <c r="BR464" s="117"/>
      <c r="BS464" s="117"/>
      <c r="BT464" s="117"/>
      <c r="BU464" s="117"/>
      <c r="BV464" s="117"/>
      <c r="BW464" s="117"/>
      <c r="BX464" s="117"/>
      <c r="BY464" s="117"/>
      <c r="BZ464" s="117"/>
      <c r="CA464" s="117"/>
    </row>
    <row r="465" spans="1:79" ht="12.75" customHeight="1">
      <c r="A465" s="1"/>
      <c r="B465" s="1"/>
      <c r="C465" s="7"/>
      <c r="D465" s="7"/>
      <c r="E465" s="598"/>
      <c r="F465" s="600"/>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10"/>
      <c r="AF465" s="117"/>
      <c r="AG465" s="117"/>
      <c r="AH465" s="117"/>
      <c r="AI465" s="117"/>
      <c r="AJ465" s="117"/>
      <c r="AK465" s="117"/>
      <c r="AL465" s="117"/>
      <c r="AM465" s="1"/>
      <c r="AN465" s="630"/>
      <c r="AO465" s="117"/>
      <c r="AP465" s="117"/>
      <c r="AQ465" s="117"/>
      <c r="AR465" s="117"/>
      <c r="AS465" s="117"/>
      <c r="AT465" s="117"/>
      <c r="AU465" s="117"/>
      <c r="AV465" s="117"/>
      <c r="AW465" s="117"/>
      <c r="AX465" s="117"/>
      <c r="AY465" s="117"/>
      <c r="AZ465" s="117"/>
      <c r="BA465" s="117"/>
      <c r="BB465" s="117"/>
      <c r="BC465" s="117"/>
      <c r="BD465" s="117"/>
      <c r="BE465" s="117"/>
      <c r="BF465" s="117"/>
      <c r="BG465" s="117"/>
      <c r="BH465" s="117"/>
      <c r="BI465" s="117"/>
      <c r="BJ465" s="117"/>
      <c r="BK465" s="117"/>
      <c r="BL465" s="117"/>
      <c r="BM465" s="117"/>
      <c r="BN465" s="117"/>
      <c r="BO465" s="117"/>
      <c r="BP465" s="117"/>
      <c r="BQ465" s="117"/>
      <c r="BR465" s="117"/>
      <c r="BS465" s="117"/>
      <c r="BT465" s="117"/>
      <c r="BU465" s="117"/>
      <c r="BV465" s="117"/>
      <c r="BW465" s="117"/>
      <c r="BX465" s="117"/>
      <c r="BY465" s="117"/>
      <c r="BZ465" s="117"/>
      <c r="CA465" s="117"/>
    </row>
    <row r="466" spans="1:79" ht="12.75" customHeight="1">
      <c r="A466" s="1"/>
      <c r="B466" s="1"/>
      <c r="C466" s="1397" t="s">
        <v>855</v>
      </c>
      <c r="D466" s="1398"/>
      <c r="E466" s="593" t="s">
        <v>2194</v>
      </c>
      <c r="F466" s="1405" t="s">
        <v>2195</v>
      </c>
      <c r="G466" s="1384"/>
      <c r="H466" s="1384"/>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406" t="s">
        <v>2161</v>
      </c>
      <c r="AG466" s="1384"/>
      <c r="AH466" s="1384"/>
      <c r="AI466" s="1384"/>
      <c r="AJ466" s="1384"/>
      <c r="AK466" s="1384"/>
      <c r="AL466" s="1385"/>
      <c r="AM466" s="1"/>
      <c r="AN466" s="630"/>
      <c r="AO466" s="117"/>
      <c r="AP466" s="117"/>
      <c r="AQ466" s="117"/>
      <c r="AR466" s="117"/>
      <c r="AS466" s="117"/>
      <c r="AT466" s="117"/>
      <c r="AU466" s="117"/>
      <c r="AV466" s="117"/>
      <c r="AW466" s="117"/>
      <c r="AX466" s="117"/>
      <c r="AY466" s="117"/>
      <c r="AZ466" s="117"/>
      <c r="BA466" s="117"/>
      <c r="BB466" s="117"/>
      <c r="BC466" s="117"/>
      <c r="BD466" s="117"/>
      <c r="BE466" s="117"/>
      <c r="BF466" s="117"/>
      <c r="BG466" s="117"/>
      <c r="BH466" s="117"/>
      <c r="BI466" s="117"/>
      <c r="BJ466" s="117"/>
      <c r="BK466" s="117"/>
      <c r="BL466" s="117"/>
      <c r="BM466" s="117"/>
      <c r="BN466" s="117"/>
      <c r="BO466" s="117"/>
      <c r="BP466" s="117"/>
      <c r="BQ466" s="117"/>
      <c r="BR466" s="117"/>
      <c r="BS466" s="117"/>
      <c r="BT466" s="117"/>
      <c r="BU466" s="117"/>
      <c r="BV466" s="117"/>
      <c r="BW466" s="117"/>
      <c r="BX466" s="117"/>
      <c r="BY466" s="117"/>
      <c r="BZ466" s="117"/>
      <c r="CA466" s="117"/>
    </row>
    <row r="467" spans="1:79" ht="12.75" customHeight="1">
      <c r="A467" s="1"/>
      <c r="B467" s="1"/>
      <c r="C467" s="627"/>
      <c r="D467" s="7"/>
      <c r="E467" s="598"/>
      <c r="F467" s="893"/>
      <c r="G467" s="893"/>
      <c r="H467" s="893"/>
      <c r="I467" s="893"/>
      <c r="J467" s="893"/>
      <c r="K467" s="893"/>
      <c r="L467" s="893"/>
      <c r="M467" s="893"/>
      <c r="N467" s="893"/>
      <c r="O467" s="893"/>
      <c r="P467" s="893"/>
      <c r="Q467" s="893"/>
      <c r="R467" s="893"/>
      <c r="S467" s="893"/>
      <c r="T467" s="893"/>
      <c r="U467" s="893"/>
      <c r="V467" s="893"/>
      <c r="W467" s="893"/>
      <c r="X467" s="893"/>
      <c r="Y467" s="893"/>
      <c r="Z467" s="893"/>
      <c r="AA467" s="893"/>
      <c r="AB467" s="893"/>
      <c r="AC467" s="893"/>
      <c r="AD467" s="893"/>
      <c r="AE467" s="893"/>
      <c r="AF467" s="10"/>
      <c r="AG467" s="10"/>
      <c r="AH467" s="10"/>
      <c r="AI467" s="10"/>
      <c r="AJ467" s="10"/>
      <c r="AK467" s="10"/>
      <c r="AL467" s="599"/>
      <c r="AM467" s="1"/>
      <c r="AN467" s="631"/>
      <c r="AO467" s="117"/>
      <c r="AP467" s="117"/>
      <c r="AQ467" s="117"/>
      <c r="AR467" s="117"/>
      <c r="AS467" s="117"/>
      <c r="AT467" s="117"/>
      <c r="AU467" s="117"/>
      <c r="AV467" s="117"/>
      <c r="AW467" s="117"/>
      <c r="AX467" s="117"/>
      <c r="AY467" s="117"/>
      <c r="AZ467" s="117"/>
      <c r="BA467" s="117"/>
      <c r="BB467" s="117"/>
      <c r="BC467" s="117"/>
      <c r="BD467" s="117"/>
      <c r="BE467" s="117"/>
      <c r="BF467" s="117"/>
      <c r="BG467" s="117"/>
      <c r="BH467" s="117"/>
      <c r="BI467" s="117"/>
      <c r="BJ467" s="117"/>
      <c r="BK467" s="117"/>
      <c r="BL467" s="117"/>
      <c r="BM467" s="117"/>
      <c r="BN467" s="117"/>
      <c r="BO467" s="117"/>
      <c r="BP467" s="117"/>
      <c r="BQ467" s="117"/>
      <c r="BR467" s="117"/>
      <c r="BS467" s="117"/>
      <c r="BT467" s="117"/>
      <c r="BU467" s="117"/>
      <c r="BV467" s="117"/>
      <c r="BW467" s="117"/>
      <c r="BX467" s="117"/>
      <c r="BY467" s="117"/>
      <c r="BZ467" s="117"/>
      <c r="CA467" s="117"/>
    </row>
    <row r="468" spans="1:79" ht="17.25" customHeight="1">
      <c r="A468" s="1"/>
      <c r="B468" s="1"/>
      <c r="C468" s="602"/>
      <c r="D468" s="604"/>
      <c r="E468" s="605"/>
      <c r="F468" s="1389"/>
      <c r="G468" s="1389"/>
      <c r="H468" s="1389"/>
      <c r="I468" s="1389"/>
      <c r="J468" s="1389"/>
      <c r="K468" s="1389"/>
      <c r="L468" s="1389"/>
      <c r="M468" s="1389"/>
      <c r="N468" s="1389"/>
      <c r="O468" s="1389"/>
      <c r="P468" s="1389"/>
      <c r="Q468" s="1389"/>
      <c r="R468" s="1389"/>
      <c r="S468" s="1389"/>
      <c r="T468" s="1389"/>
      <c r="U468" s="1389"/>
      <c r="V468" s="1389"/>
      <c r="W468" s="1389"/>
      <c r="X468" s="1389"/>
      <c r="Y468" s="1389"/>
      <c r="Z468" s="1389"/>
      <c r="AA468" s="1389"/>
      <c r="AB468" s="1389"/>
      <c r="AC468" s="1389"/>
      <c r="AD468" s="1389"/>
      <c r="AE468" s="1389"/>
      <c r="AF468" s="632"/>
      <c r="AG468" s="632"/>
      <c r="AH468" s="632"/>
      <c r="AI468" s="632"/>
      <c r="AJ468" s="632"/>
      <c r="AK468" s="632"/>
      <c r="AL468" s="610"/>
      <c r="AM468" s="1"/>
      <c r="AN468" s="267"/>
      <c r="AO468" s="117"/>
      <c r="AP468" s="117"/>
      <c r="AQ468" s="117"/>
      <c r="AR468" s="117"/>
      <c r="AS468" s="117"/>
      <c r="AT468" s="117"/>
      <c r="AU468" s="117"/>
      <c r="AV468" s="117"/>
      <c r="AW468" s="117"/>
      <c r="AX468" s="117"/>
      <c r="AY468" s="117"/>
      <c r="AZ468" s="117"/>
      <c r="BA468" s="117"/>
      <c r="BB468" s="117"/>
      <c r="BC468" s="117"/>
      <c r="BD468" s="117"/>
      <c r="BE468" s="117"/>
      <c r="BF468" s="117"/>
      <c r="BG468" s="117"/>
      <c r="BH468" s="117"/>
      <c r="BI468" s="117"/>
      <c r="BJ468" s="117"/>
      <c r="BK468" s="117"/>
      <c r="BL468" s="117"/>
      <c r="BM468" s="117"/>
      <c r="BN468" s="117"/>
      <c r="BO468" s="117"/>
      <c r="BP468" s="117"/>
      <c r="BQ468" s="117"/>
      <c r="BR468" s="117"/>
      <c r="BS468" s="117"/>
      <c r="BT468" s="117"/>
      <c r="BU468" s="117"/>
      <c r="BV468" s="117"/>
      <c r="BW468" s="117"/>
      <c r="BX468" s="117"/>
      <c r="BY468" s="117"/>
      <c r="BZ468" s="117"/>
      <c r="CA468" s="117"/>
    </row>
    <row r="469" spans="1:79" ht="12.75" customHeight="1">
      <c r="A469" s="1"/>
      <c r="B469" s="1"/>
      <c r="C469" s="7"/>
      <c r="D469" s="7"/>
      <c r="E469" s="598"/>
      <c r="F469" s="600"/>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10"/>
      <c r="AF469" s="117"/>
      <c r="AG469" s="117"/>
      <c r="AH469" s="117"/>
      <c r="AI469" s="117"/>
      <c r="AJ469" s="117"/>
      <c r="AK469" s="117"/>
      <c r="AL469" s="117"/>
      <c r="AM469" s="1"/>
      <c r="AN469" s="267"/>
      <c r="AO469" s="117"/>
      <c r="AP469" s="117"/>
      <c r="AQ469" s="117"/>
      <c r="AR469" s="117"/>
      <c r="AS469" s="117"/>
      <c r="AT469" s="117"/>
      <c r="AU469" s="117"/>
      <c r="AV469" s="117"/>
      <c r="AW469" s="117"/>
      <c r="AX469" s="117"/>
      <c r="AY469" s="117"/>
      <c r="AZ469" s="117"/>
      <c r="BA469" s="117"/>
      <c r="BB469" s="117"/>
      <c r="BC469" s="117"/>
      <c r="BD469" s="117"/>
      <c r="BE469" s="117"/>
      <c r="BF469" s="117"/>
      <c r="BG469" s="117"/>
      <c r="BH469" s="117"/>
      <c r="BI469" s="117"/>
      <c r="BJ469" s="117"/>
      <c r="BK469" s="117"/>
      <c r="BL469" s="117"/>
      <c r="BM469" s="117"/>
      <c r="BN469" s="117"/>
      <c r="BO469" s="117"/>
      <c r="BP469" s="117"/>
      <c r="BQ469" s="117"/>
      <c r="BR469" s="117"/>
      <c r="BS469" s="117"/>
      <c r="BT469" s="117"/>
      <c r="BU469" s="117"/>
      <c r="BV469" s="117"/>
      <c r="BW469" s="117"/>
      <c r="BX469" s="117"/>
      <c r="BY469" s="117"/>
      <c r="BZ469" s="117"/>
      <c r="CA469" s="117"/>
    </row>
    <row r="470" spans="1:79" ht="12.75" customHeight="1">
      <c r="A470" s="1"/>
      <c r="B470" s="1"/>
      <c r="C470" s="1401" t="s">
        <v>855</v>
      </c>
      <c r="D470" s="969"/>
      <c r="E470" s="593" t="s">
        <v>2196</v>
      </c>
      <c r="F470" s="1405" t="s">
        <v>2197</v>
      </c>
      <c r="G470" s="1384"/>
      <c r="H470" s="1384"/>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406" t="s">
        <v>2161</v>
      </c>
      <c r="AG470" s="1384"/>
      <c r="AH470" s="1384"/>
      <c r="AI470" s="1384"/>
      <c r="AJ470" s="1384"/>
      <c r="AK470" s="1384"/>
      <c r="AL470" s="1385"/>
      <c r="AM470" s="1"/>
      <c r="AN470" s="267"/>
      <c r="AO470" s="117"/>
      <c r="AP470" s="117"/>
      <c r="AQ470" s="117"/>
      <c r="AR470" s="117"/>
      <c r="AS470" s="117"/>
      <c r="AT470" s="117"/>
      <c r="AU470" s="117"/>
      <c r="AV470" s="117"/>
      <c r="AW470" s="117"/>
      <c r="AX470" s="117"/>
      <c r="AY470" s="117"/>
      <c r="AZ470" s="117"/>
      <c r="BA470" s="117"/>
      <c r="BB470" s="117"/>
      <c r="BC470" s="117"/>
      <c r="BD470" s="117"/>
      <c r="BE470" s="117"/>
      <c r="BF470" s="117"/>
      <c r="BG470" s="117"/>
      <c r="BH470" s="117"/>
      <c r="BI470" s="117"/>
      <c r="BJ470" s="117"/>
      <c r="BK470" s="117"/>
      <c r="BL470" s="117"/>
      <c r="BM470" s="117"/>
      <c r="BN470" s="117"/>
      <c r="BO470" s="117"/>
      <c r="BP470" s="117"/>
      <c r="BQ470" s="117"/>
      <c r="BR470" s="117"/>
      <c r="BS470" s="117"/>
      <c r="BT470" s="117"/>
      <c r="BU470" s="117"/>
      <c r="BV470" s="117"/>
      <c r="BW470" s="117"/>
      <c r="BX470" s="117"/>
      <c r="BY470" s="117"/>
      <c r="BZ470" s="117"/>
      <c r="CA470" s="117"/>
    </row>
    <row r="471" spans="1:79" ht="12.75" customHeight="1">
      <c r="A471" s="1"/>
      <c r="B471" s="1"/>
      <c r="C471" s="597"/>
      <c r="D471" s="1"/>
      <c r="E471" s="598"/>
      <c r="F471" s="893"/>
      <c r="G471" s="893"/>
      <c r="H471" s="893"/>
      <c r="I471" s="893"/>
      <c r="J471" s="893"/>
      <c r="K471" s="893"/>
      <c r="L471" s="893"/>
      <c r="M471" s="893"/>
      <c r="N471" s="893"/>
      <c r="O471" s="893"/>
      <c r="P471" s="893"/>
      <c r="Q471" s="893"/>
      <c r="R471" s="893"/>
      <c r="S471" s="893"/>
      <c r="T471" s="893"/>
      <c r="U471" s="893"/>
      <c r="V471" s="893"/>
      <c r="W471" s="893"/>
      <c r="X471" s="893"/>
      <c r="Y471" s="893"/>
      <c r="Z471" s="893"/>
      <c r="AA471" s="893"/>
      <c r="AB471" s="893"/>
      <c r="AC471" s="893"/>
      <c r="AD471" s="893"/>
      <c r="AE471" s="893"/>
      <c r="AF471" s="8"/>
      <c r="AG471" s="1"/>
      <c r="AH471" s="117"/>
      <c r="AI471" s="117"/>
      <c r="AJ471" s="117"/>
      <c r="AK471" s="117"/>
      <c r="AL471" s="612"/>
      <c r="AM471" s="1"/>
      <c r="AN471" s="267"/>
      <c r="AO471" s="117"/>
      <c r="AP471" s="117"/>
      <c r="AQ471" s="117"/>
      <c r="AR471" s="117"/>
      <c r="AS471" s="117"/>
      <c r="AT471" s="117"/>
      <c r="AU471" s="117"/>
      <c r="AV471" s="117"/>
      <c r="AW471" s="117"/>
      <c r="AX471" s="117"/>
      <c r="AY471" s="117"/>
      <c r="AZ471" s="117"/>
      <c r="BA471" s="117"/>
      <c r="BB471" s="117"/>
      <c r="BC471" s="117"/>
      <c r="BD471" s="117"/>
      <c r="BE471" s="117"/>
      <c r="BF471" s="117"/>
      <c r="BG471" s="117"/>
      <c r="BH471" s="117"/>
      <c r="BI471" s="117"/>
      <c r="BJ471" s="117"/>
      <c r="BK471" s="117"/>
      <c r="BL471" s="117"/>
      <c r="BM471" s="117"/>
      <c r="BN471" s="117"/>
      <c r="BO471" s="117"/>
      <c r="BP471" s="117"/>
      <c r="BQ471" s="117"/>
      <c r="BR471" s="117"/>
      <c r="BS471" s="117"/>
      <c r="BT471" s="117"/>
      <c r="BU471" s="117"/>
      <c r="BV471" s="117"/>
      <c r="BW471" s="117"/>
      <c r="BX471" s="117"/>
      <c r="BY471" s="117"/>
      <c r="BZ471" s="117"/>
      <c r="CA471" s="117"/>
    </row>
    <row r="472" spans="1:79" ht="12.75" customHeight="1">
      <c r="A472" s="1"/>
      <c r="B472" s="1"/>
      <c r="C472" s="597"/>
      <c r="D472" s="1"/>
      <c r="E472" s="598"/>
      <c r="F472" s="893"/>
      <c r="G472" s="893"/>
      <c r="H472" s="893"/>
      <c r="I472" s="893"/>
      <c r="J472" s="893"/>
      <c r="K472" s="893"/>
      <c r="L472" s="893"/>
      <c r="M472" s="893"/>
      <c r="N472" s="893"/>
      <c r="O472" s="893"/>
      <c r="P472" s="893"/>
      <c r="Q472" s="893"/>
      <c r="R472" s="893"/>
      <c r="S472" s="893"/>
      <c r="T472" s="893"/>
      <c r="U472" s="893"/>
      <c r="V472" s="893"/>
      <c r="W472" s="893"/>
      <c r="X472" s="893"/>
      <c r="Y472" s="893"/>
      <c r="Z472" s="893"/>
      <c r="AA472" s="893"/>
      <c r="AB472" s="893"/>
      <c r="AC472" s="893"/>
      <c r="AD472" s="893"/>
      <c r="AE472" s="893"/>
      <c r="AF472" s="8"/>
      <c r="AG472" s="1"/>
      <c r="AH472" s="117"/>
      <c r="AI472" s="117"/>
      <c r="AJ472" s="117"/>
      <c r="AK472" s="117"/>
      <c r="AL472" s="612"/>
      <c r="AM472" s="1"/>
      <c r="AN472" s="267"/>
      <c r="AO472" s="117"/>
      <c r="AP472" s="117"/>
      <c r="AQ472" s="117"/>
      <c r="AR472" s="117"/>
      <c r="AS472" s="117"/>
      <c r="AT472" s="117"/>
      <c r="AU472" s="117"/>
      <c r="AV472" s="117"/>
      <c r="AW472" s="117"/>
      <c r="AX472" s="117"/>
      <c r="AY472" s="117"/>
      <c r="AZ472" s="117"/>
      <c r="BA472" s="117"/>
      <c r="BB472" s="117"/>
      <c r="BC472" s="117"/>
      <c r="BD472" s="117"/>
      <c r="BE472" s="117"/>
      <c r="BF472" s="117"/>
      <c r="BG472" s="117"/>
      <c r="BH472" s="117"/>
      <c r="BI472" s="117"/>
      <c r="BJ472" s="117"/>
      <c r="BK472" s="117"/>
      <c r="BL472" s="117"/>
      <c r="BM472" s="117"/>
      <c r="BN472" s="117"/>
      <c r="BO472" s="117"/>
      <c r="BP472" s="117"/>
      <c r="BQ472" s="117"/>
      <c r="BR472" s="117"/>
      <c r="BS472" s="117"/>
      <c r="BT472" s="117"/>
      <c r="BU472" s="117"/>
      <c r="BV472" s="117"/>
      <c r="BW472" s="117"/>
      <c r="BX472" s="117"/>
      <c r="BY472" s="117"/>
      <c r="BZ472" s="117"/>
      <c r="CA472" s="117"/>
    </row>
    <row r="473" spans="1:79" ht="12.75" customHeight="1">
      <c r="A473" s="1"/>
      <c r="B473" s="1"/>
      <c r="C473" s="602"/>
      <c r="D473" s="604"/>
      <c r="E473" s="605"/>
      <c r="F473" s="1389"/>
      <c r="G473" s="1389"/>
      <c r="H473" s="1389"/>
      <c r="I473" s="1389"/>
      <c r="J473" s="1389"/>
      <c r="K473" s="1389"/>
      <c r="L473" s="1389"/>
      <c r="M473" s="1389"/>
      <c r="N473" s="1389"/>
      <c r="O473" s="1389"/>
      <c r="P473" s="1389"/>
      <c r="Q473" s="1389"/>
      <c r="R473" s="1389"/>
      <c r="S473" s="1389"/>
      <c r="T473" s="1389"/>
      <c r="U473" s="1389"/>
      <c r="V473" s="1389"/>
      <c r="W473" s="1389"/>
      <c r="X473" s="1389"/>
      <c r="Y473" s="1389"/>
      <c r="Z473" s="1389"/>
      <c r="AA473" s="1389"/>
      <c r="AB473" s="1389"/>
      <c r="AC473" s="1389"/>
      <c r="AD473" s="1389"/>
      <c r="AE473" s="1389"/>
      <c r="AF473" s="632"/>
      <c r="AG473" s="632"/>
      <c r="AH473" s="632"/>
      <c r="AI473" s="632"/>
      <c r="AJ473" s="632"/>
      <c r="AK473" s="632"/>
      <c r="AL473" s="610"/>
      <c r="AM473" s="1"/>
      <c r="AN473" s="424"/>
      <c r="AO473" s="117"/>
      <c r="AP473" s="117"/>
      <c r="AQ473" s="117"/>
      <c r="AR473" s="117"/>
      <c r="AS473" s="117"/>
      <c r="AT473" s="117"/>
      <c r="AU473" s="117"/>
      <c r="AV473" s="117"/>
      <c r="AW473" s="117"/>
      <c r="AX473" s="117"/>
      <c r="AY473" s="117"/>
      <c r="AZ473" s="117"/>
      <c r="BA473" s="117"/>
      <c r="BB473" s="117"/>
      <c r="BC473" s="117"/>
      <c r="BD473" s="117"/>
      <c r="BE473" s="117"/>
      <c r="BF473" s="117"/>
      <c r="BG473" s="117"/>
      <c r="BH473" s="117"/>
      <c r="BI473" s="117"/>
      <c r="BJ473" s="117"/>
      <c r="BK473" s="117"/>
      <c r="BL473" s="117"/>
      <c r="BM473" s="117"/>
      <c r="BN473" s="117"/>
      <c r="BO473" s="117"/>
      <c r="BP473" s="117"/>
      <c r="BQ473" s="117"/>
      <c r="BR473" s="117"/>
      <c r="BS473" s="117"/>
      <c r="BT473" s="117"/>
      <c r="BU473" s="117"/>
      <c r="BV473" s="117"/>
      <c r="BW473" s="117"/>
      <c r="BX473" s="117"/>
      <c r="BY473" s="117"/>
      <c r="BZ473" s="117"/>
      <c r="CA473" s="117"/>
    </row>
    <row r="474" spans="1:79" ht="12.75" customHeight="1">
      <c r="A474" s="1"/>
      <c r="B474" s="1"/>
      <c r="C474" s="117"/>
      <c r="D474" s="117"/>
      <c r="E474" s="117"/>
      <c r="F474" s="117"/>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117"/>
      <c r="AF474" s="117"/>
      <c r="AG474" s="117"/>
      <c r="AH474" s="117"/>
      <c r="AI474" s="117"/>
      <c r="AJ474" s="117"/>
      <c r="AK474" s="117"/>
      <c r="AL474" s="117"/>
      <c r="AM474" s="1"/>
      <c r="AN474" s="424"/>
      <c r="AO474" s="117"/>
      <c r="AP474" s="117"/>
      <c r="AQ474" s="117"/>
      <c r="AR474" s="117"/>
      <c r="AS474" s="117"/>
      <c r="AT474" s="117"/>
      <c r="AU474" s="117"/>
      <c r="AV474" s="117"/>
      <c r="AW474" s="117"/>
      <c r="AX474" s="117"/>
      <c r="AY474" s="117"/>
      <c r="AZ474" s="117"/>
      <c r="BA474" s="117"/>
      <c r="BB474" s="117"/>
      <c r="BC474" s="117"/>
      <c r="BD474" s="117"/>
      <c r="BE474" s="117"/>
      <c r="BF474" s="117"/>
      <c r="BG474" s="117"/>
      <c r="BH474" s="117"/>
      <c r="BI474" s="117"/>
      <c r="BJ474" s="117"/>
      <c r="BK474" s="117"/>
      <c r="BL474" s="117"/>
      <c r="BM474" s="117"/>
      <c r="BN474" s="117"/>
      <c r="BO474" s="117"/>
      <c r="BP474" s="117"/>
      <c r="BQ474" s="117"/>
      <c r="BR474" s="117"/>
      <c r="BS474" s="117"/>
      <c r="BT474" s="117"/>
      <c r="BU474" s="117"/>
      <c r="BV474" s="117"/>
      <c r="BW474" s="117"/>
      <c r="BX474" s="117"/>
      <c r="BY474" s="117"/>
      <c r="BZ474" s="117"/>
      <c r="CA474" s="117"/>
    </row>
    <row r="475" spans="1:79" ht="12.75" customHeight="1">
      <c r="A475" s="1"/>
      <c r="B475" s="1"/>
      <c r="C475" s="591"/>
      <c r="D475" s="592"/>
      <c r="E475" s="593" t="s">
        <v>2199</v>
      </c>
      <c r="F475" s="1405" t="s">
        <v>2200</v>
      </c>
      <c r="G475" s="1384"/>
      <c r="H475" s="1384"/>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439"/>
      <c r="AH475" s="592"/>
      <c r="AI475" s="592"/>
      <c r="AJ475" s="592"/>
      <c r="AK475" s="592"/>
      <c r="AL475" s="622"/>
      <c r="AM475" s="1"/>
      <c r="AN475" s="424"/>
      <c r="AO475" s="117"/>
      <c r="AP475" s="117"/>
      <c r="AQ475" s="117"/>
      <c r="AR475" s="117"/>
      <c r="AS475" s="117"/>
      <c r="AT475" s="117"/>
      <c r="AU475" s="117"/>
      <c r="AV475" s="117"/>
      <c r="AW475" s="117"/>
      <c r="AX475" s="117"/>
      <c r="AY475" s="117"/>
      <c r="AZ475" s="117"/>
      <c r="BA475" s="117"/>
      <c r="BB475" s="117"/>
      <c r="BC475" s="117"/>
      <c r="BD475" s="117"/>
      <c r="BE475" s="117"/>
      <c r="BF475" s="117"/>
      <c r="BG475" s="117"/>
      <c r="BH475" s="117"/>
      <c r="BI475" s="117"/>
      <c r="BJ475" s="117"/>
      <c r="BK475" s="117"/>
      <c r="BL475" s="117"/>
      <c r="BM475" s="117"/>
      <c r="BN475" s="117"/>
      <c r="BO475" s="117"/>
      <c r="BP475" s="117"/>
      <c r="BQ475" s="117"/>
      <c r="BR475" s="117"/>
      <c r="BS475" s="117"/>
      <c r="BT475" s="117"/>
      <c r="BU475" s="117"/>
      <c r="BV475" s="117"/>
      <c r="BW475" s="117"/>
      <c r="BX475" s="117"/>
      <c r="BY475" s="117"/>
      <c r="BZ475" s="117"/>
      <c r="CA475" s="117"/>
    </row>
    <row r="476" spans="1:79" ht="12.75" customHeight="1">
      <c r="A476" s="1"/>
      <c r="B476" s="1"/>
      <c r="C476" s="597"/>
      <c r="D476" s="1"/>
      <c r="E476" s="598"/>
      <c r="F476" s="893"/>
      <c r="G476" s="893"/>
      <c r="H476" s="893"/>
      <c r="I476" s="893"/>
      <c r="J476" s="893"/>
      <c r="K476" s="893"/>
      <c r="L476" s="893"/>
      <c r="M476" s="893"/>
      <c r="N476" s="893"/>
      <c r="O476" s="893"/>
      <c r="P476" s="893"/>
      <c r="Q476" s="893"/>
      <c r="R476" s="893"/>
      <c r="S476" s="893"/>
      <c r="T476" s="893"/>
      <c r="U476" s="893"/>
      <c r="V476" s="893"/>
      <c r="W476" s="893"/>
      <c r="X476" s="893"/>
      <c r="Y476" s="893"/>
      <c r="Z476" s="893"/>
      <c r="AA476" s="893"/>
      <c r="AB476" s="893"/>
      <c r="AC476" s="893"/>
      <c r="AD476" s="893"/>
      <c r="AE476" s="893"/>
      <c r="AF476" s="893"/>
      <c r="AG476" s="117"/>
      <c r="AH476" s="117"/>
      <c r="AI476" s="117"/>
      <c r="AJ476" s="117"/>
      <c r="AK476" s="117"/>
      <c r="AL476" s="612"/>
      <c r="AM476" s="1"/>
      <c r="AN476" s="424"/>
      <c r="AO476" s="117"/>
      <c r="AP476" s="117"/>
      <c r="AQ476" s="117"/>
      <c r="AR476" s="117"/>
      <c r="AS476" s="117"/>
      <c r="AT476" s="117"/>
      <c r="AU476" s="117"/>
      <c r="AV476" s="117"/>
      <c r="AW476" s="117"/>
      <c r="AX476" s="117"/>
      <c r="AY476" s="117"/>
      <c r="AZ476" s="117"/>
      <c r="BA476" s="117"/>
      <c r="BB476" s="117"/>
      <c r="BC476" s="117"/>
      <c r="BD476" s="117"/>
      <c r="BE476" s="117"/>
      <c r="BF476" s="117"/>
      <c r="BG476" s="117"/>
      <c r="BH476" s="117"/>
      <c r="BI476" s="117"/>
      <c r="BJ476" s="117"/>
      <c r="BK476" s="117"/>
      <c r="BL476" s="117"/>
      <c r="BM476" s="117"/>
      <c r="BN476" s="117"/>
      <c r="BO476" s="117"/>
      <c r="BP476" s="117"/>
      <c r="BQ476" s="117"/>
      <c r="BR476" s="117"/>
      <c r="BS476" s="117"/>
      <c r="BT476" s="117"/>
      <c r="BU476" s="117"/>
      <c r="BV476" s="117"/>
      <c r="BW476" s="117"/>
      <c r="BX476" s="117"/>
      <c r="BY476" s="117"/>
      <c r="BZ476" s="117"/>
      <c r="CA476" s="117"/>
    </row>
    <row r="477" spans="1:79" ht="12.75" customHeight="1">
      <c r="A477" s="1"/>
      <c r="B477" s="1"/>
      <c r="C477" s="618"/>
      <c r="D477" s="117"/>
      <c r="E477" s="117"/>
      <c r="F477" s="893"/>
      <c r="G477" s="893"/>
      <c r="H477" s="893"/>
      <c r="I477" s="893"/>
      <c r="J477" s="893"/>
      <c r="K477" s="893"/>
      <c r="L477" s="893"/>
      <c r="M477" s="893"/>
      <c r="N477" s="893"/>
      <c r="O477" s="893"/>
      <c r="P477" s="893"/>
      <c r="Q477" s="893"/>
      <c r="R477" s="893"/>
      <c r="S477" s="893"/>
      <c r="T477" s="893"/>
      <c r="U477" s="893"/>
      <c r="V477" s="893"/>
      <c r="W477" s="893"/>
      <c r="X477" s="893"/>
      <c r="Y477" s="893"/>
      <c r="Z477" s="893"/>
      <c r="AA477" s="893"/>
      <c r="AB477" s="893"/>
      <c r="AC477" s="893"/>
      <c r="AD477" s="893"/>
      <c r="AE477" s="893"/>
      <c r="AF477" s="893"/>
      <c r="AG477" s="117"/>
      <c r="AH477" s="117"/>
      <c r="AI477" s="117"/>
      <c r="AJ477" s="117"/>
      <c r="AK477" s="117"/>
      <c r="AL477" s="612"/>
      <c r="AM477" s="1"/>
      <c r="AN477" s="424"/>
      <c r="AO477" s="117"/>
      <c r="AP477" s="117"/>
      <c r="AQ477" s="117"/>
      <c r="AR477" s="117"/>
      <c r="AS477" s="117"/>
      <c r="AT477" s="117"/>
      <c r="AU477" s="117"/>
      <c r="AV477" s="117"/>
      <c r="AW477" s="117"/>
      <c r="AX477" s="117"/>
      <c r="AY477" s="117"/>
      <c r="AZ477" s="117"/>
      <c r="BA477" s="117"/>
      <c r="BB477" s="117"/>
      <c r="BC477" s="117"/>
      <c r="BD477" s="117"/>
      <c r="BE477" s="117"/>
      <c r="BF477" s="117"/>
      <c r="BG477" s="117"/>
      <c r="BH477" s="117"/>
      <c r="BI477" s="117"/>
      <c r="BJ477" s="117"/>
      <c r="BK477" s="117"/>
      <c r="BL477" s="117"/>
      <c r="BM477" s="117"/>
      <c r="BN477" s="117"/>
      <c r="BO477" s="117"/>
      <c r="BP477" s="117"/>
      <c r="BQ477" s="117"/>
      <c r="BR477" s="117"/>
      <c r="BS477" s="117"/>
      <c r="BT477" s="117"/>
      <c r="BU477" s="117"/>
      <c r="BV477" s="117"/>
      <c r="BW477" s="117"/>
      <c r="BX477" s="117"/>
      <c r="BY477" s="117"/>
      <c r="BZ477" s="117"/>
      <c r="CA477" s="117"/>
    </row>
    <row r="478" spans="1:79" ht="12.75" customHeight="1">
      <c r="A478" s="1"/>
      <c r="B478" s="1"/>
      <c r="C478" s="618"/>
      <c r="D478" s="117"/>
      <c r="E478" s="117"/>
      <c r="F478" s="893"/>
      <c r="G478" s="893"/>
      <c r="H478" s="893"/>
      <c r="I478" s="893"/>
      <c r="J478" s="893"/>
      <c r="K478" s="893"/>
      <c r="L478" s="893"/>
      <c r="M478" s="893"/>
      <c r="N478" s="893"/>
      <c r="O478" s="893"/>
      <c r="P478" s="893"/>
      <c r="Q478" s="893"/>
      <c r="R478" s="893"/>
      <c r="S478" s="893"/>
      <c r="T478" s="893"/>
      <c r="U478" s="893"/>
      <c r="V478" s="893"/>
      <c r="W478" s="893"/>
      <c r="X478" s="893"/>
      <c r="Y478" s="893"/>
      <c r="Z478" s="893"/>
      <c r="AA478" s="893"/>
      <c r="AB478" s="893"/>
      <c r="AC478" s="893"/>
      <c r="AD478" s="893"/>
      <c r="AE478" s="893"/>
      <c r="AF478" s="893"/>
      <c r="AG478" s="117"/>
      <c r="AH478" s="117"/>
      <c r="AI478" s="117"/>
      <c r="AJ478" s="117"/>
      <c r="AK478" s="117"/>
      <c r="AL478" s="612"/>
      <c r="AM478" s="1"/>
      <c r="AN478" s="424"/>
      <c r="AO478" s="117"/>
      <c r="AP478" s="117"/>
      <c r="AQ478" s="117"/>
      <c r="AR478" s="117"/>
      <c r="AS478" s="117"/>
      <c r="AT478" s="117"/>
      <c r="AU478" s="117"/>
      <c r="AV478" s="117"/>
      <c r="AW478" s="117"/>
      <c r="AX478" s="117"/>
      <c r="AY478" s="117"/>
      <c r="AZ478" s="117"/>
      <c r="BA478" s="117"/>
      <c r="BB478" s="117"/>
      <c r="BC478" s="117"/>
      <c r="BD478" s="117"/>
      <c r="BE478" s="117"/>
      <c r="BF478" s="117"/>
      <c r="BG478" s="117"/>
      <c r="BH478" s="117"/>
      <c r="BI478" s="117"/>
      <c r="BJ478" s="117"/>
      <c r="BK478" s="117"/>
      <c r="BL478" s="117"/>
      <c r="BM478" s="117"/>
      <c r="BN478" s="117"/>
      <c r="BO478" s="117"/>
      <c r="BP478" s="117"/>
      <c r="BQ478" s="117"/>
      <c r="BR478" s="117"/>
      <c r="BS478" s="117"/>
      <c r="BT478" s="117"/>
      <c r="BU478" s="117"/>
      <c r="BV478" s="117"/>
      <c r="BW478" s="117"/>
      <c r="BX478" s="117"/>
      <c r="BY478" s="117"/>
      <c r="BZ478" s="117"/>
      <c r="CA478" s="117"/>
    </row>
    <row r="479" spans="1:79" ht="12.75" customHeight="1">
      <c r="A479" s="1"/>
      <c r="B479" s="1"/>
      <c r="C479" s="1401" t="s">
        <v>855</v>
      </c>
      <c r="D479" s="969"/>
      <c r="E479" s="598"/>
      <c r="F479" s="600" t="s">
        <v>2180</v>
      </c>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117"/>
      <c r="AF479" s="939" t="s">
        <v>2161</v>
      </c>
      <c r="AG479" s="893"/>
      <c r="AH479" s="893"/>
      <c r="AI479" s="893"/>
      <c r="AJ479" s="893"/>
      <c r="AK479" s="893"/>
      <c r="AL479" s="1387"/>
      <c r="AM479" s="1"/>
      <c r="AN479" s="424"/>
      <c r="AO479" s="117"/>
      <c r="AP479" s="117"/>
      <c r="AQ479" s="117"/>
      <c r="AR479" s="117"/>
      <c r="AS479" s="117"/>
      <c r="AT479" s="117"/>
      <c r="AU479" s="117"/>
      <c r="AV479" s="117"/>
      <c r="AW479" s="117"/>
      <c r="AX479" s="117"/>
      <c r="AY479" s="117"/>
      <c r="AZ479" s="117"/>
      <c r="BA479" s="117"/>
      <c r="BB479" s="117"/>
      <c r="BC479" s="117"/>
      <c r="BD479" s="117"/>
      <c r="BE479" s="117"/>
      <c r="BF479" s="117"/>
      <c r="BG479" s="117"/>
      <c r="BH479" s="117"/>
      <c r="BI479" s="117"/>
      <c r="BJ479" s="117"/>
      <c r="BK479" s="117"/>
      <c r="BL479" s="117"/>
      <c r="BM479" s="117"/>
      <c r="BN479" s="117"/>
      <c r="BO479" s="117"/>
      <c r="BP479" s="117"/>
      <c r="BQ479" s="117"/>
      <c r="BR479" s="117"/>
      <c r="BS479" s="117"/>
      <c r="BT479" s="117"/>
      <c r="BU479" s="117"/>
      <c r="BV479" s="117"/>
      <c r="BW479" s="117"/>
      <c r="BX479" s="117"/>
      <c r="BY479" s="117"/>
      <c r="BZ479" s="117"/>
      <c r="CA479" s="117"/>
    </row>
    <row r="480" spans="1:79" ht="12.75" customHeight="1">
      <c r="A480" s="1"/>
      <c r="B480" s="1"/>
      <c r="C480" s="613"/>
      <c r="D480" s="453"/>
      <c r="E480" s="605"/>
      <c r="F480" s="609"/>
      <c r="G480" s="609"/>
      <c r="H480" s="609"/>
      <c r="I480" s="609"/>
      <c r="J480" s="609"/>
      <c r="K480" s="609"/>
      <c r="L480" s="609"/>
      <c r="M480" s="609"/>
      <c r="N480" s="609"/>
      <c r="O480" s="609"/>
      <c r="P480" s="609"/>
      <c r="Q480" s="609"/>
      <c r="R480" s="609"/>
      <c r="S480" s="609"/>
      <c r="T480" s="609"/>
      <c r="U480" s="609"/>
      <c r="V480" s="609"/>
      <c r="W480" s="609"/>
      <c r="X480" s="609"/>
      <c r="Y480" s="609"/>
      <c r="Z480" s="609"/>
      <c r="AA480" s="609"/>
      <c r="AB480" s="609"/>
      <c r="AC480" s="609"/>
      <c r="AD480" s="609"/>
      <c r="AE480" s="609"/>
      <c r="AF480" s="609"/>
      <c r="AG480" s="609"/>
      <c r="AH480" s="609"/>
      <c r="AI480" s="609"/>
      <c r="AJ480" s="609"/>
      <c r="AK480" s="609"/>
      <c r="AL480" s="616"/>
      <c r="AM480" s="117"/>
      <c r="AN480" s="424"/>
      <c r="AO480" s="117"/>
      <c r="AP480" s="117"/>
      <c r="AQ480" s="117"/>
      <c r="AR480" s="117"/>
      <c r="AS480" s="117"/>
      <c r="AT480" s="117"/>
      <c r="AU480" s="117"/>
      <c r="AV480" s="117"/>
      <c r="AW480" s="117"/>
      <c r="AX480" s="117"/>
      <c r="AY480" s="117"/>
      <c r="AZ480" s="117"/>
      <c r="BA480" s="117"/>
      <c r="BB480" s="117"/>
      <c r="BC480" s="117"/>
      <c r="BD480" s="117"/>
      <c r="BE480" s="117"/>
      <c r="BF480" s="117"/>
      <c r="BG480" s="117"/>
      <c r="BH480" s="117"/>
      <c r="BI480" s="117"/>
      <c r="BJ480" s="117"/>
      <c r="BK480" s="117"/>
      <c r="BL480" s="117"/>
      <c r="BM480" s="117"/>
      <c r="BN480" s="117"/>
      <c r="BO480" s="117"/>
      <c r="BP480" s="117"/>
      <c r="BQ480" s="117"/>
      <c r="BR480" s="117"/>
      <c r="BS480" s="117"/>
      <c r="BT480" s="117"/>
      <c r="BU480" s="117"/>
      <c r="BV480" s="117"/>
      <c r="BW480" s="117"/>
      <c r="BX480" s="117"/>
      <c r="BY480" s="117"/>
      <c r="BZ480" s="117"/>
      <c r="CA480" s="117"/>
    </row>
    <row r="481" spans="1:79" ht="12.75" customHeight="1">
      <c r="A481" s="1"/>
      <c r="B481" s="1"/>
      <c r="C481" s="635"/>
      <c r="D481" s="1"/>
      <c r="E481" s="117"/>
      <c r="F481" s="600"/>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117"/>
      <c r="AF481" s="18"/>
      <c r="AG481" s="18"/>
      <c r="AH481" s="18"/>
      <c r="AI481" s="18"/>
      <c r="AJ481" s="18"/>
      <c r="AK481" s="18"/>
      <c r="AL481" s="18"/>
      <c r="AM481" s="117"/>
      <c r="AN481" s="424"/>
      <c r="AO481" s="117"/>
      <c r="AP481" s="117"/>
      <c r="AQ481" s="117"/>
      <c r="AR481" s="117"/>
      <c r="AS481" s="117"/>
      <c r="AT481" s="117"/>
      <c r="AU481" s="117"/>
      <c r="AV481" s="117"/>
      <c r="AW481" s="117"/>
      <c r="AX481" s="117"/>
      <c r="AY481" s="117"/>
      <c r="AZ481" s="117"/>
      <c r="BA481" s="117"/>
      <c r="BB481" s="117"/>
      <c r="BC481" s="117"/>
      <c r="BD481" s="117"/>
      <c r="BE481" s="117"/>
      <c r="BF481" s="117"/>
      <c r="BG481" s="117"/>
      <c r="BH481" s="117"/>
      <c r="BI481" s="117"/>
      <c r="BJ481" s="117"/>
      <c r="BK481" s="117"/>
      <c r="BL481" s="117"/>
      <c r="BM481" s="117"/>
      <c r="BN481" s="117"/>
      <c r="BO481" s="117"/>
      <c r="BP481" s="117"/>
      <c r="BQ481" s="117"/>
      <c r="BR481" s="117"/>
      <c r="BS481" s="117"/>
      <c r="BT481" s="117"/>
      <c r="BU481" s="117"/>
      <c r="BV481" s="117"/>
      <c r="BW481" s="117"/>
      <c r="BX481" s="117"/>
      <c r="BY481" s="117"/>
      <c r="BZ481" s="117"/>
      <c r="CA481" s="117"/>
    </row>
    <row r="482" spans="1:79" ht="12.75" customHeight="1">
      <c r="A482" s="272"/>
      <c r="B482" s="636" t="s">
        <v>2202</v>
      </c>
      <c r="C482" s="117"/>
      <c r="D482" s="637"/>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371"/>
      <c r="AF482" s="371"/>
      <c r="AG482" s="371"/>
      <c r="AH482" s="371"/>
      <c r="AI482" s="372"/>
      <c r="AJ482" s="372" t="s">
        <v>2203</v>
      </c>
      <c r="AK482" s="945">
        <f>IF(Application!D214="N/A",AS371,AS373)</f>
        <v>10</v>
      </c>
      <c r="AL482" s="921"/>
      <c r="AM482" s="943"/>
      <c r="AN482" s="424"/>
      <c r="AO482" s="117"/>
      <c r="AP482" s="117"/>
      <c r="AQ482" s="117"/>
      <c r="AR482" s="117"/>
      <c r="AS482" s="117"/>
      <c r="AT482" s="117"/>
      <c r="AU482" s="117"/>
      <c r="AV482" s="117"/>
      <c r="AW482" s="117"/>
      <c r="AX482" s="117"/>
      <c r="AY482" s="117"/>
      <c r="AZ482" s="117"/>
      <c r="BA482" s="117"/>
      <c r="BB482" s="117"/>
      <c r="BC482" s="117"/>
      <c r="BD482" s="117"/>
      <c r="BE482" s="117"/>
      <c r="BF482" s="117"/>
      <c r="BG482" s="117"/>
      <c r="BH482" s="117"/>
      <c r="BI482" s="117"/>
      <c r="BJ482" s="117"/>
      <c r="BK482" s="117"/>
      <c r="BL482" s="117"/>
      <c r="BM482" s="117"/>
      <c r="BN482" s="117"/>
      <c r="BO482" s="117"/>
      <c r="BP482" s="117"/>
      <c r="BQ482" s="117"/>
      <c r="BR482" s="117"/>
      <c r="BS482" s="117"/>
      <c r="BT482" s="117"/>
      <c r="BU482" s="117"/>
      <c r="BV482" s="117"/>
      <c r="BW482" s="117"/>
      <c r="BX482" s="117"/>
      <c r="BY482" s="117"/>
      <c r="BZ482" s="117"/>
      <c r="CA482" s="117"/>
    </row>
    <row r="483" spans="1:79" ht="12.75" customHeight="1">
      <c r="A483" s="639"/>
      <c r="B483" s="639"/>
      <c r="C483" s="639"/>
      <c r="D483" s="639"/>
      <c r="E483" s="639"/>
      <c r="F483" s="639"/>
      <c r="G483" s="639"/>
      <c r="H483" s="639"/>
      <c r="I483" s="639"/>
      <c r="J483" s="639"/>
      <c r="K483" s="639"/>
      <c r="L483" s="639"/>
      <c r="M483" s="639"/>
      <c r="N483" s="639"/>
      <c r="O483" s="639"/>
      <c r="P483" s="639"/>
      <c r="Q483" s="639"/>
      <c r="R483" s="639"/>
      <c r="S483" s="639"/>
      <c r="T483" s="639"/>
      <c r="U483" s="639"/>
      <c r="V483" s="639"/>
      <c r="W483" s="639"/>
      <c r="X483" s="639"/>
      <c r="Y483" s="639"/>
      <c r="Z483" s="639"/>
      <c r="AA483" s="639"/>
      <c r="AB483" s="639"/>
      <c r="AC483" s="639"/>
      <c r="AD483" s="639"/>
      <c r="AE483" s="639"/>
      <c r="AF483" s="639"/>
      <c r="AG483" s="639"/>
      <c r="AH483" s="639"/>
      <c r="AI483" s="639"/>
      <c r="AJ483" s="639"/>
      <c r="AK483" s="639"/>
      <c r="AL483" s="639"/>
      <c r="AM483" s="92"/>
      <c r="AN483" s="424"/>
      <c r="AO483" s="117"/>
      <c r="AP483" s="117"/>
      <c r="AQ483" s="117"/>
      <c r="AR483" s="117"/>
      <c r="AS483" s="117"/>
      <c r="AT483" s="117"/>
      <c r="AU483" s="117"/>
      <c r="AV483" s="117"/>
      <c r="AW483" s="117"/>
      <c r="AX483" s="117"/>
      <c r="AY483" s="117"/>
      <c r="AZ483" s="117"/>
      <c r="BA483" s="117"/>
      <c r="BB483" s="117"/>
      <c r="BC483" s="117"/>
      <c r="BD483" s="117"/>
      <c r="BE483" s="117"/>
      <c r="BF483" s="117"/>
      <c r="BG483" s="117"/>
      <c r="BH483" s="117"/>
      <c r="BI483" s="117"/>
      <c r="BJ483" s="117"/>
      <c r="BK483" s="117"/>
      <c r="BL483" s="117"/>
      <c r="BM483" s="117"/>
      <c r="BN483" s="117"/>
      <c r="BO483" s="117"/>
      <c r="BP483" s="117"/>
      <c r="BQ483" s="117"/>
      <c r="BR483" s="117"/>
      <c r="BS483" s="117"/>
      <c r="BT483" s="117"/>
      <c r="BU483" s="117"/>
      <c r="BV483" s="117"/>
      <c r="BW483" s="117"/>
      <c r="BX483" s="117"/>
      <c r="BY483" s="117"/>
      <c r="BZ483" s="117"/>
      <c r="CA483" s="117"/>
    </row>
    <row r="484" spans="1:79" ht="12.75" hidden="1" customHeight="1">
      <c r="A484" s="246"/>
      <c r="B484" s="15"/>
      <c r="C484" s="99"/>
      <c r="D484" s="99"/>
      <c r="E484" s="99"/>
      <c r="F484" s="99"/>
      <c r="G484" s="99"/>
      <c r="H484" s="99"/>
      <c r="I484" s="320"/>
      <c r="J484" s="320"/>
      <c r="K484" s="320"/>
      <c r="L484" s="320"/>
      <c r="M484" s="320"/>
      <c r="N484" s="320"/>
      <c r="O484" s="320"/>
      <c r="P484" s="320"/>
      <c r="Q484" s="320"/>
      <c r="R484" s="1"/>
      <c r="S484" s="8"/>
      <c r="T484" s="8"/>
      <c r="U484" s="8"/>
      <c r="V484" s="8"/>
      <c r="W484" s="8"/>
      <c r="X484" s="8"/>
      <c r="Y484" s="8"/>
      <c r="Z484" s="8"/>
      <c r="AA484" s="8"/>
      <c r="AB484" s="8"/>
      <c r="AC484" s="8"/>
      <c r="AD484" s="8"/>
      <c r="AE484" s="8"/>
      <c r="AF484" s="1"/>
      <c r="AG484" s="8"/>
      <c r="AH484" s="8"/>
      <c r="AI484" s="8"/>
      <c r="AJ484" s="8"/>
      <c r="AK484" s="117"/>
      <c r="AL484" s="117"/>
      <c r="AM484" s="1"/>
      <c r="AN484" s="424"/>
      <c r="AO484" s="117" t="s">
        <v>855</v>
      </c>
      <c r="AP484" s="117">
        <v>0</v>
      </c>
      <c r="AQ484" s="117"/>
      <c r="AR484" s="117"/>
      <c r="AS484" s="117"/>
      <c r="AT484" s="117" t="s">
        <v>855</v>
      </c>
      <c r="AU484" s="117">
        <v>0</v>
      </c>
      <c r="AV484" s="641"/>
      <c r="AW484" s="117"/>
      <c r="AX484" s="117"/>
      <c r="AY484" s="117"/>
      <c r="AZ484" s="117"/>
      <c r="BA484" s="117"/>
      <c r="BB484" s="117"/>
      <c r="BC484" s="117"/>
      <c r="BD484" s="117"/>
      <c r="BE484" s="117"/>
      <c r="BF484" s="117"/>
      <c r="BG484" s="117"/>
      <c r="BH484" s="117"/>
      <c r="BI484" s="117"/>
      <c r="BJ484" s="117"/>
      <c r="BK484" s="117"/>
      <c r="BL484" s="117"/>
      <c r="BM484" s="117"/>
      <c r="BN484" s="117"/>
      <c r="BO484" s="117"/>
      <c r="BP484" s="117"/>
      <c r="BQ484" s="117"/>
      <c r="BR484" s="117"/>
      <c r="BS484" s="117"/>
      <c r="BT484" s="117"/>
      <c r="BU484" s="117"/>
      <c r="BV484" s="117"/>
      <c r="BW484" s="117"/>
      <c r="BX484" s="117"/>
      <c r="BY484" s="117"/>
      <c r="BZ484" s="117"/>
      <c r="CA484" s="117"/>
    </row>
    <row r="485" spans="1:79" ht="12.75" hidden="1" customHeight="1">
      <c r="A485" s="8" t="s">
        <v>2205</v>
      </c>
      <c r="B485" s="117"/>
      <c r="C485" s="8"/>
      <c r="D485" s="117"/>
      <c r="E485" s="514"/>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939" t="s">
        <v>2206</v>
      </c>
      <c r="AF485" s="893"/>
      <c r="AG485" s="893"/>
      <c r="AH485" s="893"/>
      <c r="AI485" s="893"/>
      <c r="AJ485" s="893"/>
      <c r="AK485" s="893"/>
      <c r="AL485" s="10"/>
      <c r="AM485" s="117"/>
      <c r="AN485" s="424"/>
      <c r="AO485" s="117" t="s">
        <v>2207</v>
      </c>
      <c r="AP485" s="117">
        <v>5</v>
      </c>
      <c r="AQ485" s="117"/>
      <c r="AR485" s="117"/>
      <c r="AS485" s="117"/>
      <c r="AT485" s="117" t="s">
        <v>2207</v>
      </c>
      <c r="AU485" s="117">
        <v>5</v>
      </c>
      <c r="AV485" s="641"/>
      <c r="AW485" s="117"/>
      <c r="AX485" s="117"/>
      <c r="AY485" s="117"/>
      <c r="AZ485" s="117"/>
      <c r="BA485" s="117"/>
      <c r="BB485" s="117"/>
      <c r="BC485" s="117"/>
      <c r="BD485" s="117"/>
      <c r="BE485" s="117"/>
      <c r="BF485" s="117"/>
      <c r="BG485" s="117"/>
      <c r="BH485" s="117"/>
      <c r="BI485" s="117"/>
      <c r="BJ485" s="117"/>
      <c r="BK485" s="117"/>
      <c r="BL485" s="117"/>
      <c r="BM485" s="117"/>
      <c r="BN485" s="117"/>
      <c r="BO485" s="117"/>
      <c r="BP485" s="117"/>
      <c r="BQ485" s="117"/>
      <c r="BR485" s="117"/>
      <c r="BS485" s="117"/>
      <c r="BT485" s="117"/>
      <c r="BU485" s="117"/>
      <c r="BV485" s="117"/>
      <c r="BW485" s="117"/>
      <c r="BX485" s="117"/>
      <c r="BY485" s="117"/>
      <c r="BZ485" s="117"/>
      <c r="CA485" s="117"/>
    </row>
    <row r="486" spans="1:79" ht="12.75" hidden="1" customHeight="1">
      <c r="A486" s="8"/>
      <c r="B486" s="1" t="s">
        <v>2208</v>
      </c>
      <c r="C486" s="8"/>
      <c r="D486" s="117"/>
      <c r="E486" s="514"/>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0"/>
      <c r="AF486" s="10"/>
      <c r="AG486" s="10"/>
      <c r="AH486" s="10"/>
      <c r="AI486" s="10"/>
      <c r="AJ486" s="10"/>
      <c r="AK486" s="10"/>
      <c r="AL486" s="10"/>
      <c r="AM486" s="117"/>
      <c r="AN486" s="424"/>
      <c r="AO486" s="117" t="s">
        <v>2209</v>
      </c>
      <c r="AP486" s="117">
        <v>5</v>
      </c>
      <c r="AQ486" s="117"/>
      <c r="AR486" s="117"/>
      <c r="AS486" s="117"/>
      <c r="AT486" s="117" t="s">
        <v>2210</v>
      </c>
      <c r="AU486" s="117">
        <v>5</v>
      </c>
      <c r="AV486" s="641"/>
      <c r="AW486" s="117"/>
      <c r="AX486" s="117"/>
      <c r="AY486" s="117"/>
      <c r="AZ486" s="117"/>
      <c r="BA486" s="117"/>
      <c r="BB486" s="117"/>
      <c r="BC486" s="117"/>
      <c r="BD486" s="117"/>
      <c r="BE486" s="117"/>
      <c r="BF486" s="117"/>
      <c r="BG486" s="117"/>
      <c r="BH486" s="117"/>
      <c r="BI486" s="117"/>
      <c r="BJ486" s="117"/>
      <c r="BK486" s="117"/>
      <c r="BL486" s="117"/>
      <c r="BM486" s="117"/>
      <c r="BN486" s="117"/>
      <c r="BO486" s="117"/>
      <c r="BP486" s="117"/>
      <c r="BQ486" s="117"/>
      <c r="BR486" s="117"/>
      <c r="BS486" s="117"/>
      <c r="BT486" s="117"/>
      <c r="BU486" s="117"/>
      <c r="BV486" s="117"/>
      <c r="BW486" s="117"/>
      <c r="BX486" s="117"/>
      <c r="BY486" s="117"/>
      <c r="BZ486" s="117"/>
      <c r="CA486" s="117"/>
    </row>
    <row r="487" spans="1:79" ht="12.75" hidden="1" customHeight="1">
      <c r="A487" s="8"/>
      <c r="B487" s="8" t="s">
        <v>2211</v>
      </c>
      <c r="C487" s="8"/>
      <c r="D487" s="117"/>
      <c r="E487" s="514"/>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0"/>
      <c r="AF487" s="10"/>
      <c r="AG487" s="10"/>
      <c r="AH487" s="10"/>
      <c r="AI487" s="10"/>
      <c r="AJ487" s="10"/>
      <c r="AK487" s="10"/>
      <c r="AL487" s="10"/>
      <c r="AM487" s="117"/>
      <c r="AN487" s="424"/>
      <c r="AO487" s="117" t="s">
        <v>2212</v>
      </c>
      <c r="AP487" s="117">
        <v>5</v>
      </c>
      <c r="AQ487" s="8"/>
      <c r="AR487" s="8"/>
      <c r="AS487" s="642"/>
      <c r="AT487" s="117" t="s">
        <v>2212</v>
      </c>
      <c r="AU487" s="117">
        <v>5</v>
      </c>
      <c r="AV487" s="1"/>
      <c r="AW487" s="117"/>
      <c r="AX487" s="117"/>
      <c r="AY487" s="117"/>
      <c r="AZ487" s="117"/>
      <c r="BA487" s="117"/>
      <c r="BB487" s="117"/>
      <c r="BC487" s="117"/>
      <c r="BD487" s="117"/>
      <c r="BE487" s="117"/>
      <c r="BF487" s="117"/>
      <c r="BG487" s="117"/>
      <c r="BH487" s="117"/>
      <c r="BI487" s="117"/>
      <c r="BJ487" s="117"/>
      <c r="BK487" s="117"/>
      <c r="BL487" s="117"/>
      <c r="BM487" s="117"/>
      <c r="BN487" s="117"/>
      <c r="BO487" s="117"/>
      <c r="BP487" s="117"/>
      <c r="BQ487" s="117"/>
      <c r="BR487" s="117"/>
      <c r="BS487" s="117"/>
      <c r="BT487" s="117"/>
      <c r="BU487" s="117"/>
      <c r="BV487" s="117"/>
      <c r="BW487" s="117"/>
      <c r="BX487" s="117"/>
      <c r="BY487" s="117"/>
      <c r="BZ487" s="117"/>
      <c r="CA487" s="117"/>
    </row>
    <row r="488" spans="1:79" ht="12.75" hidden="1" customHeight="1">
      <c r="A488" s="8"/>
      <c r="B488" s="8" t="s">
        <v>2213</v>
      </c>
      <c r="C488" s="8"/>
      <c r="D488" s="117"/>
      <c r="E488" s="514"/>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0"/>
      <c r="AF488" s="10"/>
      <c r="AG488" s="10"/>
      <c r="AH488" s="10"/>
      <c r="AI488" s="10"/>
      <c r="AJ488" s="10"/>
      <c r="AK488" s="10"/>
      <c r="AL488" s="10"/>
      <c r="AM488" s="117"/>
      <c r="AN488" s="424"/>
      <c r="AO488" s="117" t="s">
        <v>2214</v>
      </c>
      <c r="AP488" s="117">
        <v>5</v>
      </c>
      <c r="AQ488" s="8"/>
      <c r="AR488" s="8"/>
      <c r="AS488" s="117"/>
      <c r="AT488" s="117" t="s">
        <v>2214</v>
      </c>
      <c r="AU488" s="117">
        <v>5</v>
      </c>
      <c r="AV488" s="117"/>
      <c r="AW488" s="117"/>
      <c r="AX488" s="117"/>
      <c r="AY488" s="117"/>
      <c r="AZ488" s="117"/>
      <c r="BA488" s="117"/>
      <c r="BB488" s="117"/>
      <c r="BC488" s="117"/>
      <c r="BD488" s="117"/>
      <c r="BE488" s="117"/>
      <c r="BF488" s="117"/>
      <c r="BG488" s="117"/>
      <c r="BH488" s="117"/>
      <c r="BI488" s="117"/>
      <c r="BJ488" s="117"/>
      <c r="BK488" s="117"/>
      <c r="BL488" s="117"/>
      <c r="BM488" s="117"/>
      <c r="BN488" s="117"/>
      <c r="BO488" s="117"/>
      <c r="BP488" s="117"/>
      <c r="BQ488" s="117"/>
      <c r="BR488" s="117"/>
      <c r="BS488" s="117"/>
      <c r="BT488" s="117"/>
      <c r="BU488" s="117"/>
      <c r="BV488" s="117"/>
      <c r="BW488" s="117"/>
      <c r="BX488" s="117"/>
      <c r="BY488" s="117"/>
      <c r="BZ488" s="117"/>
      <c r="CA488" s="117"/>
    </row>
    <row r="489" spans="1:79" ht="12.75" hidden="1" customHeight="1">
      <c r="A489" s="8"/>
      <c r="B489" s="117"/>
      <c r="C489" s="8"/>
      <c r="D489" s="117"/>
      <c r="E489" s="514"/>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0"/>
      <c r="AF489" s="10"/>
      <c r="AG489" s="10"/>
      <c r="AH489" s="10"/>
      <c r="AI489" s="10"/>
      <c r="AJ489" s="10"/>
      <c r="AK489" s="10"/>
      <c r="AL489" s="10"/>
      <c r="AM489" s="117"/>
      <c r="AN489" s="424"/>
      <c r="AO489" s="117" t="s">
        <v>2215</v>
      </c>
      <c r="AP489" s="117">
        <v>5</v>
      </c>
      <c r="AQ489" s="8"/>
      <c r="AR489" s="8"/>
      <c r="AS489" s="117"/>
      <c r="AT489" s="117" t="s">
        <v>2215</v>
      </c>
      <c r="AU489" s="117">
        <v>5</v>
      </c>
      <c r="AV489" s="117"/>
      <c r="AW489" s="117"/>
      <c r="AX489" s="117"/>
      <c r="AY489" s="117"/>
      <c r="AZ489" s="117"/>
      <c r="BA489" s="117"/>
      <c r="BB489" s="117"/>
      <c r="BC489" s="117"/>
      <c r="BD489" s="117"/>
      <c r="BE489" s="117"/>
      <c r="BF489" s="117"/>
      <c r="BG489" s="117"/>
      <c r="BH489" s="117"/>
      <c r="BI489" s="117"/>
      <c r="BJ489" s="117"/>
      <c r="BK489" s="117"/>
      <c r="BL489" s="117"/>
      <c r="BM489" s="117"/>
      <c r="BN489" s="117"/>
      <c r="BO489" s="117"/>
      <c r="BP489" s="117"/>
      <c r="BQ489" s="117"/>
      <c r="BR489" s="117"/>
      <c r="BS489" s="117"/>
      <c r="BT489" s="117"/>
      <c r="BU489" s="117"/>
      <c r="BV489" s="117"/>
      <c r="BW489" s="117"/>
      <c r="BX489" s="117"/>
      <c r="BY489" s="117"/>
      <c r="BZ489" s="117"/>
      <c r="CA489" s="117"/>
    </row>
    <row r="490" spans="1:79" ht="12.75" hidden="1" customHeight="1">
      <c r="A490" s="8"/>
      <c r="B490" s="117"/>
      <c r="C490" s="86" t="s">
        <v>2216</v>
      </c>
      <c r="D490" s="1"/>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0"/>
      <c r="AF490" s="10"/>
      <c r="AG490" s="514"/>
      <c r="AH490" s="514"/>
      <c r="AI490" s="514"/>
      <c r="AJ490" s="514"/>
      <c r="AK490" s="514"/>
      <c r="AL490" s="514"/>
      <c r="AM490" s="117"/>
      <c r="AN490" s="424"/>
      <c r="AO490" s="117" t="s">
        <v>2217</v>
      </c>
      <c r="AP490" s="117">
        <v>5</v>
      </c>
      <c r="AQ490" s="117"/>
      <c r="AR490" s="117"/>
      <c r="AS490" s="117"/>
      <c r="AT490" s="117" t="s">
        <v>2217</v>
      </c>
      <c r="AU490" s="117">
        <v>5</v>
      </c>
      <c r="AV490" s="117"/>
      <c r="AW490" s="117"/>
      <c r="AX490" s="117"/>
      <c r="AY490" s="117"/>
      <c r="AZ490" s="117"/>
      <c r="BA490" s="117"/>
      <c r="BB490" s="117"/>
      <c r="BC490" s="117"/>
      <c r="BD490" s="117"/>
      <c r="BE490" s="117"/>
      <c r="BF490" s="117"/>
      <c r="BG490" s="117"/>
      <c r="BH490" s="117"/>
      <c r="BI490" s="117"/>
      <c r="BJ490" s="117"/>
      <c r="BK490" s="117"/>
      <c r="BL490" s="117"/>
      <c r="BM490" s="117"/>
      <c r="BN490" s="117"/>
      <c r="BO490" s="117"/>
      <c r="BP490" s="117"/>
      <c r="BQ490" s="117"/>
      <c r="BR490" s="117"/>
      <c r="BS490" s="117"/>
      <c r="BT490" s="117"/>
      <c r="BU490" s="117"/>
      <c r="BV490" s="117"/>
      <c r="BW490" s="117"/>
      <c r="BX490" s="117"/>
      <c r="BY490" s="117"/>
      <c r="BZ490" s="117"/>
      <c r="CA490" s="117"/>
    </row>
    <row r="491" spans="1:79" ht="12.75" hidden="1" customHeight="1">
      <c r="A491" s="8"/>
      <c r="B491" s="117"/>
      <c r="C491" s="1407" t="s">
        <v>855</v>
      </c>
      <c r="D491" s="1408"/>
      <c r="E491" s="643" t="s">
        <v>84</v>
      </c>
      <c r="F491" s="1409" t="s">
        <v>2218</v>
      </c>
      <c r="G491" s="1384"/>
      <c r="H491" s="1384"/>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592"/>
      <c r="AG491" s="592"/>
      <c r="AH491" s="592"/>
      <c r="AI491" s="592"/>
      <c r="AJ491" s="592"/>
      <c r="AK491" s="622"/>
      <c r="AL491" s="117"/>
      <c r="AM491" s="117"/>
      <c r="AN491" s="424"/>
      <c r="AO491" s="117" t="s">
        <v>2219</v>
      </c>
      <c r="AP491" s="117">
        <v>5</v>
      </c>
      <c r="AQ491" s="117"/>
      <c r="AR491" s="117"/>
      <c r="AS491" s="644"/>
      <c r="AT491" s="117" t="s">
        <v>2220</v>
      </c>
      <c r="AU491" s="117">
        <v>5</v>
      </c>
      <c r="AV491" s="117"/>
      <c r="AW491" s="117"/>
      <c r="AX491" s="117"/>
      <c r="AY491" s="117"/>
      <c r="AZ491" s="117"/>
      <c r="BA491" s="117"/>
      <c r="BB491" s="117"/>
      <c r="BC491" s="117"/>
      <c r="BD491" s="117"/>
      <c r="BE491" s="117"/>
      <c r="BF491" s="117"/>
      <c r="BG491" s="117"/>
      <c r="BH491" s="117"/>
      <c r="BI491" s="117"/>
      <c r="BJ491" s="117"/>
      <c r="BK491" s="117"/>
      <c r="BL491" s="117"/>
      <c r="BM491" s="117"/>
      <c r="BN491" s="117"/>
      <c r="BO491" s="117"/>
      <c r="BP491" s="117"/>
      <c r="BQ491" s="117"/>
      <c r="BR491" s="117"/>
      <c r="BS491" s="117"/>
      <c r="BT491" s="117"/>
      <c r="BU491" s="117"/>
      <c r="BV491" s="117"/>
      <c r="BW491" s="117"/>
      <c r="BX491" s="117"/>
      <c r="BY491" s="117"/>
      <c r="BZ491" s="117"/>
      <c r="CA491" s="117"/>
    </row>
    <row r="492" spans="1:79" ht="12.75" hidden="1" customHeight="1">
      <c r="A492" s="117"/>
      <c r="B492" s="117"/>
      <c r="C492" s="645"/>
      <c r="D492" s="117"/>
      <c r="E492" s="646"/>
      <c r="F492" s="893"/>
      <c r="G492" s="893"/>
      <c r="H492" s="893"/>
      <c r="I492" s="893"/>
      <c r="J492" s="893"/>
      <c r="K492" s="893"/>
      <c r="L492" s="893"/>
      <c r="M492" s="893"/>
      <c r="N492" s="893"/>
      <c r="O492" s="893"/>
      <c r="P492" s="893"/>
      <c r="Q492" s="893"/>
      <c r="R492" s="893"/>
      <c r="S492" s="893"/>
      <c r="T492" s="893"/>
      <c r="U492" s="893"/>
      <c r="V492" s="893"/>
      <c r="W492" s="893"/>
      <c r="X492" s="893"/>
      <c r="Y492" s="893"/>
      <c r="Z492" s="893"/>
      <c r="AA492" s="893"/>
      <c r="AB492" s="893"/>
      <c r="AC492" s="893"/>
      <c r="AD492" s="893"/>
      <c r="AE492" s="893"/>
      <c r="AF492" s="117"/>
      <c r="AG492" s="76"/>
      <c r="AH492" s="76"/>
      <c r="AI492" s="76"/>
      <c r="AJ492" s="76"/>
      <c r="AK492" s="612"/>
      <c r="AL492" s="117"/>
      <c r="AM492" s="117"/>
      <c r="AN492" s="424"/>
      <c r="AO492" s="117" t="s">
        <v>2221</v>
      </c>
      <c r="AP492" s="117">
        <v>1</v>
      </c>
      <c r="AQ492" s="117"/>
      <c r="AR492" s="117"/>
      <c r="AS492" s="117"/>
      <c r="AT492" s="117" t="s">
        <v>2221</v>
      </c>
      <c r="AU492" s="117">
        <v>1</v>
      </c>
      <c r="AV492" s="117"/>
      <c r="AW492" s="117"/>
      <c r="AX492" s="117"/>
      <c r="AY492" s="117"/>
      <c r="AZ492" s="117"/>
      <c r="BA492" s="117"/>
      <c r="BB492" s="117"/>
      <c r="BC492" s="117"/>
      <c r="BD492" s="117"/>
      <c r="BE492" s="117"/>
      <c r="BF492" s="117"/>
      <c r="BG492" s="117"/>
      <c r="BH492" s="117"/>
      <c r="BI492" s="117"/>
      <c r="BJ492" s="117"/>
      <c r="BK492" s="117"/>
      <c r="BL492" s="117"/>
      <c r="BM492" s="117"/>
      <c r="BN492" s="117"/>
      <c r="BO492" s="117"/>
      <c r="BP492" s="117"/>
      <c r="BQ492" s="117"/>
      <c r="BR492" s="117"/>
      <c r="BS492" s="117"/>
      <c r="BT492" s="117"/>
      <c r="BU492" s="117"/>
      <c r="BV492" s="117"/>
      <c r="BW492" s="117"/>
      <c r="BX492" s="117"/>
      <c r="BY492" s="117"/>
      <c r="BZ492" s="117"/>
      <c r="CA492" s="117"/>
    </row>
    <row r="493" spans="1:79" ht="12.75" hidden="1" customHeight="1">
      <c r="A493" s="117"/>
      <c r="B493" s="117"/>
      <c r="C493" s="647"/>
      <c r="D493" s="609"/>
      <c r="E493" s="648"/>
      <c r="F493" s="1111" t="s">
        <v>855</v>
      </c>
      <c r="G493" s="968"/>
      <c r="H493" s="968"/>
      <c r="I493" s="968"/>
      <c r="J493" s="968"/>
      <c r="K493" s="968"/>
      <c r="L493" s="968"/>
      <c r="M493" s="968"/>
      <c r="N493" s="968"/>
      <c r="O493" s="968"/>
      <c r="P493" s="968"/>
      <c r="Q493" s="968"/>
      <c r="R493" s="968"/>
      <c r="S493" s="968"/>
      <c r="T493" s="968"/>
      <c r="U493" s="968"/>
      <c r="V493" s="968"/>
      <c r="W493" s="968"/>
      <c r="X493" s="968"/>
      <c r="Y493" s="968"/>
      <c r="Z493" s="969"/>
      <c r="AA493" s="453"/>
      <c r="AB493" s="553"/>
      <c r="AC493" s="553"/>
      <c r="AD493" s="609"/>
      <c r="AE493" s="609"/>
      <c r="AF493" s="609"/>
      <c r="AG493" s="649">
        <f>IF($C$491="Yes",(VLOOKUP($F$493,$AT$484:$AU$492,2,FALSE)),0)</f>
        <v>0</v>
      </c>
      <c r="AH493" s="650" t="s">
        <v>1902</v>
      </c>
      <c r="AI493" s="649"/>
      <c r="AJ493" s="649"/>
      <c r="AK493" s="616"/>
      <c r="AL493" s="117"/>
      <c r="AM493" s="117"/>
      <c r="AN493" s="424"/>
      <c r="AO493" s="117"/>
      <c r="AP493" s="117"/>
      <c r="AQ493" s="117"/>
      <c r="AR493" s="117"/>
      <c r="AS493" s="642"/>
      <c r="AT493" s="117"/>
      <c r="AU493" s="117"/>
      <c r="AV493" s="117"/>
      <c r="AW493" s="117"/>
      <c r="AX493" s="642"/>
      <c r="AY493" s="117"/>
      <c r="AZ493" s="117"/>
      <c r="BA493" s="117"/>
      <c r="BB493" s="642" t="s">
        <v>2222</v>
      </c>
      <c r="BC493" s="117"/>
      <c r="BD493" s="117"/>
      <c r="BE493" s="117"/>
      <c r="BF493" s="642" t="s">
        <v>2223</v>
      </c>
      <c r="BG493" s="117"/>
      <c r="BH493" s="117"/>
      <c r="BI493" s="117"/>
      <c r="BJ493" s="117"/>
      <c r="BK493" s="117"/>
      <c r="BL493" s="117"/>
      <c r="BM493" s="117"/>
      <c r="BN493" s="117"/>
      <c r="BO493" s="117"/>
      <c r="BP493" s="117"/>
      <c r="BQ493" s="117"/>
      <c r="BR493" s="117"/>
      <c r="BS493" s="117"/>
      <c r="BT493" s="117"/>
      <c r="BU493" s="117"/>
      <c r="BV493" s="117"/>
      <c r="BW493" s="117"/>
      <c r="BX493" s="117"/>
      <c r="BY493" s="117"/>
      <c r="BZ493" s="117"/>
      <c r="CA493" s="117"/>
    </row>
    <row r="494" spans="1:79" ht="12.75" hidden="1" customHeight="1">
      <c r="A494" s="117"/>
      <c r="B494" s="117"/>
      <c r="C494" s="76"/>
      <c r="D494" s="117"/>
      <c r="E494" s="646"/>
      <c r="F494" s="97"/>
      <c r="G494" s="97"/>
      <c r="H494" s="97"/>
      <c r="I494" s="97"/>
      <c r="J494" s="97"/>
      <c r="K494" s="97"/>
      <c r="L494" s="97"/>
      <c r="M494" s="97"/>
      <c r="N494" s="97"/>
      <c r="O494" s="97"/>
      <c r="P494" s="97"/>
      <c r="Q494" s="97"/>
      <c r="R494" s="97"/>
      <c r="S494" s="97"/>
      <c r="T494" s="97"/>
      <c r="U494" s="97"/>
      <c r="V494" s="97"/>
      <c r="W494" s="97"/>
      <c r="X494" s="97"/>
      <c r="Y494" s="97"/>
      <c r="Z494" s="97"/>
      <c r="AA494" s="1"/>
      <c r="AB494" s="76"/>
      <c r="AC494" s="76"/>
      <c r="AD494" s="117"/>
      <c r="AE494" s="117"/>
      <c r="AF494" s="117"/>
      <c r="AG494" s="76"/>
      <c r="AH494" s="76"/>
      <c r="AI494" s="76"/>
      <c r="AJ494" s="76"/>
      <c r="AK494" s="117"/>
      <c r="AL494" s="117"/>
      <c r="AM494" s="117"/>
      <c r="AN494" s="424"/>
      <c r="AO494" s="117" t="s">
        <v>855</v>
      </c>
      <c r="AP494" s="521">
        <v>0</v>
      </c>
      <c r="AQ494" s="117"/>
      <c r="AR494" s="117"/>
      <c r="AS494" s="117"/>
      <c r="AT494" s="117" t="s">
        <v>855</v>
      </c>
      <c r="AU494" s="521">
        <v>0</v>
      </c>
      <c r="AV494" s="117"/>
      <c r="AW494" s="117" t="s">
        <v>855</v>
      </c>
      <c r="AX494" s="521">
        <v>0</v>
      </c>
      <c r="AY494" s="97"/>
      <c r="AZ494" s="117"/>
      <c r="BA494" s="117"/>
      <c r="BB494" s="117" t="s">
        <v>855</v>
      </c>
      <c r="BC494" s="97">
        <v>0</v>
      </c>
      <c r="BD494" s="117"/>
      <c r="BE494" s="117"/>
      <c r="BF494" s="117" t="s">
        <v>855</v>
      </c>
      <c r="BG494" s="97">
        <v>0</v>
      </c>
      <c r="BH494" s="117"/>
      <c r="BI494" s="117"/>
      <c r="BJ494" s="117"/>
      <c r="BK494" s="117"/>
      <c r="BL494" s="117"/>
      <c r="BM494" s="117"/>
      <c r="BN494" s="117"/>
      <c r="BO494" s="117"/>
      <c r="BP494" s="117"/>
      <c r="BQ494" s="117"/>
      <c r="BR494" s="117"/>
      <c r="BS494" s="117"/>
      <c r="BT494" s="117"/>
      <c r="BU494" s="117"/>
      <c r="BV494" s="117"/>
      <c r="BW494" s="117"/>
      <c r="BX494" s="117"/>
      <c r="BY494" s="117"/>
      <c r="BZ494" s="117"/>
      <c r="CA494" s="117"/>
    </row>
    <row r="495" spans="1:79" ht="12.75" hidden="1" customHeight="1">
      <c r="A495" s="117"/>
      <c r="B495" s="117"/>
      <c r="C495" s="1397" t="s">
        <v>901</v>
      </c>
      <c r="D495" s="1398"/>
      <c r="E495" s="643" t="s">
        <v>86</v>
      </c>
      <c r="F495" s="651" t="s">
        <v>2224</v>
      </c>
      <c r="G495" s="543"/>
      <c r="H495" s="543"/>
      <c r="I495" s="543"/>
      <c r="J495" s="543"/>
      <c r="K495" s="543"/>
      <c r="L495" s="543"/>
      <c r="M495" s="543"/>
      <c r="N495" s="543"/>
      <c r="O495" s="543"/>
      <c r="P495" s="543"/>
      <c r="Q495" s="543"/>
      <c r="R495" s="543"/>
      <c r="S495" s="543"/>
      <c r="T495" s="543"/>
      <c r="U495" s="543"/>
      <c r="V495" s="543"/>
      <c r="W495" s="543"/>
      <c r="X495" s="543"/>
      <c r="Y495" s="543"/>
      <c r="Z495" s="543"/>
      <c r="AA495" s="543"/>
      <c r="AB495" s="543"/>
      <c r="AC495" s="543"/>
      <c r="AD495" s="592"/>
      <c r="AE495" s="592"/>
      <c r="AF495" s="592"/>
      <c r="AG495" s="543"/>
      <c r="AH495" s="543"/>
      <c r="AI495" s="543"/>
      <c r="AJ495" s="543"/>
      <c r="AK495" s="622"/>
      <c r="AL495" s="117"/>
      <c r="AM495" s="117"/>
      <c r="AN495" s="424"/>
      <c r="AO495" s="644">
        <v>0.15</v>
      </c>
      <c r="AP495" s="521">
        <v>3</v>
      </c>
      <c r="AQ495" s="117"/>
      <c r="AR495" s="117"/>
      <c r="AS495" s="117"/>
      <c r="AT495" s="644">
        <v>7.0000000000000007E-2</v>
      </c>
      <c r="AU495" s="521">
        <v>3</v>
      </c>
      <c r="AV495" s="117"/>
      <c r="AW495" s="117" t="s">
        <v>2225</v>
      </c>
      <c r="AX495" s="521">
        <v>3</v>
      </c>
      <c r="AY495" s="97"/>
      <c r="AZ495" s="117"/>
      <c r="BA495" s="117"/>
      <c r="BB495" s="644">
        <v>0.4</v>
      </c>
      <c r="BC495" s="97">
        <v>3</v>
      </c>
      <c r="BD495" s="117"/>
      <c r="BE495" s="117"/>
      <c r="BF495" s="644">
        <v>0.4</v>
      </c>
      <c r="BG495" s="97">
        <v>4</v>
      </c>
      <c r="BH495" s="117"/>
      <c r="BI495" s="117"/>
      <c r="BJ495" s="117"/>
      <c r="BK495" s="117"/>
      <c r="BL495" s="117"/>
      <c r="BM495" s="117"/>
      <c r="BN495" s="117"/>
      <c r="BO495" s="117"/>
      <c r="BP495" s="117"/>
      <c r="BQ495" s="117"/>
      <c r="BR495" s="117"/>
      <c r="BS495" s="117"/>
      <c r="BT495" s="117"/>
      <c r="BU495" s="117"/>
      <c r="BV495" s="117"/>
      <c r="BW495" s="117"/>
      <c r="BX495" s="117"/>
      <c r="BY495" s="117"/>
      <c r="BZ495" s="117"/>
      <c r="CA495" s="117"/>
    </row>
    <row r="496" spans="1:79" ht="12.75" hidden="1" customHeight="1">
      <c r="A496" s="117"/>
      <c r="B496" s="117"/>
      <c r="C496" s="652" t="s">
        <v>2226</v>
      </c>
      <c r="D496" s="117"/>
      <c r="E496" s="117"/>
      <c r="F496" s="119" t="s">
        <v>2227</v>
      </c>
      <c r="G496" s="76"/>
      <c r="H496" s="76"/>
      <c r="I496" s="76"/>
      <c r="J496" s="76"/>
      <c r="K496" s="76"/>
      <c r="L496" s="76"/>
      <c r="M496" s="76"/>
      <c r="N496" s="76"/>
      <c r="O496" s="76"/>
      <c r="P496" s="76"/>
      <c r="Q496" s="76"/>
      <c r="R496" s="76"/>
      <c r="S496" s="76"/>
      <c r="T496" s="76"/>
      <c r="U496" s="76"/>
      <c r="V496" s="76"/>
      <c r="W496" s="76"/>
      <c r="X496" s="76"/>
      <c r="Y496" s="76"/>
      <c r="Z496" s="76"/>
      <c r="AA496" s="76"/>
      <c r="AB496" s="76"/>
      <c r="AC496" s="10"/>
      <c r="AD496" s="117"/>
      <c r="AE496" s="117"/>
      <c r="AF496" s="117"/>
      <c r="AG496" s="18"/>
      <c r="AH496" s="18"/>
      <c r="AI496" s="18"/>
      <c r="AJ496" s="18"/>
      <c r="AK496" s="612"/>
      <c r="AL496" s="117"/>
      <c r="AM496" s="117"/>
      <c r="AN496" s="424"/>
      <c r="AO496" s="644">
        <v>0.2</v>
      </c>
      <c r="AP496" s="521">
        <v>5</v>
      </c>
      <c r="AQ496" s="117"/>
      <c r="AR496" s="117"/>
      <c r="AS496" s="117"/>
      <c r="AT496" s="644">
        <v>0.12</v>
      </c>
      <c r="AU496" s="521">
        <v>5</v>
      </c>
      <c r="AV496" s="117"/>
      <c r="AW496" s="117" t="s">
        <v>2228</v>
      </c>
      <c r="AX496" s="521">
        <v>5</v>
      </c>
      <c r="AY496" s="97"/>
      <c r="AZ496" s="117"/>
      <c r="BA496" s="117"/>
      <c r="BB496" s="644">
        <v>0.6</v>
      </c>
      <c r="BC496" s="97">
        <v>4</v>
      </c>
      <c r="BD496" s="117"/>
      <c r="BE496" s="117"/>
      <c r="BF496" s="644">
        <v>0.6</v>
      </c>
      <c r="BG496" s="97">
        <v>5</v>
      </c>
      <c r="BH496" s="117"/>
      <c r="BI496" s="117"/>
      <c r="BJ496" s="117"/>
      <c r="BK496" s="117"/>
      <c r="BL496" s="117"/>
      <c r="BM496" s="117"/>
      <c r="BN496" s="117"/>
      <c r="BO496" s="117"/>
      <c r="BP496" s="117"/>
      <c r="BQ496" s="117"/>
      <c r="BR496" s="117"/>
      <c r="BS496" s="117"/>
      <c r="BT496" s="117"/>
      <c r="BU496" s="117"/>
      <c r="BV496" s="117"/>
      <c r="BW496" s="117"/>
      <c r="BX496" s="117"/>
      <c r="BY496" s="117"/>
      <c r="BZ496" s="117"/>
      <c r="CA496" s="117"/>
    </row>
    <row r="497" spans="1:79" ht="12.75" hidden="1" customHeight="1">
      <c r="A497" s="117"/>
      <c r="B497" s="117"/>
      <c r="C497" s="627"/>
      <c r="D497" s="7"/>
      <c r="E497" s="646"/>
      <c r="F497" s="119" t="s">
        <v>2229</v>
      </c>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653"/>
      <c r="AD497" s="261"/>
      <c r="AE497" s="261"/>
      <c r="AF497" s="261"/>
      <c r="AG497" s="124"/>
      <c r="AH497" s="18"/>
      <c r="AI497" s="18"/>
      <c r="AJ497" s="18"/>
      <c r="AK497" s="612"/>
      <c r="AL497" s="117"/>
      <c r="AM497" s="117"/>
      <c r="AN497" s="654"/>
      <c r="AO497" s="644"/>
      <c r="AP497" s="97"/>
      <c r="AQ497" s="117"/>
      <c r="AR497" s="117"/>
      <c r="AS497" s="117"/>
      <c r="AT497" s="644"/>
      <c r="AU497" s="97"/>
      <c r="AV497" s="117"/>
      <c r="AW497" s="117"/>
      <c r="AX497" s="644"/>
      <c r="AY497" s="97"/>
      <c r="AZ497" s="117"/>
      <c r="BA497" s="117"/>
      <c r="BB497" s="644">
        <v>0.8</v>
      </c>
      <c r="BC497" s="97">
        <v>5</v>
      </c>
      <c r="BD497" s="117"/>
      <c r="BE497" s="117"/>
      <c r="BF497" s="644"/>
      <c r="BG497" s="97"/>
      <c r="BH497" s="117"/>
      <c r="BI497" s="117"/>
      <c r="BJ497" s="117"/>
      <c r="BK497" s="117"/>
      <c r="BL497" s="117"/>
      <c r="BM497" s="117"/>
      <c r="BN497" s="117"/>
      <c r="BO497" s="117"/>
      <c r="BP497" s="117"/>
      <c r="BQ497" s="117"/>
      <c r="BR497" s="117"/>
      <c r="BS497" s="117"/>
      <c r="BT497" s="117"/>
      <c r="BU497" s="117"/>
      <c r="BV497" s="117"/>
      <c r="BW497" s="117"/>
      <c r="BX497" s="117"/>
      <c r="BY497" s="117"/>
      <c r="BZ497" s="117"/>
      <c r="CA497" s="117"/>
    </row>
    <row r="498" spans="1:79" ht="12.75" hidden="1" customHeight="1">
      <c r="A498" s="521"/>
      <c r="B498" s="117"/>
      <c r="C498" s="645"/>
      <c r="D498" s="117"/>
      <c r="E498" s="646"/>
      <c r="F498" s="655" t="s">
        <v>2230</v>
      </c>
      <c r="G498" s="117"/>
      <c r="H498" s="117"/>
      <c r="I498" s="119"/>
      <c r="J498" s="119"/>
      <c r="K498" s="119"/>
      <c r="L498" s="119"/>
      <c r="M498" s="119"/>
      <c r="N498" s="119"/>
      <c r="O498" s="119"/>
      <c r="P498" s="119"/>
      <c r="Q498" s="119"/>
      <c r="R498" s="119"/>
      <c r="S498" s="119"/>
      <c r="T498" s="119"/>
      <c r="U498" s="119"/>
      <c r="V498" s="1412" t="s">
        <v>855</v>
      </c>
      <c r="W498" s="968"/>
      <c r="X498" s="969"/>
      <c r="Y498" s="119"/>
      <c r="Z498" s="119"/>
      <c r="AA498" s="119"/>
      <c r="AB498" s="119"/>
      <c r="AC498" s="119"/>
      <c r="AD498" s="261"/>
      <c r="AE498" s="261"/>
      <c r="AF498" s="261"/>
      <c r="AG498" s="18">
        <f>IF(AND($C$495="Yes",$V$500="N/A",$V$505="N/A",$V$509="N/A",$V$511="N/A"),(VLOOKUP(V498,$AW$494:$AX$496,2,FALSE)),0)</f>
        <v>0</v>
      </c>
      <c r="AH498" s="19" t="s">
        <v>1902</v>
      </c>
      <c r="AI498" s="76"/>
      <c r="AJ498" s="76"/>
      <c r="AK498" s="612"/>
      <c r="AL498" s="117"/>
      <c r="AM498" s="117"/>
      <c r="AN498" s="424"/>
      <c r="AO498" s="514"/>
      <c r="AP498" s="514"/>
      <c r="AQ498" s="514"/>
      <c r="AR498" s="514"/>
      <c r="AS498" s="514"/>
      <c r="AT498" s="117" t="s">
        <v>855</v>
      </c>
      <c r="AU498" s="521">
        <v>0</v>
      </c>
      <c r="AV498" s="117"/>
      <c r="AW498" s="117"/>
      <c r="AX498" s="117"/>
      <c r="AY498" s="117"/>
      <c r="AZ498" s="117"/>
      <c r="BA498" s="117"/>
      <c r="BB498" s="644"/>
      <c r="BC498" s="97"/>
      <c r="BD498" s="117"/>
      <c r="BE498" s="117"/>
      <c r="BF498" s="117"/>
      <c r="BG498" s="117"/>
      <c r="BH498" s="514"/>
      <c r="BI498" s="514"/>
      <c r="BJ498" s="514"/>
      <c r="BK498" s="514"/>
      <c r="BL498" s="514"/>
      <c r="BM498" s="514"/>
      <c r="BN498" s="514"/>
      <c r="BO498" s="514"/>
      <c r="BP498" s="514"/>
      <c r="BQ498" s="514"/>
      <c r="BR498" s="514"/>
      <c r="BS498" s="514"/>
      <c r="BT498" s="514"/>
      <c r="BU498" s="514"/>
      <c r="BV498" s="514"/>
      <c r="BW498" s="514"/>
      <c r="BX498" s="514"/>
      <c r="BY498" s="514"/>
      <c r="BZ498" s="514"/>
      <c r="CA498" s="514"/>
    </row>
    <row r="499" spans="1:79" ht="12.75" hidden="1" customHeight="1">
      <c r="A499" s="521"/>
      <c r="B499" s="117"/>
      <c r="C499" s="645"/>
      <c r="D499" s="117"/>
      <c r="E499" s="646"/>
      <c r="F499" s="655"/>
      <c r="G499" s="117"/>
      <c r="H499" s="117"/>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261"/>
      <c r="AE499" s="261"/>
      <c r="AF499" s="261"/>
      <c r="AG499" s="18"/>
      <c r="AH499" s="19"/>
      <c r="AI499" s="76"/>
      <c r="AJ499" s="76"/>
      <c r="AK499" s="612"/>
      <c r="AL499" s="117"/>
      <c r="AM499" s="117"/>
      <c r="AN499" s="424"/>
      <c r="AO499" s="514"/>
      <c r="AP499" s="514"/>
      <c r="AQ499" s="514"/>
      <c r="AR499" s="514"/>
      <c r="AS499" s="514"/>
      <c r="AT499" s="644">
        <v>0.09</v>
      </c>
      <c r="AU499" s="521">
        <v>3</v>
      </c>
      <c r="AV499" s="117"/>
      <c r="AW499" s="117"/>
      <c r="AX499" s="642"/>
      <c r="AY499" s="117"/>
      <c r="AZ499" s="117"/>
      <c r="BA499" s="117"/>
      <c r="BB499" s="117"/>
      <c r="BC499" s="117"/>
      <c r="BD499" s="117"/>
      <c r="BE499" s="117"/>
      <c r="BF499" s="117"/>
      <c r="BG499" s="117"/>
      <c r="BH499" s="514"/>
      <c r="BI499" s="514"/>
      <c r="BJ499" s="514"/>
      <c r="BK499" s="514"/>
      <c r="BL499" s="514"/>
      <c r="BM499" s="514"/>
      <c r="BN499" s="514"/>
      <c r="BO499" s="514"/>
      <c r="BP499" s="514"/>
      <c r="BQ499" s="514"/>
      <c r="BR499" s="514"/>
      <c r="BS499" s="514"/>
      <c r="BT499" s="514"/>
      <c r="BU499" s="514"/>
      <c r="BV499" s="514"/>
      <c r="BW499" s="514"/>
      <c r="BX499" s="514"/>
      <c r="BY499" s="514"/>
      <c r="BZ499" s="514"/>
      <c r="CA499" s="514"/>
    </row>
    <row r="500" spans="1:79" ht="12.75" hidden="1" customHeight="1">
      <c r="A500" s="521"/>
      <c r="B500" s="117"/>
      <c r="C500" s="645"/>
      <c r="D500" s="117"/>
      <c r="E500" s="646"/>
      <c r="F500" s="655" t="s">
        <v>2232</v>
      </c>
      <c r="G500" s="117"/>
      <c r="H500" s="117"/>
      <c r="I500" s="119"/>
      <c r="J500" s="119"/>
      <c r="K500" s="119"/>
      <c r="L500" s="119"/>
      <c r="M500" s="119"/>
      <c r="N500" s="119"/>
      <c r="O500" s="119"/>
      <c r="P500" s="119"/>
      <c r="Q500" s="119"/>
      <c r="R500" s="119"/>
      <c r="S500" s="119"/>
      <c r="T500" s="119"/>
      <c r="U500" s="119"/>
      <c r="V500" s="1412" t="s">
        <v>855</v>
      </c>
      <c r="W500" s="968"/>
      <c r="X500" s="969"/>
      <c r="Y500" s="119"/>
      <c r="Z500" s="119"/>
      <c r="AA500" s="119"/>
      <c r="AB500" s="119"/>
      <c r="AC500" s="119"/>
      <c r="AD500" s="261"/>
      <c r="AE500" s="261"/>
      <c r="AF500" s="261"/>
      <c r="AG500" s="18">
        <f>IF(AND($C$495="Yes",$V$498="N/A", $V$505="N/A",$V$509="N/A",$V$511="N/A"),(VLOOKUP(V500,$AT$494:$AU$496,2,FALSE)),0)</f>
        <v>0</v>
      </c>
      <c r="AH500" s="19" t="s">
        <v>1902</v>
      </c>
      <c r="AI500" s="76"/>
      <c r="AJ500" s="76"/>
      <c r="AK500" s="612"/>
      <c r="AL500" s="117"/>
      <c r="AM500" s="117"/>
      <c r="AN500" s="424"/>
      <c r="AO500" s="514"/>
      <c r="AP500" s="514"/>
      <c r="AQ500" s="514"/>
      <c r="AR500" s="514"/>
      <c r="AS500" s="514"/>
      <c r="AT500" s="644">
        <v>0.15</v>
      </c>
      <c r="AU500" s="521">
        <v>5</v>
      </c>
      <c r="AV500" s="117"/>
      <c r="AW500" s="117"/>
      <c r="AX500" s="117"/>
      <c r="AY500" s="117"/>
      <c r="AZ500" s="117"/>
      <c r="BA500" s="117"/>
      <c r="BB500" s="117"/>
      <c r="BC500" s="117"/>
      <c r="BD500" s="117"/>
      <c r="BE500" s="117"/>
      <c r="BF500" s="117"/>
      <c r="BG500" s="117"/>
      <c r="BH500" s="514"/>
      <c r="BI500" s="514"/>
      <c r="BJ500" s="514"/>
      <c r="BK500" s="514"/>
      <c r="BL500" s="514"/>
      <c r="BM500" s="514"/>
      <c r="BN500" s="514"/>
      <c r="BO500" s="514"/>
      <c r="BP500" s="514"/>
      <c r="BQ500" s="514"/>
      <c r="BR500" s="514"/>
      <c r="BS500" s="514"/>
      <c r="BT500" s="514"/>
      <c r="BU500" s="514"/>
      <c r="BV500" s="514"/>
      <c r="BW500" s="514"/>
      <c r="BX500" s="514"/>
      <c r="BY500" s="514"/>
      <c r="BZ500" s="514"/>
      <c r="CA500" s="514"/>
    </row>
    <row r="501" spans="1:79" ht="12.75" hidden="1" customHeight="1">
      <c r="A501" s="117"/>
      <c r="B501" s="117"/>
      <c r="C501" s="645"/>
      <c r="D501" s="117"/>
      <c r="E501" s="646"/>
      <c r="F501" s="514"/>
      <c r="G501" s="121"/>
      <c r="H501" s="121"/>
      <c r="I501" s="121"/>
      <c r="J501" s="121"/>
      <c r="K501" s="121"/>
      <c r="L501" s="121"/>
      <c r="M501" s="121"/>
      <c r="N501" s="121"/>
      <c r="O501" s="121"/>
      <c r="P501" s="121"/>
      <c r="Q501" s="76"/>
      <c r="R501" s="76"/>
      <c r="S501" s="76"/>
      <c r="T501" s="76"/>
      <c r="U501" s="76"/>
      <c r="V501" s="76"/>
      <c r="W501" s="76"/>
      <c r="X501" s="76"/>
      <c r="Y501" s="76"/>
      <c r="Z501" s="76"/>
      <c r="AA501" s="76"/>
      <c r="AB501" s="76"/>
      <c r="AC501" s="76"/>
      <c r="AD501" s="117"/>
      <c r="AE501" s="117"/>
      <c r="AF501" s="117"/>
      <c r="AG501" s="514"/>
      <c r="AH501" s="514"/>
      <c r="AI501" s="514"/>
      <c r="AJ501" s="514"/>
      <c r="AK501" s="612"/>
      <c r="AL501" s="117"/>
      <c r="AM501" s="117"/>
      <c r="AN501" s="424"/>
      <c r="AO501" s="117" t="s">
        <v>855</v>
      </c>
      <c r="AP501" s="117">
        <v>0</v>
      </c>
      <c r="AQ501" s="117"/>
      <c r="AR501" s="117"/>
      <c r="AS501" s="117"/>
      <c r="AT501" s="117"/>
      <c r="AU501" s="117"/>
      <c r="AV501" s="117"/>
      <c r="AW501" s="117"/>
      <c r="AX501" s="117"/>
      <c r="AY501" s="117"/>
      <c r="AZ501" s="117"/>
      <c r="BA501" s="117"/>
      <c r="BB501" s="117"/>
      <c r="BC501" s="117"/>
      <c r="BD501" s="117"/>
      <c r="BE501" s="117"/>
      <c r="BF501" s="117"/>
      <c r="BG501" s="117"/>
      <c r="BH501" s="117"/>
      <c r="BI501" s="117"/>
      <c r="BJ501" s="117"/>
      <c r="BK501" s="117"/>
      <c r="BL501" s="117"/>
      <c r="BM501" s="117"/>
      <c r="BN501" s="117"/>
      <c r="BO501" s="117"/>
      <c r="BP501" s="117"/>
      <c r="BQ501" s="117"/>
      <c r="BR501" s="117"/>
      <c r="BS501" s="117"/>
      <c r="BT501" s="117"/>
      <c r="BU501" s="117"/>
      <c r="BV501" s="117"/>
      <c r="BW501" s="117"/>
      <c r="BX501" s="117"/>
      <c r="BY501" s="117"/>
      <c r="BZ501" s="117"/>
      <c r="CA501" s="117"/>
    </row>
    <row r="502" spans="1:79" ht="12.75" hidden="1" customHeight="1">
      <c r="A502" s="117"/>
      <c r="B502" s="117"/>
      <c r="C502" s="645"/>
      <c r="D502" s="117"/>
      <c r="E502" s="646"/>
      <c r="F502" s="121" t="s">
        <v>2233</v>
      </c>
      <c r="G502" s="117"/>
      <c r="H502" s="117"/>
      <c r="I502" s="646"/>
      <c r="J502" s="646"/>
      <c r="K502" s="646"/>
      <c r="L502" s="646"/>
      <c r="M502" s="646"/>
      <c r="N502" s="646"/>
      <c r="O502" s="646"/>
      <c r="P502" s="646"/>
      <c r="Q502" s="76"/>
      <c r="R502" s="76"/>
      <c r="S502" s="76"/>
      <c r="T502" s="76"/>
      <c r="U502" s="76"/>
      <c r="V502" s="76"/>
      <c r="W502" s="76"/>
      <c r="X502" s="76"/>
      <c r="Y502" s="76"/>
      <c r="Z502" s="76"/>
      <c r="AA502" s="76"/>
      <c r="AB502" s="76"/>
      <c r="AC502" s="76"/>
      <c r="AD502" s="117"/>
      <c r="AE502" s="117"/>
      <c r="AF502" s="117"/>
      <c r="AG502" s="117"/>
      <c r="AH502" s="117"/>
      <c r="AI502" s="117"/>
      <c r="AJ502" s="76"/>
      <c r="AK502" s="612"/>
      <c r="AL502" s="117"/>
      <c r="AM502" s="117"/>
      <c r="AN502" s="424"/>
      <c r="AO502" s="117" t="s">
        <v>2234</v>
      </c>
      <c r="AP502" s="521">
        <v>2</v>
      </c>
      <c r="AQ502" s="117"/>
      <c r="AR502" s="117"/>
      <c r="AS502" s="117"/>
      <c r="AT502" s="117"/>
      <c r="AU502" s="117"/>
      <c r="AV502" s="117"/>
      <c r="AW502" s="117"/>
      <c r="AX502" s="117"/>
      <c r="AY502" s="117"/>
      <c r="AZ502" s="117"/>
      <c r="BA502" s="117"/>
      <c r="BB502" s="117"/>
      <c r="BC502" s="117"/>
      <c r="BD502" s="117"/>
      <c r="BE502" s="117"/>
      <c r="BF502" s="117"/>
      <c r="BG502" s="117"/>
      <c r="BH502" s="117"/>
      <c r="BI502" s="117"/>
      <c r="BJ502" s="117"/>
      <c r="BK502" s="117"/>
      <c r="BL502" s="117"/>
      <c r="BM502" s="117"/>
      <c r="BN502" s="117"/>
      <c r="BO502" s="117"/>
      <c r="BP502" s="117"/>
      <c r="BQ502" s="117"/>
      <c r="BR502" s="117"/>
      <c r="BS502" s="117"/>
      <c r="BT502" s="117"/>
      <c r="BU502" s="117"/>
      <c r="BV502" s="117"/>
      <c r="BW502" s="117"/>
      <c r="BX502" s="117"/>
      <c r="BY502" s="117"/>
      <c r="BZ502" s="117"/>
      <c r="CA502" s="117"/>
    </row>
    <row r="503" spans="1:79" ht="12.75" hidden="1" customHeight="1">
      <c r="A503" s="117"/>
      <c r="B503" s="117"/>
      <c r="C503" s="645"/>
      <c r="D503" s="117"/>
      <c r="E503" s="117"/>
      <c r="F503" s="261" t="s">
        <v>2235</v>
      </c>
      <c r="G503" s="117"/>
      <c r="H503" s="117"/>
      <c r="I503" s="117"/>
      <c r="J503" s="117"/>
      <c r="K503" s="117"/>
      <c r="L503" s="117"/>
      <c r="M503" s="646"/>
      <c r="N503" s="646"/>
      <c r="O503" s="646"/>
      <c r="P503" s="646"/>
      <c r="Q503" s="76"/>
      <c r="R503" s="76"/>
      <c r="S503" s="76"/>
      <c r="T503" s="76"/>
      <c r="U503" s="76"/>
      <c r="V503" s="76"/>
      <c r="W503" s="76"/>
      <c r="X503" s="76"/>
      <c r="Y503" s="76"/>
      <c r="Z503" s="76"/>
      <c r="AA503" s="76"/>
      <c r="AB503" s="76"/>
      <c r="AC503" s="76"/>
      <c r="AD503" s="117"/>
      <c r="AE503" s="117"/>
      <c r="AF503" s="117"/>
      <c r="AG503" s="18"/>
      <c r="AH503" s="19"/>
      <c r="AI503" s="76"/>
      <c r="AJ503" s="76"/>
      <c r="AK503" s="612"/>
      <c r="AL503" s="117"/>
      <c r="AM503" s="117"/>
      <c r="AN503" s="424"/>
      <c r="AO503" s="117" t="s">
        <v>2237</v>
      </c>
      <c r="AP503" s="117">
        <v>2</v>
      </c>
      <c r="AQ503" s="117"/>
      <c r="AR503" s="117"/>
      <c r="AS503" s="117"/>
      <c r="AT503" s="117"/>
      <c r="AU503" s="117"/>
      <c r="AV503" s="117"/>
      <c r="AW503" s="117"/>
      <c r="AX503" s="117"/>
      <c r="AY503" s="117"/>
      <c r="AZ503" s="117"/>
      <c r="BA503" s="117"/>
      <c r="BB503" s="117"/>
      <c r="BC503" s="117"/>
      <c r="BD503" s="117"/>
      <c r="BE503" s="117"/>
      <c r="BF503" s="117"/>
      <c r="BG503" s="117"/>
      <c r="BH503" s="117"/>
      <c r="BI503" s="117"/>
      <c r="BJ503" s="117"/>
      <c r="BK503" s="117"/>
      <c r="BL503" s="117"/>
      <c r="BM503" s="117"/>
      <c r="BN503" s="117"/>
      <c r="BO503" s="117"/>
      <c r="BP503" s="117"/>
      <c r="BQ503" s="117"/>
      <c r="BR503" s="117"/>
      <c r="BS503" s="117"/>
      <c r="BT503" s="117"/>
      <c r="BU503" s="117"/>
      <c r="BV503" s="117"/>
      <c r="BW503" s="117"/>
      <c r="BX503" s="117"/>
      <c r="BY503" s="117"/>
      <c r="BZ503" s="117"/>
      <c r="CA503" s="117"/>
    </row>
    <row r="504" spans="1:79" ht="12.75" hidden="1" customHeight="1">
      <c r="A504" s="117"/>
      <c r="B504" s="117"/>
      <c r="C504" s="618"/>
      <c r="D504" s="1"/>
      <c r="E504" s="1"/>
      <c r="F504" s="261" t="s">
        <v>2238</v>
      </c>
      <c r="G504" s="117"/>
      <c r="H504" s="117"/>
      <c r="I504" s="117"/>
      <c r="J504" s="117"/>
      <c r="K504" s="117"/>
      <c r="L504" s="117"/>
      <c r="M504" s="646"/>
      <c r="N504" s="646"/>
      <c r="O504" s="646"/>
      <c r="P504" s="646"/>
      <c r="Q504" s="76"/>
      <c r="R504" s="76"/>
      <c r="S504" s="76"/>
      <c r="T504" s="76"/>
      <c r="U504" s="76"/>
      <c r="V504" s="76"/>
      <c r="W504" s="76"/>
      <c r="X504" s="76"/>
      <c r="Y504" s="76"/>
      <c r="Z504" s="76"/>
      <c r="AA504" s="76"/>
      <c r="AB504" s="76"/>
      <c r="AC504" s="76"/>
      <c r="AD504" s="117"/>
      <c r="AE504" s="117"/>
      <c r="AF504" s="117"/>
      <c r="AG504" s="18"/>
      <c r="AH504" s="19"/>
      <c r="AI504" s="76"/>
      <c r="AJ504" s="76"/>
      <c r="AK504" s="612"/>
      <c r="AL504" s="117"/>
      <c r="AM504" s="117"/>
      <c r="AN504" s="654"/>
      <c r="AO504" s="117" t="s">
        <v>2239</v>
      </c>
      <c r="AP504" s="117">
        <v>2</v>
      </c>
      <c r="AQ504" s="514"/>
      <c r="AR504" s="514"/>
      <c r="AS504" s="514"/>
      <c r="AT504" s="514"/>
      <c r="AU504" s="514"/>
      <c r="AV504" s="514"/>
      <c r="AW504" s="514"/>
      <c r="AX504" s="514"/>
      <c r="AY504" s="514"/>
      <c r="AZ504" s="514"/>
      <c r="BA504" s="514"/>
      <c r="BB504" s="514"/>
      <c r="BC504" s="514"/>
      <c r="BD504" s="514"/>
      <c r="BE504" s="514"/>
      <c r="BF504" s="514"/>
      <c r="BG504" s="514"/>
      <c r="BH504" s="514"/>
      <c r="BI504" s="514"/>
      <c r="BJ504" s="514"/>
      <c r="BK504" s="514"/>
      <c r="BL504" s="514"/>
      <c r="BM504" s="514"/>
      <c r="BN504" s="514"/>
      <c r="BO504" s="514"/>
      <c r="BP504" s="514"/>
      <c r="BQ504" s="514"/>
      <c r="BR504" s="514"/>
      <c r="BS504" s="514"/>
      <c r="BT504" s="514"/>
      <c r="BU504" s="514"/>
      <c r="BV504" s="514"/>
      <c r="BW504" s="514"/>
      <c r="BX504" s="514"/>
      <c r="BY504" s="514"/>
      <c r="BZ504" s="514"/>
      <c r="CA504" s="514"/>
    </row>
    <row r="505" spans="1:79" ht="12.75" hidden="1" customHeight="1">
      <c r="A505" s="117"/>
      <c r="B505" s="117"/>
      <c r="C505" s="657"/>
      <c r="D505" s="117"/>
      <c r="E505" s="117"/>
      <c r="F505" s="655" t="s">
        <v>2240</v>
      </c>
      <c r="G505" s="117"/>
      <c r="H505" s="117"/>
      <c r="I505" s="117"/>
      <c r="J505" s="117"/>
      <c r="K505" s="117"/>
      <c r="L505" s="117"/>
      <c r="M505" s="646"/>
      <c r="N505" s="646"/>
      <c r="O505" s="646"/>
      <c r="P505" s="646"/>
      <c r="Q505" s="76"/>
      <c r="R505" s="76"/>
      <c r="S505" s="76"/>
      <c r="T505" s="76"/>
      <c r="U505" s="76"/>
      <c r="V505" s="1412" t="s">
        <v>855</v>
      </c>
      <c r="W505" s="968"/>
      <c r="X505" s="969"/>
      <c r="Y505" s="76"/>
      <c r="Z505" s="76"/>
      <c r="AA505" s="76"/>
      <c r="AB505" s="76"/>
      <c r="AC505" s="76"/>
      <c r="AD505" s="117"/>
      <c r="AE505" s="117"/>
      <c r="AF505" s="117"/>
      <c r="AG505" s="18">
        <f>IF(AND($C$495="Yes",$V$498="N/A",$V$500="N/A", $V$509="N/A",$V$511="N/A"),(VLOOKUP($V$505,$AT$498:$AU$500,2,FALSE)),0)</f>
        <v>0</v>
      </c>
      <c r="AH505" s="19" t="s">
        <v>1902</v>
      </c>
      <c r="AI505" s="76"/>
      <c r="AJ505" s="76"/>
      <c r="AK505" s="612"/>
      <c r="AL505" s="117"/>
      <c r="AM505" s="117"/>
      <c r="AN505" s="267"/>
      <c r="AO505" s="117"/>
      <c r="AP505" s="117"/>
      <c r="AQ505" s="117"/>
      <c r="AR505" s="117"/>
      <c r="AS505" s="117"/>
      <c r="AT505" s="117"/>
      <c r="AU505" s="117"/>
      <c r="AV505" s="117"/>
      <c r="AW505" s="117"/>
      <c r="AX505" s="117"/>
      <c r="AY505" s="117"/>
      <c r="AZ505" s="117"/>
      <c r="BA505" s="117"/>
      <c r="BB505" s="117"/>
      <c r="BC505" s="117"/>
      <c r="BD505" s="117"/>
      <c r="BE505" s="117"/>
      <c r="BF505" s="117"/>
      <c r="BG505" s="117"/>
      <c r="BH505" s="117"/>
      <c r="BI505" s="117"/>
      <c r="BJ505" s="117"/>
      <c r="BK505" s="117"/>
      <c r="BL505" s="117"/>
      <c r="BM505" s="117"/>
      <c r="BN505" s="117"/>
      <c r="BO505" s="117"/>
      <c r="BP505" s="117"/>
      <c r="BQ505" s="117"/>
      <c r="BR505" s="117"/>
      <c r="BS505" s="117"/>
      <c r="BT505" s="117"/>
      <c r="BU505" s="117"/>
      <c r="BV505" s="117"/>
      <c r="BW505" s="117"/>
      <c r="BX505" s="117"/>
      <c r="BY505" s="117"/>
      <c r="BZ505" s="117"/>
      <c r="CA505" s="117"/>
    </row>
    <row r="506" spans="1:79" ht="12.75" hidden="1" customHeight="1">
      <c r="A506" s="117"/>
      <c r="B506" s="117"/>
      <c r="C506" s="645"/>
      <c r="D506" s="117"/>
      <c r="E506" s="117"/>
      <c r="F506" s="117"/>
      <c r="G506" s="117"/>
      <c r="H506" s="117"/>
      <c r="I506" s="117"/>
      <c r="J506" s="117"/>
      <c r="K506" s="117"/>
      <c r="L506" s="117"/>
      <c r="M506" s="646"/>
      <c r="N506" s="646"/>
      <c r="O506" s="646"/>
      <c r="P506" s="646"/>
      <c r="Q506" s="76"/>
      <c r="R506" s="76"/>
      <c r="S506" s="76"/>
      <c r="T506" s="76"/>
      <c r="U506" s="76"/>
      <c r="V506" s="76"/>
      <c r="W506" s="76"/>
      <c r="X506" s="76"/>
      <c r="Y506" s="76"/>
      <c r="Z506" s="76"/>
      <c r="AA506" s="76"/>
      <c r="AB506" s="76"/>
      <c r="AC506" s="76"/>
      <c r="AD506" s="117"/>
      <c r="AE506" s="117"/>
      <c r="AF506" s="117"/>
      <c r="AG506" s="117"/>
      <c r="AH506" s="117"/>
      <c r="AI506" s="117"/>
      <c r="AJ506" s="76"/>
      <c r="AK506" s="612"/>
      <c r="AL506" s="117"/>
      <c r="AM506" s="117"/>
      <c r="AN506" s="658"/>
      <c r="AO506" s="117"/>
      <c r="AP506" s="117"/>
      <c r="AQ506" s="117"/>
      <c r="AR506" s="117"/>
      <c r="AS506" s="117"/>
      <c r="AT506" s="117"/>
      <c r="AU506" s="117"/>
      <c r="AV506" s="117"/>
      <c r="AW506" s="117"/>
      <c r="AX506" s="117"/>
      <c r="AY506" s="117"/>
      <c r="AZ506" s="117"/>
      <c r="BA506" s="117"/>
      <c r="BB506" s="117"/>
      <c r="BC506" s="117"/>
      <c r="BD506" s="117"/>
      <c r="BE506" s="117"/>
      <c r="BF506" s="117"/>
      <c r="BG506" s="117"/>
      <c r="BH506" s="117"/>
      <c r="BI506" s="117"/>
      <c r="BJ506" s="117"/>
      <c r="BK506" s="117"/>
      <c r="BL506" s="117"/>
      <c r="BM506" s="117"/>
      <c r="BN506" s="117"/>
      <c r="BO506" s="117"/>
      <c r="BP506" s="117"/>
      <c r="BQ506" s="117"/>
      <c r="BR506" s="117"/>
      <c r="BS506" s="117"/>
      <c r="BT506" s="117"/>
      <c r="BU506" s="117"/>
      <c r="BV506" s="117"/>
      <c r="BW506" s="117"/>
      <c r="BX506" s="117"/>
      <c r="BY506" s="117"/>
      <c r="BZ506" s="117"/>
      <c r="CA506" s="117"/>
    </row>
    <row r="507" spans="1:79" ht="12.75" hidden="1" customHeight="1">
      <c r="A507" s="117"/>
      <c r="B507" s="117"/>
      <c r="C507" s="659" t="s">
        <v>2241</v>
      </c>
      <c r="D507" s="592"/>
      <c r="E507" s="592"/>
      <c r="F507" s="660" t="s">
        <v>2242</v>
      </c>
      <c r="G507" s="592"/>
      <c r="H507" s="592"/>
      <c r="I507" s="592"/>
      <c r="J507" s="592"/>
      <c r="K507" s="592"/>
      <c r="L507" s="592"/>
      <c r="M507" s="592"/>
      <c r="N507" s="592"/>
      <c r="O507" s="592"/>
      <c r="P507" s="592"/>
      <c r="Q507" s="592"/>
      <c r="R507" s="592"/>
      <c r="S507" s="592"/>
      <c r="T507" s="592"/>
      <c r="U507" s="592"/>
      <c r="V507" s="592"/>
      <c r="W507" s="592"/>
      <c r="X507" s="592"/>
      <c r="Y507" s="592"/>
      <c r="Z507" s="592"/>
      <c r="AA507" s="592"/>
      <c r="AB507" s="592"/>
      <c r="AC507" s="592"/>
      <c r="AD507" s="592"/>
      <c r="AE507" s="592"/>
      <c r="AF507" s="592"/>
      <c r="AG507" s="592"/>
      <c r="AH507" s="592"/>
      <c r="AI507" s="592"/>
      <c r="AJ507" s="592"/>
      <c r="AK507" s="622"/>
      <c r="AL507" s="117"/>
      <c r="AM507" s="117"/>
      <c r="AN507" s="421"/>
      <c r="AO507" s="117" t="s">
        <v>855</v>
      </c>
      <c r="AP507" s="117">
        <v>0</v>
      </c>
      <c r="AQ507" s="8"/>
      <c r="AR507" s="514"/>
      <c r="AS507" s="514"/>
      <c r="AT507" s="514"/>
      <c r="AU507" s="514"/>
      <c r="AV507" s="514"/>
      <c r="AW507" s="514"/>
      <c r="AX507" s="514"/>
      <c r="AY507" s="514"/>
      <c r="AZ507" s="514"/>
      <c r="BA507" s="514"/>
      <c r="BB507" s="514"/>
      <c r="BC507" s="514"/>
      <c r="BD507" s="514"/>
      <c r="BE507" s="514"/>
      <c r="BF507" s="514"/>
      <c r="BG507" s="514"/>
      <c r="BH507" s="514"/>
      <c r="BI507" s="514"/>
      <c r="BJ507" s="514"/>
      <c r="BK507" s="514"/>
      <c r="BL507" s="514"/>
      <c r="BM507" s="514"/>
      <c r="BN507" s="514"/>
      <c r="BO507" s="514"/>
      <c r="BP507" s="514"/>
      <c r="BQ507" s="514"/>
      <c r="BR507" s="514"/>
      <c r="BS507" s="514"/>
      <c r="BT507" s="514"/>
      <c r="BU507" s="514"/>
      <c r="BV507" s="514"/>
      <c r="BW507" s="514"/>
      <c r="BX507" s="514"/>
      <c r="BY507" s="514"/>
      <c r="BZ507" s="514"/>
      <c r="CA507" s="514"/>
    </row>
    <row r="508" spans="1:79" ht="12.75" hidden="1" customHeight="1">
      <c r="A508" s="117"/>
      <c r="B508" s="117"/>
      <c r="C508" s="597"/>
      <c r="D508" s="981"/>
      <c r="E508" s="893"/>
      <c r="F508" s="119" t="s">
        <v>2243</v>
      </c>
      <c r="G508" s="514"/>
      <c r="H508" s="514"/>
      <c r="I508" s="117"/>
      <c r="J508" s="117"/>
      <c r="K508" s="117"/>
      <c r="L508" s="117"/>
      <c r="M508" s="117"/>
      <c r="N508" s="117"/>
      <c r="O508" s="117"/>
      <c r="P508" s="117"/>
      <c r="Q508" s="117"/>
      <c r="R508" s="117"/>
      <c r="S508" s="117"/>
      <c r="T508" s="117"/>
      <c r="U508" s="117"/>
      <c r="V508" s="514"/>
      <c r="W508" s="514"/>
      <c r="X508" s="514"/>
      <c r="Y508" s="117"/>
      <c r="Z508" s="117"/>
      <c r="AA508" s="117"/>
      <c r="AB508" s="117"/>
      <c r="AC508" s="117"/>
      <c r="AD508" s="117"/>
      <c r="AE508" s="117"/>
      <c r="AF508" s="117"/>
      <c r="AG508" s="514"/>
      <c r="AH508" s="514"/>
      <c r="AI508" s="514"/>
      <c r="AJ508" s="514"/>
      <c r="AK508" s="612"/>
      <c r="AL508" s="117"/>
      <c r="AM508" s="117"/>
      <c r="AN508" s="421"/>
      <c r="AO508" s="117" t="s">
        <v>2244</v>
      </c>
      <c r="AP508" s="521">
        <v>5</v>
      </c>
      <c r="AQ508" s="8"/>
      <c r="AR508" s="514"/>
      <c r="AS508" s="514"/>
      <c r="AT508" s="514"/>
      <c r="AU508" s="514"/>
      <c r="AV508" s="514"/>
      <c r="AW508" s="514"/>
      <c r="AX508" s="514"/>
      <c r="AY508" s="514"/>
      <c r="AZ508" s="514"/>
      <c r="BA508" s="514"/>
      <c r="BB508" s="514"/>
      <c r="BC508" s="514"/>
      <c r="BD508" s="514"/>
      <c r="BE508" s="514"/>
      <c r="BF508" s="514"/>
      <c r="BG508" s="514"/>
      <c r="BH508" s="514"/>
      <c r="BI508" s="514"/>
      <c r="BJ508" s="514"/>
      <c r="BK508" s="514"/>
      <c r="BL508" s="514"/>
      <c r="BM508" s="514"/>
      <c r="BN508" s="514"/>
      <c r="BO508" s="514"/>
      <c r="BP508" s="514"/>
      <c r="BQ508" s="514"/>
      <c r="BR508" s="514"/>
      <c r="BS508" s="514"/>
      <c r="BT508" s="514"/>
      <c r="BU508" s="514"/>
      <c r="BV508" s="514"/>
      <c r="BW508" s="514"/>
      <c r="BX508" s="514"/>
      <c r="BY508" s="514"/>
      <c r="BZ508" s="514"/>
      <c r="CA508" s="514"/>
    </row>
    <row r="509" spans="1:79" ht="12.75" hidden="1" customHeight="1">
      <c r="A509" s="63"/>
      <c r="B509" s="117"/>
      <c r="C509" s="645"/>
      <c r="D509" s="117"/>
      <c r="E509" s="117"/>
      <c r="F509" s="661" t="s">
        <v>2230</v>
      </c>
      <c r="G509" s="117"/>
      <c r="H509" s="117"/>
      <c r="I509" s="117"/>
      <c r="J509" s="117"/>
      <c r="K509" s="117"/>
      <c r="L509" s="117"/>
      <c r="M509" s="117"/>
      <c r="N509" s="117"/>
      <c r="O509" s="117"/>
      <c r="P509" s="117"/>
      <c r="Q509" s="117"/>
      <c r="R509" s="117"/>
      <c r="S509" s="117"/>
      <c r="T509" s="117"/>
      <c r="U509" s="117"/>
      <c r="V509" s="1412" t="s">
        <v>855</v>
      </c>
      <c r="W509" s="968"/>
      <c r="X509" s="969"/>
      <c r="Y509" s="117"/>
      <c r="Z509" s="117"/>
      <c r="AA509" s="117"/>
      <c r="AB509" s="117"/>
      <c r="AC509" s="117"/>
      <c r="AD509" s="117"/>
      <c r="AE509" s="117"/>
      <c r="AF509" s="117"/>
      <c r="AG509" s="18">
        <f>IF(AND($C$495="Yes",$V$498="N/A",V500="N/A",$V$505="N/A",$V$511="N/A"),(VLOOKUP($V$509,$BB$494:$BC$497,2,FALSE)),0)</f>
        <v>0</v>
      </c>
      <c r="AH509" s="19" t="s">
        <v>1902</v>
      </c>
      <c r="AI509" s="76"/>
      <c r="AJ509" s="117"/>
      <c r="AK509" s="612"/>
      <c r="AL509" s="117"/>
      <c r="AM509" s="117"/>
      <c r="AN509" s="267"/>
      <c r="AO509" s="117" t="s">
        <v>2245</v>
      </c>
      <c r="AP509" s="117">
        <v>5</v>
      </c>
      <c r="AQ509" s="1"/>
      <c r="AR509" s="1"/>
      <c r="AS509" s="117"/>
      <c r="AT509" s="117"/>
      <c r="AU509" s="117"/>
      <c r="AV509" s="117"/>
      <c r="AW509" s="117"/>
      <c r="AX509" s="117"/>
      <c r="AY509" s="117"/>
      <c r="AZ509" s="117"/>
      <c r="BA509" s="117"/>
      <c r="BB509" s="117"/>
      <c r="BC509" s="1"/>
      <c r="BD509" s="1"/>
      <c r="BE509" s="1"/>
      <c r="BF509" s="1"/>
      <c r="BG509" s="1"/>
      <c r="BH509" s="1"/>
      <c r="BI509" s="1"/>
      <c r="BJ509" s="1"/>
      <c r="BK509" s="1"/>
      <c r="BL509" s="1"/>
      <c r="BM509" s="1"/>
      <c r="BN509" s="1"/>
      <c r="BO509" s="117"/>
      <c r="BP509" s="117"/>
      <c r="BQ509" s="117"/>
      <c r="BR509" s="117"/>
      <c r="BS509" s="117"/>
      <c r="BT509" s="117"/>
      <c r="BU509" s="117"/>
      <c r="BV509" s="117"/>
      <c r="BW509" s="117"/>
      <c r="BX509" s="117"/>
      <c r="BY509" s="117"/>
      <c r="BZ509" s="117"/>
      <c r="CA509" s="117"/>
    </row>
    <row r="510" spans="1:79" ht="12.75" hidden="1" customHeight="1">
      <c r="A510" s="63"/>
      <c r="B510" s="117"/>
      <c r="C510" s="645"/>
      <c r="D510" s="117"/>
      <c r="E510" s="117"/>
      <c r="F510" s="1"/>
      <c r="G510" s="1"/>
      <c r="H510" s="1"/>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
      <c r="AH510" s="1"/>
      <c r="AI510" s="1"/>
      <c r="AJ510" s="1"/>
      <c r="AK510" s="612"/>
      <c r="AL510" s="117"/>
      <c r="AM510" s="117"/>
      <c r="AN510" s="267"/>
      <c r="AO510" s="117" t="s">
        <v>2246</v>
      </c>
      <c r="AP510" s="117">
        <v>5</v>
      </c>
      <c r="AQ510" s="1"/>
      <c r="AR510" s="1"/>
      <c r="AS510" s="117"/>
      <c r="AT510" s="117"/>
      <c r="AU510" s="117"/>
      <c r="AV510" s="117"/>
      <c r="AW510" s="117"/>
      <c r="AX510" s="117"/>
      <c r="AY510" s="117"/>
      <c r="AZ510" s="117"/>
      <c r="BA510" s="117"/>
      <c r="BB510" s="117"/>
      <c r="BC510" s="117"/>
      <c r="BD510" s="117"/>
      <c r="BE510" s="117"/>
      <c r="BF510" s="117"/>
      <c r="BG510" s="117"/>
      <c r="BH510" s="117"/>
      <c r="BI510" s="117"/>
      <c r="BJ510" s="117"/>
      <c r="BK510" s="117"/>
      <c r="BL510" s="117"/>
      <c r="BM510" s="117"/>
      <c r="BN510" s="117"/>
      <c r="BO510" s="117"/>
      <c r="BP510" s="117"/>
      <c r="BQ510" s="117"/>
      <c r="BR510" s="117"/>
      <c r="BS510" s="117"/>
      <c r="BT510" s="117"/>
      <c r="BU510" s="117"/>
      <c r="BV510" s="117"/>
      <c r="BW510" s="117"/>
      <c r="BX510" s="117"/>
      <c r="BY510" s="117"/>
      <c r="BZ510" s="117"/>
      <c r="CA510" s="117"/>
    </row>
    <row r="511" spans="1:79" ht="12.75" hidden="1" customHeight="1">
      <c r="A511" s="63"/>
      <c r="B511" s="117"/>
      <c r="C511" s="647"/>
      <c r="D511" s="609"/>
      <c r="E511" s="609"/>
      <c r="F511" s="655" t="s">
        <v>2232</v>
      </c>
      <c r="G511" s="453"/>
      <c r="H511" s="453"/>
      <c r="I511" s="609"/>
      <c r="J511" s="609"/>
      <c r="K511" s="609"/>
      <c r="L511" s="609"/>
      <c r="M511" s="609"/>
      <c r="N511" s="609"/>
      <c r="O511" s="609"/>
      <c r="P511" s="609"/>
      <c r="Q511" s="609"/>
      <c r="R511" s="609"/>
      <c r="S511" s="609"/>
      <c r="T511" s="609"/>
      <c r="U511" s="609"/>
      <c r="V511" s="1412" t="s">
        <v>855</v>
      </c>
      <c r="W511" s="968"/>
      <c r="X511" s="969"/>
      <c r="Y511" s="609"/>
      <c r="Z511" s="609"/>
      <c r="AA511" s="609"/>
      <c r="AB511" s="609"/>
      <c r="AC511" s="609"/>
      <c r="AD511" s="609"/>
      <c r="AE511" s="609"/>
      <c r="AF511" s="609"/>
      <c r="AG511" s="662">
        <f>IF(AND($C$495="Yes",$V$498="N/A",$V$500="N/A",$V$505="N/A",$V$509="N/A"),(VLOOKUP($V$511,$BF$494:$BG$496,2,FALSE)),0)</f>
        <v>0</v>
      </c>
      <c r="AH511" s="650" t="s">
        <v>1902</v>
      </c>
      <c r="AI511" s="609"/>
      <c r="AJ511" s="609"/>
      <c r="AK511" s="616"/>
      <c r="AL511" s="117"/>
      <c r="AM511" s="117"/>
      <c r="AN511" s="664"/>
      <c r="AO511" s="8"/>
      <c r="AP511" s="514"/>
      <c r="AQ511" s="514"/>
      <c r="AR511" s="514"/>
      <c r="AS511" s="514"/>
      <c r="AT511" s="514"/>
      <c r="AU511" s="514"/>
      <c r="AV511" s="514"/>
      <c r="AW511" s="514"/>
      <c r="AX511" s="514"/>
      <c r="AY511" s="514"/>
      <c r="AZ511" s="514"/>
      <c r="BA511" s="514"/>
      <c r="BB511" s="514"/>
      <c r="BC511" s="514"/>
      <c r="BD511" s="8"/>
      <c r="BE511" s="514"/>
      <c r="BF511" s="514"/>
      <c r="BG511" s="514"/>
      <c r="BH511" s="514"/>
      <c r="BI511" s="514"/>
      <c r="BJ511" s="514"/>
      <c r="BK511" s="514"/>
      <c r="BL511" s="514"/>
      <c r="BM511" s="514"/>
      <c r="BN511" s="514"/>
      <c r="BO511" s="514"/>
      <c r="BP511" s="514"/>
      <c r="BQ511" s="514"/>
      <c r="BR511" s="514"/>
      <c r="BS511" s="8"/>
      <c r="BT511" s="8"/>
      <c r="BU511" s="8"/>
      <c r="BV511" s="8"/>
      <c r="BW511" s="8"/>
      <c r="BX511" s="8"/>
      <c r="BY511" s="8"/>
      <c r="BZ511" s="8"/>
      <c r="CA511" s="8"/>
    </row>
    <row r="512" spans="1:79" ht="12.75" hidden="1" customHeight="1">
      <c r="A512" s="63"/>
      <c r="B512" s="117"/>
      <c r="C512" s="76"/>
      <c r="D512" s="117"/>
      <c r="E512" s="646"/>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c r="AL512" s="117"/>
      <c r="AM512" s="117"/>
      <c r="AN512" s="664"/>
      <c r="AO512" s="665"/>
      <c r="AP512" s="117"/>
      <c r="AQ512" s="117"/>
      <c r="AR512" s="117"/>
      <c r="AS512" s="117"/>
      <c r="AT512" s="117"/>
      <c r="AU512" s="666"/>
      <c r="AV512" s="666"/>
      <c r="AW512" s="666"/>
      <c r="AX512" s="666"/>
      <c r="AY512" s="666"/>
      <c r="AZ512" s="666"/>
      <c r="BA512" s="666"/>
      <c r="BB512" s="514"/>
      <c r="BC512" s="514"/>
      <c r="BD512" s="8"/>
      <c r="BE512" s="117"/>
      <c r="BF512" s="117"/>
      <c r="BG512" s="117"/>
      <c r="BH512" s="117"/>
      <c r="BI512" s="117"/>
      <c r="BJ512" s="666"/>
      <c r="BK512" s="666"/>
      <c r="BL512" s="666"/>
      <c r="BM512" s="666"/>
      <c r="BN512" s="666"/>
      <c r="BO512" s="666"/>
      <c r="BP512" s="666"/>
      <c r="BQ512" s="514"/>
      <c r="BR512" s="117"/>
      <c r="BS512" s="8"/>
      <c r="BT512" s="8"/>
      <c r="BU512" s="8"/>
      <c r="BV512" s="8"/>
      <c r="BW512" s="8"/>
      <c r="BX512" s="8"/>
      <c r="BY512" s="8"/>
      <c r="BZ512" s="8"/>
      <c r="CA512" s="8"/>
    </row>
    <row r="513" spans="1:79" ht="12.75" hidden="1" customHeight="1">
      <c r="A513" s="63"/>
      <c r="B513" s="117"/>
      <c r="C513" s="86" t="s">
        <v>2248</v>
      </c>
      <c r="D513" s="117"/>
      <c r="E513" s="646"/>
      <c r="F513" s="76"/>
      <c r="G513" s="76"/>
      <c r="H513" s="76"/>
      <c r="I513" s="76"/>
      <c r="J513" s="76"/>
      <c r="K513" s="76"/>
      <c r="L513" s="76"/>
      <c r="M513" s="76"/>
      <c r="N513" s="76"/>
      <c r="O513" s="76"/>
      <c r="P513" s="76"/>
      <c r="Q513" s="76"/>
      <c r="R513" s="76"/>
      <c r="S513" s="76"/>
      <c r="T513" s="76"/>
      <c r="U513" s="76"/>
      <c r="V513" s="76"/>
      <c r="W513" s="76"/>
      <c r="X513" s="76"/>
      <c r="Y513" s="76"/>
      <c r="Z513" s="76"/>
      <c r="AA513" s="76"/>
      <c r="AB513" s="76"/>
      <c r="AC513" s="76"/>
      <c r="AD513" s="117"/>
      <c r="AE513" s="117"/>
      <c r="AF513" s="117"/>
      <c r="AG513" s="76"/>
      <c r="AH513" s="76"/>
      <c r="AI513" s="76"/>
      <c r="AJ513" s="76"/>
      <c r="AK513" s="117"/>
      <c r="AL513" s="117"/>
      <c r="AM513" s="117"/>
      <c r="AN513" s="664"/>
      <c r="AO513" s="665"/>
      <c r="AP513" s="117"/>
      <c r="AQ513" s="117"/>
      <c r="AR513" s="117"/>
      <c r="AS513" s="117"/>
      <c r="AT513" s="117"/>
      <c r="AU513" s="666"/>
      <c r="AV513" s="666"/>
      <c r="AW513" s="666"/>
      <c r="AX513" s="666"/>
      <c r="AY513" s="666"/>
      <c r="AZ513" s="666"/>
      <c r="BA513" s="666"/>
      <c r="BB513" s="514"/>
      <c r="BC513" s="514"/>
      <c r="BD513" s="8"/>
      <c r="BE513" s="117"/>
      <c r="BF513" s="117"/>
      <c r="BG513" s="117"/>
      <c r="BH513" s="117"/>
      <c r="BI513" s="117"/>
      <c r="BJ513" s="666"/>
      <c r="BK513" s="666"/>
      <c r="BL513" s="666"/>
      <c r="BM513" s="666"/>
      <c r="BN513" s="666"/>
      <c r="BO513" s="666"/>
      <c r="BP513" s="666"/>
      <c r="BQ513" s="514"/>
      <c r="BR513" s="117"/>
      <c r="BS513" s="8"/>
      <c r="BT513" s="8"/>
      <c r="BU513" s="8"/>
      <c r="BV513" s="8"/>
      <c r="BW513" s="8"/>
      <c r="BX513" s="8"/>
      <c r="BY513" s="8"/>
      <c r="BZ513" s="8"/>
      <c r="CA513" s="8"/>
    </row>
    <row r="514" spans="1:79" ht="12.75" hidden="1" customHeight="1">
      <c r="A514" s="63"/>
      <c r="B514" s="117"/>
      <c r="C514" s="1407" t="s">
        <v>855</v>
      </c>
      <c r="D514" s="1408"/>
      <c r="E514" s="643" t="s">
        <v>84</v>
      </c>
      <c r="F514" s="1409" t="s">
        <v>2218</v>
      </c>
      <c r="G514" s="1384"/>
      <c r="H514" s="1384"/>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592"/>
      <c r="AG514" s="595"/>
      <c r="AH514" s="595"/>
      <c r="AI514" s="595"/>
      <c r="AJ514" s="595"/>
      <c r="AK514" s="622"/>
      <c r="AL514" s="117"/>
      <c r="AM514" s="117"/>
      <c r="AN514" s="345"/>
      <c r="AO514" s="203"/>
      <c r="AP514" s="117"/>
      <c r="AQ514" s="117"/>
      <c r="AR514" s="117"/>
      <c r="AS514" s="117"/>
      <c r="AT514" s="117"/>
      <c r="AU514" s="586"/>
      <c r="AV514" s="586"/>
      <c r="AW514" s="586"/>
      <c r="AX514" s="586"/>
      <c r="AY514" s="586"/>
      <c r="AZ514" s="586"/>
      <c r="BA514" s="586"/>
      <c r="BB514" s="117"/>
      <c r="BC514" s="117"/>
      <c r="BD514" s="1"/>
      <c r="BE514" s="117"/>
      <c r="BF514" s="117"/>
      <c r="BG514" s="117"/>
      <c r="BH514" s="117"/>
      <c r="BI514" s="117"/>
      <c r="BJ514" s="586"/>
      <c r="BK514" s="586"/>
      <c r="BL514" s="586"/>
      <c r="BM514" s="586"/>
      <c r="BN514" s="586"/>
      <c r="BO514" s="586"/>
      <c r="BP514" s="586"/>
      <c r="BQ514" s="117"/>
      <c r="BR514" s="117"/>
      <c r="BS514" s="1"/>
      <c r="BT514" s="1"/>
      <c r="BU514" s="1"/>
      <c r="BV514" s="1"/>
      <c r="BW514" s="1"/>
      <c r="BX514" s="1"/>
      <c r="BY514" s="1"/>
      <c r="BZ514" s="1"/>
      <c r="CA514" s="1"/>
    </row>
    <row r="515" spans="1:79" ht="12.75" hidden="1" customHeight="1">
      <c r="A515" s="63"/>
      <c r="B515" s="117"/>
      <c r="C515" s="645"/>
      <c r="D515" s="117"/>
      <c r="E515" s="646"/>
      <c r="F515" s="893"/>
      <c r="G515" s="893"/>
      <c r="H515" s="893"/>
      <c r="I515" s="893"/>
      <c r="J515" s="893"/>
      <c r="K515" s="893"/>
      <c r="L515" s="893"/>
      <c r="M515" s="893"/>
      <c r="N515" s="893"/>
      <c r="O515" s="893"/>
      <c r="P515" s="893"/>
      <c r="Q515" s="893"/>
      <c r="R515" s="893"/>
      <c r="S515" s="893"/>
      <c r="T515" s="893"/>
      <c r="U515" s="893"/>
      <c r="V515" s="893"/>
      <c r="W515" s="893"/>
      <c r="X515" s="893"/>
      <c r="Y515" s="893"/>
      <c r="Z515" s="893"/>
      <c r="AA515" s="893"/>
      <c r="AB515" s="893"/>
      <c r="AC515" s="893"/>
      <c r="AD515" s="893"/>
      <c r="AE515" s="893"/>
      <c r="AF515" s="117"/>
      <c r="AG515" s="76"/>
      <c r="AH515" s="76"/>
      <c r="AI515" s="76"/>
      <c r="AJ515" s="76"/>
      <c r="AK515" s="612"/>
      <c r="AL515" s="117"/>
      <c r="AM515" s="117"/>
      <c r="AN515" s="345"/>
      <c r="AO515" s="203"/>
      <c r="AP515" s="667"/>
      <c r="AQ515" s="667"/>
      <c r="AR515" s="667"/>
      <c r="AS515" s="63"/>
      <c r="AT515" s="117"/>
      <c r="AU515" s="668"/>
      <c r="AV515" s="668"/>
      <c r="AW515" s="668"/>
      <c r="AX515" s="668"/>
      <c r="AY515" s="668"/>
      <c r="AZ515" s="668"/>
      <c r="BA515" s="668"/>
      <c r="BB515" s="1"/>
      <c r="BC515" s="1"/>
      <c r="BD515" s="1"/>
      <c r="BE515" s="667"/>
      <c r="BF515" s="667"/>
      <c r="BG515" s="667"/>
      <c r="BH515" s="63"/>
      <c r="BI515" s="117"/>
      <c r="BJ515" s="669"/>
      <c r="BK515" s="668"/>
      <c r="BL515" s="668"/>
      <c r="BM515" s="668"/>
      <c r="BN515" s="668"/>
      <c r="BO515" s="668"/>
      <c r="BP515" s="668"/>
      <c r="BQ515" s="1"/>
      <c r="BR515" s="117"/>
      <c r="BS515" s="1"/>
      <c r="BT515" s="1"/>
      <c r="BU515" s="1"/>
      <c r="BV515" s="1"/>
      <c r="BW515" s="1"/>
      <c r="BX515" s="1"/>
      <c r="BY515" s="1"/>
      <c r="BZ515" s="1"/>
      <c r="CA515" s="1"/>
    </row>
    <row r="516" spans="1:79" ht="12.75" hidden="1" customHeight="1">
      <c r="A516" s="63"/>
      <c r="B516" s="117"/>
      <c r="C516" s="647"/>
      <c r="D516" s="609"/>
      <c r="E516" s="648"/>
      <c r="F516" s="1413" t="s">
        <v>855</v>
      </c>
      <c r="G516" s="1414"/>
      <c r="H516" s="1414"/>
      <c r="I516" s="1414"/>
      <c r="J516" s="1414"/>
      <c r="K516" s="1414"/>
      <c r="L516" s="1414"/>
      <c r="M516" s="1414"/>
      <c r="N516" s="1414"/>
      <c r="O516" s="1414"/>
      <c r="P516" s="1414"/>
      <c r="Q516" s="1414"/>
      <c r="R516" s="1414"/>
      <c r="S516" s="1414"/>
      <c r="T516" s="1414"/>
      <c r="U516" s="1414"/>
      <c r="V516" s="1414"/>
      <c r="W516" s="1414"/>
      <c r="X516" s="1414"/>
      <c r="Y516" s="1414"/>
      <c r="Z516" s="1415"/>
      <c r="AA516" s="453"/>
      <c r="AB516" s="553"/>
      <c r="AC516" s="553"/>
      <c r="AD516" s="609"/>
      <c r="AE516" s="609"/>
      <c r="AF516" s="609"/>
      <c r="AG516" s="649">
        <f>IF($C$514="Yes",(VLOOKUP($F$516,$AO$484:$AP$492,2,FALSE)),0)</f>
        <v>0</v>
      </c>
      <c r="AH516" s="650" t="s">
        <v>1902</v>
      </c>
      <c r="AI516" s="649"/>
      <c r="AJ516" s="553"/>
      <c r="AK516" s="616"/>
      <c r="AL516" s="117"/>
      <c r="AM516" s="117"/>
      <c r="AN516" s="345"/>
      <c r="AO516" s="203"/>
      <c r="AP516" s="667"/>
      <c r="AQ516" s="667"/>
      <c r="AR516" s="667"/>
      <c r="AS516" s="63"/>
      <c r="AT516" s="117"/>
      <c r="AU516" s="668"/>
      <c r="AV516" s="668"/>
      <c r="AW516" s="668"/>
      <c r="AX516" s="668"/>
      <c r="AY516" s="668"/>
      <c r="AZ516" s="668"/>
      <c r="BA516" s="668"/>
      <c r="BB516" s="1"/>
      <c r="BC516" s="1"/>
      <c r="BD516" s="1"/>
      <c r="BE516" s="667"/>
      <c r="BF516" s="667"/>
      <c r="BG516" s="667"/>
      <c r="BH516" s="63"/>
      <c r="BI516" s="117"/>
      <c r="BJ516" s="669"/>
      <c r="BK516" s="668"/>
      <c r="BL516" s="668"/>
      <c r="BM516" s="668"/>
      <c r="BN516" s="668"/>
      <c r="BO516" s="668"/>
      <c r="BP516" s="668"/>
      <c r="BQ516" s="1"/>
      <c r="BR516" s="117"/>
      <c r="BS516" s="1"/>
      <c r="BT516" s="1"/>
      <c r="BU516" s="1"/>
      <c r="BV516" s="1"/>
      <c r="BW516" s="1"/>
      <c r="BX516" s="1"/>
      <c r="BY516" s="1"/>
      <c r="BZ516" s="1"/>
      <c r="CA516" s="1"/>
    </row>
    <row r="517" spans="1:79" ht="12.75" hidden="1" customHeight="1">
      <c r="A517" s="63"/>
      <c r="B517" s="117"/>
      <c r="C517" s="86"/>
      <c r="D517" s="117"/>
      <c r="E517" s="646"/>
      <c r="F517" s="76"/>
      <c r="G517" s="76"/>
      <c r="H517" s="76"/>
      <c r="I517" s="76"/>
      <c r="J517" s="76"/>
      <c r="K517" s="76"/>
      <c r="L517" s="76"/>
      <c r="M517" s="76"/>
      <c r="N517" s="76"/>
      <c r="O517" s="76"/>
      <c r="P517" s="76"/>
      <c r="Q517" s="76"/>
      <c r="R517" s="76"/>
      <c r="S517" s="76"/>
      <c r="T517" s="76"/>
      <c r="U517" s="76"/>
      <c r="V517" s="76"/>
      <c r="W517" s="76"/>
      <c r="X517" s="76"/>
      <c r="Y517" s="76"/>
      <c r="Z517" s="76"/>
      <c r="AA517" s="76"/>
      <c r="AB517" s="76"/>
      <c r="AC517" s="76"/>
      <c r="AD517" s="117"/>
      <c r="AE517" s="117"/>
      <c r="AF517" s="117"/>
      <c r="AG517" s="76"/>
      <c r="AH517" s="76"/>
      <c r="AI517" s="76"/>
      <c r="AJ517" s="76"/>
      <c r="AK517" s="117"/>
      <c r="AL517" s="117"/>
      <c r="AM517" s="117"/>
      <c r="AN517" s="345"/>
      <c r="AO517" s="203"/>
      <c r="AP517" s="667"/>
      <c r="AQ517" s="667"/>
      <c r="AR517" s="667"/>
      <c r="AS517" s="63"/>
      <c r="AT517" s="117"/>
      <c r="AU517" s="668"/>
      <c r="AV517" s="668"/>
      <c r="AW517" s="668"/>
      <c r="AX517" s="668"/>
      <c r="AY517" s="668"/>
      <c r="AZ517" s="668"/>
      <c r="BA517" s="668"/>
      <c r="BB517" s="1"/>
      <c r="BC517" s="1"/>
      <c r="BD517" s="1"/>
      <c r="BE517" s="667"/>
      <c r="BF517" s="667"/>
      <c r="BG517" s="667"/>
      <c r="BH517" s="63"/>
      <c r="BI517" s="117"/>
      <c r="BJ517" s="669"/>
      <c r="BK517" s="668"/>
      <c r="BL517" s="668"/>
      <c r="BM517" s="668"/>
      <c r="BN517" s="668"/>
      <c r="BO517" s="668"/>
      <c r="BP517" s="668"/>
      <c r="BQ517" s="1"/>
      <c r="BR517" s="117"/>
      <c r="BS517" s="1"/>
      <c r="BT517" s="1"/>
      <c r="BU517" s="1"/>
      <c r="BV517" s="1"/>
      <c r="BW517" s="1"/>
      <c r="BX517" s="1"/>
      <c r="BY517" s="1"/>
      <c r="BZ517" s="1"/>
      <c r="CA517" s="1"/>
    </row>
    <row r="518" spans="1:79" ht="12.75" hidden="1" customHeight="1">
      <c r="A518" s="117"/>
      <c r="B518" s="117"/>
      <c r="C518" s="1407" t="s">
        <v>855</v>
      </c>
      <c r="D518" s="1408"/>
      <c r="E518" s="643" t="s">
        <v>86</v>
      </c>
      <c r="F518" s="1416" t="s">
        <v>2251</v>
      </c>
      <c r="G518" s="1384"/>
      <c r="H518" s="1384"/>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592"/>
      <c r="AG518" s="543"/>
      <c r="AH518" s="543"/>
      <c r="AI518" s="543"/>
      <c r="AJ518" s="543"/>
      <c r="AK518" s="622"/>
      <c r="AL518" s="117"/>
      <c r="AM518" s="117"/>
      <c r="AN518" s="345"/>
      <c r="AO518" s="203"/>
      <c r="AP518" s="667"/>
      <c r="AQ518" s="667"/>
      <c r="AR518" s="667"/>
      <c r="AS518" s="63"/>
      <c r="AT518" s="117"/>
      <c r="AU518" s="668"/>
      <c r="AV518" s="668"/>
      <c r="AW518" s="668"/>
      <c r="AX518" s="668"/>
      <c r="AY518" s="668"/>
      <c r="AZ518" s="668"/>
      <c r="BA518" s="668"/>
      <c r="BB518" s="1"/>
      <c r="BC518" s="1"/>
      <c r="BD518" s="1"/>
      <c r="BE518" s="667"/>
      <c r="BF518" s="667"/>
      <c r="BG518" s="667"/>
      <c r="BH518" s="63"/>
      <c r="BI518" s="117"/>
      <c r="BJ518" s="669"/>
      <c r="BK518" s="668"/>
      <c r="BL518" s="668"/>
      <c r="BM518" s="668"/>
      <c r="BN518" s="668"/>
      <c r="BO518" s="668"/>
      <c r="BP518" s="668"/>
      <c r="BQ518" s="1"/>
      <c r="BR518" s="117"/>
      <c r="BS518" s="1"/>
      <c r="BT518" s="1"/>
      <c r="BU518" s="1"/>
      <c r="BV518" s="1"/>
      <c r="BW518" s="1"/>
      <c r="BX518" s="1"/>
      <c r="BY518" s="1"/>
      <c r="BZ518" s="1"/>
      <c r="CA518" s="1"/>
    </row>
    <row r="519" spans="1:79" ht="12.75" hidden="1" customHeight="1">
      <c r="A519" s="117"/>
      <c r="B519" s="117"/>
      <c r="C519" s="645"/>
      <c r="D519" s="117"/>
      <c r="E519" s="646"/>
      <c r="F519" s="893"/>
      <c r="G519" s="893"/>
      <c r="H519" s="893"/>
      <c r="I519" s="893"/>
      <c r="J519" s="893"/>
      <c r="K519" s="893"/>
      <c r="L519" s="893"/>
      <c r="M519" s="893"/>
      <c r="N519" s="893"/>
      <c r="O519" s="893"/>
      <c r="P519" s="893"/>
      <c r="Q519" s="893"/>
      <c r="R519" s="893"/>
      <c r="S519" s="893"/>
      <c r="T519" s="893"/>
      <c r="U519" s="893"/>
      <c r="V519" s="893"/>
      <c r="W519" s="893"/>
      <c r="X519" s="893"/>
      <c r="Y519" s="893"/>
      <c r="Z519" s="893"/>
      <c r="AA519" s="893"/>
      <c r="AB519" s="893"/>
      <c r="AC519" s="893"/>
      <c r="AD519" s="893"/>
      <c r="AE519" s="893"/>
      <c r="AF519" s="117"/>
      <c r="AG519" s="76"/>
      <c r="AH519" s="76"/>
      <c r="AI519" s="76"/>
      <c r="AJ519" s="76"/>
      <c r="AK519" s="612"/>
      <c r="AL519" s="117"/>
      <c r="AM519" s="117"/>
      <c r="AN519" s="345"/>
      <c r="AO519" s="203"/>
      <c r="AP519" s="667"/>
      <c r="AQ519" s="667"/>
      <c r="AR519" s="667"/>
      <c r="AS519" s="63"/>
      <c r="AT519" s="117"/>
      <c r="AU519" s="668"/>
      <c r="AV519" s="668"/>
      <c r="AW519" s="668"/>
      <c r="AX519" s="668"/>
      <c r="AY519" s="668"/>
      <c r="AZ519" s="668"/>
      <c r="BA519" s="668"/>
      <c r="BB519" s="1"/>
      <c r="BC519" s="1"/>
      <c r="BD519" s="1"/>
      <c r="BE519" s="667"/>
      <c r="BF519" s="667"/>
      <c r="BG519" s="667"/>
      <c r="BH519" s="63"/>
      <c r="BI519" s="117"/>
      <c r="BJ519" s="669"/>
      <c r="BK519" s="668"/>
      <c r="BL519" s="668"/>
      <c r="BM519" s="668"/>
      <c r="BN519" s="668"/>
      <c r="BO519" s="668"/>
      <c r="BP519" s="668"/>
      <c r="BQ519" s="1"/>
      <c r="BR519" s="117"/>
      <c r="BS519" s="1"/>
      <c r="BT519" s="1"/>
      <c r="BU519" s="1"/>
      <c r="BV519" s="1"/>
      <c r="BW519" s="1"/>
      <c r="BX519" s="1"/>
      <c r="BY519" s="1"/>
      <c r="BZ519" s="1"/>
      <c r="CA519" s="1"/>
    </row>
    <row r="520" spans="1:79" ht="12.75" hidden="1" customHeight="1">
      <c r="A520" s="117"/>
      <c r="B520" s="117"/>
      <c r="C520" s="618"/>
      <c r="D520" s="117"/>
      <c r="E520" s="117"/>
      <c r="F520" s="661" t="s">
        <v>2253</v>
      </c>
      <c r="G520" s="76"/>
      <c r="H520" s="76"/>
      <c r="I520" s="76"/>
      <c r="J520" s="76"/>
      <c r="K520" s="76"/>
      <c r="L520" s="76"/>
      <c r="M520" s="76"/>
      <c r="N520" s="76"/>
      <c r="O520" s="76"/>
      <c r="P520" s="76"/>
      <c r="Q520" s="76"/>
      <c r="R520" s="76"/>
      <c r="S520" s="76"/>
      <c r="T520" s="76"/>
      <c r="U520" s="76"/>
      <c r="V520" s="76"/>
      <c r="W520" s="76"/>
      <c r="X520" s="76"/>
      <c r="Y520" s="76"/>
      <c r="Z520" s="76"/>
      <c r="AA520" s="76"/>
      <c r="AB520" s="76"/>
      <c r="AC520" s="10"/>
      <c r="AD520" s="117"/>
      <c r="AE520" s="117"/>
      <c r="AF520" s="117"/>
      <c r="AG520" s="18"/>
      <c r="AH520" s="18"/>
      <c r="AI520" s="18"/>
      <c r="AJ520" s="18"/>
      <c r="AK520" s="612"/>
      <c r="AL520" s="117"/>
      <c r="AM520" s="117"/>
      <c r="AN520" s="345"/>
      <c r="AO520" s="1"/>
      <c r="AP520" s="667"/>
      <c r="AQ520" s="667"/>
      <c r="AR520" s="667"/>
      <c r="AS520" s="63"/>
      <c r="AT520" s="117"/>
      <c r="AU520" s="668"/>
      <c r="AV520" s="668"/>
      <c r="AW520" s="668"/>
      <c r="AX520" s="668"/>
      <c r="AY520" s="668"/>
      <c r="AZ520" s="668"/>
      <c r="BA520" s="668"/>
      <c r="BB520" s="1"/>
      <c r="BC520" s="1"/>
      <c r="BD520" s="1"/>
      <c r="BE520" s="667"/>
      <c r="BF520" s="667"/>
      <c r="BG520" s="667"/>
      <c r="BH520" s="63"/>
      <c r="BI520" s="117"/>
      <c r="BJ520" s="669"/>
      <c r="BK520" s="668"/>
      <c r="BL520" s="668"/>
      <c r="BM520" s="668"/>
      <c r="BN520" s="668"/>
      <c r="BO520" s="668"/>
      <c r="BP520" s="668"/>
      <c r="BQ520" s="1"/>
      <c r="BR520" s="117"/>
      <c r="BS520" s="1"/>
      <c r="BT520" s="1"/>
      <c r="BU520" s="1"/>
      <c r="BV520" s="1"/>
      <c r="BW520" s="1"/>
      <c r="BX520" s="1"/>
      <c r="BY520" s="1"/>
      <c r="BZ520" s="1"/>
      <c r="CA520" s="1"/>
    </row>
    <row r="521" spans="1:79" ht="12.75" hidden="1" customHeight="1">
      <c r="A521" s="117"/>
      <c r="B521" s="117"/>
      <c r="C521" s="647"/>
      <c r="D521" s="609"/>
      <c r="E521" s="648"/>
      <c r="F521" s="1417" t="s">
        <v>855</v>
      </c>
      <c r="G521" s="1414"/>
      <c r="H521" s="1415"/>
      <c r="I521" s="553"/>
      <c r="J521" s="553"/>
      <c r="K521" s="553"/>
      <c r="L521" s="553"/>
      <c r="M521" s="553"/>
      <c r="N521" s="553"/>
      <c r="O521" s="553"/>
      <c r="P521" s="553"/>
      <c r="Q521" s="553"/>
      <c r="R521" s="553"/>
      <c r="S521" s="553"/>
      <c r="T521" s="553"/>
      <c r="U521" s="553"/>
      <c r="V521" s="553"/>
      <c r="W521" s="553"/>
      <c r="X521" s="553"/>
      <c r="Y521" s="553"/>
      <c r="Z521" s="553"/>
      <c r="AA521" s="553"/>
      <c r="AB521" s="553"/>
      <c r="AC521" s="553"/>
      <c r="AD521" s="609"/>
      <c r="AE521" s="609"/>
      <c r="AF521" s="609"/>
      <c r="AG521" s="649">
        <f>IF($C$518="Yes",(VLOOKUP($F$521,$AO$494:$AP$496,2,FALSE)),0)</f>
        <v>0</v>
      </c>
      <c r="AH521" s="650" t="s">
        <v>1902</v>
      </c>
      <c r="AI521" s="553"/>
      <c r="AJ521" s="553"/>
      <c r="AK521" s="616"/>
      <c r="AL521" s="117"/>
      <c r="AM521" s="117"/>
      <c r="AN521" s="345"/>
      <c r="AO521" s="1"/>
      <c r="AP521" s="667"/>
      <c r="AQ521" s="667"/>
      <c r="AR521" s="667"/>
      <c r="AS521" s="586"/>
      <c r="AT521" s="117"/>
      <c r="AU521" s="668"/>
      <c r="AV521" s="668"/>
      <c r="AW521" s="668"/>
      <c r="AX521" s="668"/>
      <c r="AY521" s="668"/>
      <c r="AZ521" s="668"/>
      <c r="BA521" s="668"/>
      <c r="BB521" s="1"/>
      <c r="BC521" s="1"/>
      <c r="BD521" s="1"/>
      <c r="BE521" s="667"/>
      <c r="BF521" s="667"/>
      <c r="BG521" s="667"/>
      <c r="BH521" s="586"/>
      <c r="BI521" s="117"/>
      <c r="BJ521" s="669"/>
      <c r="BK521" s="668"/>
      <c r="BL521" s="668"/>
      <c r="BM521" s="668"/>
      <c r="BN521" s="668"/>
      <c r="BO521" s="668"/>
      <c r="BP521" s="668"/>
      <c r="BQ521" s="1"/>
      <c r="BR521" s="117"/>
      <c r="BS521" s="1"/>
      <c r="BT521" s="1"/>
      <c r="BU521" s="1"/>
      <c r="BV521" s="1"/>
      <c r="BW521" s="1"/>
      <c r="BX521" s="1"/>
      <c r="BY521" s="1"/>
      <c r="BZ521" s="1"/>
      <c r="CA521" s="1"/>
    </row>
    <row r="522" spans="1:79" ht="12.75" hidden="1" customHeight="1">
      <c r="A522" s="76"/>
      <c r="B522" s="76"/>
      <c r="C522" s="76"/>
      <c r="D522" s="76"/>
      <c r="E522" s="76"/>
      <c r="F522" s="76"/>
      <c r="G522" s="76"/>
      <c r="H522" s="76"/>
      <c r="I522" s="76"/>
      <c r="J522" s="76"/>
      <c r="K522" s="76"/>
      <c r="L522" s="76"/>
      <c r="M522" s="76"/>
      <c r="N522" s="76"/>
      <c r="O522" s="76"/>
      <c r="P522" s="76"/>
      <c r="Q522" s="76"/>
      <c r="R522" s="76"/>
      <c r="S522" s="76"/>
      <c r="T522" s="76"/>
      <c r="U522" s="76"/>
      <c r="V522" s="76"/>
      <c r="W522" s="76"/>
      <c r="X522" s="76"/>
      <c r="Y522" s="76"/>
      <c r="Z522" s="76"/>
      <c r="AA522" s="76"/>
      <c r="AB522" s="76"/>
      <c r="AC522" s="76"/>
      <c r="AD522" s="76"/>
      <c r="AE522" s="117"/>
      <c r="AF522" s="117"/>
      <c r="AG522" s="18"/>
      <c r="AH522" s="19"/>
      <c r="AI522" s="76"/>
      <c r="AJ522" s="76"/>
      <c r="AK522" s="117"/>
      <c r="AL522" s="117"/>
      <c r="AM522" s="117"/>
      <c r="AN522" s="345"/>
      <c r="AO522" s="1"/>
      <c r="AP522" s="667"/>
      <c r="AQ522" s="667"/>
      <c r="AR522" s="667"/>
      <c r="AS522" s="586"/>
      <c r="AT522" s="117"/>
      <c r="AU522" s="668"/>
      <c r="AV522" s="668"/>
      <c r="AW522" s="668"/>
      <c r="AX522" s="668"/>
      <c r="AY522" s="668"/>
      <c r="AZ522" s="668"/>
      <c r="BA522" s="668"/>
      <c r="BB522" s="1"/>
      <c r="BC522" s="1"/>
      <c r="BD522" s="1"/>
      <c r="BE522" s="667"/>
      <c r="BF522" s="667"/>
      <c r="BG522" s="667"/>
      <c r="BH522" s="586"/>
      <c r="BI522" s="117"/>
      <c r="BJ522" s="669"/>
      <c r="BK522" s="668"/>
      <c r="BL522" s="668"/>
      <c r="BM522" s="668"/>
      <c r="BN522" s="668"/>
      <c r="BO522" s="668"/>
      <c r="BP522" s="668"/>
      <c r="BQ522" s="1"/>
      <c r="BR522" s="117"/>
      <c r="BS522" s="1"/>
      <c r="BT522" s="1"/>
      <c r="BU522" s="1"/>
      <c r="BV522" s="1"/>
      <c r="BW522" s="1"/>
      <c r="BX522" s="1"/>
      <c r="BY522" s="1"/>
      <c r="BZ522" s="1"/>
      <c r="CA522" s="1"/>
    </row>
    <row r="523" spans="1:79" ht="12.75" hidden="1" customHeight="1">
      <c r="A523" s="117"/>
      <c r="B523" s="117"/>
      <c r="C523" s="1407" t="s">
        <v>855</v>
      </c>
      <c r="D523" s="1408"/>
      <c r="E523" s="643" t="s">
        <v>2260</v>
      </c>
      <c r="F523" s="660" t="s">
        <v>2261</v>
      </c>
      <c r="G523" s="543"/>
      <c r="H523" s="543"/>
      <c r="I523" s="543"/>
      <c r="J523" s="543"/>
      <c r="K523" s="543"/>
      <c r="L523" s="543"/>
      <c r="M523" s="543"/>
      <c r="N523" s="543"/>
      <c r="O523" s="543"/>
      <c r="P523" s="543"/>
      <c r="Q523" s="543"/>
      <c r="R523" s="543"/>
      <c r="S523" s="543"/>
      <c r="T523" s="543"/>
      <c r="U523" s="543"/>
      <c r="V523" s="543"/>
      <c r="W523" s="543"/>
      <c r="X523" s="543"/>
      <c r="Y523" s="543"/>
      <c r="Z523" s="543"/>
      <c r="AA523" s="543"/>
      <c r="AB523" s="543"/>
      <c r="AC523" s="675"/>
      <c r="AD523" s="592"/>
      <c r="AE523" s="592"/>
      <c r="AF523" s="592"/>
      <c r="AG523" s="676"/>
      <c r="AH523" s="676"/>
      <c r="AI523" s="676"/>
      <c r="AJ523" s="676"/>
      <c r="AK523" s="622"/>
      <c r="AL523" s="117"/>
      <c r="AM523" s="117"/>
      <c r="AN523" s="345"/>
      <c r="AO523" s="1"/>
      <c r="AP523" s="667"/>
      <c r="AQ523" s="667"/>
      <c r="AR523" s="667"/>
      <c r="AS523" s="586"/>
      <c r="AT523" s="117"/>
      <c r="AU523" s="668"/>
      <c r="AV523" s="668"/>
      <c r="AW523" s="668"/>
      <c r="AX523" s="668"/>
      <c r="AY523" s="668"/>
      <c r="AZ523" s="668"/>
      <c r="BA523" s="668"/>
      <c r="BB523" s="1"/>
      <c r="BC523" s="1"/>
      <c r="BD523" s="1"/>
      <c r="BE523" s="667"/>
      <c r="BF523" s="667"/>
      <c r="BG523" s="667"/>
      <c r="BH523" s="586"/>
      <c r="BI523" s="117"/>
      <c r="BJ523" s="669"/>
      <c r="BK523" s="668"/>
      <c r="BL523" s="668"/>
      <c r="BM523" s="668"/>
      <c r="BN523" s="668"/>
      <c r="BO523" s="668"/>
      <c r="BP523" s="668"/>
      <c r="BQ523" s="1"/>
      <c r="BR523" s="117"/>
      <c r="BS523" s="1"/>
      <c r="BT523" s="1"/>
      <c r="BU523" s="1"/>
      <c r="BV523" s="1"/>
      <c r="BW523" s="1"/>
      <c r="BX523" s="1"/>
      <c r="BY523" s="1"/>
      <c r="BZ523" s="1"/>
      <c r="CA523" s="1"/>
    </row>
    <row r="524" spans="1:79" ht="12.75" hidden="1" customHeight="1">
      <c r="A524" s="117"/>
      <c r="B524" s="117"/>
      <c r="C524" s="645"/>
      <c r="D524" s="117"/>
      <c r="E524" s="646"/>
      <c r="F524" s="76"/>
      <c r="G524" s="76"/>
      <c r="H524" s="76"/>
      <c r="I524" s="76"/>
      <c r="J524" s="76"/>
      <c r="K524" s="76"/>
      <c r="L524" s="76"/>
      <c r="M524" s="76"/>
      <c r="N524" s="76"/>
      <c r="O524" s="76"/>
      <c r="P524" s="76"/>
      <c r="Q524" s="76"/>
      <c r="R524" s="76"/>
      <c r="S524" s="76"/>
      <c r="T524" s="76"/>
      <c r="U524" s="76"/>
      <c r="V524" s="76"/>
      <c r="W524" s="76"/>
      <c r="X524" s="76"/>
      <c r="Y524" s="76"/>
      <c r="Z524" s="76"/>
      <c r="AA524" s="76"/>
      <c r="AB524" s="76"/>
      <c r="AC524" s="76"/>
      <c r="AD524" s="117"/>
      <c r="AE524" s="117"/>
      <c r="AF524" s="117"/>
      <c r="AG524" s="76"/>
      <c r="AH524" s="76"/>
      <c r="AI524" s="76"/>
      <c r="AJ524" s="76"/>
      <c r="AK524" s="612"/>
      <c r="AL524" s="117"/>
      <c r="AM524" s="117"/>
      <c r="AN524" s="345"/>
      <c r="AO524" s="1"/>
      <c r="AP524" s="667"/>
      <c r="AQ524" s="667"/>
      <c r="AR524" s="667"/>
      <c r="AS524" s="586"/>
      <c r="AT524" s="117"/>
      <c r="AU524" s="668"/>
      <c r="AV524" s="668"/>
      <c r="AW524" s="668"/>
      <c r="AX524" s="668"/>
      <c r="AY524" s="668"/>
      <c r="AZ524" s="668"/>
      <c r="BA524" s="668"/>
      <c r="BB524" s="1"/>
      <c r="BC524" s="1"/>
      <c r="BD524" s="1"/>
      <c r="BE524" s="667"/>
      <c r="BF524" s="667"/>
      <c r="BG524" s="667"/>
      <c r="BH524" s="586"/>
      <c r="BI524" s="117"/>
      <c r="BJ524" s="669"/>
      <c r="BK524" s="668"/>
      <c r="BL524" s="668"/>
      <c r="BM524" s="668"/>
      <c r="BN524" s="668"/>
      <c r="BO524" s="668"/>
      <c r="BP524" s="668"/>
      <c r="BQ524" s="1"/>
      <c r="BR524" s="1"/>
      <c r="BS524" s="1"/>
      <c r="BT524" s="1"/>
      <c r="BU524" s="1"/>
      <c r="BV524" s="1"/>
      <c r="BW524" s="1"/>
      <c r="BX524" s="1"/>
      <c r="BY524" s="1"/>
      <c r="BZ524" s="1"/>
      <c r="CA524" s="1"/>
    </row>
    <row r="525" spans="1:79" ht="12.75" hidden="1" customHeight="1">
      <c r="A525" s="117"/>
      <c r="B525" s="117"/>
      <c r="C525" s="1399"/>
      <c r="D525" s="893"/>
      <c r="E525" s="646"/>
      <c r="F525" s="76" t="s">
        <v>2264</v>
      </c>
      <c r="G525" s="76"/>
      <c r="H525" s="76"/>
      <c r="I525" s="76"/>
      <c r="J525" s="76"/>
      <c r="K525" s="76"/>
      <c r="L525" s="76"/>
      <c r="M525" s="76"/>
      <c r="N525" s="76"/>
      <c r="O525" s="76"/>
      <c r="P525" s="76"/>
      <c r="Q525" s="76"/>
      <c r="R525" s="76"/>
      <c r="S525" s="76"/>
      <c r="T525" s="76"/>
      <c r="U525" s="76"/>
      <c r="V525" s="76"/>
      <c r="W525" s="76"/>
      <c r="X525" s="76"/>
      <c r="Y525" s="76"/>
      <c r="Z525" s="76"/>
      <c r="AA525" s="76"/>
      <c r="AB525" s="76"/>
      <c r="AC525" s="10"/>
      <c r="AD525" s="117"/>
      <c r="AE525" s="117"/>
      <c r="AF525" s="117"/>
      <c r="AG525" s="18">
        <f>IF($C$523="Yes",(VLOOKUP($G$526,$AO$501:$AP$504,2,FALSE)),0)</f>
        <v>0</v>
      </c>
      <c r="AH525" s="19" t="s">
        <v>1902</v>
      </c>
      <c r="AI525" s="76"/>
      <c r="AJ525" s="18"/>
      <c r="AK525" s="612"/>
      <c r="AL525" s="117"/>
      <c r="AM525" s="117"/>
      <c r="AN525" s="345"/>
      <c r="AO525" s="1"/>
      <c r="AP525" s="667"/>
      <c r="AQ525" s="667"/>
      <c r="AR525" s="667"/>
      <c r="AS525" s="586"/>
      <c r="AT525" s="117"/>
      <c r="AU525" s="668"/>
      <c r="AV525" s="668"/>
      <c r="AW525" s="668"/>
      <c r="AX525" s="668"/>
      <c r="AY525" s="668"/>
      <c r="AZ525" s="668"/>
      <c r="BA525" s="668"/>
      <c r="BB525" s="1"/>
      <c r="BC525" s="1"/>
      <c r="BD525" s="1"/>
      <c r="BE525" s="667"/>
      <c r="BF525" s="667"/>
      <c r="BG525" s="667"/>
      <c r="BH525" s="586"/>
      <c r="BI525" s="117"/>
      <c r="BJ525" s="669"/>
      <c r="BK525" s="668"/>
      <c r="BL525" s="668"/>
      <c r="BM525" s="668"/>
      <c r="BN525" s="668"/>
      <c r="BO525" s="668"/>
      <c r="BP525" s="668"/>
      <c r="BQ525" s="1"/>
      <c r="BR525" s="117"/>
      <c r="BS525" s="1"/>
      <c r="BT525" s="1"/>
      <c r="BU525" s="1"/>
      <c r="BV525" s="1"/>
      <c r="BW525" s="1"/>
      <c r="BX525" s="1"/>
      <c r="BY525" s="1"/>
      <c r="BZ525" s="1"/>
      <c r="CA525" s="1"/>
    </row>
    <row r="526" spans="1:79" ht="12.75" hidden="1" customHeight="1">
      <c r="A526" s="117"/>
      <c r="B526" s="117"/>
      <c r="C526" s="645"/>
      <c r="D526" s="117"/>
      <c r="E526" s="646"/>
      <c r="F526" s="76"/>
      <c r="G526" s="1418" t="s">
        <v>855</v>
      </c>
      <c r="H526" s="1118"/>
      <c r="I526" s="1118"/>
      <c r="J526" s="1118"/>
      <c r="K526" s="1118"/>
      <c r="L526" s="1118"/>
      <c r="M526" s="1118"/>
      <c r="N526" s="1118"/>
      <c r="O526" s="1118"/>
      <c r="P526" s="1118"/>
      <c r="Q526" s="1118"/>
      <c r="R526" s="1118"/>
      <c r="S526" s="1118"/>
      <c r="T526" s="1118"/>
      <c r="U526" s="1118"/>
      <c r="V526" s="1118"/>
      <c r="W526" s="1118"/>
      <c r="X526" s="1118"/>
      <c r="Y526" s="1118"/>
      <c r="Z526" s="1118"/>
      <c r="AA526" s="1118"/>
      <c r="AB526" s="1118"/>
      <c r="AC526" s="1118"/>
      <c r="AD526" s="1118"/>
      <c r="AE526" s="1118"/>
      <c r="AF526" s="1119"/>
      <c r="AG526" s="117"/>
      <c r="AH526" s="117"/>
      <c r="AI526" s="117"/>
      <c r="AJ526" s="76"/>
      <c r="AK526" s="612"/>
      <c r="AL526" s="117"/>
      <c r="AM526" s="117"/>
      <c r="AN526" s="345"/>
      <c r="AO526" s="1"/>
      <c r="AP526" s="667"/>
      <c r="AQ526" s="667"/>
      <c r="AR526" s="667"/>
      <c r="AS526" s="586"/>
      <c r="AT526" s="117"/>
      <c r="AU526" s="668"/>
      <c r="AV526" s="668"/>
      <c r="AW526" s="668"/>
      <c r="AX526" s="668"/>
      <c r="AY526" s="668"/>
      <c r="AZ526" s="668"/>
      <c r="BA526" s="668"/>
      <c r="BB526" s="1"/>
      <c r="BC526" s="1"/>
      <c r="BD526" s="1"/>
      <c r="BE526" s="667"/>
      <c r="BF526" s="667"/>
      <c r="BG526" s="667"/>
      <c r="BH526" s="586"/>
      <c r="BI526" s="117"/>
      <c r="BJ526" s="669"/>
      <c r="BK526" s="668"/>
      <c r="BL526" s="668"/>
      <c r="BM526" s="668"/>
      <c r="BN526" s="668"/>
      <c r="BO526" s="668"/>
      <c r="BP526" s="668"/>
      <c r="BQ526" s="1"/>
      <c r="BR526" s="117"/>
      <c r="BS526" s="1"/>
      <c r="BT526" s="1"/>
      <c r="BU526" s="1"/>
      <c r="BV526" s="1"/>
      <c r="BW526" s="1"/>
      <c r="BX526" s="1"/>
      <c r="BY526" s="1"/>
      <c r="BZ526" s="1"/>
      <c r="CA526" s="1"/>
    </row>
    <row r="527" spans="1:79" ht="12.75" hidden="1" customHeight="1">
      <c r="A527" s="117"/>
      <c r="B527" s="117"/>
      <c r="C527" s="597"/>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17"/>
      <c r="AE527" s="117"/>
      <c r="AF527" s="117"/>
      <c r="AG527" s="1"/>
      <c r="AH527" s="1"/>
      <c r="AI527" s="1"/>
      <c r="AJ527" s="1"/>
      <c r="AK527" s="612"/>
      <c r="AL527" s="117"/>
      <c r="AM527" s="117"/>
      <c r="AN527" s="345"/>
      <c r="AO527" s="1"/>
      <c r="AP527" s="667"/>
      <c r="AQ527" s="667"/>
      <c r="AR527" s="667"/>
      <c r="AS527" s="586"/>
      <c r="AT527" s="117"/>
      <c r="AU527" s="668"/>
      <c r="AV527" s="668"/>
      <c r="AW527" s="668"/>
      <c r="AX527" s="668"/>
      <c r="AY527" s="668"/>
      <c r="AZ527" s="668"/>
      <c r="BA527" s="668"/>
      <c r="BB527" s="1"/>
      <c r="BC527" s="1"/>
      <c r="BD527" s="1"/>
      <c r="BE527" s="667"/>
      <c r="BF527" s="667"/>
      <c r="BG527" s="667"/>
      <c r="BH527" s="586"/>
      <c r="BI527" s="117"/>
      <c r="BJ527" s="669"/>
      <c r="BK527" s="668"/>
      <c r="BL527" s="668"/>
      <c r="BM527" s="668"/>
      <c r="BN527" s="668"/>
      <c r="BO527" s="668"/>
      <c r="BP527" s="668"/>
      <c r="BQ527" s="1"/>
      <c r="BR527" s="117"/>
      <c r="BS527" s="1"/>
      <c r="BT527" s="1"/>
      <c r="BU527" s="1"/>
      <c r="BV527" s="1"/>
      <c r="BW527" s="1"/>
      <c r="BX527" s="1"/>
      <c r="BY527" s="1"/>
      <c r="BZ527" s="1"/>
      <c r="CA527" s="1"/>
    </row>
    <row r="528" spans="1:79" ht="12.75" hidden="1" customHeight="1">
      <c r="A528" s="1"/>
      <c r="B528" s="117"/>
      <c r="C528" s="1400" t="s">
        <v>855</v>
      </c>
      <c r="D528" s="1119"/>
      <c r="E528" s="1"/>
      <c r="F528" s="76" t="s">
        <v>2268</v>
      </c>
      <c r="G528" s="76"/>
      <c r="H528" s="76"/>
      <c r="I528" s="76"/>
      <c r="J528" s="76"/>
      <c r="K528" s="76"/>
      <c r="L528" s="76"/>
      <c r="M528" s="76"/>
      <c r="N528" s="76"/>
      <c r="O528" s="76"/>
      <c r="P528" s="76"/>
      <c r="Q528" s="76"/>
      <c r="R528" s="76"/>
      <c r="S528" s="76"/>
      <c r="T528" s="76"/>
      <c r="U528" s="76"/>
      <c r="V528" s="76"/>
      <c r="W528" s="76"/>
      <c r="X528" s="76"/>
      <c r="Y528" s="76"/>
      <c r="Z528" s="76"/>
      <c r="AA528" s="76"/>
      <c r="AB528" s="76"/>
      <c r="AC528" s="10"/>
      <c r="AD528" s="117"/>
      <c r="AE528" s="117"/>
      <c r="AF528" s="117"/>
      <c r="AG528" s="18">
        <f>IF(AND($C$528="Yes",$C$523="Yes"),2,0)</f>
        <v>0</v>
      </c>
      <c r="AH528" s="19" t="s">
        <v>1902</v>
      </c>
      <c r="AI528" s="76"/>
      <c r="AJ528" s="422"/>
      <c r="AK528" s="612"/>
      <c r="AL528" s="117"/>
      <c r="AM528" s="117"/>
      <c r="AN528" s="345"/>
      <c r="AO528" s="1"/>
      <c r="AP528" s="667"/>
      <c r="AQ528" s="667"/>
      <c r="AR528" s="667"/>
      <c r="AS528" s="586"/>
      <c r="AT528" s="117"/>
      <c r="AU528" s="668"/>
      <c r="AV528" s="668"/>
      <c r="AW528" s="668"/>
      <c r="AX528" s="668"/>
      <c r="AY528" s="668"/>
      <c r="AZ528" s="668"/>
      <c r="BA528" s="668"/>
      <c r="BB528" s="1"/>
      <c r="BC528" s="1"/>
      <c r="BD528" s="1"/>
      <c r="BE528" s="667"/>
      <c r="BF528" s="667"/>
      <c r="BG528" s="667"/>
      <c r="BH528" s="586"/>
      <c r="BI528" s="117"/>
      <c r="BJ528" s="669"/>
      <c r="BK528" s="668"/>
      <c r="BL528" s="668"/>
      <c r="BM528" s="668"/>
      <c r="BN528" s="668"/>
      <c r="BO528" s="668"/>
      <c r="BP528" s="668"/>
      <c r="BQ528" s="1"/>
      <c r="BR528" s="117"/>
      <c r="BS528" s="1"/>
      <c r="BT528" s="1"/>
      <c r="BU528" s="1"/>
      <c r="BV528" s="1"/>
      <c r="BW528" s="1"/>
      <c r="BX528" s="1"/>
      <c r="BY528" s="1"/>
      <c r="BZ528" s="1"/>
      <c r="CA528" s="1"/>
    </row>
    <row r="529" spans="1:79" ht="12.75" hidden="1" customHeight="1">
      <c r="A529" s="1"/>
      <c r="B529" s="117"/>
      <c r="C529" s="597"/>
      <c r="D529" s="7"/>
      <c r="E529" s="7"/>
      <c r="F529" s="76"/>
      <c r="G529" s="76" t="s">
        <v>2270</v>
      </c>
      <c r="H529" s="76"/>
      <c r="I529" s="76"/>
      <c r="J529" s="76"/>
      <c r="K529" s="76"/>
      <c r="L529" s="76"/>
      <c r="M529" s="76"/>
      <c r="N529" s="76"/>
      <c r="O529" s="76"/>
      <c r="P529" s="76"/>
      <c r="Q529" s="76"/>
      <c r="R529" s="76"/>
      <c r="S529" s="76"/>
      <c r="T529" s="76"/>
      <c r="U529" s="76"/>
      <c r="V529" s="76"/>
      <c r="W529" s="76"/>
      <c r="X529" s="76"/>
      <c r="Y529" s="76"/>
      <c r="Z529" s="76"/>
      <c r="AA529" s="76"/>
      <c r="AB529" s="76"/>
      <c r="AC529" s="10"/>
      <c r="AD529" s="117"/>
      <c r="AE529" s="117"/>
      <c r="AF529" s="117"/>
      <c r="AG529" s="422"/>
      <c r="AH529" s="422"/>
      <c r="AI529" s="422"/>
      <c r="AJ529" s="422"/>
      <c r="AK529" s="612"/>
      <c r="AL529" s="117"/>
      <c r="AM529" s="117"/>
      <c r="AN529" s="424"/>
      <c r="AO529" s="1"/>
      <c r="AP529" s="667"/>
      <c r="AQ529" s="667"/>
      <c r="AR529" s="667"/>
      <c r="AS529" s="586"/>
      <c r="AT529" s="117"/>
      <c r="AU529" s="668"/>
      <c r="AV529" s="668"/>
      <c r="AW529" s="668"/>
      <c r="AX529" s="668"/>
      <c r="AY529" s="668"/>
      <c r="AZ529" s="668"/>
      <c r="BA529" s="668"/>
      <c r="BB529" s="1"/>
      <c r="BC529" s="1"/>
      <c r="BD529" s="1"/>
      <c r="BE529" s="667"/>
      <c r="BF529" s="667"/>
      <c r="BG529" s="667"/>
      <c r="BH529" s="586"/>
      <c r="BI529" s="117"/>
      <c r="BJ529" s="669"/>
      <c r="BK529" s="668"/>
      <c r="BL529" s="668"/>
      <c r="BM529" s="668"/>
      <c r="BN529" s="668"/>
      <c r="BO529" s="668"/>
      <c r="BP529" s="668"/>
      <c r="BQ529" s="1"/>
      <c r="BR529" s="117"/>
      <c r="BS529" s="1"/>
      <c r="BT529" s="1"/>
      <c r="BU529" s="1"/>
      <c r="BV529" s="1"/>
      <c r="BW529" s="1"/>
      <c r="BX529" s="1"/>
      <c r="BY529" s="1"/>
      <c r="BZ529" s="1"/>
      <c r="CA529" s="1"/>
    </row>
    <row r="530" spans="1:79" ht="12.75" hidden="1" customHeight="1">
      <c r="A530" s="1"/>
      <c r="B530" s="117"/>
      <c r="C530" s="597"/>
      <c r="D530" s="7"/>
      <c r="E530" s="7"/>
      <c r="F530" s="76"/>
      <c r="G530" s="76" t="s">
        <v>2272</v>
      </c>
      <c r="H530" s="76"/>
      <c r="I530" s="76"/>
      <c r="J530" s="76"/>
      <c r="K530" s="76"/>
      <c r="L530" s="76"/>
      <c r="M530" s="76"/>
      <c r="N530" s="76"/>
      <c r="O530" s="76"/>
      <c r="P530" s="76"/>
      <c r="Q530" s="76"/>
      <c r="R530" s="76"/>
      <c r="S530" s="76"/>
      <c r="T530" s="76"/>
      <c r="U530" s="76"/>
      <c r="V530" s="76"/>
      <c r="W530" s="76"/>
      <c r="X530" s="76"/>
      <c r="Y530" s="76"/>
      <c r="Z530" s="76"/>
      <c r="AA530" s="76"/>
      <c r="AB530" s="76"/>
      <c r="AC530" s="10"/>
      <c r="AD530" s="117"/>
      <c r="AE530" s="117"/>
      <c r="AF530" s="117"/>
      <c r="AG530" s="422"/>
      <c r="AH530" s="422"/>
      <c r="AI530" s="422"/>
      <c r="AJ530" s="422"/>
      <c r="AK530" s="612"/>
      <c r="AL530" s="117"/>
      <c r="AM530" s="117"/>
      <c r="AN530" s="267"/>
      <c r="AO530" s="117"/>
      <c r="AP530" s="1"/>
      <c r="AQ530" s="1"/>
      <c r="AR530" s="1"/>
      <c r="AS530" s="117"/>
      <c r="AT530" s="117"/>
      <c r="AU530" s="117"/>
      <c r="AV530" s="117"/>
      <c r="AW530" s="117"/>
      <c r="AX530" s="117"/>
      <c r="AY530" s="117"/>
      <c r="AZ530" s="117"/>
      <c r="BA530" s="117"/>
      <c r="BB530" s="117"/>
      <c r="BC530" s="117"/>
      <c r="BD530" s="117"/>
      <c r="BE530" s="117"/>
      <c r="BF530" s="117"/>
      <c r="BG530" s="117"/>
      <c r="BH530" s="117"/>
      <c r="BI530" s="117"/>
      <c r="BJ530" s="117"/>
      <c r="BK530" s="117"/>
      <c r="BL530" s="117"/>
      <c r="BM530" s="117"/>
      <c r="BN530" s="117"/>
      <c r="BO530" s="117"/>
      <c r="BP530" s="117"/>
      <c r="BQ530" s="117"/>
      <c r="BR530" s="117"/>
      <c r="BS530" s="117"/>
      <c r="BT530" s="117"/>
      <c r="BU530" s="117"/>
      <c r="BV530" s="117"/>
      <c r="BW530" s="117"/>
      <c r="BX530" s="117"/>
      <c r="BY530" s="117"/>
      <c r="BZ530" s="117"/>
      <c r="CA530" s="117"/>
    </row>
    <row r="531" spans="1:79" ht="12.75" hidden="1" customHeight="1">
      <c r="A531" s="521"/>
      <c r="B531" s="1"/>
      <c r="C531" s="684"/>
      <c r="D531" s="1"/>
      <c r="E531" s="117"/>
      <c r="F531" s="117"/>
      <c r="G531" s="100"/>
      <c r="H531" s="100"/>
      <c r="I531" s="100"/>
      <c r="J531" s="100"/>
      <c r="K531" s="100"/>
      <c r="L531" s="100"/>
      <c r="M531" s="100"/>
      <c r="N531" s="100"/>
      <c r="O531" s="100"/>
      <c r="P531" s="100"/>
      <c r="Q531" s="100"/>
      <c r="R531" s="100"/>
      <c r="S531" s="100"/>
      <c r="T531" s="100"/>
      <c r="U531" s="100"/>
      <c r="V531" s="100"/>
      <c r="W531" s="100"/>
      <c r="X531" s="100"/>
      <c r="Y531" s="100"/>
      <c r="Z531" s="100"/>
      <c r="AA531" s="100"/>
      <c r="AB531" s="100"/>
      <c r="AC531" s="100"/>
      <c r="AD531" s="100"/>
      <c r="AE531" s="100"/>
      <c r="AF531" s="100"/>
      <c r="AG531" s="10"/>
      <c r="AH531" s="10"/>
      <c r="AI531" s="10"/>
      <c r="AJ531" s="10"/>
      <c r="AK531" s="685"/>
      <c r="AL531" s="1"/>
      <c r="AM531" s="1"/>
      <c r="AN531" s="267"/>
      <c r="AO531" s="1"/>
      <c r="AP531" s="1"/>
      <c r="AQ531" s="1"/>
      <c r="AR531" s="1"/>
      <c r="AS531" s="117"/>
      <c r="AT531" s="117"/>
      <c r="AU531" s="117"/>
      <c r="AV531" s="117"/>
      <c r="AW531" s="117"/>
      <c r="AX531" s="117"/>
      <c r="AY531" s="117"/>
      <c r="AZ531" s="117"/>
      <c r="BA531" s="117"/>
      <c r="BB531" s="117"/>
      <c r="BC531" s="117"/>
      <c r="BD531" s="117"/>
      <c r="BE531" s="117"/>
      <c r="BF531" s="117"/>
      <c r="BG531" s="117"/>
      <c r="BH531" s="117"/>
      <c r="BI531" s="117"/>
      <c r="BJ531" s="117"/>
      <c r="BK531" s="117"/>
      <c r="BL531" s="117"/>
      <c r="BM531" s="117"/>
      <c r="BN531" s="117"/>
      <c r="BO531" s="117"/>
      <c r="BP531" s="117"/>
      <c r="BQ531" s="117"/>
      <c r="BR531" s="117"/>
      <c r="BS531" s="117"/>
      <c r="BT531" s="117"/>
      <c r="BU531" s="117"/>
      <c r="BV531" s="117"/>
      <c r="BW531" s="117"/>
      <c r="BX531" s="117"/>
      <c r="BY531" s="117"/>
      <c r="BZ531" s="117"/>
      <c r="CA531" s="117"/>
    </row>
    <row r="532" spans="1:79" ht="12.75" hidden="1" customHeight="1">
      <c r="A532" s="521"/>
      <c r="B532" s="117"/>
      <c r="C532" s="1400" t="s">
        <v>855</v>
      </c>
      <c r="D532" s="1119"/>
      <c r="E532" s="117"/>
      <c r="F532" s="686" t="s">
        <v>2277</v>
      </c>
      <c r="G532" s="1402" t="s">
        <v>2278</v>
      </c>
      <c r="H532" s="893"/>
      <c r="I532" s="893"/>
      <c r="J532" s="893"/>
      <c r="K532" s="893"/>
      <c r="L532" s="893"/>
      <c r="M532" s="893"/>
      <c r="N532" s="893"/>
      <c r="O532" s="893"/>
      <c r="P532" s="893"/>
      <c r="Q532" s="893"/>
      <c r="R532" s="893"/>
      <c r="S532" s="893"/>
      <c r="T532" s="893"/>
      <c r="U532" s="893"/>
      <c r="V532" s="893"/>
      <c r="W532" s="893"/>
      <c r="X532" s="893"/>
      <c r="Y532" s="893"/>
      <c r="Z532" s="893"/>
      <c r="AA532" s="893"/>
      <c r="AB532" s="893"/>
      <c r="AC532" s="893"/>
      <c r="AD532" s="893"/>
      <c r="AE532" s="893"/>
      <c r="AF532" s="893"/>
      <c r="AG532" s="18">
        <f>IF(AND($C$532="Yes",$C$523="Yes"),2,0)</f>
        <v>0</v>
      </c>
      <c r="AH532" s="19" t="s">
        <v>1902</v>
      </c>
      <c r="AI532" s="76"/>
      <c r="AJ532" s="422"/>
      <c r="AK532" s="612"/>
      <c r="AL532" s="117"/>
      <c r="AM532" s="117"/>
      <c r="AN532" s="267"/>
      <c r="AO532" s="117"/>
      <c r="AP532" s="117"/>
      <c r="AQ532" s="117"/>
      <c r="AR532" s="117"/>
      <c r="AS532" s="117"/>
      <c r="AT532" s="117"/>
      <c r="AU532" s="117"/>
      <c r="AV532" s="117"/>
      <c r="AW532" s="117"/>
      <c r="AX532" s="117"/>
      <c r="AY532" s="117"/>
      <c r="AZ532" s="8"/>
      <c r="BA532" s="117"/>
      <c r="BB532" s="117"/>
      <c r="BC532" s="237"/>
      <c r="BD532" s="8"/>
      <c r="BE532" s="8"/>
      <c r="BF532" s="8"/>
      <c r="BG532" s="117"/>
      <c r="BH532" s="117"/>
      <c r="BI532" s="117"/>
      <c r="BJ532" s="117"/>
      <c r="BK532" s="117"/>
      <c r="BL532" s="117"/>
      <c r="BM532" s="1"/>
      <c r="BN532" s="8"/>
      <c r="BO532" s="1"/>
      <c r="BP532" s="8"/>
      <c r="BQ532" s="8"/>
      <c r="BR532" s="8"/>
      <c r="BS532" s="8"/>
      <c r="BT532" s="8"/>
      <c r="BU532" s="8"/>
      <c r="BV532" s="1"/>
      <c r="BW532" s="1"/>
      <c r="BX532" s="1"/>
      <c r="BY532" s="1"/>
      <c r="BZ532" s="1"/>
      <c r="CA532" s="1"/>
    </row>
    <row r="533" spans="1:79" ht="12.75" hidden="1" customHeight="1">
      <c r="A533" s="117"/>
      <c r="B533" s="117"/>
      <c r="C533" s="613"/>
      <c r="D533" s="609"/>
      <c r="E533" s="648"/>
      <c r="F533" s="607"/>
      <c r="G533" s="1389"/>
      <c r="H533" s="1389"/>
      <c r="I533" s="1389"/>
      <c r="J533" s="1389"/>
      <c r="K533" s="1389"/>
      <c r="L533" s="1389"/>
      <c r="M533" s="1389"/>
      <c r="N533" s="1389"/>
      <c r="O533" s="1389"/>
      <c r="P533" s="1389"/>
      <c r="Q533" s="1389"/>
      <c r="R533" s="1389"/>
      <c r="S533" s="1389"/>
      <c r="T533" s="1389"/>
      <c r="U533" s="1389"/>
      <c r="V533" s="1389"/>
      <c r="W533" s="1389"/>
      <c r="X533" s="1389"/>
      <c r="Y533" s="1389"/>
      <c r="Z533" s="1389"/>
      <c r="AA533" s="1389"/>
      <c r="AB533" s="1389"/>
      <c r="AC533" s="1389"/>
      <c r="AD533" s="1389"/>
      <c r="AE533" s="1389"/>
      <c r="AF533" s="1389"/>
      <c r="AG533" s="553"/>
      <c r="AH533" s="553"/>
      <c r="AI533" s="553"/>
      <c r="AJ533" s="553"/>
      <c r="AK533" s="616"/>
      <c r="AL533" s="117"/>
      <c r="AM533" s="117"/>
      <c r="AN533" s="267"/>
      <c r="AO533" s="117"/>
      <c r="AP533" s="117"/>
      <c r="AQ533" s="117"/>
      <c r="AR533" s="117"/>
      <c r="AS533" s="117"/>
      <c r="AT533" s="117"/>
      <c r="AU533" s="117"/>
      <c r="AV533" s="117"/>
      <c r="AW533" s="117"/>
      <c r="AX533" s="117"/>
      <c r="AY533" s="117"/>
      <c r="AZ533" s="8"/>
      <c r="BA533" s="117"/>
      <c r="BB533" s="117"/>
      <c r="BC533" s="237"/>
      <c r="BD533" s="8"/>
      <c r="BE533" s="8"/>
      <c r="BF533" s="8"/>
      <c r="BG533" s="117"/>
      <c r="BH533" s="117"/>
      <c r="BI533" s="117"/>
      <c r="BJ533" s="117"/>
      <c r="BK533" s="117"/>
      <c r="BL533" s="117"/>
      <c r="BM533" s="7"/>
      <c r="BN533" s="7"/>
      <c r="BO533" s="7"/>
      <c r="BP533" s="7"/>
      <c r="BQ533" s="7"/>
      <c r="BR533" s="7"/>
      <c r="BS533" s="7"/>
      <c r="BT533" s="7"/>
      <c r="BU533" s="7"/>
      <c r="BV533" s="7"/>
      <c r="BW533" s="7"/>
      <c r="BX533" s="7"/>
      <c r="BY533" s="7"/>
      <c r="BZ533" s="7"/>
      <c r="CA533" s="7"/>
    </row>
    <row r="534" spans="1:79" ht="12.75" hidden="1" customHeight="1">
      <c r="A534" s="117"/>
      <c r="B534" s="117"/>
      <c r="C534" s="1"/>
      <c r="D534" s="117"/>
      <c r="E534" s="646"/>
      <c r="F534" s="65"/>
      <c r="G534" s="320"/>
      <c r="H534" s="320"/>
      <c r="I534" s="320"/>
      <c r="J534" s="320"/>
      <c r="K534" s="320"/>
      <c r="L534" s="320"/>
      <c r="M534" s="320"/>
      <c r="N534" s="320"/>
      <c r="O534" s="320"/>
      <c r="P534" s="320"/>
      <c r="Q534" s="320"/>
      <c r="R534" s="320"/>
      <c r="S534" s="320"/>
      <c r="T534" s="320"/>
      <c r="U534" s="320"/>
      <c r="V534" s="320"/>
      <c r="W534" s="320"/>
      <c r="X534" s="320"/>
      <c r="Y534" s="320"/>
      <c r="Z534" s="320"/>
      <c r="AA534" s="320"/>
      <c r="AB534" s="320"/>
      <c r="AC534" s="320"/>
      <c r="AD534" s="320"/>
      <c r="AE534" s="320"/>
      <c r="AF534" s="320"/>
      <c r="AG534" s="76"/>
      <c r="AH534" s="76"/>
      <c r="AI534" s="76"/>
      <c r="AJ534" s="76"/>
      <c r="AK534" s="117"/>
      <c r="AL534" s="117"/>
      <c r="AM534" s="117"/>
      <c r="AN534" s="267"/>
      <c r="AO534" s="117"/>
      <c r="AP534" s="8"/>
      <c r="AQ534" s="8"/>
      <c r="AR534" s="8"/>
      <c r="AS534" s="8"/>
      <c r="AT534" s="8"/>
      <c r="AU534" s="8"/>
      <c r="AV534" s="8"/>
      <c r="AW534" s="8"/>
      <c r="AX534" s="8"/>
      <c r="AY534" s="8"/>
      <c r="AZ534" s="8"/>
      <c r="BA534" s="8"/>
      <c r="BB534" s="8"/>
      <c r="BC534" s="8"/>
      <c r="BD534" s="8"/>
      <c r="BE534" s="8"/>
      <c r="BF534" s="8"/>
      <c r="BG534" s="8"/>
      <c r="BH534" s="8"/>
      <c r="BI534" s="237"/>
      <c r="BJ534" s="56"/>
      <c r="BK534" s="56"/>
      <c r="BL534" s="117"/>
      <c r="BM534" s="7"/>
      <c r="BN534" s="7"/>
      <c r="BO534" s="7"/>
      <c r="BP534" s="7"/>
      <c r="BQ534" s="7"/>
      <c r="BR534" s="7"/>
      <c r="BS534" s="7"/>
      <c r="BT534" s="7"/>
      <c r="BU534" s="7"/>
      <c r="BV534" s="7"/>
      <c r="BW534" s="7"/>
      <c r="BX534" s="7"/>
      <c r="BY534" s="7"/>
      <c r="BZ534" s="7"/>
      <c r="CA534" s="7"/>
    </row>
    <row r="535" spans="1:79" ht="12.75" hidden="1" customHeight="1">
      <c r="A535" s="117"/>
      <c r="B535" s="117"/>
      <c r="C535" s="687" t="s">
        <v>2282</v>
      </c>
      <c r="D535" s="592"/>
      <c r="E535" s="688"/>
      <c r="F535" s="689"/>
      <c r="G535" s="594"/>
      <c r="H535" s="594"/>
      <c r="I535" s="594"/>
      <c r="J535" s="594"/>
      <c r="K535" s="594"/>
      <c r="L535" s="594"/>
      <c r="M535" s="594"/>
      <c r="N535" s="594"/>
      <c r="O535" s="594"/>
      <c r="P535" s="594"/>
      <c r="Q535" s="594"/>
      <c r="R535" s="594"/>
      <c r="S535" s="594"/>
      <c r="T535" s="594"/>
      <c r="U535" s="594"/>
      <c r="V535" s="594"/>
      <c r="W535" s="594"/>
      <c r="X535" s="594"/>
      <c r="Y535" s="594"/>
      <c r="Z535" s="594"/>
      <c r="AA535" s="594"/>
      <c r="AB535" s="594"/>
      <c r="AC535" s="594"/>
      <c r="AD535" s="594"/>
      <c r="AE535" s="594"/>
      <c r="AF535" s="594"/>
      <c r="AG535" s="543"/>
      <c r="AH535" s="543"/>
      <c r="AI535" s="543"/>
      <c r="AJ535" s="543"/>
      <c r="AK535" s="622"/>
      <c r="AL535" s="117"/>
      <c r="AM535" s="117"/>
      <c r="AN535" s="424"/>
      <c r="AO535" s="117"/>
      <c r="AP535" s="8"/>
      <c r="AQ535" s="8"/>
      <c r="AR535" s="8"/>
      <c r="AS535" s="8"/>
      <c r="AT535" s="8"/>
      <c r="AU535" s="8"/>
      <c r="AV535" s="8"/>
      <c r="AW535" s="8"/>
      <c r="AX535" s="8"/>
      <c r="AY535" s="8"/>
      <c r="AZ535" s="8"/>
      <c r="BA535" s="8"/>
      <c r="BB535" s="8"/>
      <c r="BC535" s="8"/>
      <c r="BD535" s="8"/>
      <c r="BE535" s="8"/>
      <c r="BF535" s="8"/>
      <c r="BG535" s="8"/>
      <c r="BH535" s="8"/>
      <c r="BI535" s="521"/>
      <c r="BJ535" s="56"/>
      <c r="BK535" s="56"/>
      <c r="BL535" s="117"/>
      <c r="BM535" s="7"/>
      <c r="BN535" s="7"/>
      <c r="BO535" s="7"/>
      <c r="BP535" s="7"/>
      <c r="BQ535" s="7"/>
      <c r="BR535" s="7"/>
      <c r="BS535" s="7"/>
      <c r="BT535" s="7"/>
      <c r="BU535" s="7"/>
      <c r="BV535" s="7"/>
      <c r="BW535" s="7"/>
      <c r="BX535" s="7"/>
      <c r="BY535" s="7"/>
      <c r="BZ535" s="7"/>
      <c r="CA535" s="7"/>
    </row>
    <row r="536" spans="1:79" ht="12.75" hidden="1" customHeight="1">
      <c r="A536" s="117"/>
      <c r="B536" s="117"/>
      <c r="C536" s="1401" t="s">
        <v>855</v>
      </c>
      <c r="D536" s="969"/>
      <c r="E536" s="691" t="s">
        <v>2285</v>
      </c>
      <c r="F536" s="119" t="s">
        <v>2286</v>
      </c>
      <c r="G536" s="320"/>
      <c r="H536" s="320"/>
      <c r="I536" s="320"/>
      <c r="J536" s="320"/>
      <c r="K536" s="320"/>
      <c r="L536" s="320"/>
      <c r="M536" s="320"/>
      <c r="N536" s="320"/>
      <c r="O536" s="320"/>
      <c r="P536" s="320"/>
      <c r="Q536" s="320"/>
      <c r="R536" s="320"/>
      <c r="S536" s="320"/>
      <c r="T536" s="320"/>
      <c r="U536" s="320"/>
      <c r="V536" s="320"/>
      <c r="W536" s="320"/>
      <c r="X536" s="320"/>
      <c r="Y536" s="320"/>
      <c r="Z536" s="320"/>
      <c r="AA536" s="320"/>
      <c r="AB536" s="320"/>
      <c r="AC536" s="320"/>
      <c r="AD536" s="320"/>
      <c r="AE536" s="320"/>
      <c r="AF536" s="320"/>
      <c r="AG536" s="18">
        <f>IF(C$536="Yes",(VLOOKUP(F$537,$AO$507:$AP$510,2,FALSE)),0)</f>
        <v>0</v>
      </c>
      <c r="AH536" s="19" t="s">
        <v>1902</v>
      </c>
      <c r="AI536" s="76"/>
      <c r="AJ536" s="76"/>
      <c r="AK536" s="612"/>
      <c r="AL536" s="117"/>
      <c r="AM536" s="117"/>
      <c r="AN536" s="424"/>
      <c r="AO536" s="117"/>
      <c r="AP536" s="8"/>
      <c r="AQ536" s="8"/>
      <c r="AR536" s="8"/>
      <c r="AS536" s="8"/>
      <c r="AT536" s="8"/>
      <c r="AU536" s="8"/>
      <c r="AV536" s="8"/>
      <c r="AW536" s="8"/>
      <c r="AX536" s="8"/>
      <c r="AY536" s="8"/>
      <c r="AZ536" s="8"/>
      <c r="BA536" s="8"/>
      <c r="BB536" s="8"/>
      <c r="BC536" s="8"/>
      <c r="BD536" s="8"/>
      <c r="BE536" s="8"/>
      <c r="BF536" s="8"/>
      <c r="BG536" s="8"/>
      <c r="BH536" s="8"/>
      <c r="BI536" s="521"/>
      <c r="BJ536" s="56"/>
      <c r="BK536" s="56"/>
      <c r="BL536" s="117"/>
      <c r="BM536" s="1"/>
      <c r="BN536" s="1"/>
      <c r="BO536" s="1"/>
      <c r="BP536" s="1"/>
      <c r="BQ536" s="1"/>
      <c r="BR536" s="1"/>
      <c r="BS536" s="1"/>
      <c r="BT536" s="1"/>
      <c r="BU536" s="1"/>
      <c r="BV536" s="1"/>
      <c r="BW536" s="1"/>
      <c r="BX536" s="1"/>
      <c r="BY536" s="1"/>
      <c r="BZ536" s="1"/>
      <c r="CA536" s="1"/>
    </row>
    <row r="537" spans="1:79" ht="12.75" hidden="1" customHeight="1">
      <c r="A537" s="117"/>
      <c r="B537" s="117"/>
      <c r="C537" s="597"/>
      <c r="D537" s="117"/>
      <c r="E537" s="646"/>
      <c r="F537" s="1097" t="s">
        <v>855</v>
      </c>
      <c r="G537" s="901"/>
      <c r="H537" s="901"/>
      <c r="I537" s="901"/>
      <c r="J537" s="901"/>
      <c r="K537" s="901"/>
      <c r="L537" s="901"/>
      <c r="M537" s="901"/>
      <c r="N537" s="901"/>
      <c r="O537" s="901"/>
      <c r="P537" s="901"/>
      <c r="Q537" s="901"/>
      <c r="R537" s="901"/>
      <c r="S537" s="901"/>
      <c r="T537" s="901"/>
      <c r="U537" s="901"/>
      <c r="V537" s="901"/>
      <c r="W537" s="901"/>
      <c r="X537" s="901"/>
      <c r="Y537" s="901"/>
      <c r="Z537" s="901"/>
      <c r="AA537" s="901"/>
      <c r="AB537" s="901"/>
      <c r="AC537" s="901"/>
      <c r="AD537" s="901"/>
      <c r="AE537" s="901"/>
      <c r="AF537" s="902"/>
      <c r="AG537" s="76"/>
      <c r="AH537" s="76"/>
      <c r="AI537" s="76"/>
      <c r="AJ537" s="76"/>
      <c r="AK537" s="612"/>
      <c r="AL537" s="117"/>
      <c r="AM537" s="117"/>
      <c r="AN537" s="424"/>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117"/>
      <c r="BJ537" s="117"/>
      <c r="BK537" s="117"/>
      <c r="BL537" s="117"/>
      <c r="BM537" s="1"/>
      <c r="BN537" s="1"/>
      <c r="BO537" s="1"/>
      <c r="BP537" s="1"/>
      <c r="BQ537" s="1"/>
      <c r="BR537" s="1"/>
      <c r="BS537" s="1"/>
      <c r="BT537" s="1"/>
      <c r="BU537" s="1"/>
      <c r="BV537" s="1"/>
      <c r="BW537" s="1"/>
      <c r="BX537" s="1"/>
      <c r="BY537" s="1"/>
      <c r="BZ537" s="1"/>
      <c r="CA537" s="1"/>
    </row>
    <row r="538" spans="1:79" ht="12.75" hidden="1" customHeight="1">
      <c r="A538" s="117"/>
      <c r="B538" s="117"/>
      <c r="C538" s="613"/>
      <c r="D538" s="609"/>
      <c r="E538" s="648"/>
      <c r="F538" s="1403"/>
      <c r="G538" s="1389"/>
      <c r="H538" s="1389"/>
      <c r="I538" s="1389"/>
      <c r="J538" s="1389"/>
      <c r="K538" s="1389"/>
      <c r="L538" s="1389"/>
      <c r="M538" s="1389"/>
      <c r="N538" s="1389"/>
      <c r="O538" s="1389"/>
      <c r="P538" s="1389"/>
      <c r="Q538" s="1389"/>
      <c r="R538" s="1389"/>
      <c r="S538" s="1389"/>
      <c r="T538" s="1389"/>
      <c r="U538" s="1389"/>
      <c r="V538" s="1389"/>
      <c r="W538" s="1389"/>
      <c r="X538" s="1389"/>
      <c r="Y538" s="1389"/>
      <c r="Z538" s="1389"/>
      <c r="AA538" s="1389"/>
      <c r="AB538" s="1389"/>
      <c r="AC538" s="1389"/>
      <c r="AD538" s="1389"/>
      <c r="AE538" s="1389"/>
      <c r="AF538" s="1404"/>
      <c r="AG538" s="553"/>
      <c r="AH538" s="553"/>
      <c r="AI538" s="553"/>
      <c r="AJ538" s="553"/>
      <c r="AK538" s="616"/>
      <c r="AL538" s="117"/>
      <c r="AM538" s="117"/>
      <c r="AN538" s="424"/>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117"/>
      <c r="BJ538" s="117"/>
      <c r="BK538" s="117"/>
      <c r="BL538" s="117"/>
      <c r="BM538" s="1"/>
      <c r="BN538" s="1"/>
      <c r="BO538" s="1"/>
      <c r="BP538" s="1"/>
      <c r="BQ538" s="1"/>
      <c r="BR538" s="1"/>
      <c r="BS538" s="1"/>
      <c r="BT538" s="1"/>
      <c r="BU538" s="1"/>
      <c r="BV538" s="1"/>
      <c r="BW538" s="1"/>
      <c r="BX538" s="1"/>
      <c r="BY538" s="1"/>
      <c r="BZ538" s="1"/>
      <c r="CA538" s="1"/>
    </row>
    <row r="539" spans="1:79" ht="12.75" hidden="1" customHeight="1">
      <c r="A539" s="521"/>
      <c r="B539" s="117"/>
      <c r="C539" s="76"/>
      <c r="D539" s="117"/>
      <c r="E539" s="76"/>
      <c r="F539" s="119"/>
      <c r="G539" s="76"/>
      <c r="H539" s="76"/>
      <c r="I539" s="76"/>
      <c r="J539" s="76"/>
      <c r="K539" s="76"/>
      <c r="L539" s="76"/>
      <c r="M539" s="76"/>
      <c r="N539" s="76"/>
      <c r="O539" s="76"/>
      <c r="P539" s="76"/>
      <c r="Q539" s="76"/>
      <c r="R539" s="76"/>
      <c r="S539" s="76"/>
      <c r="T539" s="76"/>
      <c r="U539" s="76"/>
      <c r="V539" s="76"/>
      <c r="W539" s="76"/>
      <c r="X539" s="76"/>
      <c r="Y539" s="76"/>
      <c r="Z539" s="76"/>
      <c r="AA539" s="76"/>
      <c r="AB539" s="76"/>
      <c r="AC539" s="76"/>
      <c r="AD539" s="14"/>
      <c r="AE539" s="76"/>
      <c r="AF539" s="76"/>
      <c r="AG539" s="76"/>
      <c r="AH539" s="76"/>
      <c r="AI539" s="117"/>
      <c r="AJ539" s="117"/>
      <c r="AK539" s="117"/>
      <c r="AL539" s="117"/>
      <c r="AM539" s="117"/>
      <c r="AN539" s="424"/>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117"/>
      <c r="BJ539" s="117"/>
      <c r="BK539" s="117"/>
      <c r="BL539" s="117"/>
      <c r="BM539" s="1"/>
      <c r="BN539" s="1"/>
      <c r="BO539" s="1"/>
      <c r="BP539" s="1"/>
      <c r="BQ539" s="1"/>
      <c r="BR539" s="1"/>
      <c r="BS539" s="1"/>
      <c r="BT539" s="1"/>
      <c r="BU539" s="1"/>
      <c r="BV539" s="1"/>
      <c r="BW539" s="1"/>
      <c r="BX539" s="1"/>
      <c r="BY539" s="1"/>
      <c r="BZ539" s="1"/>
      <c r="CA539" s="1"/>
    </row>
    <row r="540" spans="1:79" ht="12.75" hidden="1" customHeight="1">
      <c r="A540" s="521"/>
      <c r="B540" s="117" t="s">
        <v>2290</v>
      </c>
      <c r="C540" s="76"/>
      <c r="D540" s="117"/>
      <c r="E540" s="76"/>
      <c r="F540" s="76"/>
      <c r="G540" s="76"/>
      <c r="H540" s="76"/>
      <c r="I540" s="76"/>
      <c r="J540" s="76"/>
      <c r="K540" s="76"/>
      <c r="L540" s="76"/>
      <c r="M540" s="76"/>
      <c r="N540" s="76"/>
      <c r="O540" s="76"/>
      <c r="P540" s="76"/>
      <c r="Q540" s="76"/>
      <c r="R540" s="76"/>
      <c r="S540" s="76"/>
      <c r="T540" s="76"/>
      <c r="U540" s="76"/>
      <c r="V540" s="76"/>
      <c r="W540" s="76"/>
      <c r="X540" s="76"/>
      <c r="Y540" s="76"/>
      <c r="Z540" s="76"/>
      <c r="AA540" s="76"/>
      <c r="AB540" s="76"/>
      <c r="AC540" s="76"/>
      <c r="AD540" s="14"/>
      <c r="AE540" s="76"/>
      <c r="AF540" s="76"/>
      <c r="AG540" s="76"/>
      <c r="AH540" s="76"/>
      <c r="AI540" s="117"/>
      <c r="AJ540" s="117"/>
      <c r="AK540" s="117"/>
      <c r="AL540" s="117"/>
      <c r="AM540" s="117"/>
      <c r="AN540" s="424"/>
      <c r="AO540" s="117"/>
      <c r="AP540" s="666"/>
      <c r="AQ540" s="666"/>
      <c r="AR540" s="666"/>
      <c r="AS540" s="666"/>
      <c r="AT540" s="666"/>
      <c r="AU540" s="666"/>
      <c r="AV540" s="666"/>
      <c r="AW540" s="666"/>
      <c r="AX540" s="666"/>
      <c r="AY540" s="666"/>
      <c r="AZ540" s="117"/>
      <c r="BA540" s="117"/>
      <c r="BB540" s="117"/>
      <c r="BC540" s="117"/>
      <c r="BD540" s="117"/>
      <c r="BE540" s="117"/>
      <c r="BF540" s="117"/>
      <c r="BG540" s="117"/>
      <c r="BH540" s="117"/>
      <c r="BI540" s="117"/>
      <c r="BJ540" s="117"/>
      <c r="BK540" s="117"/>
      <c r="BL540" s="117"/>
      <c r="BM540" s="1"/>
      <c r="BN540" s="1"/>
      <c r="BO540" s="1"/>
      <c r="BP540" s="1"/>
      <c r="BQ540" s="1"/>
      <c r="BR540" s="1"/>
      <c r="BS540" s="1"/>
      <c r="BT540" s="1"/>
      <c r="BU540" s="1"/>
      <c r="BV540" s="1"/>
      <c r="BW540" s="1"/>
      <c r="BX540" s="1"/>
      <c r="BY540" s="1"/>
      <c r="BZ540" s="1"/>
      <c r="CA540" s="1"/>
    </row>
    <row r="541" spans="1:79" ht="12.75" hidden="1" customHeight="1">
      <c r="A541" s="521"/>
      <c r="B541" s="117" t="s">
        <v>2293</v>
      </c>
      <c r="C541" s="76"/>
      <c r="D541" s="117"/>
      <c r="E541" s="76"/>
      <c r="F541" s="76"/>
      <c r="G541" s="76"/>
      <c r="H541" s="76"/>
      <c r="I541" s="76"/>
      <c r="J541" s="76"/>
      <c r="K541" s="76"/>
      <c r="L541" s="76"/>
      <c r="M541" s="76"/>
      <c r="N541" s="76"/>
      <c r="O541" s="76"/>
      <c r="P541" s="76"/>
      <c r="Q541" s="76"/>
      <c r="R541" s="76"/>
      <c r="S541" s="76"/>
      <c r="T541" s="76"/>
      <c r="U541" s="76"/>
      <c r="V541" s="76"/>
      <c r="W541" s="76"/>
      <c r="X541" s="76"/>
      <c r="Y541" s="76"/>
      <c r="Z541" s="76"/>
      <c r="AA541" s="76"/>
      <c r="AB541" s="76"/>
      <c r="AC541" s="76"/>
      <c r="AD541" s="14"/>
      <c r="AE541" s="76"/>
      <c r="AF541" s="76"/>
      <c r="AG541" s="76"/>
      <c r="AH541" s="76"/>
      <c r="AI541" s="117"/>
      <c r="AJ541" s="117"/>
      <c r="AK541" s="117"/>
      <c r="AL541" s="117"/>
      <c r="AM541" s="117"/>
      <c r="AN541" s="424"/>
      <c r="AO541" s="117"/>
      <c r="AP541" s="693"/>
      <c r="AQ541" s="693"/>
      <c r="AR541" s="693"/>
      <c r="AS541" s="693"/>
      <c r="AT541" s="693"/>
      <c r="AU541" s="693"/>
      <c r="AV541" s="693"/>
      <c r="AW541" s="693"/>
      <c r="AX541" s="693"/>
      <c r="AY541" s="693"/>
      <c r="AZ541" s="117"/>
      <c r="BA541" s="117"/>
      <c r="BB541" s="117"/>
      <c r="BC541" s="117"/>
      <c r="BD541" s="117"/>
      <c r="BE541" s="117"/>
      <c r="BF541" s="117"/>
      <c r="BG541" s="117"/>
      <c r="BH541" s="117"/>
      <c r="BI541" s="117"/>
      <c r="BJ541" s="117"/>
      <c r="BK541" s="117"/>
      <c r="BL541" s="117"/>
      <c r="BM541" s="1"/>
      <c r="BN541" s="1"/>
      <c r="BO541" s="1"/>
      <c r="BP541" s="1"/>
      <c r="BQ541" s="1"/>
      <c r="BR541" s="1"/>
      <c r="BS541" s="1"/>
      <c r="BT541" s="1"/>
      <c r="BU541" s="1"/>
      <c r="BV541" s="1"/>
      <c r="BW541" s="1"/>
      <c r="BX541" s="1"/>
      <c r="BY541" s="1"/>
      <c r="BZ541" s="1"/>
      <c r="CA541" s="1"/>
    </row>
    <row r="542" spans="1:79" ht="12.75" hidden="1" customHeight="1">
      <c r="A542" s="521"/>
      <c r="B542" s="117" t="s">
        <v>2296</v>
      </c>
      <c r="C542" s="76"/>
      <c r="D542" s="117"/>
      <c r="E542" s="76"/>
      <c r="F542" s="76"/>
      <c r="G542" s="76"/>
      <c r="H542" s="76"/>
      <c r="I542" s="76"/>
      <c r="J542" s="76"/>
      <c r="K542" s="76"/>
      <c r="L542" s="76"/>
      <c r="M542" s="76"/>
      <c r="N542" s="76"/>
      <c r="O542" s="76"/>
      <c r="P542" s="76"/>
      <c r="Q542" s="76"/>
      <c r="R542" s="76"/>
      <c r="S542" s="76"/>
      <c r="T542" s="76"/>
      <c r="U542" s="76"/>
      <c r="V542" s="76"/>
      <c r="W542" s="76"/>
      <c r="X542" s="76"/>
      <c r="Y542" s="76"/>
      <c r="Z542" s="76"/>
      <c r="AA542" s="76"/>
      <c r="AB542" s="76"/>
      <c r="AC542" s="76"/>
      <c r="AD542" s="14"/>
      <c r="AE542" s="76"/>
      <c r="AF542" s="76"/>
      <c r="AG542" s="76"/>
      <c r="AH542" s="76"/>
      <c r="AI542" s="117"/>
      <c r="AJ542" s="117"/>
      <c r="AK542" s="117"/>
      <c r="AL542" s="117"/>
      <c r="AM542" s="117"/>
      <c r="AN542" s="424"/>
      <c r="AO542" s="117"/>
      <c r="AP542" s="693"/>
      <c r="AQ542" s="693"/>
      <c r="AR542" s="693"/>
      <c r="AS542" s="693"/>
      <c r="AT542" s="693"/>
      <c r="AU542" s="693"/>
      <c r="AV542" s="693"/>
      <c r="AW542" s="693"/>
      <c r="AX542" s="693"/>
      <c r="AY542" s="693"/>
      <c r="AZ542" s="117"/>
      <c r="BA542" s="117"/>
      <c r="BB542" s="117"/>
      <c r="BC542" s="117"/>
      <c r="BD542" s="117"/>
      <c r="BE542" s="117"/>
      <c r="BF542" s="117"/>
      <c r="BG542" s="117"/>
      <c r="BH542" s="117"/>
      <c r="BI542" s="117"/>
      <c r="BJ542" s="117"/>
      <c r="BK542" s="117"/>
      <c r="BL542" s="117"/>
      <c r="BM542" s="1"/>
      <c r="BN542" s="1"/>
      <c r="BO542" s="1"/>
      <c r="BP542" s="1"/>
      <c r="BQ542" s="1"/>
      <c r="BR542" s="1"/>
      <c r="BS542" s="1"/>
      <c r="BT542" s="1"/>
      <c r="BU542" s="1"/>
      <c r="BV542" s="1"/>
      <c r="BW542" s="1"/>
      <c r="BX542" s="1"/>
      <c r="BY542" s="1"/>
      <c r="BZ542" s="1"/>
      <c r="CA542" s="1"/>
    </row>
    <row r="543" spans="1:79" ht="12.75" hidden="1" customHeight="1">
      <c r="A543" s="521"/>
      <c r="B543" s="117" t="s">
        <v>2298</v>
      </c>
      <c r="C543" s="76"/>
      <c r="D543" s="117"/>
      <c r="E543" s="76"/>
      <c r="F543" s="76"/>
      <c r="G543" s="76"/>
      <c r="H543" s="76"/>
      <c r="I543" s="76"/>
      <c r="J543" s="76"/>
      <c r="K543" s="76"/>
      <c r="L543" s="76"/>
      <c r="M543" s="76"/>
      <c r="N543" s="76"/>
      <c r="O543" s="76"/>
      <c r="P543" s="76"/>
      <c r="Q543" s="76"/>
      <c r="R543" s="76"/>
      <c r="S543" s="76"/>
      <c r="T543" s="76"/>
      <c r="U543" s="76"/>
      <c r="V543" s="76"/>
      <c r="W543" s="76"/>
      <c r="X543" s="76"/>
      <c r="Y543" s="76"/>
      <c r="Z543" s="76"/>
      <c r="AA543" s="76"/>
      <c r="AB543" s="76"/>
      <c r="AC543" s="76"/>
      <c r="AD543" s="14"/>
      <c r="AE543" s="76"/>
      <c r="AF543" s="76"/>
      <c r="AG543" s="76"/>
      <c r="AH543" s="76"/>
      <c r="AI543" s="117"/>
      <c r="AJ543" s="117"/>
      <c r="AK543" s="117"/>
      <c r="AL543" s="117"/>
      <c r="AM543" s="117"/>
      <c r="AN543" s="424"/>
      <c r="AO543" s="117"/>
      <c r="AP543" s="693"/>
      <c r="AQ543" s="693"/>
      <c r="AR543" s="693"/>
      <c r="AS543" s="693"/>
      <c r="AT543" s="693"/>
      <c r="AU543" s="693"/>
      <c r="AV543" s="693"/>
      <c r="AW543" s="693"/>
      <c r="AX543" s="693"/>
      <c r="AY543" s="693"/>
      <c r="AZ543" s="117"/>
      <c r="BA543" s="117"/>
      <c r="BB543" s="117"/>
      <c r="BC543" s="117"/>
      <c r="BD543" s="117"/>
      <c r="BE543" s="117"/>
      <c r="BF543" s="117"/>
      <c r="BG543" s="117"/>
      <c r="BH543" s="117"/>
      <c r="BI543" s="117"/>
      <c r="BJ543" s="117"/>
      <c r="BK543" s="117"/>
      <c r="BL543" s="117"/>
      <c r="BM543" s="1"/>
      <c r="BN543" s="1"/>
      <c r="BO543" s="1"/>
      <c r="BP543" s="1"/>
      <c r="BQ543" s="1"/>
      <c r="BR543" s="1"/>
      <c r="BS543" s="1"/>
      <c r="BT543" s="1"/>
      <c r="BU543" s="1"/>
      <c r="BV543" s="1"/>
      <c r="BW543" s="1"/>
      <c r="BX543" s="1"/>
      <c r="BY543" s="1"/>
      <c r="BZ543" s="1"/>
      <c r="CA543" s="1"/>
    </row>
    <row r="544" spans="1:79" ht="12.75" hidden="1" customHeight="1">
      <c r="A544" s="521"/>
      <c r="B544" s="117" t="s">
        <v>2300</v>
      </c>
      <c r="C544" s="76"/>
      <c r="D544" s="117"/>
      <c r="E544" s="76"/>
      <c r="F544" s="76"/>
      <c r="G544" s="76"/>
      <c r="H544" s="76"/>
      <c r="I544" s="76"/>
      <c r="J544" s="76"/>
      <c r="K544" s="76"/>
      <c r="L544" s="76"/>
      <c r="M544" s="76"/>
      <c r="N544" s="76"/>
      <c r="O544" s="76"/>
      <c r="P544" s="76"/>
      <c r="Q544" s="76"/>
      <c r="R544" s="76"/>
      <c r="S544" s="76"/>
      <c r="T544" s="76"/>
      <c r="U544" s="76"/>
      <c r="V544" s="76"/>
      <c r="W544" s="76"/>
      <c r="X544" s="76"/>
      <c r="Y544" s="76"/>
      <c r="Z544" s="76"/>
      <c r="AA544" s="76"/>
      <c r="AB544" s="76"/>
      <c r="AC544" s="76"/>
      <c r="AD544" s="14"/>
      <c r="AE544" s="76"/>
      <c r="AF544" s="76"/>
      <c r="AG544" s="76"/>
      <c r="AH544" s="76"/>
      <c r="AI544" s="117"/>
      <c r="AJ544" s="117"/>
      <c r="AK544" s="117"/>
      <c r="AL544" s="117"/>
      <c r="AM544" s="117"/>
      <c r="AN544" s="424"/>
      <c r="AO544" s="117"/>
      <c r="AP544" s="693"/>
      <c r="AQ544" s="693"/>
      <c r="AR544" s="693"/>
      <c r="AS544" s="693"/>
      <c r="AT544" s="693"/>
      <c r="AU544" s="693"/>
      <c r="AV544" s="693"/>
      <c r="AW544" s="693"/>
      <c r="AX544" s="693"/>
      <c r="AY544" s="693"/>
      <c r="AZ544" s="117"/>
      <c r="BA544" s="117"/>
      <c r="BB544" s="117"/>
      <c r="BC544" s="117"/>
      <c r="BD544" s="117"/>
      <c r="BE544" s="117"/>
      <c r="BF544" s="117"/>
      <c r="BG544" s="117"/>
      <c r="BH544" s="117"/>
      <c r="BI544" s="117"/>
      <c r="BJ544" s="117"/>
      <c r="BK544" s="117"/>
      <c r="BL544" s="117"/>
      <c r="BM544" s="1"/>
      <c r="BN544" s="1"/>
      <c r="BO544" s="1"/>
      <c r="BP544" s="1"/>
      <c r="BQ544" s="1"/>
      <c r="BR544" s="1"/>
      <c r="BS544" s="1"/>
      <c r="BT544" s="1"/>
      <c r="BU544" s="1"/>
      <c r="BV544" s="1"/>
      <c r="BW544" s="1"/>
      <c r="BX544" s="1"/>
      <c r="BY544" s="1"/>
      <c r="BZ544" s="1"/>
      <c r="CA544" s="1"/>
    </row>
    <row r="545" spans="1:79" ht="12.75" hidden="1" customHeight="1">
      <c r="A545" s="521"/>
      <c r="B545" s="117" t="s">
        <v>2303</v>
      </c>
      <c r="C545" s="76"/>
      <c r="D545" s="117"/>
      <c r="E545" s="76"/>
      <c r="F545" s="76"/>
      <c r="G545" s="76"/>
      <c r="H545" s="76"/>
      <c r="I545" s="76"/>
      <c r="J545" s="76"/>
      <c r="K545" s="76"/>
      <c r="L545" s="76"/>
      <c r="M545" s="76"/>
      <c r="N545" s="76"/>
      <c r="O545" s="76"/>
      <c r="P545" s="76"/>
      <c r="Q545" s="76"/>
      <c r="R545" s="76"/>
      <c r="S545" s="76"/>
      <c r="T545" s="76"/>
      <c r="U545" s="76"/>
      <c r="V545" s="76"/>
      <c r="W545" s="76"/>
      <c r="X545" s="76"/>
      <c r="Y545" s="76"/>
      <c r="Z545" s="76"/>
      <c r="AA545" s="76"/>
      <c r="AB545" s="76"/>
      <c r="AC545" s="76"/>
      <c r="AD545" s="14"/>
      <c r="AE545" s="76"/>
      <c r="AF545" s="76"/>
      <c r="AG545" s="76"/>
      <c r="AH545" s="76"/>
      <c r="AI545" s="117"/>
      <c r="AJ545" s="117"/>
      <c r="AK545" s="117"/>
      <c r="AL545" s="117"/>
      <c r="AM545" s="117"/>
      <c r="AN545" s="424"/>
      <c r="AO545" s="117"/>
      <c r="AP545" s="693"/>
      <c r="AQ545" s="693"/>
      <c r="AR545" s="693"/>
      <c r="AS545" s="693"/>
      <c r="AT545" s="693"/>
      <c r="AU545" s="693"/>
      <c r="AV545" s="693"/>
      <c r="AW545" s="693"/>
      <c r="AX545" s="693"/>
      <c r="AY545" s="693"/>
      <c r="AZ545" s="117"/>
      <c r="BA545" s="117"/>
      <c r="BB545" s="117"/>
      <c r="BC545" s="117"/>
      <c r="BD545" s="117"/>
      <c r="BE545" s="117"/>
      <c r="BF545" s="117"/>
      <c r="BG545" s="117"/>
      <c r="BH545" s="117"/>
      <c r="BI545" s="117"/>
      <c r="BJ545" s="117"/>
      <c r="BK545" s="117"/>
      <c r="BL545" s="117"/>
      <c r="BM545" s="1"/>
      <c r="BN545" s="1"/>
      <c r="BO545" s="1"/>
      <c r="BP545" s="1"/>
      <c r="BQ545" s="1"/>
      <c r="BR545" s="1"/>
      <c r="BS545" s="1"/>
      <c r="BT545" s="1"/>
      <c r="BU545" s="1"/>
      <c r="BV545" s="1"/>
      <c r="BW545" s="1"/>
      <c r="BX545" s="1"/>
      <c r="BY545" s="1"/>
      <c r="BZ545" s="1"/>
      <c r="CA545" s="1"/>
    </row>
    <row r="546" spans="1:79" ht="12.75" hidden="1" customHeight="1">
      <c r="A546" s="521"/>
      <c r="B546" s="117" t="s">
        <v>2306</v>
      </c>
      <c r="C546" s="76"/>
      <c r="D546" s="117"/>
      <c r="E546" s="76"/>
      <c r="F546" s="76"/>
      <c r="G546" s="76"/>
      <c r="H546" s="76"/>
      <c r="I546" s="76"/>
      <c r="J546" s="76"/>
      <c r="K546" s="76"/>
      <c r="L546" s="76"/>
      <c r="M546" s="76"/>
      <c r="N546" s="76"/>
      <c r="O546" s="76"/>
      <c r="P546" s="76"/>
      <c r="Q546" s="76"/>
      <c r="R546" s="76"/>
      <c r="S546" s="76"/>
      <c r="T546" s="76"/>
      <c r="U546" s="76"/>
      <c r="V546" s="76"/>
      <c r="W546" s="76"/>
      <c r="X546" s="76"/>
      <c r="Y546" s="76"/>
      <c r="Z546" s="76"/>
      <c r="AA546" s="76"/>
      <c r="AB546" s="76"/>
      <c r="AC546" s="76"/>
      <c r="AD546" s="14"/>
      <c r="AE546" s="76"/>
      <c r="AF546" s="76"/>
      <c r="AG546" s="76"/>
      <c r="AH546" s="76"/>
      <c r="AI546" s="117"/>
      <c r="AJ546" s="117"/>
      <c r="AK546" s="117"/>
      <c r="AL546" s="117"/>
      <c r="AM546" s="117"/>
      <c r="AN546" s="424"/>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117"/>
      <c r="BJ546" s="117"/>
      <c r="BK546" s="117"/>
      <c r="BL546" s="117"/>
      <c r="BM546" s="117"/>
      <c r="BN546" s="117"/>
      <c r="BO546" s="117"/>
      <c r="BP546" s="117"/>
      <c r="BQ546" s="117"/>
      <c r="BR546" s="117"/>
      <c r="BS546" s="117"/>
      <c r="BT546" s="117"/>
      <c r="BU546" s="117"/>
      <c r="BV546" s="117"/>
      <c r="BW546" s="117"/>
      <c r="BX546" s="117"/>
      <c r="BY546" s="117"/>
      <c r="BZ546" s="117"/>
      <c r="CA546" s="117"/>
    </row>
    <row r="547" spans="1:79" ht="12.75" hidden="1" customHeight="1">
      <c r="A547" s="466"/>
      <c r="B547" s="117"/>
      <c r="C547" s="76"/>
      <c r="D547" s="117"/>
      <c r="E547" s="76"/>
      <c r="F547" s="76"/>
      <c r="G547" s="76"/>
      <c r="H547" s="76"/>
      <c r="I547" s="76"/>
      <c r="J547" s="76"/>
      <c r="K547" s="76"/>
      <c r="L547" s="76"/>
      <c r="M547" s="76"/>
      <c r="N547" s="76"/>
      <c r="O547" s="76"/>
      <c r="P547" s="76"/>
      <c r="Q547" s="76"/>
      <c r="R547" s="76"/>
      <c r="S547" s="76"/>
      <c r="T547" s="76"/>
      <c r="U547" s="76"/>
      <c r="V547" s="76"/>
      <c r="W547" s="76"/>
      <c r="X547" s="76"/>
      <c r="Y547" s="76"/>
      <c r="Z547" s="76"/>
      <c r="AA547" s="76"/>
      <c r="AB547" s="76"/>
      <c r="AC547" s="76"/>
      <c r="AD547" s="14"/>
      <c r="AE547" s="76"/>
      <c r="AF547" s="76"/>
      <c r="AG547" s="76"/>
      <c r="AH547" s="76"/>
      <c r="AI547" s="117"/>
      <c r="AJ547" s="117"/>
      <c r="AK547" s="117"/>
      <c r="AL547" s="117"/>
      <c r="AM547" s="117"/>
      <c r="AN547" s="424"/>
      <c r="AO547" s="117"/>
      <c r="AP547" s="117"/>
      <c r="AQ547" s="117"/>
      <c r="AR547" s="117"/>
      <c r="AS547" s="117"/>
      <c r="AT547" s="117"/>
      <c r="AU547" s="117"/>
      <c r="AV547" s="117"/>
      <c r="AW547" s="117"/>
      <c r="AX547" s="117"/>
      <c r="AY547" s="117"/>
      <c r="AZ547" s="117"/>
      <c r="BA547" s="117"/>
      <c r="BB547" s="117"/>
      <c r="BC547" s="117"/>
      <c r="BD547" s="117"/>
      <c r="BE547" s="117"/>
      <c r="BF547" s="117"/>
      <c r="BG547" s="117"/>
      <c r="BH547" s="117"/>
      <c r="BI547" s="117"/>
      <c r="BJ547" s="117"/>
      <c r="BK547" s="117"/>
      <c r="BL547" s="117"/>
      <c r="BM547" s="117"/>
      <c r="BN547" s="117"/>
      <c r="BO547" s="117"/>
      <c r="BP547" s="117"/>
      <c r="BQ547" s="117"/>
      <c r="BR547" s="117"/>
      <c r="BS547" s="117"/>
      <c r="BT547" s="117"/>
      <c r="BU547" s="117"/>
      <c r="BV547" s="117"/>
      <c r="BW547" s="117"/>
      <c r="BX547" s="117"/>
      <c r="BY547" s="117"/>
      <c r="BZ547" s="117"/>
      <c r="CA547" s="117"/>
    </row>
    <row r="548" spans="1:79" ht="12.75" hidden="1" customHeight="1">
      <c r="A548" s="425"/>
      <c r="B548" s="560"/>
      <c r="C548" s="560"/>
      <c r="D548" s="560"/>
      <c r="E548" s="560"/>
      <c r="F548" s="560"/>
      <c r="G548" s="560"/>
      <c r="H548" s="560"/>
      <c r="I548" s="560"/>
      <c r="J548" s="560"/>
      <c r="K548" s="560"/>
      <c r="L548" s="560"/>
      <c r="M548" s="560"/>
      <c r="N548" s="560"/>
      <c r="O548" s="560"/>
      <c r="P548" s="560"/>
      <c r="Q548" s="560"/>
      <c r="R548" s="560"/>
      <c r="S548" s="560"/>
      <c r="T548" s="560"/>
      <c r="U548" s="560"/>
      <c r="V548" s="560"/>
      <c r="W548" s="560"/>
      <c r="X548" s="560"/>
      <c r="Y548" s="560"/>
      <c r="Z548" s="560"/>
      <c r="AA548" s="560"/>
      <c r="AB548" s="560"/>
      <c r="AC548" s="561"/>
      <c r="AD548" s="560"/>
      <c r="AE548" s="560"/>
      <c r="AF548" s="560"/>
      <c r="AG548" s="560"/>
      <c r="AH548" s="371"/>
      <c r="AI548" s="372"/>
      <c r="AJ548" s="372" t="s">
        <v>2308</v>
      </c>
      <c r="AK548" s="945">
        <f>SUM(AG492:AG537)</f>
        <v>0</v>
      </c>
      <c r="AL548" s="921"/>
      <c r="AM548" s="943"/>
      <c r="AN548" s="424"/>
      <c r="AO548" s="117"/>
      <c r="AP548" s="1"/>
      <c r="AQ548" s="1"/>
      <c r="AR548" s="1"/>
      <c r="AS548" s="1"/>
      <c r="AT548" s="1"/>
      <c r="AU548" s="1"/>
      <c r="AV548" s="1"/>
      <c r="AW548" s="1"/>
      <c r="AX548" s="1"/>
      <c r="AY548" s="1"/>
      <c r="AZ548" s="1"/>
      <c r="BA548" s="117"/>
      <c r="BB548" s="117"/>
      <c r="BC548" s="117"/>
      <c r="BD548" s="117"/>
      <c r="BE548" s="117"/>
      <c r="BF548" s="117"/>
      <c r="BG548" s="117"/>
      <c r="BH548" s="117"/>
      <c r="BI548" s="117"/>
      <c r="BJ548" s="117"/>
      <c r="BK548" s="117"/>
      <c r="BL548" s="117"/>
      <c r="BM548" s="117"/>
      <c r="BN548" s="117"/>
      <c r="BO548" s="117"/>
      <c r="BP548" s="117"/>
      <c r="BQ548" s="117"/>
      <c r="BR548" s="117"/>
      <c r="BS548" s="117"/>
      <c r="BT548" s="117"/>
      <c r="BU548" s="117"/>
      <c r="BV548" s="117"/>
      <c r="BW548" s="117"/>
      <c r="BX548" s="117"/>
      <c r="BY548" s="117"/>
      <c r="BZ548" s="117"/>
      <c r="CA548" s="117"/>
    </row>
    <row r="549" spans="1:79" ht="12.75" hidden="1" customHeight="1">
      <c r="A549" s="117"/>
      <c r="B549" s="76"/>
      <c r="C549" s="76"/>
      <c r="D549" s="76"/>
      <c r="E549" s="76"/>
      <c r="F549" s="76"/>
      <c r="G549" s="76"/>
      <c r="H549" s="76"/>
      <c r="I549" s="76"/>
      <c r="J549" s="76"/>
      <c r="K549" s="76"/>
      <c r="L549" s="76"/>
      <c r="M549" s="76"/>
      <c r="N549" s="76"/>
      <c r="O549" s="76"/>
      <c r="P549" s="76"/>
      <c r="Q549" s="76"/>
      <c r="R549" s="76"/>
      <c r="S549" s="76"/>
      <c r="T549" s="76"/>
      <c r="U549" s="76"/>
      <c r="V549" s="76"/>
      <c r="W549" s="76"/>
      <c r="X549" s="76"/>
      <c r="Y549" s="76"/>
      <c r="Z549" s="76"/>
      <c r="AA549" s="76"/>
      <c r="AB549" s="76"/>
      <c r="AC549" s="14"/>
      <c r="AD549" s="76"/>
      <c r="AE549" s="76"/>
      <c r="AF549" s="76"/>
      <c r="AG549" s="76"/>
      <c r="AH549" s="117"/>
      <c r="AI549" s="237"/>
      <c r="AJ549" s="237"/>
      <c r="AK549" s="7"/>
      <c r="AL549" s="7"/>
      <c r="AM549" s="7"/>
      <c r="AN549" s="424"/>
      <c r="AO549" s="117"/>
      <c r="AP549" s="1"/>
      <c r="AQ549" s="1"/>
      <c r="AR549" s="1"/>
      <c r="AS549" s="1"/>
      <c r="AT549" s="1"/>
      <c r="AU549" s="1"/>
      <c r="AV549" s="1"/>
      <c r="AW549" s="1"/>
      <c r="AX549" s="1"/>
      <c r="AY549" s="1"/>
      <c r="AZ549" s="1"/>
      <c r="BA549" s="117"/>
      <c r="BB549" s="117"/>
      <c r="BC549" s="117"/>
      <c r="BD549" s="117"/>
      <c r="BE549" s="117"/>
      <c r="BF549" s="117"/>
      <c r="BG549" s="117"/>
      <c r="BH549" s="117"/>
      <c r="BI549" s="117"/>
      <c r="BJ549" s="117"/>
      <c r="BK549" s="117"/>
      <c r="BL549" s="117"/>
      <c r="BM549" s="117"/>
      <c r="BN549" s="117"/>
      <c r="BO549" s="117"/>
      <c r="BP549" s="117"/>
      <c r="BQ549" s="117"/>
      <c r="BR549" s="117"/>
      <c r="BS549" s="117"/>
      <c r="BT549" s="117"/>
      <c r="BU549" s="117"/>
      <c r="BV549" s="117"/>
      <c r="BW549" s="117"/>
      <c r="BX549" s="117"/>
      <c r="BY549" s="117"/>
      <c r="BZ549" s="117"/>
      <c r="CA549" s="117"/>
    </row>
    <row r="550" spans="1:79"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345"/>
      <c r="AO550" s="203"/>
      <c r="AP550" s="1"/>
      <c r="AQ550" s="1"/>
      <c r="AR550" s="1"/>
      <c r="AS550" s="1"/>
      <c r="AT550" s="1"/>
      <c r="AU550" s="1"/>
      <c r="AV550" s="1"/>
      <c r="AW550" s="1"/>
      <c r="AX550" s="1"/>
      <c r="AY550" s="1"/>
      <c r="AZ550" s="1"/>
      <c r="BA550" s="1"/>
      <c r="BB550" s="1"/>
      <c r="BC550" s="1"/>
      <c r="BD550" s="126"/>
      <c r="BE550" s="126"/>
      <c r="BF550" s="126"/>
      <c r="BG550" s="126"/>
      <c r="BH550" s="126"/>
      <c r="BI550" s="1"/>
      <c r="BJ550" s="1"/>
      <c r="BK550" s="1"/>
      <c r="BL550" s="1"/>
      <c r="BM550" s="1"/>
      <c r="BN550" s="1"/>
      <c r="BO550" s="1"/>
      <c r="BP550" s="1"/>
      <c r="BQ550" s="1"/>
      <c r="BR550" s="1"/>
      <c r="BS550" s="1"/>
      <c r="BT550" s="1"/>
      <c r="BU550" s="1"/>
      <c r="BV550" s="1"/>
      <c r="BW550" s="1"/>
      <c r="BX550" s="1"/>
      <c r="BY550" s="1"/>
      <c r="BZ550" s="1"/>
      <c r="CA550" s="1"/>
    </row>
    <row r="551" spans="1:79" ht="12.75" customHeight="1">
      <c r="A551" s="8" t="s">
        <v>2313</v>
      </c>
      <c r="B551" s="8" t="s">
        <v>2314</v>
      </c>
      <c r="C551" s="76"/>
      <c r="D551" s="76"/>
      <c r="E551" s="76"/>
      <c r="F551" s="76"/>
      <c r="G551" s="76"/>
      <c r="H551" s="76"/>
      <c r="I551" s="76"/>
      <c r="J551" s="76"/>
      <c r="K551" s="76"/>
      <c r="L551" s="76"/>
      <c r="M551" s="76"/>
      <c r="N551" s="76"/>
      <c r="O551" s="76"/>
      <c r="P551" s="76"/>
      <c r="Q551" s="76"/>
      <c r="R551" s="76"/>
      <c r="S551" s="76"/>
      <c r="T551" s="76"/>
      <c r="U551" s="76"/>
      <c r="V551" s="76"/>
      <c r="W551" s="76"/>
      <c r="X551" s="76"/>
      <c r="Y551" s="76"/>
      <c r="Z551" s="76"/>
      <c r="AA551" s="76"/>
      <c r="AB551" s="76"/>
      <c r="AC551" s="14"/>
      <c r="AD551" s="76"/>
      <c r="AE551" s="1396" t="s">
        <v>2315</v>
      </c>
      <c r="AF551" s="893"/>
      <c r="AG551" s="893"/>
      <c r="AH551" s="893"/>
      <c r="AI551" s="893"/>
      <c r="AJ551" s="893"/>
      <c r="AK551" s="893"/>
      <c r="AL551" s="7"/>
      <c r="AM551" s="7"/>
      <c r="AN551" s="424"/>
      <c r="AO551" s="117"/>
      <c r="AP551" s="117"/>
      <c r="AQ551" s="117"/>
      <c r="AR551" s="117"/>
      <c r="AS551" s="117"/>
      <c r="AT551" s="117"/>
      <c r="AU551" s="117"/>
      <c r="AV551" s="117"/>
      <c r="AW551" s="117"/>
      <c r="AX551" s="117"/>
      <c r="AY551" s="117"/>
      <c r="AZ551" s="117"/>
      <c r="BA551" s="117"/>
      <c r="BB551" s="117"/>
      <c r="BC551" s="117"/>
      <c r="BD551" s="117"/>
      <c r="BE551" s="117"/>
      <c r="BF551" s="117"/>
      <c r="BG551" s="117"/>
      <c r="BH551" s="117"/>
      <c r="BI551" s="117"/>
      <c r="BJ551" s="117"/>
      <c r="BK551" s="117"/>
      <c r="BL551" s="117"/>
      <c r="BM551" s="117"/>
      <c r="BN551" s="117"/>
      <c r="BO551" s="117"/>
      <c r="BP551" s="117"/>
      <c r="BQ551" s="117"/>
      <c r="BR551" s="117"/>
      <c r="BS551" s="117"/>
      <c r="BT551" s="117"/>
      <c r="BU551" s="117"/>
      <c r="BV551" s="117"/>
      <c r="BW551" s="117"/>
      <c r="BX551" s="117"/>
      <c r="BY551" s="117"/>
      <c r="BZ551" s="117"/>
      <c r="CA551" s="117"/>
    </row>
    <row r="552" spans="1:79" ht="12.75" customHeight="1">
      <c r="A552" s="8"/>
      <c r="B552" s="8" t="s">
        <v>1896</v>
      </c>
      <c r="C552" s="76"/>
      <c r="D552" s="76"/>
      <c r="E552" s="76"/>
      <c r="F552" s="76"/>
      <c r="G552" s="76"/>
      <c r="H552" s="76"/>
      <c r="I552" s="76"/>
      <c r="J552" s="76"/>
      <c r="K552" s="76"/>
      <c r="L552" s="76"/>
      <c r="M552" s="76"/>
      <c r="N552" s="76"/>
      <c r="O552" s="76"/>
      <c r="P552" s="76"/>
      <c r="Q552" s="76"/>
      <c r="R552" s="76"/>
      <c r="S552" s="76"/>
      <c r="T552" s="76"/>
      <c r="U552" s="76"/>
      <c r="V552" s="76"/>
      <c r="W552" s="76"/>
      <c r="X552" s="76"/>
      <c r="Y552" s="76"/>
      <c r="Z552" s="76"/>
      <c r="AA552" s="76"/>
      <c r="AB552" s="76"/>
      <c r="AC552" s="14"/>
      <c r="AD552" s="76"/>
      <c r="AE552" s="237"/>
      <c r="AF552" s="237"/>
      <c r="AG552" s="237"/>
      <c r="AH552" s="237"/>
      <c r="AI552" s="237"/>
      <c r="AJ552" s="237"/>
      <c r="AK552" s="237"/>
      <c r="AL552" s="7"/>
      <c r="AM552" s="7"/>
      <c r="AN552" s="424"/>
      <c r="AO552" s="117"/>
      <c r="AP552" s="117"/>
      <c r="AQ552" s="117"/>
      <c r="AR552" s="117"/>
      <c r="AS552" s="117"/>
      <c r="AT552" s="117"/>
      <c r="AU552" s="117"/>
      <c r="AV552" s="117"/>
      <c r="AW552" s="117"/>
      <c r="AX552" s="117"/>
      <c r="AY552" s="117"/>
      <c r="AZ552" s="117"/>
      <c r="BA552" s="117"/>
      <c r="BB552" s="117"/>
      <c r="BC552" s="117"/>
      <c r="BD552" s="117"/>
      <c r="BE552" s="117"/>
      <c r="BF552" s="117"/>
      <c r="BG552" s="117"/>
      <c r="BH552" s="117"/>
      <c r="BI552" s="117"/>
      <c r="BJ552" s="117"/>
      <c r="BK552" s="117"/>
      <c r="BL552" s="117"/>
      <c r="BM552" s="117"/>
      <c r="BN552" s="117"/>
      <c r="BO552" s="117"/>
      <c r="BP552" s="117"/>
      <c r="BQ552" s="117"/>
      <c r="BR552" s="117"/>
      <c r="BS552" s="117"/>
      <c r="BT552" s="117"/>
      <c r="BU552" s="117"/>
      <c r="BV552" s="117"/>
      <c r="BW552" s="117"/>
      <c r="BX552" s="117"/>
      <c r="BY552" s="117"/>
      <c r="BZ552" s="117"/>
      <c r="CA552" s="117"/>
    </row>
    <row r="553" spans="1:79" ht="12.75" customHeight="1">
      <c r="A553" s="8"/>
      <c r="B553" s="8"/>
      <c r="C553" s="76"/>
      <c r="D553" s="76"/>
      <c r="E553" s="76"/>
      <c r="F553" s="76"/>
      <c r="G553" s="76"/>
      <c r="H553" s="76"/>
      <c r="I553" s="76"/>
      <c r="J553" s="76"/>
      <c r="K553" s="76"/>
      <c r="L553" s="76"/>
      <c r="M553" s="76"/>
      <c r="N553" s="76"/>
      <c r="O553" s="76"/>
      <c r="P553" s="76"/>
      <c r="Q553" s="76"/>
      <c r="R553" s="76"/>
      <c r="S553" s="76"/>
      <c r="T553" s="76"/>
      <c r="U553" s="76"/>
      <c r="V553" s="76"/>
      <c r="W553" s="76"/>
      <c r="X553" s="76"/>
      <c r="Y553" s="76"/>
      <c r="Z553" s="76"/>
      <c r="AA553" s="76"/>
      <c r="AB553" s="76"/>
      <c r="AC553" s="14"/>
      <c r="AD553" s="76"/>
      <c r="AE553" s="237"/>
      <c r="AF553" s="237"/>
      <c r="AG553" s="237"/>
      <c r="AH553" s="237"/>
      <c r="AI553" s="237"/>
      <c r="AJ553" s="237"/>
      <c r="AK553" s="237"/>
      <c r="AL553" s="7"/>
      <c r="AM553" s="7"/>
      <c r="AN553" s="424"/>
      <c r="AO553" s="117"/>
      <c r="AP553" s="117"/>
      <c r="AQ553" s="117"/>
      <c r="AR553" s="117"/>
      <c r="AS553" s="117"/>
      <c r="AT553" s="117"/>
      <c r="AU553" s="117"/>
      <c r="AV553" s="117"/>
      <c r="AW553" s="117"/>
      <c r="AX553" s="117"/>
      <c r="AY553" s="117"/>
      <c r="AZ553" s="117"/>
      <c r="BA553" s="117"/>
      <c r="BB553" s="117"/>
      <c r="BC553" s="117"/>
      <c r="BD553" s="117"/>
      <c r="BE553" s="117"/>
      <c r="BF553" s="117"/>
      <c r="BG553" s="117"/>
      <c r="BH553" s="117"/>
      <c r="BI553" s="117"/>
      <c r="BJ553" s="117"/>
      <c r="BK553" s="117"/>
      <c r="BL553" s="117"/>
      <c r="BM553" s="117"/>
      <c r="BN553" s="117"/>
      <c r="BO553" s="117"/>
      <c r="BP553" s="117"/>
      <c r="BQ553" s="117"/>
      <c r="BR553" s="117"/>
      <c r="BS553" s="117"/>
      <c r="BT553" s="117"/>
      <c r="BU553" s="117"/>
      <c r="BV553" s="117"/>
      <c r="BW553" s="117"/>
      <c r="BX553" s="117"/>
      <c r="BY553" s="117"/>
      <c r="BZ553" s="117"/>
      <c r="CA553" s="117"/>
    </row>
    <row r="554" spans="1:79" ht="12.75" customHeight="1">
      <c r="A554" s="8"/>
      <c r="B554" s="8"/>
      <c r="C554" s="973" t="s">
        <v>901</v>
      </c>
      <c r="D554" s="969"/>
      <c r="E554" s="76"/>
      <c r="F554" s="1383" t="s">
        <v>2318</v>
      </c>
      <c r="G554" s="1384"/>
      <c r="H554" s="1384"/>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c r="AJ554" s="1384"/>
      <c r="AK554" s="1384"/>
      <c r="AL554" s="1385"/>
      <c r="AM554" s="7"/>
      <c r="AN554" s="424"/>
      <c r="AO554" s="117"/>
      <c r="AP554" s="117"/>
      <c r="AQ554" s="117"/>
      <c r="AR554" s="117"/>
      <c r="AS554" s="117"/>
      <c r="AT554" s="117"/>
      <c r="AU554" s="117"/>
      <c r="AV554" s="117"/>
      <c r="AW554" s="117"/>
      <c r="AX554" s="117"/>
      <c r="AY554" s="117"/>
      <c r="AZ554" s="117"/>
      <c r="BA554" s="117"/>
      <c r="BB554" s="117"/>
      <c r="BC554" s="117"/>
      <c r="BD554" s="117"/>
      <c r="BE554" s="117"/>
      <c r="BF554" s="117"/>
      <c r="BG554" s="117"/>
      <c r="BH554" s="117"/>
      <c r="BI554" s="117"/>
      <c r="BJ554" s="117"/>
      <c r="BK554" s="117"/>
      <c r="BL554" s="117"/>
      <c r="BM554" s="117"/>
      <c r="BN554" s="117"/>
      <c r="BO554" s="117"/>
      <c r="BP554" s="117"/>
      <c r="BQ554" s="117"/>
      <c r="BR554" s="117"/>
      <c r="BS554" s="117"/>
      <c r="BT554" s="117"/>
      <c r="BU554" s="117"/>
      <c r="BV554" s="117"/>
      <c r="BW554" s="117"/>
      <c r="BX554" s="117"/>
      <c r="BY554" s="117"/>
      <c r="BZ554" s="117"/>
      <c r="CA554" s="117"/>
    </row>
    <row r="555" spans="1:79" ht="12.75" customHeight="1">
      <c r="A555" s="117"/>
      <c r="B555" s="8"/>
      <c r="C555" s="76"/>
      <c r="D555" s="76"/>
      <c r="E555" s="76"/>
      <c r="F555" s="1388"/>
      <c r="G555" s="1389"/>
      <c r="H555" s="1389"/>
      <c r="I555" s="1389"/>
      <c r="J555" s="1389"/>
      <c r="K555" s="1389"/>
      <c r="L555" s="1389"/>
      <c r="M555" s="1389"/>
      <c r="N555" s="1389"/>
      <c r="O555" s="1389"/>
      <c r="P555" s="1389"/>
      <c r="Q555" s="1389"/>
      <c r="R555" s="1389"/>
      <c r="S555" s="1389"/>
      <c r="T555" s="1389"/>
      <c r="U555" s="1389"/>
      <c r="V555" s="1389"/>
      <c r="W555" s="1389"/>
      <c r="X555" s="1389"/>
      <c r="Y555" s="1389"/>
      <c r="Z555" s="1389"/>
      <c r="AA555" s="1389"/>
      <c r="AB555" s="1389"/>
      <c r="AC555" s="1389"/>
      <c r="AD555" s="1389"/>
      <c r="AE555" s="1389"/>
      <c r="AF555" s="1389"/>
      <c r="AG555" s="1389"/>
      <c r="AH555" s="1389"/>
      <c r="AI555" s="1389"/>
      <c r="AJ555" s="1389"/>
      <c r="AK555" s="1389"/>
      <c r="AL555" s="1390"/>
      <c r="AM555" s="7"/>
      <c r="AN555" s="424"/>
      <c r="AO555" s="117"/>
      <c r="AP555" s="117"/>
      <c r="AQ555" s="117"/>
      <c r="AR555" s="117"/>
      <c r="AS555" s="117"/>
      <c r="AT555" s="117"/>
      <c r="AU555" s="117"/>
      <c r="AV555" s="117"/>
      <c r="AW555" s="117"/>
      <c r="AX555" s="117"/>
      <c r="AY555" s="117"/>
      <c r="AZ555" s="117"/>
      <c r="BA555" s="117"/>
      <c r="BB555" s="117"/>
      <c r="BC555" s="117"/>
      <c r="BD555" s="117"/>
      <c r="BE555" s="117"/>
      <c r="BF555" s="117"/>
      <c r="BG555" s="117"/>
      <c r="BH555" s="117"/>
      <c r="BI555" s="117"/>
      <c r="BJ555" s="117"/>
      <c r="BK555" s="117"/>
      <c r="BL555" s="117"/>
      <c r="BM555" s="117"/>
      <c r="BN555" s="117"/>
      <c r="BO555" s="117"/>
      <c r="BP555" s="117"/>
      <c r="BQ555" s="117"/>
      <c r="BR555" s="117"/>
      <c r="BS555" s="117"/>
      <c r="BT555" s="117"/>
      <c r="BU555" s="117"/>
      <c r="BV555" s="117"/>
      <c r="BW555" s="117"/>
      <c r="BX555" s="117"/>
      <c r="BY555" s="117"/>
      <c r="BZ555" s="117"/>
      <c r="CA555" s="117"/>
    </row>
    <row r="556" spans="1:79" ht="12.75" customHeight="1">
      <c r="A556" s="8"/>
      <c r="B556" s="8"/>
      <c r="C556" s="76"/>
      <c r="D556" s="76"/>
      <c r="E556" s="76"/>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7"/>
      <c r="AN556" s="424"/>
      <c r="AO556" s="117"/>
      <c r="AP556" s="117"/>
      <c r="AQ556" s="117"/>
      <c r="AR556" s="117"/>
      <c r="AS556" s="117"/>
      <c r="AT556" s="117"/>
      <c r="AU556" s="117"/>
      <c r="AV556" s="117"/>
      <c r="AW556" s="117"/>
      <c r="AX556" s="117"/>
      <c r="AY556" s="117"/>
      <c r="AZ556" s="117"/>
      <c r="BA556" s="117"/>
      <c r="BB556" s="117"/>
      <c r="BC556" s="117"/>
      <c r="BD556" s="117"/>
      <c r="BE556" s="117"/>
      <c r="BF556" s="117"/>
      <c r="BG556" s="117"/>
      <c r="BH556" s="117"/>
      <c r="BI556" s="117"/>
      <c r="BJ556" s="117"/>
      <c r="BK556" s="117"/>
      <c r="BL556" s="117"/>
      <c r="BM556" s="117"/>
      <c r="BN556" s="117"/>
      <c r="BO556" s="117"/>
      <c r="BP556" s="117"/>
      <c r="BQ556" s="117"/>
      <c r="BR556" s="117"/>
      <c r="BS556" s="117"/>
      <c r="BT556" s="117"/>
      <c r="BU556" s="117"/>
      <c r="BV556" s="117"/>
      <c r="BW556" s="117"/>
      <c r="BX556" s="117"/>
      <c r="BY556" s="117"/>
      <c r="BZ556" s="117"/>
      <c r="CA556" s="117"/>
    </row>
    <row r="557" spans="1:79" ht="12.75" customHeight="1">
      <c r="A557" s="8"/>
      <c r="B557" s="3"/>
      <c r="C557" s="973" t="s">
        <v>855</v>
      </c>
      <c r="D557" s="969"/>
      <c r="E557" s="3"/>
      <c r="F557" s="542" t="s">
        <v>2325</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7"/>
      <c r="AN557" s="424"/>
      <c r="AO557" s="117"/>
      <c r="AP557" s="117"/>
      <c r="AQ557" s="117"/>
      <c r="AR557" s="117"/>
      <c r="AS557" s="117"/>
      <c r="AT557" s="117"/>
      <c r="AU557" s="117"/>
      <c r="AV557" s="117"/>
      <c r="AW557" s="117"/>
      <c r="AX557" s="117"/>
      <c r="AY557" s="117"/>
      <c r="AZ557" s="117"/>
      <c r="BA557" s="117"/>
      <c r="BB557" s="117"/>
      <c r="BC557" s="117"/>
      <c r="BD557" s="117"/>
      <c r="BE557" s="117"/>
      <c r="BF557" s="117"/>
      <c r="BG557" s="117"/>
      <c r="BH557" s="117"/>
      <c r="BI557" s="117"/>
      <c r="BJ557" s="117"/>
      <c r="BK557" s="117"/>
      <c r="BL557" s="117"/>
      <c r="BM557" s="117"/>
      <c r="BN557" s="117"/>
      <c r="BO557" s="117"/>
      <c r="BP557" s="117"/>
      <c r="BQ557" s="117"/>
      <c r="BR557" s="117"/>
      <c r="BS557" s="117"/>
      <c r="BT557" s="117"/>
      <c r="BU557" s="117"/>
      <c r="BV557" s="117"/>
      <c r="BW557" s="117"/>
      <c r="BX557" s="117"/>
      <c r="BY557" s="117"/>
      <c r="BZ557" s="117"/>
      <c r="CA557" s="117"/>
    </row>
    <row r="558" spans="1:79" ht="12.75" customHeight="1">
      <c r="A558" s="117"/>
      <c r="B558" s="3"/>
      <c r="C558" s="3"/>
      <c r="D558" s="3"/>
      <c r="E558" s="3"/>
      <c r="F558" s="1419" t="s">
        <v>2327</v>
      </c>
      <c r="G558" s="893"/>
      <c r="H558" s="893"/>
      <c r="I558" s="893"/>
      <c r="J558" s="893"/>
      <c r="K558" s="893"/>
      <c r="L558" s="893"/>
      <c r="M558" s="893"/>
      <c r="N558" s="893"/>
      <c r="O558" s="893"/>
      <c r="P558" s="893"/>
      <c r="Q558" s="893"/>
      <c r="R558" s="893"/>
      <c r="S558" s="893"/>
      <c r="T558" s="893"/>
      <c r="U558" s="893"/>
      <c r="V558" s="893"/>
      <c r="W558" s="893"/>
      <c r="X558" s="893"/>
      <c r="Y558" s="893"/>
      <c r="Z558" s="893"/>
      <c r="AA558" s="893"/>
      <c r="AB558" s="893"/>
      <c r="AC558" s="893"/>
      <c r="AD558" s="893"/>
      <c r="AE558" s="893"/>
      <c r="AF558" s="893"/>
      <c r="AG558" s="893"/>
      <c r="AH558" s="893"/>
      <c r="AI558" s="893"/>
      <c r="AJ558" s="893"/>
      <c r="AK558" s="893"/>
      <c r="AL558" s="1387"/>
      <c r="AM558" s="7"/>
      <c r="AN558" s="424"/>
      <c r="AO558" s="117"/>
      <c r="AP558" s="117"/>
      <c r="AQ558" s="117"/>
      <c r="AR558" s="117"/>
      <c r="AS558" s="702"/>
      <c r="AT558" s="702"/>
      <c r="AU558" s="702"/>
      <c r="AV558" s="702"/>
      <c r="AW558" s="702"/>
      <c r="AX558" s="117"/>
      <c r="AY558" s="117"/>
      <c r="AZ558" s="117"/>
      <c r="BA558" s="117"/>
      <c r="BB558" s="117"/>
      <c r="BC558" s="117"/>
      <c r="BD558" s="117"/>
      <c r="BE558" s="117"/>
      <c r="BF558" s="117"/>
      <c r="BG558" s="117"/>
      <c r="BH558" s="117"/>
      <c r="BI558" s="117"/>
      <c r="BJ558" s="117"/>
      <c r="BK558" s="117"/>
      <c r="BL558" s="117"/>
      <c r="BM558" s="117"/>
      <c r="BN558" s="117"/>
      <c r="BO558" s="117"/>
      <c r="BP558" s="117"/>
      <c r="BQ558" s="117"/>
      <c r="BR558" s="117"/>
      <c r="BS558" s="117"/>
      <c r="BT558" s="117"/>
      <c r="BU558" s="117"/>
      <c r="BV558" s="117"/>
      <c r="BW558" s="117"/>
      <c r="BX558" s="117"/>
      <c r="BY558" s="117"/>
      <c r="BZ558" s="117"/>
      <c r="CA558" s="117"/>
    </row>
    <row r="559" spans="1:79" ht="12.75" customHeight="1">
      <c r="A559" s="117"/>
      <c r="B559" s="3"/>
      <c r="C559" s="3"/>
      <c r="D559" s="3"/>
      <c r="E559" s="3"/>
      <c r="F559" s="1386"/>
      <c r="G559" s="893"/>
      <c r="H559" s="893"/>
      <c r="I559" s="893"/>
      <c r="J559" s="893"/>
      <c r="K559" s="893"/>
      <c r="L559" s="893"/>
      <c r="M559" s="893"/>
      <c r="N559" s="893"/>
      <c r="O559" s="893"/>
      <c r="P559" s="893"/>
      <c r="Q559" s="893"/>
      <c r="R559" s="893"/>
      <c r="S559" s="893"/>
      <c r="T559" s="893"/>
      <c r="U559" s="893"/>
      <c r="V559" s="893"/>
      <c r="W559" s="893"/>
      <c r="X559" s="893"/>
      <c r="Y559" s="893"/>
      <c r="Z559" s="893"/>
      <c r="AA559" s="893"/>
      <c r="AB559" s="893"/>
      <c r="AC559" s="893"/>
      <c r="AD559" s="893"/>
      <c r="AE559" s="893"/>
      <c r="AF559" s="893"/>
      <c r="AG559" s="893"/>
      <c r="AH559" s="893"/>
      <c r="AI559" s="893"/>
      <c r="AJ559" s="893"/>
      <c r="AK559" s="893"/>
      <c r="AL559" s="1387"/>
      <c r="AM559" s="7"/>
      <c r="AN559" s="424"/>
      <c r="AO559" s="117"/>
      <c r="AP559" s="117"/>
      <c r="AQ559" s="117"/>
      <c r="AR559" s="117"/>
      <c r="AS559" s="117"/>
      <c r="AT559" s="117"/>
      <c r="AU559" s="117"/>
      <c r="AV559" s="117"/>
      <c r="AW559" s="117"/>
      <c r="AX559" s="117"/>
      <c r="AY559" s="117"/>
      <c r="AZ559" s="117"/>
      <c r="BA559" s="117"/>
      <c r="BB559" s="117"/>
      <c r="BC559" s="117"/>
      <c r="BD559" s="117"/>
      <c r="BE559" s="117"/>
      <c r="BF559" s="117"/>
      <c r="BG559" s="117"/>
      <c r="BH559" s="117"/>
      <c r="BI559" s="117"/>
      <c r="BJ559" s="117"/>
      <c r="BK559" s="117"/>
      <c r="BL559" s="117"/>
      <c r="BM559" s="117"/>
      <c r="BN559" s="117"/>
      <c r="BO559" s="117"/>
      <c r="BP559" s="117"/>
      <c r="BQ559" s="117"/>
      <c r="BR559" s="117"/>
      <c r="BS559" s="117"/>
      <c r="BT559" s="117"/>
      <c r="BU559" s="117"/>
      <c r="BV559" s="117"/>
      <c r="BW559" s="117"/>
      <c r="BX559" s="117"/>
      <c r="BY559" s="117"/>
      <c r="BZ559" s="117"/>
      <c r="CA559" s="117"/>
    </row>
    <row r="560" spans="1:79" ht="12.75" customHeight="1">
      <c r="A560" s="117"/>
      <c r="B560" s="3"/>
      <c r="C560" s="3"/>
      <c r="D560" s="3"/>
      <c r="E560" s="3"/>
      <c r="F560" s="703" t="s">
        <v>2328</v>
      </c>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704"/>
      <c r="AM560" s="7"/>
      <c r="AN560" s="424"/>
      <c r="AO560" s="117"/>
      <c r="AP560" s="117"/>
      <c r="AQ560" s="117"/>
      <c r="AR560" s="117"/>
      <c r="AS560" s="117"/>
      <c r="AT560" s="117"/>
      <c r="AU560" s="117"/>
      <c r="AV560" s="117"/>
      <c r="AW560" s="117"/>
      <c r="AX560" s="117"/>
      <c r="AY560" s="117"/>
      <c r="AZ560" s="117"/>
      <c r="BA560" s="117"/>
      <c r="BB560" s="117"/>
      <c r="BC560" s="117"/>
      <c r="BD560" s="117"/>
      <c r="BE560" s="117"/>
      <c r="BF560" s="117"/>
      <c r="BG560" s="117"/>
      <c r="BH560" s="117"/>
      <c r="BI560" s="117"/>
      <c r="BJ560" s="117"/>
      <c r="BK560" s="117"/>
      <c r="BL560" s="117"/>
      <c r="BM560" s="117"/>
      <c r="BN560" s="117"/>
      <c r="BO560" s="117"/>
      <c r="BP560" s="117"/>
      <c r="BQ560" s="117"/>
      <c r="BR560" s="117"/>
      <c r="BS560" s="117"/>
      <c r="BT560" s="117"/>
      <c r="BU560" s="117"/>
      <c r="BV560" s="117"/>
      <c r="BW560" s="117"/>
      <c r="BX560" s="117"/>
      <c r="BY560" s="117"/>
      <c r="BZ560" s="117"/>
      <c r="CA560" s="117"/>
    </row>
    <row r="561" spans="1:79" ht="12.75" customHeight="1">
      <c r="A561" s="117"/>
      <c r="B561" s="3"/>
      <c r="C561" s="3"/>
      <c r="D561" s="3"/>
      <c r="E561" s="3"/>
      <c r="F561" s="1419" t="s">
        <v>2329</v>
      </c>
      <c r="G561" s="893"/>
      <c r="H561" s="893"/>
      <c r="I561" s="893"/>
      <c r="J561" s="893"/>
      <c r="K561" s="893"/>
      <c r="L561" s="893"/>
      <c r="M561" s="893"/>
      <c r="N561" s="893"/>
      <c r="O561" s="893"/>
      <c r="P561" s="893"/>
      <c r="Q561" s="893"/>
      <c r="R561" s="893"/>
      <c r="S561" s="893"/>
      <c r="T561" s="893"/>
      <c r="U561" s="893"/>
      <c r="V561" s="893"/>
      <c r="W561" s="893"/>
      <c r="X561" s="893"/>
      <c r="Y561" s="893"/>
      <c r="Z561" s="893"/>
      <c r="AA561" s="893"/>
      <c r="AB561" s="893"/>
      <c r="AC561" s="893"/>
      <c r="AD561" s="893"/>
      <c r="AE561" s="893"/>
      <c r="AF561" s="893"/>
      <c r="AG561" s="893"/>
      <c r="AH561" s="893"/>
      <c r="AI561" s="893"/>
      <c r="AJ561" s="893"/>
      <c r="AK561" s="893"/>
      <c r="AL561" s="705"/>
      <c r="AM561" s="7"/>
      <c r="AN561" s="424"/>
      <c r="AO561" s="117"/>
      <c r="AP561" s="117"/>
      <c r="AQ561" s="117"/>
      <c r="AR561" s="117"/>
      <c r="AS561" s="117"/>
      <c r="AT561" s="117"/>
      <c r="AU561" s="117"/>
      <c r="AV561" s="117"/>
      <c r="AW561" s="117"/>
      <c r="AX561" s="117"/>
      <c r="AY561" s="117"/>
      <c r="AZ561" s="117"/>
      <c r="BA561" s="117"/>
      <c r="BB561" s="117"/>
      <c r="BC561" s="117"/>
      <c r="BD561" s="117"/>
      <c r="BE561" s="117"/>
      <c r="BF561" s="117"/>
      <c r="BG561" s="117"/>
      <c r="BH561" s="117"/>
      <c r="BI561" s="117"/>
      <c r="BJ561" s="117"/>
      <c r="BK561" s="117"/>
      <c r="BL561" s="117"/>
      <c r="BM561" s="117"/>
      <c r="BN561" s="117"/>
      <c r="BO561" s="117"/>
      <c r="BP561" s="117"/>
      <c r="BQ561" s="117"/>
      <c r="BR561" s="117"/>
      <c r="BS561" s="117"/>
      <c r="BT561" s="117"/>
      <c r="BU561" s="117"/>
      <c r="BV561" s="117"/>
      <c r="BW561" s="117"/>
      <c r="BX561" s="117"/>
      <c r="BY561" s="117"/>
      <c r="BZ561" s="117"/>
      <c r="CA561" s="117"/>
    </row>
    <row r="562" spans="1:79" ht="12.75" customHeight="1">
      <c r="A562" s="117"/>
      <c r="B562" s="3"/>
      <c r="C562" s="3"/>
      <c r="D562" s="3"/>
      <c r="E562" s="3"/>
      <c r="F562" s="1388"/>
      <c r="G562" s="1389"/>
      <c r="H562" s="1389"/>
      <c r="I562" s="1389"/>
      <c r="J562" s="1389"/>
      <c r="K562" s="1389"/>
      <c r="L562" s="1389"/>
      <c r="M562" s="1389"/>
      <c r="N562" s="1389"/>
      <c r="O562" s="1389"/>
      <c r="P562" s="1389"/>
      <c r="Q562" s="1389"/>
      <c r="R562" s="1389"/>
      <c r="S562" s="1389"/>
      <c r="T562" s="1389"/>
      <c r="U562" s="1389"/>
      <c r="V562" s="1389"/>
      <c r="W562" s="1389"/>
      <c r="X562" s="1389"/>
      <c r="Y562" s="1389"/>
      <c r="Z562" s="1389"/>
      <c r="AA562" s="1389"/>
      <c r="AB562" s="1389"/>
      <c r="AC562" s="1389"/>
      <c r="AD562" s="1389"/>
      <c r="AE562" s="1389"/>
      <c r="AF562" s="1389"/>
      <c r="AG562" s="1389"/>
      <c r="AH562" s="1389"/>
      <c r="AI562" s="1389"/>
      <c r="AJ562" s="1389"/>
      <c r="AK562" s="1389"/>
      <c r="AL562" s="706"/>
      <c r="AM562" s="7"/>
      <c r="AN562" s="424"/>
      <c r="AO562" s="117"/>
      <c r="AP562" s="117"/>
      <c r="AQ562" s="117"/>
      <c r="AR562" s="117"/>
      <c r="AS562" s="117"/>
      <c r="AT562" s="117"/>
      <c r="AU562" s="117"/>
      <c r="AV562" s="117"/>
      <c r="AW562" s="117"/>
      <c r="AX562" s="117"/>
      <c r="AY562" s="117"/>
      <c r="AZ562" s="117"/>
      <c r="BA562" s="117"/>
      <c r="BB562" s="117"/>
      <c r="BC562" s="117"/>
      <c r="BD562" s="117"/>
      <c r="BE562" s="117"/>
      <c r="BF562" s="117"/>
      <c r="BG562" s="117"/>
      <c r="BH562" s="117"/>
      <c r="BI562" s="117"/>
      <c r="BJ562" s="117"/>
      <c r="BK562" s="117"/>
      <c r="BL562" s="117"/>
      <c r="BM562" s="117"/>
      <c r="BN562" s="117"/>
      <c r="BO562" s="117"/>
      <c r="BP562" s="117"/>
      <c r="BQ562" s="117"/>
      <c r="BR562" s="117"/>
      <c r="BS562" s="117"/>
      <c r="BT562" s="117"/>
      <c r="BU562" s="117"/>
      <c r="BV562" s="117"/>
      <c r="BW562" s="117"/>
      <c r="BX562" s="117"/>
      <c r="BY562" s="117"/>
      <c r="BZ562" s="117"/>
      <c r="CA562" s="117"/>
    </row>
    <row r="563" spans="1:79" ht="12.75" customHeight="1">
      <c r="A563" s="117"/>
      <c r="B563" s="3"/>
      <c r="C563" s="3"/>
      <c r="D563" s="3"/>
      <c r="E563" s="3"/>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7"/>
      <c r="AM563" s="7"/>
      <c r="AN563" s="424"/>
      <c r="AO563" s="117"/>
      <c r="AP563" s="1391">
        <f>Application!AJ999</f>
        <v>123954270</v>
      </c>
      <c r="AQ563" s="893"/>
      <c r="AR563" s="893"/>
      <c r="AS563" s="117" t="s">
        <v>2330</v>
      </c>
      <c r="AT563" s="117"/>
      <c r="AU563" s="117"/>
      <c r="AV563" s="117"/>
      <c r="AW563" s="117"/>
      <c r="AX563" s="117"/>
      <c r="AY563" s="117"/>
      <c r="AZ563" s="117"/>
      <c r="BA563" s="117"/>
      <c r="BB563" s="117"/>
      <c r="BC563" s="117"/>
      <c r="BD563" s="117"/>
      <c r="BE563" s="117"/>
      <c r="BF563" s="117"/>
      <c r="BG563" s="117"/>
      <c r="BH563" s="117"/>
      <c r="BI563" s="117"/>
      <c r="BJ563" s="117"/>
      <c r="BK563" s="117"/>
      <c r="BL563" s="117"/>
      <c r="BM563" s="117"/>
      <c r="BN563" s="117"/>
      <c r="BO563" s="117"/>
      <c r="BP563" s="117"/>
      <c r="BQ563" s="117"/>
      <c r="BR563" s="117"/>
      <c r="BS563" s="117"/>
      <c r="BT563" s="117"/>
      <c r="BU563" s="117"/>
      <c r="BV563" s="117"/>
      <c r="BW563" s="117"/>
      <c r="BX563" s="117"/>
      <c r="BY563" s="117"/>
      <c r="BZ563" s="117"/>
      <c r="CA563" s="117"/>
    </row>
    <row r="564" spans="1:79" ht="12.75" customHeight="1">
      <c r="A564" s="62"/>
      <c r="B564" s="17" t="s">
        <v>2331</v>
      </c>
      <c r="C564" s="237"/>
      <c r="D564" s="237"/>
      <c r="E564" s="237"/>
      <c r="F564" s="1"/>
      <c r="G564" s="1"/>
      <c r="H564" s="1"/>
      <c r="I564" s="1"/>
      <c r="J564" s="1"/>
      <c r="K564" s="1"/>
      <c r="L564" s="1"/>
      <c r="M564" s="1"/>
      <c r="N564" s="1"/>
      <c r="O564" s="1"/>
      <c r="P564" s="1"/>
      <c r="Q564" s="1"/>
      <c r="R564" s="1"/>
      <c r="S564" s="1"/>
      <c r="T564" s="1"/>
      <c r="U564" s="1"/>
      <c r="V564" s="1"/>
      <c r="W564" s="1"/>
      <c r="X564" s="1"/>
      <c r="Y564" s="1"/>
      <c r="Z564" s="1"/>
      <c r="AA564" s="4"/>
      <c r="AB564" s="4"/>
      <c r="AC564" s="4"/>
      <c r="AD564" s="4"/>
      <c r="AE564" s="1"/>
      <c r="AF564" s="1123">
        <f>'Sources and Uses Budget'!S107+'Sources and Uses Budget'!T107</f>
        <v>88541784</v>
      </c>
      <c r="AG564" s="961"/>
      <c r="AH564" s="961"/>
      <c r="AI564" s="961"/>
      <c r="AJ564" s="961"/>
      <c r="AK564" s="7"/>
      <c r="AL564" s="7"/>
      <c r="AM564" s="7"/>
      <c r="AN564" s="424"/>
      <c r="AO564" s="117"/>
      <c r="AP564" s="117"/>
      <c r="AQ564" s="117"/>
      <c r="AR564" s="117"/>
      <c r="AS564" s="117"/>
      <c r="AT564" s="117"/>
      <c r="AU564" s="117"/>
      <c r="AV564" s="117"/>
      <c r="AW564" s="117"/>
      <c r="AX564" s="117"/>
      <c r="AY564" s="117"/>
      <c r="AZ564" s="117"/>
      <c r="BA564" s="117"/>
      <c r="BB564" s="117"/>
      <c r="BC564" s="117"/>
      <c r="BD564" s="117"/>
      <c r="BE564" s="117"/>
      <c r="BF564" s="117"/>
      <c r="BG564" s="117"/>
      <c r="BH564" s="117"/>
      <c r="BI564" s="117"/>
      <c r="BJ564" s="117"/>
      <c r="BK564" s="117"/>
      <c r="BL564" s="117"/>
      <c r="BM564" s="117"/>
      <c r="BN564" s="117"/>
      <c r="BO564" s="117"/>
      <c r="BP564" s="117"/>
      <c r="BQ564" s="117"/>
      <c r="BR564" s="117"/>
      <c r="BS564" s="117"/>
      <c r="BT564" s="117"/>
      <c r="BU564" s="117"/>
      <c r="BV564" s="117"/>
      <c r="BW564" s="117"/>
      <c r="BX564" s="117"/>
      <c r="BY564" s="117"/>
      <c r="BZ564" s="117"/>
      <c r="CA564" s="117"/>
    </row>
    <row r="565" spans="1:79" ht="12.75" customHeight="1">
      <c r="A565" s="17"/>
      <c r="B565" s="17" t="s">
        <v>2332</v>
      </c>
      <c r="C565" s="1"/>
      <c r="D565" s="1"/>
      <c r="E565" s="33"/>
      <c r="F565" s="33"/>
      <c r="G565" s="33"/>
      <c r="H565" s="33"/>
      <c r="I565" s="33"/>
      <c r="J565" s="33"/>
      <c r="K565" s="33"/>
      <c r="L565" s="1"/>
      <c r="M565" s="33"/>
      <c r="N565" s="33"/>
      <c r="O565" s="33"/>
      <c r="P565" s="33"/>
      <c r="Q565" s="33"/>
      <c r="R565" s="1"/>
      <c r="S565" s="1"/>
      <c r="T565" s="1"/>
      <c r="U565" s="1"/>
      <c r="V565" s="1"/>
      <c r="W565" s="1"/>
      <c r="X565" s="1"/>
      <c r="Y565" s="1"/>
      <c r="Z565" s="1"/>
      <c r="AA565" s="4"/>
      <c r="AB565" s="4"/>
      <c r="AC565" s="4"/>
      <c r="AD565" s="4"/>
      <c r="AE565" s="1"/>
      <c r="AF565" s="1135">
        <f>IFERROR(AP572,0)</f>
        <v>164859179.09999999</v>
      </c>
      <c r="AG565" s="921"/>
      <c r="AH565" s="921"/>
      <c r="AI565" s="921"/>
      <c r="AJ565" s="921"/>
      <c r="AK565" s="7"/>
      <c r="AL565" s="7"/>
      <c r="AM565" s="7"/>
      <c r="AN565" s="424"/>
      <c r="AO565" s="117"/>
      <c r="AP565" s="1391">
        <f>Application!AJ1052</f>
        <v>13634969.699999999</v>
      </c>
      <c r="AQ565" s="893"/>
      <c r="AR565" s="893"/>
      <c r="AS565" s="117" t="s">
        <v>2333</v>
      </c>
      <c r="AT565" s="117"/>
      <c r="AU565" s="117"/>
      <c r="AV565" s="117"/>
      <c r="AW565" s="117"/>
      <c r="AX565" s="117"/>
      <c r="AY565" s="117"/>
      <c r="AZ565" s="117"/>
      <c r="BA565" s="117"/>
      <c r="BB565" s="117"/>
      <c r="BC565" s="117"/>
      <c r="BD565" s="117"/>
      <c r="BE565" s="117"/>
      <c r="BF565" s="117"/>
      <c r="BG565" s="117"/>
      <c r="BH565" s="117"/>
      <c r="BI565" s="117"/>
      <c r="BJ565" s="117"/>
      <c r="BK565" s="117"/>
      <c r="BL565" s="117"/>
      <c r="BM565" s="117"/>
      <c r="BN565" s="117"/>
      <c r="BO565" s="117"/>
      <c r="BP565" s="117"/>
      <c r="BQ565" s="117"/>
      <c r="BR565" s="117"/>
      <c r="BS565" s="117"/>
      <c r="BT565" s="117"/>
      <c r="BU565" s="117"/>
      <c r="BV565" s="117"/>
      <c r="BW565" s="117"/>
      <c r="BX565" s="117"/>
      <c r="BY565" s="117"/>
      <c r="BZ565" s="117"/>
      <c r="CA565" s="117"/>
    </row>
    <row r="566" spans="1:79" ht="12.75" customHeight="1">
      <c r="A566" s="1"/>
      <c r="B566" s="1" t="s">
        <v>2065</v>
      </c>
      <c r="C566" s="1"/>
      <c r="D566" s="1"/>
      <c r="E566" s="1"/>
      <c r="F566" s="1"/>
      <c r="G566" s="1"/>
      <c r="H566" s="1"/>
      <c r="I566" s="1"/>
      <c r="J566" s="1"/>
      <c r="K566" s="1"/>
      <c r="L566" s="1"/>
      <c r="M566" s="1"/>
      <c r="N566" s="1"/>
      <c r="O566" s="1"/>
      <c r="P566" s="1"/>
      <c r="Q566" s="1"/>
      <c r="R566" s="1"/>
      <c r="S566" s="1"/>
      <c r="T566" s="1"/>
      <c r="U566" s="1"/>
      <c r="V566" s="1"/>
      <c r="W566" s="1"/>
      <c r="X566" s="1"/>
      <c r="Y566" s="1"/>
      <c r="Z566" s="1"/>
      <c r="AA566" s="4"/>
      <c r="AB566" s="4"/>
      <c r="AC566" s="4"/>
      <c r="AD566" s="4"/>
      <c r="AE566" s="1"/>
      <c r="AF566" s="1350">
        <f>IFERROR(ROUNDDOWN(IF(C557="YES",((1-(AF564/AF565))*2),(1-(AF564/AF565))),2),0)</f>
        <v>0.46</v>
      </c>
      <c r="AG566" s="921"/>
      <c r="AH566" s="921"/>
      <c r="AI566" s="921"/>
      <c r="AJ566" s="921"/>
      <c r="AK566" s="7"/>
      <c r="AL566" s="7"/>
      <c r="AM566" s="7"/>
      <c r="AN566" s="424"/>
      <c r="AO566" s="117"/>
      <c r="AP566" s="1392">
        <f>Application!AJ1056</f>
        <v>27269939.399999999</v>
      </c>
      <c r="AQ566" s="961"/>
      <c r="AR566" s="961"/>
      <c r="AS566" s="117" t="s">
        <v>2334</v>
      </c>
      <c r="AT566" s="117"/>
      <c r="AU566" s="117"/>
      <c r="AV566" s="117"/>
      <c r="AW566" s="117"/>
      <c r="AX566" s="117"/>
      <c r="AY566" s="117"/>
      <c r="AZ566" s="117"/>
      <c r="BA566" s="117"/>
      <c r="BB566" s="117"/>
      <c r="BC566" s="117"/>
      <c r="BD566" s="117"/>
      <c r="BE566" s="117"/>
      <c r="BF566" s="117"/>
      <c r="BG566" s="117"/>
      <c r="BH566" s="117"/>
      <c r="BI566" s="117"/>
      <c r="BJ566" s="117"/>
      <c r="BK566" s="117"/>
      <c r="BL566" s="117"/>
      <c r="BM566" s="117"/>
      <c r="BN566" s="117"/>
      <c r="BO566" s="117"/>
      <c r="BP566" s="117"/>
      <c r="BQ566" s="117"/>
      <c r="BR566" s="117"/>
      <c r="BS566" s="117"/>
      <c r="BT566" s="117"/>
      <c r="BU566" s="117"/>
      <c r="BV566" s="117"/>
      <c r="BW566" s="117"/>
      <c r="BX566" s="117"/>
      <c r="BY566" s="117"/>
      <c r="BZ566" s="117"/>
      <c r="CA566" s="117"/>
    </row>
    <row r="567" spans="1:79"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4"/>
      <c r="AB567" s="4"/>
      <c r="AC567" s="4"/>
      <c r="AD567" s="4"/>
      <c r="AE567" s="1"/>
      <c r="AF567" s="459"/>
      <c r="AG567" s="459"/>
      <c r="AH567" s="459"/>
      <c r="AI567" s="459"/>
      <c r="AJ567" s="459"/>
      <c r="AK567" s="7"/>
      <c r="AL567" s="7"/>
      <c r="AM567" s="7"/>
      <c r="AN567" s="424"/>
      <c r="AO567" s="117"/>
      <c r="AP567" s="1393">
        <f>IF(((AP565+AP566)/AP563)&gt;0.8,0.8,((AP565+AP566)/AP563))</f>
        <v>0.32999999999999996</v>
      </c>
      <c r="AQ567" s="947"/>
      <c r="AR567" s="947"/>
      <c r="AS567" s="117" t="s">
        <v>2335</v>
      </c>
      <c r="AT567" s="117"/>
      <c r="AU567" s="117"/>
      <c r="AV567" s="117"/>
      <c r="AW567" s="117"/>
      <c r="AX567" s="117"/>
      <c r="AY567" s="117"/>
      <c r="AZ567" s="117"/>
      <c r="BA567" s="117"/>
      <c r="BB567" s="117"/>
      <c r="BC567" s="117"/>
      <c r="BD567" s="117"/>
      <c r="BE567" s="117"/>
      <c r="BF567" s="117"/>
      <c r="BG567" s="117"/>
      <c r="BH567" s="117"/>
      <c r="BI567" s="117"/>
      <c r="BJ567" s="117"/>
      <c r="BK567" s="117"/>
      <c r="BL567" s="117"/>
      <c r="BM567" s="117"/>
      <c r="BN567" s="117"/>
      <c r="BO567" s="117"/>
      <c r="BP567" s="117"/>
      <c r="BQ567" s="117"/>
      <c r="BR567" s="117"/>
      <c r="BS567" s="117"/>
      <c r="BT567" s="117"/>
      <c r="BU567" s="117"/>
      <c r="BV567" s="117"/>
      <c r="BW567" s="117"/>
      <c r="BX567" s="117"/>
      <c r="BY567" s="117"/>
      <c r="BZ567" s="117"/>
      <c r="CA567" s="117"/>
    </row>
    <row r="568" spans="1:79" ht="12.75" customHeight="1">
      <c r="A568" s="1"/>
      <c r="B568" s="1383" t="s">
        <v>2336</v>
      </c>
      <c r="C568" s="1384"/>
      <c r="D568" s="1384"/>
      <c r="E568" s="1384"/>
      <c r="F568" s="1384"/>
      <c r="G568" s="1384"/>
      <c r="H568" s="1384"/>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c r="AJ568" s="1385"/>
      <c r="AK568" s="7"/>
      <c r="AL568" s="7"/>
      <c r="AM568" s="7"/>
      <c r="AN568" s="424"/>
      <c r="AO568" s="117"/>
      <c r="AP568" s="117"/>
      <c r="AQ568" s="117"/>
      <c r="AR568" s="117"/>
      <c r="AS568" s="117"/>
      <c r="AT568" s="117"/>
      <c r="AU568" s="117"/>
      <c r="AV568" s="117"/>
      <c r="AW568" s="117"/>
      <c r="AX568" s="117"/>
      <c r="AY568" s="117"/>
      <c r="AZ568" s="117"/>
      <c r="BA568" s="117"/>
      <c r="BB568" s="117"/>
      <c r="BC568" s="117"/>
      <c r="BD568" s="117"/>
      <c r="BE568" s="117"/>
      <c r="BF568" s="117"/>
      <c r="BG568" s="117"/>
      <c r="BH568" s="117"/>
      <c r="BI568" s="117"/>
      <c r="BJ568" s="117"/>
      <c r="BK568" s="117"/>
      <c r="BL568" s="117"/>
      <c r="BM568" s="117"/>
      <c r="BN568" s="117"/>
      <c r="BO568" s="117"/>
      <c r="BP568" s="117"/>
      <c r="BQ568" s="117"/>
      <c r="BR568" s="117"/>
      <c r="BS568" s="117"/>
      <c r="BT568" s="117"/>
      <c r="BU568" s="117"/>
      <c r="BV568" s="117"/>
      <c r="BW568" s="117"/>
      <c r="BX568" s="117"/>
      <c r="BY568" s="117"/>
      <c r="BZ568" s="117"/>
      <c r="CA568" s="117"/>
    </row>
    <row r="569" spans="1:79" ht="12.75" customHeight="1">
      <c r="A569" s="1"/>
      <c r="B569" s="1386"/>
      <c r="C569" s="893"/>
      <c r="D569" s="893"/>
      <c r="E569" s="893"/>
      <c r="F569" s="893"/>
      <c r="G569" s="893"/>
      <c r="H569" s="893"/>
      <c r="I569" s="893"/>
      <c r="J569" s="893"/>
      <c r="K569" s="893"/>
      <c r="L569" s="893"/>
      <c r="M569" s="893"/>
      <c r="N569" s="893"/>
      <c r="O569" s="893"/>
      <c r="P569" s="893"/>
      <c r="Q569" s="893"/>
      <c r="R569" s="893"/>
      <c r="S569" s="893"/>
      <c r="T569" s="893"/>
      <c r="U569" s="893"/>
      <c r="V569" s="893"/>
      <c r="W569" s="893"/>
      <c r="X569" s="893"/>
      <c r="Y569" s="893"/>
      <c r="Z569" s="893"/>
      <c r="AA569" s="893"/>
      <c r="AB569" s="893"/>
      <c r="AC569" s="893"/>
      <c r="AD569" s="893"/>
      <c r="AE569" s="893"/>
      <c r="AF569" s="893"/>
      <c r="AG569" s="893"/>
      <c r="AH569" s="893"/>
      <c r="AI569" s="893"/>
      <c r="AJ569" s="1387"/>
      <c r="AK569" s="7"/>
      <c r="AL569" s="7"/>
      <c r="AM569" s="7"/>
      <c r="AN569" s="424"/>
      <c r="AO569" s="117"/>
      <c r="AP569" s="1391">
        <f>AP570-AP565-AP566</f>
        <v>123954270</v>
      </c>
      <c r="AQ569" s="893"/>
      <c r="AR569" s="893"/>
      <c r="AS569" s="117" t="s">
        <v>2337</v>
      </c>
      <c r="AT569" s="117"/>
      <c r="AU569" s="117"/>
      <c r="AV569" s="117"/>
      <c r="AW569" s="117"/>
      <c r="AX569" s="117"/>
      <c r="AY569" s="117"/>
      <c r="AZ569" s="117"/>
      <c r="BA569" s="117"/>
      <c r="BB569" s="117"/>
      <c r="BC569" s="117"/>
      <c r="BD569" s="117"/>
      <c r="BE569" s="117"/>
      <c r="BF569" s="117"/>
      <c r="BG569" s="117"/>
      <c r="BH569" s="117"/>
      <c r="BI569" s="117"/>
      <c r="BJ569" s="117"/>
      <c r="BK569" s="117"/>
      <c r="BL569" s="117"/>
      <c r="BM569" s="117"/>
      <c r="BN569" s="117"/>
      <c r="BO569" s="117"/>
      <c r="BP569" s="117"/>
      <c r="BQ569" s="117"/>
      <c r="BR569" s="117"/>
      <c r="BS569" s="117"/>
      <c r="BT569" s="117"/>
      <c r="BU569" s="117"/>
      <c r="BV569" s="117"/>
      <c r="BW569" s="117"/>
      <c r="BX569" s="117"/>
      <c r="BY569" s="117"/>
      <c r="BZ569" s="117"/>
      <c r="CA569" s="117"/>
    </row>
    <row r="570" spans="1:79" ht="12.75" customHeight="1">
      <c r="A570" s="1"/>
      <c r="B570" s="1388"/>
      <c r="C570" s="1389"/>
      <c r="D570" s="1389"/>
      <c r="E570" s="1389"/>
      <c r="F570" s="1389"/>
      <c r="G570" s="1389"/>
      <c r="H570" s="1389"/>
      <c r="I570" s="1389"/>
      <c r="J570" s="1389"/>
      <c r="K570" s="1389"/>
      <c r="L570" s="1389"/>
      <c r="M570" s="1389"/>
      <c r="N570" s="1389"/>
      <c r="O570" s="1389"/>
      <c r="P570" s="1389"/>
      <c r="Q570" s="1389"/>
      <c r="R570" s="1389"/>
      <c r="S570" s="1389"/>
      <c r="T570" s="1389"/>
      <c r="U570" s="1389"/>
      <c r="V570" s="1389"/>
      <c r="W570" s="1389"/>
      <c r="X570" s="1389"/>
      <c r="Y570" s="1389"/>
      <c r="Z570" s="1389"/>
      <c r="AA570" s="1389"/>
      <c r="AB570" s="1389"/>
      <c r="AC570" s="1389"/>
      <c r="AD570" s="1389"/>
      <c r="AE570" s="1389"/>
      <c r="AF570" s="1389"/>
      <c r="AG570" s="1389"/>
      <c r="AH570" s="1389"/>
      <c r="AI570" s="1389"/>
      <c r="AJ570" s="1390"/>
      <c r="AK570" s="7"/>
      <c r="AL570" s="7"/>
      <c r="AM570" s="7"/>
      <c r="AN570" s="424"/>
      <c r="AO570" s="117"/>
      <c r="AP570" s="1391">
        <f>Application!AJ1060</f>
        <v>164859179.09999999</v>
      </c>
      <c r="AQ570" s="893"/>
      <c r="AR570" s="893"/>
      <c r="AS570" s="117" t="s">
        <v>2338</v>
      </c>
      <c r="AT570" s="117"/>
      <c r="AU570" s="117"/>
      <c r="AV570" s="117"/>
      <c r="AW570" s="117"/>
      <c r="AX570" s="117"/>
      <c r="AY570" s="117"/>
      <c r="AZ570" s="117"/>
      <c r="BA570" s="117"/>
      <c r="BB570" s="117"/>
      <c r="BC570" s="117"/>
      <c r="BD570" s="117"/>
      <c r="BE570" s="117"/>
      <c r="BF570" s="117"/>
      <c r="BG570" s="117"/>
      <c r="BH570" s="117"/>
      <c r="BI570" s="117"/>
      <c r="BJ570" s="117"/>
      <c r="BK570" s="117"/>
      <c r="BL570" s="117"/>
      <c r="BM570" s="117"/>
      <c r="BN570" s="117"/>
      <c r="BO570" s="117"/>
      <c r="BP570" s="117"/>
      <c r="BQ570" s="117"/>
      <c r="BR570" s="117"/>
      <c r="BS570" s="117"/>
      <c r="BT570" s="117"/>
      <c r="BU570" s="117"/>
      <c r="BV570" s="117"/>
      <c r="BW570" s="117"/>
      <c r="BX570" s="117"/>
      <c r="BY570" s="117"/>
      <c r="BZ570" s="117"/>
      <c r="CA570" s="117"/>
    </row>
    <row r="571" spans="1:79" ht="12.75" customHeight="1">
      <c r="A571" s="117"/>
      <c r="B571" s="76"/>
      <c r="C571" s="76"/>
      <c r="D571" s="76"/>
      <c r="E571" s="76"/>
      <c r="F571" s="76"/>
      <c r="G571" s="76"/>
      <c r="H571" s="76"/>
      <c r="I571" s="76"/>
      <c r="J571" s="76"/>
      <c r="K571" s="76"/>
      <c r="L571" s="76"/>
      <c r="M571" s="76"/>
      <c r="N571" s="76"/>
      <c r="O571" s="76"/>
      <c r="P571" s="76"/>
      <c r="Q571" s="76"/>
      <c r="R571" s="76"/>
      <c r="S571" s="76"/>
      <c r="T571" s="76"/>
      <c r="U571" s="76"/>
      <c r="V571" s="76"/>
      <c r="W571" s="76"/>
      <c r="X571" s="76"/>
      <c r="Y571" s="76"/>
      <c r="Z571" s="76"/>
      <c r="AA571" s="76"/>
      <c r="AB571" s="76"/>
      <c r="AC571" s="14"/>
      <c r="AD571" s="76"/>
      <c r="AE571" s="117"/>
      <c r="AF571" s="117"/>
      <c r="AG571" s="117"/>
      <c r="AH571" s="117"/>
      <c r="AI571" s="237"/>
      <c r="AJ571" s="237"/>
      <c r="AK571" s="7"/>
      <c r="AL571" s="7"/>
      <c r="AM571" s="7"/>
      <c r="AN571" s="424"/>
      <c r="AO571" s="117"/>
      <c r="AP571" s="117"/>
      <c r="AQ571" s="117"/>
      <c r="AR571" s="117"/>
      <c r="AS571" s="117"/>
      <c r="AT571" s="117"/>
      <c r="AU571" s="117"/>
      <c r="AV571" s="117"/>
      <c r="AW571" s="117"/>
      <c r="AX571" s="117"/>
      <c r="AY571" s="117"/>
      <c r="AZ571" s="117"/>
      <c r="BA571" s="117"/>
      <c r="BB571" s="117"/>
      <c r="BC571" s="117"/>
      <c r="BD571" s="117"/>
      <c r="BE571" s="117"/>
      <c r="BF571" s="117"/>
      <c r="BG571" s="117"/>
      <c r="BH571" s="117"/>
      <c r="BI571" s="117"/>
      <c r="BJ571" s="117"/>
      <c r="BK571" s="117"/>
      <c r="BL571" s="117"/>
      <c r="BM571" s="117"/>
      <c r="BN571" s="117"/>
      <c r="BO571" s="117"/>
      <c r="BP571" s="117"/>
      <c r="BQ571" s="117"/>
      <c r="BR571" s="117"/>
      <c r="BS571" s="117"/>
      <c r="BT571" s="117"/>
      <c r="BU571" s="117"/>
      <c r="BV571" s="117"/>
      <c r="BW571" s="117"/>
      <c r="BX571" s="117"/>
      <c r="BY571" s="117"/>
      <c r="BZ571" s="117"/>
      <c r="CA571" s="117"/>
    </row>
    <row r="572" spans="1:79"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484"/>
      <c r="AI572" s="372"/>
      <c r="AJ572" s="372" t="s">
        <v>2339</v>
      </c>
      <c r="AK572" s="1394">
        <f>IFERROR(IF(AND(C554="N/A",C557="N/A"),0,IF(AF566=0,0,IF((AF566*100)&gt;12,12,(AF566*100)))),0)</f>
        <v>12</v>
      </c>
      <c r="AL572" s="921"/>
      <c r="AM572" s="943"/>
      <c r="AN572" s="424"/>
      <c r="AO572" s="117"/>
      <c r="AP572" s="1395">
        <f>AP569+(AP563*AP567)</f>
        <v>164859179.09999999</v>
      </c>
      <c r="AQ572" s="921"/>
      <c r="AR572" s="943"/>
      <c r="AS572" s="117"/>
      <c r="AT572" s="117"/>
      <c r="AU572" s="117"/>
      <c r="AV572" s="117"/>
      <c r="AW572" s="117"/>
      <c r="AX572" s="117"/>
      <c r="AY572" s="117"/>
      <c r="AZ572" s="117"/>
      <c r="BA572" s="117"/>
      <c r="BB572" s="117"/>
      <c r="BC572" s="117"/>
      <c r="BD572" s="117"/>
      <c r="BE572" s="117"/>
      <c r="BF572" s="117"/>
      <c r="BG572" s="117"/>
      <c r="BH572" s="117"/>
      <c r="BI572" s="117"/>
      <c r="BJ572" s="117"/>
      <c r="BK572" s="117"/>
      <c r="BL572" s="117"/>
      <c r="BM572" s="117"/>
      <c r="BN572" s="117"/>
      <c r="BO572" s="117"/>
      <c r="BP572" s="117"/>
      <c r="BQ572" s="117"/>
      <c r="BR572" s="117"/>
      <c r="BS572" s="117"/>
      <c r="BT572" s="117"/>
      <c r="BU572" s="117"/>
      <c r="BV572" s="117"/>
      <c r="BW572" s="117"/>
      <c r="BX572" s="117"/>
      <c r="BY572" s="117"/>
      <c r="BZ572" s="117"/>
      <c r="CA572" s="117"/>
    </row>
    <row r="573" spans="1:79" ht="12.75" customHeight="1">
      <c r="A573" s="639"/>
      <c r="B573" s="639"/>
      <c r="C573" s="639"/>
      <c r="D573" s="639"/>
      <c r="E573" s="639"/>
      <c r="F573" s="639"/>
      <c r="G573" s="639"/>
      <c r="H573" s="639"/>
      <c r="I573" s="639"/>
      <c r="J573" s="639"/>
      <c r="K573" s="639"/>
      <c r="L573" s="639"/>
      <c r="M573" s="639"/>
      <c r="N573" s="639"/>
      <c r="O573" s="639"/>
      <c r="P573" s="639"/>
      <c r="Q573" s="639"/>
      <c r="R573" s="639"/>
      <c r="S573" s="639"/>
      <c r="T573" s="639"/>
      <c r="U573" s="639"/>
      <c r="V573" s="639"/>
      <c r="W573" s="639"/>
      <c r="X573" s="639"/>
      <c r="Y573" s="639"/>
      <c r="Z573" s="639"/>
      <c r="AA573" s="639"/>
      <c r="AB573" s="639"/>
      <c r="AC573" s="639"/>
      <c r="AD573" s="639"/>
      <c r="AE573" s="639"/>
      <c r="AF573" s="639"/>
      <c r="AG573" s="639"/>
      <c r="AH573" s="639"/>
      <c r="AI573" s="639"/>
      <c r="AJ573" s="639"/>
      <c r="AK573" s="639"/>
      <c r="AL573" s="639"/>
      <c r="AM573" s="92"/>
      <c r="AN573" s="424"/>
      <c r="AO573" s="117"/>
      <c r="AP573" s="117"/>
      <c r="AQ573" s="117"/>
      <c r="AR573" s="117"/>
      <c r="AS573" s="117"/>
      <c r="AT573" s="117"/>
      <c r="AU573" s="117"/>
      <c r="AV573" s="117"/>
      <c r="AW573" s="117"/>
      <c r="AX573" s="117"/>
      <c r="AY573" s="117"/>
      <c r="AZ573" s="117"/>
      <c r="BA573" s="117"/>
      <c r="BB573" s="117"/>
      <c r="BC573" s="117"/>
      <c r="BD573" s="117"/>
      <c r="BE573" s="117"/>
      <c r="BF573" s="117"/>
      <c r="BG573" s="117"/>
      <c r="BH573" s="117"/>
      <c r="BI573" s="117"/>
      <c r="BJ573" s="117"/>
      <c r="BK573" s="117"/>
      <c r="BL573" s="117"/>
      <c r="BM573" s="117"/>
      <c r="BN573" s="117"/>
      <c r="BO573" s="117"/>
      <c r="BP573" s="117"/>
      <c r="BQ573" s="117"/>
      <c r="BR573" s="117"/>
      <c r="BS573" s="117"/>
      <c r="BT573" s="117"/>
      <c r="BU573" s="117"/>
      <c r="BV573" s="117"/>
      <c r="BW573" s="117"/>
      <c r="BX573" s="117"/>
      <c r="BY573" s="117"/>
      <c r="BZ573" s="117"/>
      <c r="CA573" s="117"/>
    </row>
    <row r="574" spans="1:79" ht="12.75" customHeight="1">
      <c r="A574" s="246"/>
      <c r="B574" s="579"/>
      <c r="C574" s="246"/>
      <c r="D574" s="579"/>
      <c r="E574" s="579"/>
      <c r="F574" s="579"/>
      <c r="G574" s="579"/>
      <c r="H574" s="579"/>
      <c r="I574" s="579"/>
      <c r="J574" s="579"/>
      <c r="K574" s="579"/>
      <c r="L574" s="579"/>
      <c r="M574" s="579"/>
      <c r="N574" s="579"/>
      <c r="O574" s="579"/>
      <c r="P574" s="579"/>
      <c r="Q574" s="579"/>
      <c r="R574" s="579"/>
      <c r="S574" s="579"/>
      <c r="T574" s="579"/>
      <c r="U574" s="579"/>
      <c r="V574" s="579"/>
      <c r="W574" s="579"/>
      <c r="X574" s="579"/>
      <c r="Y574" s="579"/>
      <c r="Z574" s="579"/>
      <c r="AA574" s="579"/>
      <c r="AB574" s="579"/>
      <c r="AC574" s="707"/>
      <c r="AD574" s="707"/>
      <c r="AE574" s="707"/>
      <c r="AF574" s="579"/>
      <c r="AG574" s="579"/>
      <c r="AH574" s="579"/>
      <c r="AI574" s="579"/>
      <c r="AJ574" s="579"/>
      <c r="AK574" s="579"/>
      <c r="AL574" s="579"/>
      <c r="AM574" s="708"/>
      <c r="AN574" s="424"/>
      <c r="AO574" s="117"/>
      <c r="AP574" s="117"/>
      <c r="AQ574" s="117"/>
      <c r="AR574" s="117"/>
      <c r="AS574" s="117"/>
      <c r="AT574" s="117"/>
      <c r="AU574" s="117"/>
      <c r="AV574" s="117"/>
      <c r="AW574" s="117"/>
      <c r="AX574" s="117"/>
      <c r="AY574" s="117"/>
      <c r="AZ574" s="117"/>
      <c r="BA574" s="117"/>
      <c r="BB574" s="117"/>
      <c r="BC574" s="117"/>
      <c r="BD574" s="117"/>
      <c r="BE574" s="117"/>
      <c r="BF574" s="117"/>
      <c r="BG574" s="117"/>
      <c r="BH574" s="117"/>
      <c r="BI574" s="117"/>
      <c r="BJ574" s="117"/>
      <c r="BK574" s="117"/>
      <c r="BL574" s="117"/>
      <c r="BM574" s="117"/>
      <c r="BN574" s="117"/>
      <c r="BO574" s="117"/>
      <c r="BP574" s="117"/>
      <c r="BQ574" s="117"/>
      <c r="BR574" s="117"/>
      <c r="BS574" s="117"/>
      <c r="BT574" s="117"/>
      <c r="BU574" s="117"/>
      <c r="BV574" s="117"/>
      <c r="BW574" s="117"/>
      <c r="BX574" s="117"/>
      <c r="BY574" s="117"/>
      <c r="BZ574" s="117"/>
      <c r="CA574" s="117"/>
    </row>
    <row r="575" spans="1:79" ht="12.75" customHeight="1">
      <c r="A575" s="8" t="s">
        <v>2340</v>
      </c>
      <c r="B575" s="8" t="s">
        <v>2341</v>
      </c>
      <c r="C575" s="62"/>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c r="AC575" s="65"/>
      <c r="AD575" s="65"/>
      <c r="AE575" s="1396" t="s">
        <v>1871</v>
      </c>
      <c r="AF575" s="893"/>
      <c r="AG575" s="893"/>
      <c r="AH575" s="893"/>
      <c r="AI575" s="893"/>
      <c r="AJ575" s="893"/>
      <c r="AK575" s="893"/>
      <c r="AL575" s="10"/>
      <c r="AM575" s="65"/>
      <c r="AN575" s="424"/>
      <c r="AO575" s="117"/>
      <c r="AP575" s="117"/>
      <c r="AQ575" s="117"/>
      <c r="AR575" s="117"/>
      <c r="AS575" s="117"/>
      <c r="AT575" s="117"/>
      <c r="AU575" s="117"/>
      <c r="AV575" s="117"/>
      <c r="AW575" s="117"/>
      <c r="AX575" s="117"/>
      <c r="AY575" s="117"/>
      <c r="AZ575" s="117"/>
      <c r="BA575" s="117"/>
      <c r="BB575" s="117"/>
      <c r="BC575" s="117"/>
      <c r="BD575" s="117"/>
      <c r="BE575" s="117"/>
      <c r="BF575" s="117"/>
      <c r="BG575" s="117"/>
      <c r="BH575" s="117"/>
      <c r="BI575" s="117"/>
      <c r="BJ575" s="117"/>
      <c r="BK575" s="117"/>
      <c r="BL575" s="117"/>
      <c r="BM575" s="117"/>
      <c r="BN575" s="117"/>
      <c r="BO575" s="117"/>
      <c r="BP575" s="117"/>
      <c r="BQ575" s="117"/>
      <c r="BR575" s="117"/>
      <c r="BS575" s="117"/>
      <c r="BT575" s="117"/>
      <c r="BU575" s="117"/>
      <c r="BV575" s="117"/>
      <c r="BW575" s="117"/>
      <c r="BX575" s="117"/>
      <c r="BY575" s="117"/>
      <c r="BZ575" s="117"/>
      <c r="CA575" s="117"/>
    </row>
    <row r="576" spans="1:79" ht="12.75" customHeight="1">
      <c r="A576" s="117"/>
      <c r="B576" s="117"/>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c r="AC576" s="65"/>
      <c r="AD576" s="65"/>
      <c r="AE576" s="65"/>
      <c r="AF576" s="65"/>
      <c r="AG576" s="65"/>
      <c r="AH576" s="65"/>
      <c r="AI576" s="65"/>
      <c r="AJ576" s="65"/>
      <c r="AK576" s="65"/>
      <c r="AL576" s="65"/>
      <c r="AM576" s="65"/>
      <c r="AN576" s="424"/>
      <c r="AO576" s="117"/>
      <c r="AP576" s="117"/>
      <c r="AQ576" s="117"/>
      <c r="AR576" s="117"/>
      <c r="AS576" s="117"/>
      <c r="AT576" s="117"/>
      <c r="AU576" s="117"/>
      <c r="AV576" s="117"/>
      <c r="AW576" s="117"/>
      <c r="AX576" s="117"/>
      <c r="AY576" s="117"/>
      <c r="AZ576" s="117"/>
      <c r="BA576" s="117"/>
      <c r="BB576" s="117"/>
      <c r="BC576" s="117"/>
      <c r="BD576" s="117"/>
      <c r="BE576" s="117"/>
      <c r="BF576" s="117"/>
      <c r="BG576" s="117"/>
      <c r="BH576" s="117"/>
      <c r="BI576" s="117"/>
      <c r="BJ576" s="117"/>
      <c r="BK576" s="117"/>
      <c r="BL576" s="117"/>
      <c r="BM576" s="117"/>
      <c r="BN576" s="117"/>
      <c r="BO576" s="117"/>
      <c r="BP576" s="117"/>
      <c r="BQ576" s="117"/>
      <c r="BR576" s="117"/>
      <c r="BS576" s="117"/>
      <c r="BT576" s="117"/>
      <c r="BU576" s="117"/>
      <c r="BV576" s="117"/>
      <c r="BW576" s="117"/>
      <c r="BX576" s="117"/>
      <c r="BY576" s="117"/>
      <c r="BZ576" s="117"/>
      <c r="CA576" s="117"/>
    </row>
    <row r="577" spans="1:79" ht="12.75" customHeight="1">
      <c r="A577" s="65"/>
      <c r="B577" s="895" t="s">
        <v>2342</v>
      </c>
      <c r="C577" s="893"/>
      <c r="D577" s="893"/>
      <c r="E577" s="893"/>
      <c r="F577" s="893"/>
      <c r="G577" s="893"/>
      <c r="H577" s="893"/>
      <c r="I577" s="893"/>
      <c r="J577" s="893"/>
      <c r="K577" s="893"/>
      <c r="L577" s="893"/>
      <c r="M577" s="893"/>
      <c r="N577" s="893"/>
      <c r="O577" s="893"/>
      <c r="P577" s="893"/>
      <c r="Q577" s="893"/>
      <c r="R577" s="893"/>
      <c r="S577" s="893"/>
      <c r="T577" s="893"/>
      <c r="U577" s="893"/>
      <c r="V577" s="893"/>
      <c r="W577" s="893"/>
      <c r="X577" s="893"/>
      <c r="Y577" s="893"/>
      <c r="Z577" s="893"/>
      <c r="AA577" s="893"/>
      <c r="AB577" s="893"/>
      <c r="AC577" s="893"/>
      <c r="AD577" s="893"/>
      <c r="AE577" s="893"/>
      <c r="AF577" s="893"/>
      <c r="AG577" s="893"/>
      <c r="AH577" s="893"/>
      <c r="AI577" s="893"/>
      <c r="AJ577" s="893"/>
      <c r="AK577" s="4"/>
      <c r="AL577" s="320"/>
      <c r="AM577" s="65"/>
      <c r="AN577" s="424"/>
      <c r="AO577" s="117"/>
      <c r="AP577" s="117"/>
      <c r="AQ577" s="117"/>
      <c r="AR577" s="117"/>
      <c r="AS577" s="117"/>
      <c r="AT577" s="117"/>
      <c r="AU577" s="117"/>
      <c r="AV577" s="117"/>
      <c r="AW577" s="117"/>
      <c r="AX577" s="117"/>
      <c r="AY577" s="117"/>
      <c r="AZ577" s="117"/>
      <c r="BA577" s="117"/>
      <c r="BB577" s="117"/>
      <c r="BC577" s="117"/>
      <c r="BD577" s="117"/>
      <c r="BE577" s="117"/>
      <c r="BF577" s="117"/>
      <c r="BG577" s="117"/>
      <c r="BH577" s="117"/>
      <c r="BI577" s="117"/>
      <c r="BJ577" s="117"/>
      <c r="BK577" s="117"/>
      <c r="BL577" s="117"/>
      <c r="BM577" s="117"/>
      <c r="BN577" s="117"/>
      <c r="BO577" s="117"/>
      <c r="BP577" s="117"/>
      <c r="BQ577" s="117"/>
      <c r="BR577" s="117"/>
      <c r="BS577" s="117"/>
      <c r="BT577" s="117"/>
      <c r="BU577" s="117"/>
      <c r="BV577" s="117"/>
      <c r="BW577" s="117"/>
      <c r="BX577" s="117"/>
      <c r="BY577" s="117"/>
      <c r="BZ577" s="117"/>
      <c r="CA577" s="117"/>
    </row>
    <row r="578" spans="1:79" ht="12.75" customHeight="1">
      <c r="A578" s="65"/>
      <c r="B578" s="893"/>
      <c r="C578" s="893"/>
      <c r="D578" s="893"/>
      <c r="E578" s="893"/>
      <c r="F578" s="893"/>
      <c r="G578" s="893"/>
      <c r="H578" s="893"/>
      <c r="I578" s="893"/>
      <c r="J578" s="893"/>
      <c r="K578" s="893"/>
      <c r="L578" s="893"/>
      <c r="M578" s="893"/>
      <c r="N578" s="893"/>
      <c r="O578" s="893"/>
      <c r="P578" s="893"/>
      <c r="Q578" s="893"/>
      <c r="R578" s="893"/>
      <c r="S578" s="893"/>
      <c r="T578" s="893"/>
      <c r="U578" s="893"/>
      <c r="V578" s="893"/>
      <c r="W578" s="893"/>
      <c r="X578" s="893"/>
      <c r="Y578" s="893"/>
      <c r="Z578" s="893"/>
      <c r="AA578" s="893"/>
      <c r="AB578" s="893"/>
      <c r="AC578" s="893"/>
      <c r="AD578" s="893"/>
      <c r="AE578" s="893"/>
      <c r="AF578" s="893"/>
      <c r="AG578" s="893"/>
      <c r="AH578" s="893"/>
      <c r="AI578" s="893"/>
      <c r="AJ578" s="893"/>
      <c r="AK578" s="4"/>
      <c r="AL578" s="320"/>
      <c r="AM578" s="65"/>
      <c r="AN578" s="424"/>
      <c r="AO578" s="117"/>
      <c r="AP578" s="117"/>
      <c r="AQ578" s="117"/>
      <c r="AR578" s="117"/>
      <c r="AS578" s="117"/>
      <c r="AT578" s="117"/>
      <c r="AU578" s="117"/>
      <c r="AV578" s="117"/>
      <c r="AW578" s="117"/>
      <c r="AX578" s="117"/>
      <c r="AY578" s="117"/>
      <c r="AZ578" s="117"/>
      <c r="BA578" s="117"/>
      <c r="BB578" s="117"/>
      <c r="BC578" s="117"/>
      <c r="BD578" s="117"/>
      <c r="BE578" s="117"/>
      <c r="BF578" s="117"/>
      <c r="BG578" s="117"/>
      <c r="BH578" s="117"/>
      <c r="BI578" s="117"/>
      <c r="BJ578" s="117"/>
      <c r="BK578" s="117"/>
      <c r="BL578" s="117"/>
      <c r="BM578" s="117"/>
      <c r="BN578" s="117"/>
      <c r="BO578" s="117"/>
      <c r="BP578" s="117"/>
      <c r="BQ578" s="117"/>
      <c r="BR578" s="117"/>
      <c r="BS578" s="117"/>
      <c r="BT578" s="117"/>
      <c r="BU578" s="117"/>
      <c r="BV578" s="117"/>
      <c r="BW578" s="117"/>
      <c r="BX578" s="117"/>
      <c r="BY578" s="117"/>
      <c r="BZ578" s="117"/>
      <c r="CA578" s="117"/>
    </row>
    <row r="579" spans="1:79" ht="12.75" customHeight="1">
      <c r="A579" s="65"/>
      <c r="B579" s="893"/>
      <c r="C579" s="893"/>
      <c r="D579" s="893"/>
      <c r="E579" s="893"/>
      <c r="F579" s="893"/>
      <c r="G579" s="893"/>
      <c r="H579" s="893"/>
      <c r="I579" s="893"/>
      <c r="J579" s="893"/>
      <c r="K579" s="893"/>
      <c r="L579" s="893"/>
      <c r="M579" s="893"/>
      <c r="N579" s="893"/>
      <c r="O579" s="893"/>
      <c r="P579" s="893"/>
      <c r="Q579" s="893"/>
      <c r="R579" s="893"/>
      <c r="S579" s="893"/>
      <c r="T579" s="893"/>
      <c r="U579" s="893"/>
      <c r="V579" s="893"/>
      <c r="W579" s="893"/>
      <c r="X579" s="893"/>
      <c r="Y579" s="893"/>
      <c r="Z579" s="893"/>
      <c r="AA579" s="893"/>
      <c r="AB579" s="893"/>
      <c r="AC579" s="893"/>
      <c r="AD579" s="893"/>
      <c r="AE579" s="893"/>
      <c r="AF579" s="893"/>
      <c r="AG579" s="893"/>
      <c r="AH579" s="893"/>
      <c r="AI579" s="893"/>
      <c r="AJ579" s="893"/>
      <c r="AK579" s="4"/>
      <c r="AL579" s="320"/>
      <c r="AM579" s="65"/>
      <c r="AN579" s="424"/>
      <c r="AO579" s="117"/>
      <c r="AP579" s="117"/>
      <c r="AQ579" s="117"/>
      <c r="AR579" s="117"/>
      <c r="AS579" s="117"/>
      <c r="AT579" s="117"/>
      <c r="AU579" s="117"/>
      <c r="AV579" s="117"/>
      <c r="AW579" s="117"/>
      <c r="AX579" s="117"/>
      <c r="AY579" s="117"/>
      <c r="AZ579" s="117"/>
      <c r="BA579" s="117"/>
      <c r="BB579" s="117"/>
      <c r="BC579" s="117"/>
      <c r="BD579" s="117"/>
      <c r="BE579" s="117"/>
      <c r="BF579" s="117"/>
      <c r="BG579" s="117"/>
      <c r="BH579" s="117"/>
      <c r="BI579" s="117"/>
      <c r="BJ579" s="117"/>
      <c r="BK579" s="117"/>
      <c r="BL579" s="117"/>
      <c r="BM579" s="117"/>
      <c r="BN579" s="117"/>
      <c r="BO579" s="117"/>
      <c r="BP579" s="117"/>
      <c r="BQ579" s="117"/>
      <c r="BR579" s="117"/>
      <c r="BS579" s="117"/>
      <c r="BT579" s="117"/>
      <c r="BU579" s="117"/>
      <c r="BV579" s="117"/>
      <c r="BW579" s="117"/>
      <c r="BX579" s="117"/>
      <c r="BY579" s="117"/>
      <c r="BZ579" s="117"/>
      <c r="CA579" s="117"/>
    </row>
    <row r="580" spans="1:79" ht="12.75" customHeight="1">
      <c r="A580" s="65"/>
      <c r="B580" s="893"/>
      <c r="C580" s="893"/>
      <c r="D580" s="893"/>
      <c r="E580" s="893"/>
      <c r="F580" s="893"/>
      <c r="G580" s="893"/>
      <c r="H580" s="893"/>
      <c r="I580" s="893"/>
      <c r="J580" s="893"/>
      <c r="K580" s="893"/>
      <c r="L580" s="893"/>
      <c r="M580" s="893"/>
      <c r="N580" s="893"/>
      <c r="O580" s="893"/>
      <c r="P580" s="893"/>
      <c r="Q580" s="893"/>
      <c r="R580" s="893"/>
      <c r="S580" s="893"/>
      <c r="T580" s="893"/>
      <c r="U580" s="893"/>
      <c r="V580" s="893"/>
      <c r="W580" s="893"/>
      <c r="X580" s="893"/>
      <c r="Y580" s="893"/>
      <c r="Z580" s="893"/>
      <c r="AA580" s="893"/>
      <c r="AB580" s="893"/>
      <c r="AC580" s="893"/>
      <c r="AD580" s="893"/>
      <c r="AE580" s="893"/>
      <c r="AF580" s="893"/>
      <c r="AG580" s="893"/>
      <c r="AH580" s="893"/>
      <c r="AI580" s="893"/>
      <c r="AJ580" s="893"/>
      <c r="AK580" s="4"/>
      <c r="AL580" s="320"/>
      <c r="AM580" s="65"/>
      <c r="AN580" s="424"/>
      <c r="AO580" s="117"/>
      <c r="AP580" s="117"/>
      <c r="AQ580" s="117"/>
      <c r="AR580" s="117"/>
      <c r="AS580" s="117"/>
      <c r="AT580" s="117"/>
      <c r="AU580" s="117"/>
      <c r="AV580" s="117"/>
      <c r="AW580" s="117"/>
      <c r="AX580" s="117"/>
      <c r="AY580" s="117"/>
      <c r="AZ580" s="117"/>
      <c r="BA580" s="117"/>
      <c r="BB580" s="117"/>
      <c r="BC580" s="117"/>
      <c r="BD580" s="117"/>
      <c r="BE580" s="117"/>
      <c r="BF580" s="117"/>
      <c r="BG580" s="117"/>
      <c r="BH580" s="117"/>
      <c r="BI580" s="117"/>
      <c r="BJ580" s="117"/>
      <c r="BK580" s="117"/>
      <c r="BL580" s="117"/>
      <c r="BM580" s="117"/>
      <c r="BN580" s="117"/>
      <c r="BO580" s="117"/>
      <c r="BP580" s="117"/>
      <c r="BQ580" s="117"/>
      <c r="BR580" s="117"/>
      <c r="BS580" s="117"/>
      <c r="BT580" s="117"/>
      <c r="BU580" s="117"/>
      <c r="BV580" s="117"/>
      <c r="BW580" s="117"/>
      <c r="BX580" s="117"/>
      <c r="BY580" s="117"/>
      <c r="BZ580" s="117"/>
      <c r="CA580" s="117"/>
    </row>
    <row r="581" spans="1:79" ht="12.75" customHeight="1">
      <c r="A581" s="65"/>
      <c r="B581" s="893"/>
      <c r="C581" s="893"/>
      <c r="D581" s="893"/>
      <c r="E581" s="893"/>
      <c r="F581" s="893"/>
      <c r="G581" s="893"/>
      <c r="H581" s="893"/>
      <c r="I581" s="893"/>
      <c r="J581" s="893"/>
      <c r="K581" s="893"/>
      <c r="L581" s="893"/>
      <c r="M581" s="893"/>
      <c r="N581" s="893"/>
      <c r="O581" s="893"/>
      <c r="P581" s="893"/>
      <c r="Q581" s="893"/>
      <c r="R581" s="893"/>
      <c r="S581" s="893"/>
      <c r="T581" s="893"/>
      <c r="U581" s="893"/>
      <c r="V581" s="893"/>
      <c r="W581" s="893"/>
      <c r="X581" s="893"/>
      <c r="Y581" s="893"/>
      <c r="Z581" s="893"/>
      <c r="AA581" s="893"/>
      <c r="AB581" s="893"/>
      <c r="AC581" s="893"/>
      <c r="AD581" s="893"/>
      <c r="AE581" s="893"/>
      <c r="AF581" s="893"/>
      <c r="AG581" s="893"/>
      <c r="AH581" s="893"/>
      <c r="AI581" s="893"/>
      <c r="AJ581" s="893"/>
      <c r="AK581" s="4"/>
      <c r="AL581" s="320"/>
      <c r="AM581" s="65"/>
      <c r="AN581" s="424"/>
      <c r="AO581" s="117"/>
      <c r="AP581" s="117"/>
      <c r="AQ581" s="117"/>
      <c r="AR581" s="117"/>
      <c r="AS581" s="117"/>
      <c r="AT581" s="117"/>
      <c r="AU581" s="117"/>
      <c r="AV581" s="117"/>
      <c r="AW581" s="117"/>
      <c r="AX581" s="117"/>
      <c r="AY581" s="117"/>
      <c r="AZ581" s="117"/>
      <c r="BA581" s="117"/>
      <c r="BB581" s="117"/>
      <c r="BC581" s="117"/>
      <c r="BD581" s="117"/>
      <c r="BE581" s="117"/>
      <c r="BF581" s="117"/>
      <c r="BG581" s="117"/>
      <c r="BH581" s="117"/>
      <c r="BI581" s="117"/>
      <c r="BJ581" s="117"/>
      <c r="BK581" s="117"/>
      <c r="BL581" s="117"/>
      <c r="BM581" s="117"/>
      <c r="BN581" s="117"/>
      <c r="BO581" s="117"/>
      <c r="BP581" s="117"/>
      <c r="BQ581" s="117"/>
      <c r="BR581" s="117"/>
      <c r="BS581" s="117"/>
      <c r="BT581" s="117"/>
      <c r="BU581" s="117"/>
      <c r="BV581" s="117"/>
      <c r="BW581" s="117"/>
      <c r="BX581" s="117"/>
      <c r="BY581" s="117"/>
      <c r="BZ581" s="117"/>
      <c r="CA581" s="117"/>
    </row>
    <row r="582" spans="1:79" ht="12.75" customHeight="1">
      <c r="A582" s="65"/>
      <c r="B582" s="893"/>
      <c r="C582" s="893"/>
      <c r="D582" s="893"/>
      <c r="E582" s="893"/>
      <c r="F582" s="893"/>
      <c r="G582" s="893"/>
      <c r="H582" s="893"/>
      <c r="I582" s="893"/>
      <c r="J582" s="893"/>
      <c r="K582" s="893"/>
      <c r="L582" s="893"/>
      <c r="M582" s="893"/>
      <c r="N582" s="893"/>
      <c r="O582" s="893"/>
      <c r="P582" s="893"/>
      <c r="Q582" s="893"/>
      <c r="R582" s="893"/>
      <c r="S582" s="893"/>
      <c r="T582" s="893"/>
      <c r="U582" s="893"/>
      <c r="V582" s="893"/>
      <c r="W582" s="893"/>
      <c r="X582" s="893"/>
      <c r="Y582" s="893"/>
      <c r="Z582" s="893"/>
      <c r="AA582" s="893"/>
      <c r="AB582" s="893"/>
      <c r="AC582" s="893"/>
      <c r="AD582" s="893"/>
      <c r="AE582" s="893"/>
      <c r="AF582" s="893"/>
      <c r="AG582" s="893"/>
      <c r="AH582" s="893"/>
      <c r="AI582" s="893"/>
      <c r="AJ582" s="893"/>
      <c r="AK582" s="4"/>
      <c r="AL582" s="320"/>
      <c r="AM582" s="65"/>
      <c r="AN582" s="424"/>
      <c r="AO582" s="117"/>
      <c r="AP582" s="117"/>
      <c r="AQ582" s="117"/>
      <c r="AR582" s="117"/>
      <c r="AS582" s="117"/>
      <c r="AT582" s="117"/>
      <c r="AU582" s="117"/>
      <c r="AV582" s="117"/>
      <c r="AW582" s="117"/>
      <c r="AX582" s="117"/>
      <c r="AY582" s="117"/>
      <c r="AZ582" s="117"/>
      <c r="BA582" s="117"/>
      <c r="BB582" s="117"/>
      <c r="BC582" s="117"/>
      <c r="BD582" s="117"/>
      <c r="BE582" s="117"/>
      <c r="BF582" s="117"/>
      <c r="BG582" s="117"/>
      <c r="BH582" s="117"/>
      <c r="BI582" s="117"/>
      <c r="BJ582" s="117"/>
      <c r="BK582" s="117"/>
      <c r="BL582" s="117"/>
      <c r="BM582" s="117"/>
      <c r="BN582" s="117"/>
      <c r="BO582" s="117"/>
      <c r="BP582" s="117"/>
      <c r="BQ582" s="117"/>
      <c r="BR582" s="117"/>
      <c r="BS582" s="117"/>
      <c r="BT582" s="117"/>
      <c r="BU582" s="117"/>
      <c r="BV582" s="117"/>
      <c r="BW582" s="117"/>
      <c r="BX582" s="117"/>
      <c r="BY582" s="117"/>
      <c r="BZ582" s="117"/>
      <c r="CA582" s="117"/>
    </row>
    <row r="583" spans="1:79" ht="12.75" customHeight="1">
      <c r="A583" s="65"/>
      <c r="B583" s="893"/>
      <c r="C583" s="893"/>
      <c r="D583" s="893"/>
      <c r="E583" s="893"/>
      <c r="F583" s="893"/>
      <c r="G583" s="893"/>
      <c r="H583" s="893"/>
      <c r="I583" s="893"/>
      <c r="J583" s="893"/>
      <c r="K583" s="893"/>
      <c r="L583" s="893"/>
      <c r="M583" s="893"/>
      <c r="N583" s="893"/>
      <c r="O583" s="893"/>
      <c r="P583" s="893"/>
      <c r="Q583" s="893"/>
      <c r="R583" s="893"/>
      <c r="S583" s="893"/>
      <c r="T583" s="893"/>
      <c r="U583" s="893"/>
      <c r="V583" s="893"/>
      <c r="W583" s="893"/>
      <c r="X583" s="893"/>
      <c r="Y583" s="893"/>
      <c r="Z583" s="893"/>
      <c r="AA583" s="893"/>
      <c r="AB583" s="893"/>
      <c r="AC583" s="893"/>
      <c r="AD583" s="893"/>
      <c r="AE583" s="893"/>
      <c r="AF583" s="893"/>
      <c r="AG583" s="893"/>
      <c r="AH583" s="893"/>
      <c r="AI583" s="893"/>
      <c r="AJ583" s="893"/>
      <c r="AK583" s="4"/>
      <c r="AL583" s="320"/>
      <c r="AM583" s="65"/>
      <c r="AN583" s="424"/>
      <c r="AO583" s="117"/>
      <c r="AP583" s="117"/>
      <c r="AQ583" s="117"/>
      <c r="AR583" s="117"/>
      <c r="AS583" s="117"/>
      <c r="AT583" s="117"/>
      <c r="AU583" s="117"/>
      <c r="AV583" s="117"/>
      <c r="AW583" s="117"/>
      <c r="AX583" s="117"/>
      <c r="AY583" s="117"/>
      <c r="AZ583" s="117"/>
      <c r="BA583" s="117"/>
      <c r="BB583" s="117"/>
      <c r="BC583" s="117"/>
      <c r="BD583" s="117"/>
      <c r="BE583" s="117"/>
      <c r="BF583" s="117"/>
      <c r="BG583" s="117"/>
      <c r="BH583" s="117"/>
      <c r="BI583" s="117"/>
      <c r="BJ583" s="117"/>
      <c r="BK583" s="117"/>
      <c r="BL583" s="117"/>
      <c r="BM583" s="117"/>
      <c r="BN583" s="117"/>
      <c r="BO583" s="117"/>
      <c r="BP583" s="117"/>
      <c r="BQ583" s="117"/>
      <c r="BR583" s="117"/>
      <c r="BS583" s="117"/>
      <c r="BT583" s="117"/>
      <c r="BU583" s="117"/>
      <c r="BV583" s="117"/>
      <c r="BW583" s="117"/>
      <c r="BX583" s="117"/>
      <c r="BY583" s="117"/>
      <c r="BZ583" s="117"/>
      <c r="CA583" s="117"/>
    </row>
    <row r="584" spans="1:79" ht="12.75" customHeight="1">
      <c r="A584" s="65"/>
      <c r="B584" s="893"/>
      <c r="C584" s="893"/>
      <c r="D584" s="893"/>
      <c r="E584" s="893"/>
      <c r="F584" s="893"/>
      <c r="G584" s="893"/>
      <c r="H584" s="893"/>
      <c r="I584" s="893"/>
      <c r="J584" s="893"/>
      <c r="K584" s="893"/>
      <c r="L584" s="893"/>
      <c r="M584" s="893"/>
      <c r="N584" s="893"/>
      <c r="O584" s="893"/>
      <c r="P584" s="893"/>
      <c r="Q584" s="893"/>
      <c r="R584" s="893"/>
      <c r="S584" s="893"/>
      <c r="T584" s="893"/>
      <c r="U584" s="893"/>
      <c r="V584" s="893"/>
      <c r="W584" s="893"/>
      <c r="X584" s="893"/>
      <c r="Y584" s="893"/>
      <c r="Z584" s="893"/>
      <c r="AA584" s="893"/>
      <c r="AB584" s="893"/>
      <c r="AC584" s="893"/>
      <c r="AD584" s="893"/>
      <c r="AE584" s="893"/>
      <c r="AF584" s="893"/>
      <c r="AG584" s="893"/>
      <c r="AH584" s="893"/>
      <c r="AI584" s="893"/>
      <c r="AJ584" s="893"/>
      <c r="AK584" s="4"/>
      <c r="AL584" s="320"/>
      <c r="AM584" s="65"/>
      <c r="AN584" s="345"/>
      <c r="AO584" s="203"/>
      <c r="AP584" s="1"/>
      <c r="AQ584" s="1"/>
      <c r="AR584" s="1"/>
      <c r="AS584" s="1"/>
      <c r="AT584" s="1"/>
      <c r="AU584" s="1"/>
      <c r="AV584" s="1"/>
      <c r="AW584" s="1"/>
      <c r="AX584" s="1"/>
      <c r="AY584" s="1"/>
      <c r="AZ584" s="1"/>
      <c r="BA584" s="1"/>
      <c r="BB584" s="1"/>
      <c r="BC584" s="1"/>
      <c r="BD584" s="126"/>
      <c r="BE584" s="126"/>
      <c r="BF584" s="126"/>
      <c r="BG584" s="126"/>
      <c r="BH584" s="126"/>
      <c r="BI584" s="1"/>
      <c r="BJ584" s="1"/>
      <c r="BK584" s="1"/>
      <c r="BL584" s="1"/>
      <c r="BM584" s="1"/>
      <c r="BN584" s="1"/>
      <c r="BO584" s="1"/>
      <c r="BP584" s="1"/>
      <c r="BQ584" s="1"/>
      <c r="BR584" s="1"/>
      <c r="BS584" s="1"/>
      <c r="BT584" s="1"/>
      <c r="BU584" s="1"/>
      <c r="BV584" s="1"/>
      <c r="BW584" s="1"/>
      <c r="BX584" s="1"/>
      <c r="BY584" s="1"/>
      <c r="BZ584" s="1"/>
      <c r="CA584" s="1"/>
    </row>
    <row r="585" spans="1:79" ht="12.75" customHeight="1">
      <c r="A585" s="117"/>
      <c r="B585" s="893"/>
      <c r="C585" s="893"/>
      <c r="D585" s="893"/>
      <c r="E585" s="893"/>
      <c r="F585" s="893"/>
      <c r="G585" s="893"/>
      <c r="H585" s="893"/>
      <c r="I585" s="893"/>
      <c r="J585" s="893"/>
      <c r="K585" s="893"/>
      <c r="L585" s="893"/>
      <c r="M585" s="893"/>
      <c r="N585" s="893"/>
      <c r="O585" s="893"/>
      <c r="P585" s="893"/>
      <c r="Q585" s="893"/>
      <c r="R585" s="893"/>
      <c r="S585" s="893"/>
      <c r="T585" s="893"/>
      <c r="U585" s="893"/>
      <c r="V585" s="893"/>
      <c r="W585" s="893"/>
      <c r="X585" s="893"/>
      <c r="Y585" s="893"/>
      <c r="Z585" s="893"/>
      <c r="AA585" s="893"/>
      <c r="AB585" s="893"/>
      <c r="AC585" s="893"/>
      <c r="AD585" s="893"/>
      <c r="AE585" s="893"/>
      <c r="AF585" s="893"/>
      <c r="AG585" s="893"/>
      <c r="AH585" s="893"/>
      <c r="AI585" s="893"/>
      <c r="AJ585" s="893"/>
      <c r="AK585" s="4"/>
      <c r="AL585" s="320"/>
      <c r="AM585" s="117"/>
      <c r="AN585" s="424"/>
      <c r="AO585" s="117"/>
      <c r="AP585" s="117"/>
      <c r="AQ585" s="117"/>
      <c r="AR585" s="117"/>
      <c r="AS585" s="117"/>
      <c r="AT585" s="117"/>
      <c r="AU585" s="117"/>
      <c r="AV585" s="117"/>
      <c r="AW585" s="117"/>
      <c r="AX585" s="117"/>
      <c r="AY585" s="117"/>
      <c r="AZ585" s="117"/>
      <c r="BA585" s="117"/>
      <c r="BB585" s="117"/>
      <c r="BC585" s="117"/>
      <c r="BD585" s="117"/>
      <c r="BE585" s="117"/>
      <c r="BF585" s="117"/>
      <c r="BG585" s="117"/>
      <c r="BH585" s="117"/>
      <c r="BI585" s="117"/>
      <c r="BJ585" s="117"/>
      <c r="BK585" s="117"/>
      <c r="BL585" s="117"/>
      <c r="BM585" s="117"/>
      <c r="BN585" s="117"/>
      <c r="BO585" s="117"/>
      <c r="BP585" s="117"/>
      <c r="BQ585" s="117"/>
      <c r="BR585" s="117"/>
      <c r="BS585" s="117"/>
      <c r="BT585" s="117"/>
      <c r="BU585" s="117"/>
      <c r="BV585" s="117"/>
      <c r="BW585" s="117"/>
      <c r="BX585" s="117"/>
      <c r="BY585" s="117"/>
      <c r="BZ585" s="117"/>
      <c r="CA585" s="117"/>
    </row>
    <row r="586" spans="1:79" ht="12.75" customHeight="1">
      <c r="A586" s="117"/>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320"/>
      <c r="AM586" s="117"/>
      <c r="AN586" s="424"/>
      <c r="AO586" s="117"/>
      <c r="AP586" s="117"/>
      <c r="AQ586" s="117"/>
      <c r="AR586" s="117"/>
      <c r="AS586" s="117"/>
      <c r="AT586" s="117"/>
      <c r="AU586" s="117"/>
      <c r="AV586" s="117"/>
      <c r="AW586" s="117"/>
      <c r="AX586" s="117"/>
      <c r="AY586" s="117"/>
      <c r="AZ586" s="117"/>
      <c r="BA586" s="117"/>
      <c r="BB586" s="117"/>
      <c r="BC586" s="117"/>
      <c r="BD586" s="117"/>
      <c r="BE586" s="117"/>
      <c r="BF586" s="117"/>
      <c r="BG586" s="117"/>
      <c r="BH586" s="117"/>
      <c r="BI586" s="117"/>
      <c r="BJ586" s="117"/>
      <c r="BK586" s="117"/>
      <c r="BL586" s="117"/>
      <c r="BM586" s="117"/>
      <c r="BN586" s="117"/>
      <c r="BO586" s="117"/>
      <c r="BP586" s="117"/>
      <c r="BQ586" s="117"/>
      <c r="BR586" s="117"/>
      <c r="BS586" s="117"/>
      <c r="BT586" s="117"/>
      <c r="BU586" s="117"/>
      <c r="BV586" s="117"/>
      <c r="BW586" s="117"/>
      <c r="BX586" s="117"/>
      <c r="BY586" s="117"/>
      <c r="BZ586" s="117"/>
      <c r="CA586" s="117"/>
    </row>
    <row r="587" spans="1:79" ht="12.75" customHeight="1">
      <c r="A587" s="117"/>
      <c r="B587" s="41" t="s">
        <v>2343</v>
      </c>
      <c r="C587" s="709"/>
      <c r="D587" s="320"/>
      <c r="E587" s="320"/>
      <c r="F587" s="320"/>
      <c r="G587" s="320"/>
      <c r="H587" s="320"/>
      <c r="I587" s="320"/>
      <c r="J587" s="320"/>
      <c r="K587" s="320"/>
      <c r="L587" s="320"/>
      <c r="M587" s="320"/>
      <c r="N587" s="320"/>
      <c r="O587" s="320"/>
      <c r="P587" s="320"/>
      <c r="Q587" s="320"/>
      <c r="R587" s="320"/>
      <c r="S587" s="320"/>
      <c r="T587" s="320"/>
      <c r="U587" s="320"/>
      <c r="V587" s="320"/>
      <c r="W587" s="320"/>
      <c r="X587" s="320"/>
      <c r="Y587" s="320"/>
      <c r="Z587" s="320"/>
      <c r="AA587" s="320"/>
      <c r="AB587" s="320"/>
      <c r="AC587" s="320"/>
      <c r="AD587" s="320"/>
      <c r="AE587" s="320"/>
      <c r="AF587" s="320"/>
      <c r="AG587" s="320"/>
      <c r="AH587" s="320"/>
      <c r="AI587" s="320"/>
      <c r="AJ587" s="117"/>
      <c r="AK587" s="117"/>
      <c r="AL587" s="117"/>
      <c r="AM587" s="117"/>
      <c r="AN587" s="424"/>
      <c r="AO587" s="117"/>
      <c r="AP587" s="117" t="s">
        <v>855</v>
      </c>
      <c r="AQ587" s="117"/>
      <c r="AR587" s="117"/>
      <c r="AS587" s="117"/>
      <c r="AT587" s="117"/>
      <c r="AU587" s="117"/>
      <c r="AV587" s="117"/>
      <c r="AW587" s="117"/>
      <c r="AX587" s="117"/>
      <c r="AY587" s="117"/>
      <c r="AZ587" s="117"/>
      <c r="BA587" s="117"/>
      <c r="BB587" s="117"/>
      <c r="BC587" s="117"/>
      <c r="BD587" s="117"/>
      <c r="BE587" s="117"/>
      <c r="BF587" s="117"/>
      <c r="BG587" s="117"/>
      <c r="BH587" s="117"/>
      <c r="BI587" s="117"/>
      <c r="BJ587" s="117"/>
      <c r="BK587" s="117"/>
      <c r="BL587" s="117"/>
      <c r="BM587" s="117"/>
      <c r="BN587" s="117"/>
      <c r="BO587" s="117"/>
      <c r="BP587" s="117"/>
      <c r="BQ587" s="117"/>
      <c r="BR587" s="117"/>
      <c r="BS587" s="117"/>
      <c r="BT587" s="117"/>
      <c r="BU587" s="117"/>
      <c r="BV587" s="117"/>
      <c r="BW587" s="117"/>
      <c r="BX587" s="117"/>
      <c r="BY587" s="117"/>
      <c r="BZ587" s="117"/>
      <c r="CA587" s="117"/>
    </row>
    <row r="588" spans="1:79" ht="12.75" customHeight="1">
      <c r="A588" s="117"/>
      <c r="B588" s="1"/>
      <c r="C588" s="709"/>
      <c r="D588" s="320"/>
      <c r="E588" s="320"/>
      <c r="F588" s="320"/>
      <c r="G588" s="320"/>
      <c r="H588" s="320"/>
      <c r="I588" s="320"/>
      <c r="J588" s="320"/>
      <c r="K588" s="320"/>
      <c r="L588" s="320"/>
      <c r="M588" s="320"/>
      <c r="N588" s="320"/>
      <c r="O588" s="320"/>
      <c r="P588" s="320"/>
      <c r="Q588" s="320"/>
      <c r="R588" s="320"/>
      <c r="S588" s="320"/>
      <c r="T588" s="320"/>
      <c r="U588" s="320"/>
      <c r="V588" s="320"/>
      <c r="W588" s="320"/>
      <c r="X588" s="320"/>
      <c r="Y588" s="320"/>
      <c r="Z588" s="320"/>
      <c r="AA588" s="320"/>
      <c r="AB588" s="320"/>
      <c r="AC588" s="320"/>
      <c r="AD588" s="320"/>
      <c r="AE588" s="320"/>
      <c r="AF588" s="320"/>
      <c r="AG588" s="320"/>
      <c r="AH588" s="320"/>
      <c r="AI588" s="320"/>
      <c r="AJ588" s="117"/>
      <c r="AK588" s="117"/>
      <c r="AL588" s="117"/>
      <c r="AM588" s="117"/>
      <c r="AN588" s="424"/>
      <c r="AO588" s="117"/>
      <c r="AP588" s="117" t="s">
        <v>901</v>
      </c>
      <c r="AQ588" s="117"/>
      <c r="AR588" s="117"/>
      <c r="AS588" s="117"/>
      <c r="AT588" s="117"/>
      <c r="AU588" s="117"/>
      <c r="AV588" s="117"/>
      <c r="AW588" s="117"/>
      <c r="AX588" s="117"/>
      <c r="AY588" s="117"/>
      <c r="AZ588" s="117"/>
      <c r="BA588" s="117"/>
      <c r="BB588" s="117"/>
      <c r="BC588" s="117"/>
      <c r="BD588" s="117"/>
      <c r="BE588" s="117"/>
      <c r="BF588" s="117"/>
      <c r="BG588" s="117"/>
      <c r="BH588" s="117"/>
      <c r="BI588" s="117"/>
      <c r="BJ588" s="117"/>
      <c r="BK588" s="117"/>
      <c r="BL588" s="117"/>
      <c r="BM588" s="117"/>
      <c r="BN588" s="117"/>
      <c r="BO588" s="117"/>
      <c r="BP588" s="117"/>
      <c r="BQ588" s="117"/>
      <c r="BR588" s="117"/>
      <c r="BS588" s="117"/>
      <c r="BT588" s="117"/>
      <c r="BU588" s="117"/>
      <c r="BV588" s="117"/>
      <c r="BW588" s="117"/>
      <c r="BX588" s="117"/>
      <c r="BY588" s="117"/>
      <c r="BZ588" s="117"/>
      <c r="CA588" s="117"/>
    </row>
    <row r="589" spans="1:79" ht="12.75" customHeight="1">
      <c r="A589" s="117"/>
      <c r="B589" s="117"/>
      <c r="C589" s="8" t="s">
        <v>2344</v>
      </c>
      <c r="D589" s="710"/>
      <c r="E589" s="320"/>
      <c r="F589" s="320"/>
      <c r="G589" s="320"/>
      <c r="H589" s="320"/>
      <c r="I589" s="320"/>
      <c r="J589" s="320"/>
      <c r="K589" s="320"/>
      <c r="L589" s="320"/>
      <c r="M589" s="320"/>
      <c r="N589" s="320"/>
      <c r="O589" s="320"/>
      <c r="P589" s="320"/>
      <c r="Q589" s="320"/>
      <c r="R589" s="320"/>
      <c r="S589" s="320"/>
      <c r="T589" s="320"/>
      <c r="U589" s="320"/>
      <c r="V589" s="320"/>
      <c r="W589" s="320"/>
      <c r="X589" s="320"/>
      <c r="Y589" s="320"/>
      <c r="Z589" s="320"/>
      <c r="AA589" s="320"/>
      <c r="AB589" s="320"/>
      <c r="AC589" s="320"/>
      <c r="AD589" s="320"/>
      <c r="AE589" s="320"/>
      <c r="AF589" s="320"/>
      <c r="AG589" s="320"/>
      <c r="AH589" s="320"/>
      <c r="AI589" s="320"/>
      <c r="AJ589" s="117"/>
      <c r="AK589" s="117"/>
      <c r="AL589" s="117"/>
      <c r="AM589" s="117"/>
      <c r="AN589" s="424"/>
      <c r="AO589" s="117"/>
      <c r="AP589" s="117"/>
      <c r="AQ589" s="117"/>
      <c r="AR589" s="117"/>
      <c r="AS589" s="117"/>
      <c r="AT589" s="117"/>
      <c r="AU589" s="117"/>
      <c r="AV589" s="117"/>
      <c r="AW589" s="117"/>
      <c r="AX589" s="117"/>
      <c r="AY589" s="117"/>
      <c r="AZ589" s="117"/>
      <c r="BA589" s="117"/>
      <c r="BB589" s="117"/>
      <c r="BC589" s="117"/>
      <c r="BD589" s="117"/>
      <c r="BE589" s="117"/>
      <c r="BF589" s="117"/>
      <c r="BG589" s="117"/>
      <c r="BH589" s="117"/>
      <c r="BI589" s="117"/>
      <c r="BJ589" s="117"/>
      <c r="BK589" s="117"/>
      <c r="BL589" s="117"/>
      <c r="BM589" s="117"/>
      <c r="BN589" s="117"/>
      <c r="BO589" s="117"/>
      <c r="BP589" s="117"/>
      <c r="BQ589" s="117"/>
      <c r="BR589" s="117"/>
      <c r="BS589" s="117"/>
      <c r="BT589" s="117"/>
      <c r="BU589" s="117"/>
      <c r="BV589" s="117"/>
      <c r="BW589" s="117"/>
      <c r="BX589" s="117"/>
      <c r="BY589" s="117"/>
      <c r="BZ589" s="117"/>
      <c r="CA589" s="117"/>
    </row>
    <row r="590" spans="1:79" ht="12.75" customHeight="1">
      <c r="A590" s="117"/>
      <c r="B590" s="1"/>
      <c r="C590" s="1"/>
      <c r="D590" s="19"/>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
      <c r="AG590" s="1"/>
      <c r="AH590" s="1"/>
      <c r="AI590" s="1"/>
      <c r="AJ590" s="1"/>
      <c r="AK590" s="1"/>
      <c r="AL590" s="1"/>
      <c r="AM590" s="117"/>
      <c r="AN590" s="424"/>
      <c r="AO590" s="117"/>
      <c r="AP590" s="117"/>
      <c r="AQ590" s="117"/>
      <c r="AR590" s="117"/>
      <c r="AS590" s="117"/>
      <c r="AT590" s="117"/>
      <c r="AU590" s="117"/>
      <c r="AV590" s="117"/>
      <c r="AW590" s="117"/>
      <c r="AX590" s="117"/>
      <c r="AY590" s="117"/>
      <c r="AZ590" s="117"/>
      <c r="BA590" s="117"/>
      <c r="BB590" s="117"/>
      <c r="BC590" s="117"/>
      <c r="BD590" s="117"/>
      <c r="BE590" s="117"/>
      <c r="BF590" s="117"/>
      <c r="BG590" s="117"/>
      <c r="BH590" s="117"/>
      <c r="BI590" s="117"/>
      <c r="BJ590" s="117"/>
      <c r="BK590" s="117"/>
      <c r="BL590" s="117"/>
      <c r="BM590" s="117"/>
      <c r="BN590" s="117"/>
      <c r="BO590" s="117"/>
      <c r="BP590" s="117"/>
      <c r="BQ590" s="117"/>
      <c r="BR590" s="117"/>
      <c r="BS590" s="117"/>
      <c r="BT590" s="117"/>
      <c r="BU590" s="117"/>
      <c r="BV590" s="117"/>
      <c r="BW590" s="117"/>
      <c r="BX590" s="117"/>
      <c r="BY590" s="117"/>
      <c r="BZ590" s="117"/>
      <c r="CA590" s="117"/>
    </row>
    <row r="591" spans="1:79" ht="12.75" customHeight="1">
      <c r="A591" s="117"/>
      <c r="B591" s="1"/>
      <c r="C591" s="1"/>
      <c r="D591" s="41" t="s">
        <v>44</v>
      </c>
      <c r="E591" s="41" t="s">
        <v>2345</v>
      </c>
      <c r="F591" s="4"/>
      <c r="G591" s="4"/>
      <c r="H591" s="4"/>
      <c r="I591" s="4"/>
      <c r="J591" s="4"/>
      <c r="K591" s="4"/>
      <c r="L591" s="4"/>
      <c r="M591" s="4"/>
      <c r="N591" s="4"/>
      <c r="O591" s="4"/>
      <c r="P591" s="4"/>
      <c r="Q591" s="4"/>
      <c r="R591" s="4"/>
      <c r="S591" s="4"/>
      <c r="T591" s="4"/>
      <c r="U591" s="4"/>
      <c r="V591" s="4"/>
      <c r="W591" s="4"/>
      <c r="X591" s="4"/>
      <c r="Y591" s="4"/>
      <c r="Z591" s="4"/>
      <c r="AA591" s="4"/>
      <c r="AB591" s="4"/>
      <c r="AC591" s="1"/>
      <c r="AD591" s="1"/>
      <c r="AE591" s="1"/>
      <c r="AF591" s="1376" t="s">
        <v>1940</v>
      </c>
      <c r="AG591" s="893"/>
      <c r="AH591" s="893"/>
      <c r="AI591" s="893"/>
      <c r="AJ591" s="893"/>
      <c r="AK591" s="893"/>
      <c r="AL591" s="893"/>
      <c r="AM591" s="117"/>
      <c r="AN591" s="424"/>
      <c r="AO591" s="117"/>
      <c r="AP591" s="117"/>
      <c r="AQ591" s="117"/>
      <c r="AR591" s="117"/>
      <c r="AS591" s="117"/>
      <c r="AT591" s="117"/>
      <c r="AU591" s="117"/>
      <c r="AV591" s="117"/>
      <c r="AW591" s="117"/>
      <c r="AX591" s="117"/>
      <c r="AY591" s="117"/>
      <c r="AZ591" s="117"/>
      <c r="BA591" s="117"/>
      <c r="BB591" s="117"/>
      <c r="BC591" s="117"/>
      <c r="BD591" s="117"/>
      <c r="BE591" s="117"/>
      <c r="BF591" s="117"/>
      <c r="BG591" s="117"/>
      <c r="BH591" s="117"/>
      <c r="BI591" s="117"/>
      <c r="BJ591" s="117"/>
      <c r="BK591" s="117"/>
      <c r="BL591" s="117"/>
      <c r="BM591" s="117"/>
      <c r="BN591" s="117"/>
      <c r="BO591" s="117"/>
      <c r="BP591" s="117"/>
      <c r="BQ591" s="117"/>
      <c r="BR591" s="117"/>
      <c r="BS591" s="117"/>
      <c r="BT591" s="117"/>
      <c r="BU591" s="117"/>
      <c r="BV591" s="117"/>
      <c r="BW591" s="117"/>
      <c r="BX591" s="117"/>
      <c r="BY591" s="117"/>
      <c r="BZ591" s="117"/>
      <c r="CA591" s="117"/>
    </row>
    <row r="592" spans="1:79" ht="12.75" customHeight="1">
      <c r="A592" s="117"/>
      <c r="B592" s="1"/>
      <c r="C592" s="14"/>
      <c r="D592" s="41"/>
      <c r="E592" s="41" t="s">
        <v>2346</v>
      </c>
      <c r="F592" s="4"/>
      <c r="G592" s="4"/>
      <c r="H592" s="4"/>
      <c r="I592" s="4"/>
      <c r="J592" s="4"/>
      <c r="K592" s="4"/>
      <c r="L592" s="4"/>
      <c r="M592" s="4"/>
      <c r="N592" s="4"/>
      <c r="O592" s="4"/>
      <c r="P592" s="4"/>
      <c r="Q592" s="4"/>
      <c r="R592" s="4"/>
      <c r="S592" s="4"/>
      <c r="T592" s="4"/>
      <c r="U592" s="4"/>
      <c r="V592" s="4"/>
      <c r="W592" s="4"/>
      <c r="X592" s="4"/>
      <c r="Y592" s="4"/>
      <c r="Z592" s="4"/>
      <c r="AA592" s="4"/>
      <c r="AB592" s="4"/>
      <c r="AC592" s="1"/>
      <c r="AD592" s="1"/>
      <c r="AE592" s="14"/>
      <c r="AF592" s="14"/>
      <c r="AG592" s="14"/>
      <c r="AH592" s="14"/>
      <c r="AI592" s="14"/>
      <c r="AJ592" s="14"/>
      <c r="AK592" s="14"/>
      <c r="AL592" s="14"/>
      <c r="AM592" s="117"/>
      <c r="AN592" s="424"/>
      <c r="AO592" s="117"/>
      <c r="AP592" s="117"/>
      <c r="AQ592" s="117"/>
      <c r="AR592" s="117"/>
      <c r="AS592" s="117"/>
      <c r="AT592" s="117"/>
      <c r="AU592" s="117"/>
      <c r="AV592" s="117"/>
      <c r="AW592" s="117"/>
      <c r="AX592" s="117"/>
      <c r="AY592" s="117"/>
      <c r="AZ592" s="117"/>
      <c r="BA592" s="117"/>
      <c r="BB592" s="117"/>
      <c r="BC592" s="117"/>
      <c r="BD592" s="117"/>
      <c r="BE592" s="117"/>
      <c r="BF592" s="117"/>
      <c r="BG592" s="117"/>
      <c r="BH592" s="117"/>
      <c r="BI592" s="117"/>
      <c r="BJ592" s="117"/>
      <c r="BK592" s="117"/>
      <c r="BL592" s="117"/>
      <c r="BM592" s="117"/>
      <c r="BN592" s="117"/>
      <c r="BO592" s="117"/>
      <c r="BP592" s="117"/>
      <c r="BQ592" s="117"/>
      <c r="BR592" s="117"/>
      <c r="BS592" s="117"/>
      <c r="BT592" s="117"/>
      <c r="BU592" s="117"/>
      <c r="BV592" s="117"/>
      <c r="BW592" s="117"/>
      <c r="BX592" s="117"/>
      <c r="BY592" s="117"/>
      <c r="BZ592" s="117"/>
      <c r="CA592" s="117"/>
    </row>
    <row r="593" spans="1:79" ht="12.75" customHeight="1">
      <c r="A593" s="117"/>
      <c r="B593" s="1"/>
      <c r="C593" s="14"/>
      <c r="D593" s="41"/>
      <c r="E593" s="41" t="s">
        <v>2347</v>
      </c>
      <c r="F593" s="4"/>
      <c r="G593" s="4"/>
      <c r="H593" s="4"/>
      <c r="I593" s="4"/>
      <c r="J593" s="4"/>
      <c r="K593" s="4"/>
      <c r="L593" s="4"/>
      <c r="M593" s="4"/>
      <c r="N593" s="4"/>
      <c r="O593" s="4"/>
      <c r="P593" s="4"/>
      <c r="Q593" s="4"/>
      <c r="R593" s="4"/>
      <c r="S593" s="4"/>
      <c r="T593" s="4"/>
      <c r="U593" s="4"/>
      <c r="V593" s="4"/>
      <c r="W593" s="4"/>
      <c r="X593" s="4"/>
      <c r="Y593" s="4"/>
      <c r="Z593" s="4"/>
      <c r="AA593" s="4"/>
      <c r="AB593" s="4"/>
      <c r="AC593" s="1"/>
      <c r="AD593" s="1"/>
      <c r="AE593" s="14"/>
      <c r="AF593" s="14"/>
      <c r="AG593" s="14"/>
      <c r="AH593" s="14"/>
      <c r="AI593" s="14"/>
      <c r="AJ593" s="14"/>
      <c r="AK593" s="14"/>
      <c r="AL593" s="14"/>
      <c r="AM593" s="117"/>
      <c r="AN593" s="424"/>
      <c r="AO593" s="117"/>
      <c r="AP593" s="117"/>
      <c r="AQ593" s="117"/>
      <c r="AR593" s="117"/>
      <c r="AS593" s="117"/>
      <c r="AT593" s="117"/>
      <c r="AU593" s="117"/>
      <c r="AV593" s="117"/>
      <c r="AW593" s="117"/>
      <c r="AX593" s="117"/>
      <c r="AY593" s="117"/>
      <c r="AZ593" s="117"/>
      <c r="BA593" s="117"/>
      <c r="BB593" s="117"/>
      <c r="BC593" s="117"/>
      <c r="BD593" s="117"/>
      <c r="BE593" s="117"/>
      <c r="BF593" s="117"/>
      <c r="BG593" s="117"/>
      <c r="BH593" s="117"/>
      <c r="BI593" s="117"/>
      <c r="BJ593" s="117"/>
      <c r="BK593" s="117"/>
      <c r="BL593" s="117"/>
      <c r="BM593" s="117"/>
      <c r="BN593" s="117"/>
      <c r="BO593" s="117"/>
      <c r="BP593" s="117"/>
      <c r="BQ593" s="117"/>
      <c r="BR593" s="117"/>
      <c r="BS593" s="117"/>
      <c r="BT593" s="117"/>
      <c r="BU593" s="117"/>
      <c r="BV593" s="117"/>
      <c r="BW593" s="117"/>
      <c r="BX593" s="117"/>
      <c r="BY593" s="117"/>
      <c r="BZ593" s="117"/>
      <c r="CA593" s="117"/>
    </row>
    <row r="594" spans="1:79" ht="12.75" customHeight="1">
      <c r="A594" s="117"/>
      <c r="B594" s="1"/>
      <c r="C594" s="14"/>
      <c r="D594" s="41"/>
      <c r="E594" s="41" t="s">
        <v>2348</v>
      </c>
      <c r="F594" s="4"/>
      <c r="G594" s="4"/>
      <c r="H594" s="4"/>
      <c r="I594" s="4"/>
      <c r="J594" s="4"/>
      <c r="K594" s="4"/>
      <c r="L594" s="4"/>
      <c r="M594" s="4"/>
      <c r="N594" s="4"/>
      <c r="O594" s="4"/>
      <c r="P594" s="4"/>
      <c r="Q594" s="4"/>
      <c r="R594" s="4"/>
      <c r="S594" s="4"/>
      <c r="T594" s="4"/>
      <c r="U594" s="4"/>
      <c r="V594" s="4"/>
      <c r="W594" s="4"/>
      <c r="X594" s="4"/>
      <c r="Y594" s="4"/>
      <c r="Z594" s="4"/>
      <c r="AA594" s="4"/>
      <c r="AB594" s="4"/>
      <c r="AC594" s="1"/>
      <c r="AD594" s="1"/>
      <c r="AE594" s="14"/>
      <c r="AF594" s="14"/>
      <c r="AG594" s="14"/>
      <c r="AH594" s="14"/>
      <c r="AI594" s="14"/>
      <c r="AJ594" s="14"/>
      <c r="AK594" s="14"/>
      <c r="AL594" s="14"/>
      <c r="AM594" s="117"/>
      <c r="AN594" s="424"/>
      <c r="AO594" s="117"/>
      <c r="AP594" s="117"/>
      <c r="AQ594" s="117"/>
      <c r="AR594" s="117"/>
      <c r="AS594" s="117"/>
      <c r="AT594" s="117"/>
      <c r="AU594" s="117"/>
      <c r="AV594" s="117"/>
      <c r="AW594" s="117"/>
      <c r="AX594" s="117"/>
      <c r="AY594" s="117"/>
      <c r="AZ594" s="117"/>
      <c r="BA594" s="117"/>
      <c r="BB594" s="117"/>
      <c r="BC594" s="117"/>
      <c r="BD594" s="117"/>
      <c r="BE594" s="117"/>
      <c r="BF594" s="117"/>
      <c r="BG594" s="117"/>
      <c r="BH594" s="117"/>
      <c r="BI594" s="117"/>
      <c r="BJ594" s="117"/>
      <c r="BK594" s="117"/>
      <c r="BL594" s="117"/>
      <c r="BM594" s="117"/>
      <c r="BN594" s="117"/>
      <c r="BO594" s="117"/>
      <c r="BP594" s="117"/>
      <c r="BQ594" s="117"/>
      <c r="BR594" s="117"/>
      <c r="BS594" s="117"/>
      <c r="BT594" s="117"/>
      <c r="BU594" s="117"/>
      <c r="BV594" s="117"/>
      <c r="BW594" s="117"/>
      <c r="BX594" s="117"/>
      <c r="BY594" s="117"/>
      <c r="BZ594" s="117"/>
      <c r="CA594" s="117"/>
    </row>
    <row r="595" spans="1:79" ht="12.75" customHeight="1">
      <c r="A595" s="117"/>
      <c r="B595" s="1"/>
      <c r="C595" s="14"/>
      <c r="D595" s="41"/>
      <c r="E595" s="41" t="s">
        <v>2349</v>
      </c>
      <c r="F595" s="4"/>
      <c r="G595" s="4"/>
      <c r="H595" s="4"/>
      <c r="I595" s="4"/>
      <c r="J595" s="4"/>
      <c r="K595" s="4"/>
      <c r="L595" s="4"/>
      <c r="M595" s="4"/>
      <c r="N595" s="4"/>
      <c r="O595" s="4"/>
      <c r="P595" s="4"/>
      <c r="Q595" s="4"/>
      <c r="R595" s="4"/>
      <c r="S595" s="4"/>
      <c r="T595" s="4"/>
      <c r="U595" s="4"/>
      <c r="V595" s="4"/>
      <c r="W595" s="4"/>
      <c r="X595" s="4"/>
      <c r="Y595" s="4"/>
      <c r="Z595" s="4"/>
      <c r="AA595" s="4"/>
      <c r="AB595" s="4"/>
      <c r="AC595" s="1"/>
      <c r="AD595" s="1"/>
      <c r="AE595" s="14"/>
      <c r="AF595" s="14"/>
      <c r="AG595" s="14"/>
      <c r="AH595" s="14"/>
      <c r="AI595" s="14"/>
      <c r="AJ595" s="14"/>
      <c r="AK595" s="14"/>
      <c r="AL595" s="14"/>
      <c r="AM595" s="117"/>
      <c r="AN595" s="424"/>
      <c r="AO595" s="117" t="s">
        <v>2350</v>
      </c>
      <c r="AP595" s="117" t="b">
        <f>IF(Application!AF427&gt;=25,TRUE,FALSE)</f>
        <v>1</v>
      </c>
      <c r="AQ595" s="117"/>
      <c r="AR595" s="117"/>
      <c r="AS595" s="117"/>
      <c r="AT595" s="117"/>
      <c r="AU595" s="117"/>
      <c r="AV595" s="117"/>
      <c r="AW595" s="117"/>
      <c r="AX595" s="117"/>
      <c r="AY595" s="117"/>
      <c r="AZ595" s="117"/>
      <c r="BA595" s="117"/>
      <c r="BB595" s="117"/>
      <c r="BC595" s="117"/>
      <c r="BD595" s="117"/>
      <c r="BE595" s="117"/>
      <c r="BF595" s="117"/>
      <c r="BG595" s="117"/>
      <c r="BH595" s="117"/>
      <c r="BI595" s="117"/>
      <c r="BJ595" s="117"/>
      <c r="BK595" s="117"/>
      <c r="BL595" s="117"/>
      <c r="BM595" s="117"/>
      <c r="BN595" s="117"/>
      <c r="BO595" s="117"/>
      <c r="BP595" s="117"/>
      <c r="BQ595" s="117"/>
      <c r="BR595" s="117"/>
      <c r="BS595" s="117"/>
      <c r="BT595" s="117"/>
      <c r="BU595" s="117"/>
      <c r="BV595" s="117"/>
      <c r="BW595" s="117"/>
      <c r="BX595" s="117"/>
      <c r="BY595" s="117"/>
      <c r="BZ595" s="117"/>
      <c r="CA595" s="117"/>
    </row>
    <row r="596" spans="1:79" ht="12.75" customHeight="1">
      <c r="A596" s="117"/>
      <c r="B596" s="1"/>
      <c r="C596" s="14"/>
      <c r="D596" s="41"/>
      <c r="E596" s="41" t="s">
        <v>2351</v>
      </c>
      <c r="F596" s="4"/>
      <c r="G596" s="4"/>
      <c r="H596" s="4"/>
      <c r="I596" s="4"/>
      <c r="J596" s="4"/>
      <c r="K596" s="4"/>
      <c r="L596" s="4"/>
      <c r="M596" s="4"/>
      <c r="N596" s="4"/>
      <c r="O596" s="4"/>
      <c r="P596" s="4"/>
      <c r="Q596" s="4"/>
      <c r="R596" s="4"/>
      <c r="S596" s="4"/>
      <c r="T596" s="4"/>
      <c r="U596" s="4"/>
      <c r="V596" s="4"/>
      <c r="W596" s="4"/>
      <c r="X596" s="4"/>
      <c r="Y596" s="4"/>
      <c r="Z596" s="4"/>
      <c r="AA596" s="4"/>
      <c r="AB596" s="4"/>
      <c r="AC596" s="1"/>
      <c r="AD596" s="1"/>
      <c r="AE596" s="14"/>
      <c r="AF596" s="14"/>
      <c r="AG596" s="14"/>
      <c r="AH596" s="14"/>
      <c r="AI596" s="14"/>
      <c r="AJ596" s="14"/>
      <c r="AK596" s="14"/>
      <c r="AL596" s="14"/>
      <c r="AM596" s="117"/>
      <c r="AN596" s="424"/>
      <c r="AO596" s="117" t="s">
        <v>691</v>
      </c>
      <c r="AP596" s="117" t="b">
        <f>Application!T199="Yes"</f>
        <v>0</v>
      </c>
      <c r="AQ596" s="117"/>
      <c r="AR596" s="117"/>
      <c r="AS596" s="117"/>
      <c r="AT596" s="117"/>
      <c r="AU596" s="117"/>
      <c r="AV596" s="117"/>
      <c r="AW596" s="117"/>
      <c r="AX596" s="117"/>
      <c r="AY596" s="117"/>
      <c r="AZ596" s="117"/>
      <c r="BA596" s="117"/>
      <c r="BB596" s="117"/>
      <c r="BC596" s="117"/>
      <c r="BD596" s="117"/>
      <c r="BE596" s="117"/>
      <c r="BF596" s="117"/>
      <c r="BG596" s="117"/>
      <c r="BH596" s="117"/>
      <c r="BI596" s="117"/>
      <c r="BJ596" s="117"/>
      <c r="BK596" s="117"/>
      <c r="BL596" s="117"/>
      <c r="BM596" s="117"/>
      <c r="BN596" s="117"/>
      <c r="BO596" s="117"/>
      <c r="BP596" s="117"/>
      <c r="BQ596" s="117"/>
      <c r="BR596" s="117"/>
      <c r="BS596" s="117"/>
      <c r="BT596" s="117"/>
      <c r="BU596" s="117"/>
      <c r="BV596" s="117"/>
      <c r="BW596" s="117"/>
      <c r="BX596" s="117"/>
      <c r="BY596" s="117"/>
      <c r="BZ596" s="117"/>
      <c r="CA596" s="117"/>
    </row>
    <row r="597" spans="1:79" ht="12.75" customHeight="1">
      <c r="A597" s="117"/>
      <c r="B597" s="1"/>
      <c r="C597" s="14"/>
      <c r="D597" s="41"/>
      <c r="E597" s="41"/>
      <c r="F597" s="4"/>
      <c r="G597" s="4"/>
      <c r="H597" s="4"/>
      <c r="I597" s="4"/>
      <c r="J597" s="4"/>
      <c r="K597" s="4"/>
      <c r="L597" s="4"/>
      <c r="M597" s="4"/>
      <c r="N597" s="4"/>
      <c r="O597" s="4"/>
      <c r="P597" s="4"/>
      <c r="Q597" s="4"/>
      <c r="R597" s="4"/>
      <c r="S597" s="4"/>
      <c r="T597" s="4"/>
      <c r="U597" s="4"/>
      <c r="V597" s="4"/>
      <c r="W597" s="4"/>
      <c r="X597" s="4"/>
      <c r="Y597" s="4"/>
      <c r="Z597" s="4"/>
      <c r="AA597" s="4"/>
      <c r="AB597" s="4"/>
      <c r="AC597" s="1"/>
      <c r="AD597" s="1"/>
      <c r="AE597" s="14"/>
      <c r="AF597" s="1"/>
      <c r="AG597" s="1"/>
      <c r="AH597" s="1"/>
      <c r="AI597" s="1"/>
      <c r="AJ597" s="1"/>
      <c r="AK597" s="1"/>
      <c r="AL597" s="1"/>
      <c r="AM597" s="117"/>
      <c r="AN597" s="424"/>
      <c r="AO597" s="117"/>
      <c r="AP597" s="117"/>
      <c r="AQ597" s="117"/>
      <c r="AR597" s="117"/>
      <c r="AS597" s="117"/>
      <c r="AT597" s="117"/>
      <c r="AU597" s="117"/>
      <c r="AV597" s="117"/>
      <c r="AW597" s="117"/>
      <c r="AX597" s="117"/>
      <c r="AY597" s="117"/>
      <c r="AZ597" s="117"/>
      <c r="BA597" s="117"/>
      <c r="BB597" s="117"/>
      <c r="BC597" s="117"/>
      <c r="BD597" s="117"/>
      <c r="BE597" s="117"/>
      <c r="BF597" s="117"/>
      <c r="BG597" s="117"/>
      <c r="BH597" s="117"/>
      <c r="BI597" s="117"/>
      <c r="BJ597" s="117"/>
      <c r="BK597" s="117"/>
      <c r="BL597" s="117"/>
      <c r="BM597" s="117"/>
      <c r="BN597" s="117"/>
      <c r="BO597" s="117"/>
      <c r="BP597" s="117"/>
      <c r="BQ597" s="117"/>
      <c r="BR597" s="117"/>
      <c r="BS597" s="117"/>
      <c r="BT597" s="117"/>
      <c r="BU597" s="117"/>
      <c r="BV597" s="117"/>
      <c r="BW597" s="117"/>
      <c r="BX597" s="117"/>
      <c r="BY597" s="117"/>
      <c r="BZ597" s="117"/>
      <c r="CA597" s="117"/>
    </row>
    <row r="598" spans="1:79" ht="12.75" customHeight="1">
      <c r="A598" s="521"/>
      <c r="B598" s="1"/>
      <c r="C598" s="194"/>
      <c r="D598" s="41" t="s">
        <v>51</v>
      </c>
      <c r="E598" s="41" t="s">
        <v>2352</v>
      </c>
      <c r="F598" s="712"/>
      <c r="G598" s="712"/>
      <c r="H598" s="712"/>
      <c r="I598" s="712"/>
      <c r="J598" s="712"/>
      <c r="K598" s="712"/>
      <c r="L598" s="712"/>
      <c r="M598" s="712"/>
      <c r="N598" s="712"/>
      <c r="O598" s="712"/>
      <c r="P598" s="712"/>
      <c r="Q598" s="712"/>
      <c r="R598" s="712"/>
      <c r="S598" s="712"/>
      <c r="T598" s="712"/>
      <c r="U598" s="712"/>
      <c r="V598" s="712"/>
      <c r="W598" s="712"/>
      <c r="X598" s="712"/>
      <c r="Y598" s="712"/>
      <c r="Z598" s="712"/>
      <c r="AA598" s="712"/>
      <c r="AB598" s="712"/>
      <c r="AC598" s="1"/>
      <c r="AD598" s="1"/>
      <c r="AE598" s="1"/>
      <c r="AF598" s="1376" t="s">
        <v>2353</v>
      </c>
      <c r="AG598" s="893"/>
      <c r="AH598" s="893"/>
      <c r="AI598" s="893"/>
      <c r="AJ598" s="893"/>
      <c r="AK598" s="893"/>
      <c r="AL598" s="893"/>
      <c r="AM598" s="117"/>
      <c r="AN598" s="424"/>
      <c r="AO598" s="117"/>
      <c r="AP598" s="117"/>
      <c r="AQ598" s="117"/>
      <c r="AR598" s="117"/>
      <c r="AS598" s="117"/>
      <c r="AT598" s="117"/>
      <c r="AU598" s="117"/>
      <c r="AV598" s="117"/>
      <c r="AW598" s="117"/>
      <c r="AX598" s="117"/>
      <c r="AY598" s="117"/>
      <c r="AZ598" s="117"/>
      <c r="BA598" s="117"/>
      <c r="BB598" s="117"/>
      <c r="BC598" s="117"/>
      <c r="BD598" s="117"/>
      <c r="BE598" s="117"/>
      <c r="BF598" s="117"/>
      <c r="BG598" s="117"/>
      <c r="BH598" s="117"/>
      <c r="BI598" s="117"/>
      <c r="BJ598" s="117"/>
      <c r="BK598" s="117"/>
      <c r="BL598" s="117"/>
      <c r="BM598" s="117"/>
      <c r="BN598" s="117"/>
      <c r="BO598" s="117"/>
      <c r="BP598" s="117"/>
      <c r="BQ598" s="117"/>
      <c r="BR598" s="117"/>
      <c r="BS598" s="117"/>
      <c r="BT598" s="117"/>
      <c r="BU598" s="117"/>
      <c r="BV598" s="117"/>
      <c r="BW598" s="117"/>
      <c r="BX598" s="117"/>
      <c r="BY598" s="117"/>
      <c r="BZ598" s="117"/>
      <c r="CA598" s="117"/>
    </row>
    <row r="599" spans="1:79" ht="12.75" customHeight="1">
      <c r="A599" s="117"/>
      <c r="B599" s="1"/>
      <c r="C599" s="713"/>
      <c r="D599" s="41"/>
      <c r="E599" s="41" t="s">
        <v>2354</v>
      </c>
      <c r="F599" s="712"/>
      <c r="G599" s="712"/>
      <c r="H599" s="712"/>
      <c r="I599" s="712"/>
      <c r="J599" s="712"/>
      <c r="K599" s="712"/>
      <c r="L599" s="712"/>
      <c r="M599" s="712"/>
      <c r="N599" s="712"/>
      <c r="O599" s="712"/>
      <c r="P599" s="712"/>
      <c r="Q599" s="712"/>
      <c r="R599" s="712"/>
      <c r="S599" s="712"/>
      <c r="T599" s="712"/>
      <c r="U599" s="712"/>
      <c r="V599" s="712"/>
      <c r="W599" s="712"/>
      <c r="X599" s="712"/>
      <c r="Y599" s="712"/>
      <c r="Z599" s="712"/>
      <c r="AA599" s="712"/>
      <c r="AB599" s="712"/>
      <c r="AC599" s="1"/>
      <c r="AD599" s="1"/>
      <c r="AE599" s="1"/>
      <c r="AF599" s="1"/>
      <c r="AG599" s="1"/>
      <c r="AH599" s="1"/>
      <c r="AI599" s="1"/>
      <c r="AJ599" s="1"/>
      <c r="AK599" s="1"/>
      <c r="AL599" s="1"/>
      <c r="AM599" s="117"/>
      <c r="AN599" s="424"/>
      <c r="AO599" s="117" t="s">
        <v>855</v>
      </c>
      <c r="AP599" s="521">
        <v>0</v>
      </c>
      <c r="AQ599" s="117"/>
      <c r="AR599" s="117"/>
      <c r="AS599" s="117"/>
      <c r="AT599" s="117"/>
      <c r="AU599" s="117"/>
      <c r="AV599" s="117"/>
      <c r="AW599" s="117"/>
      <c r="AX599" s="117"/>
      <c r="AY599" s="117"/>
      <c r="AZ599" s="117"/>
      <c r="BA599" s="117"/>
      <c r="BB599" s="117"/>
      <c r="BC599" s="117"/>
      <c r="BD599" s="117"/>
      <c r="BE599" s="117"/>
      <c r="BF599" s="117"/>
      <c r="BG599" s="117"/>
      <c r="BH599" s="117"/>
      <c r="BI599" s="117"/>
      <c r="BJ599" s="117"/>
      <c r="BK599" s="117"/>
      <c r="BL599" s="117"/>
      <c r="BM599" s="117"/>
      <c r="BN599" s="117"/>
      <c r="BO599" s="117"/>
      <c r="BP599" s="117"/>
      <c r="BQ599" s="117"/>
      <c r="BR599" s="117"/>
      <c r="BS599" s="117"/>
      <c r="BT599" s="117"/>
      <c r="BU599" s="117"/>
      <c r="BV599" s="117"/>
      <c r="BW599" s="117"/>
      <c r="BX599" s="117"/>
      <c r="BY599" s="117"/>
      <c r="BZ599" s="117"/>
      <c r="CA599" s="117"/>
    </row>
    <row r="600" spans="1:79" ht="12.75" customHeight="1">
      <c r="A600" s="117"/>
      <c r="B600" s="33"/>
      <c r="C600" s="194"/>
      <c r="D600" s="41"/>
      <c r="E600" s="41" t="s">
        <v>2355</v>
      </c>
      <c r="F600" s="712"/>
      <c r="G600" s="712"/>
      <c r="H600" s="712"/>
      <c r="I600" s="712"/>
      <c r="J600" s="712"/>
      <c r="K600" s="712"/>
      <c r="L600" s="712"/>
      <c r="M600" s="712"/>
      <c r="N600" s="712"/>
      <c r="O600" s="712"/>
      <c r="P600" s="712"/>
      <c r="Q600" s="712"/>
      <c r="R600" s="712"/>
      <c r="S600" s="712"/>
      <c r="T600" s="712"/>
      <c r="U600" s="712"/>
      <c r="V600" s="712"/>
      <c r="W600" s="712"/>
      <c r="X600" s="712"/>
      <c r="Y600" s="712"/>
      <c r="Z600" s="712"/>
      <c r="AA600" s="712"/>
      <c r="AB600" s="712"/>
      <c r="AC600" s="1"/>
      <c r="AD600" s="1"/>
      <c r="AE600" s="1"/>
      <c r="AF600" s="1"/>
      <c r="AG600" s="1"/>
      <c r="AH600" s="1"/>
      <c r="AI600" s="1"/>
      <c r="AJ600" s="1"/>
      <c r="AK600" s="1"/>
      <c r="AL600" s="1"/>
      <c r="AM600" s="117"/>
      <c r="AN600" s="424"/>
      <c r="AO600" s="100" t="s">
        <v>44</v>
      </c>
      <c r="AP600" s="117">
        <f>7*AP595</f>
        <v>7</v>
      </c>
      <c r="AQ600" s="117"/>
      <c r="AR600" s="117"/>
      <c r="AS600" s="117"/>
      <c r="AT600" s="117"/>
      <c r="AU600" s="117"/>
      <c r="AV600" s="117"/>
      <c r="AW600" s="117"/>
      <c r="AX600" s="117"/>
      <c r="AY600" s="117"/>
      <c r="AZ600" s="117"/>
      <c r="BA600" s="117"/>
      <c r="BB600" s="117"/>
      <c r="BC600" s="117"/>
      <c r="BD600" s="117"/>
      <c r="BE600" s="117"/>
      <c r="BF600" s="117"/>
      <c r="BG600" s="117"/>
      <c r="BH600" s="117"/>
      <c r="BI600" s="117"/>
      <c r="BJ600" s="117"/>
      <c r="BK600" s="117"/>
      <c r="BL600" s="117"/>
      <c r="BM600" s="117"/>
      <c r="BN600" s="117"/>
      <c r="BO600" s="117"/>
      <c r="BP600" s="117"/>
      <c r="BQ600" s="117"/>
      <c r="BR600" s="117"/>
      <c r="BS600" s="117"/>
      <c r="BT600" s="117"/>
      <c r="BU600" s="117"/>
      <c r="BV600" s="117"/>
      <c r="BW600" s="117"/>
      <c r="BX600" s="117"/>
      <c r="BY600" s="117"/>
      <c r="BZ600" s="117"/>
      <c r="CA600" s="117"/>
    </row>
    <row r="601" spans="1:79" ht="12.75" customHeight="1">
      <c r="A601" s="117"/>
      <c r="B601" s="33"/>
      <c r="C601" s="194"/>
      <c r="D601" s="41"/>
      <c r="E601" s="41" t="s">
        <v>2356</v>
      </c>
      <c r="F601" s="712"/>
      <c r="G601" s="712"/>
      <c r="H601" s="712"/>
      <c r="I601" s="712"/>
      <c r="J601" s="712"/>
      <c r="K601" s="712"/>
      <c r="L601" s="712"/>
      <c r="M601" s="712"/>
      <c r="N601" s="712"/>
      <c r="O601" s="712"/>
      <c r="P601" s="712"/>
      <c r="Q601" s="712"/>
      <c r="R601" s="712"/>
      <c r="S601" s="712"/>
      <c r="T601" s="712"/>
      <c r="U601" s="712"/>
      <c r="V601" s="712"/>
      <c r="W601" s="712"/>
      <c r="X601" s="712"/>
      <c r="Y601" s="712"/>
      <c r="Z601" s="712"/>
      <c r="AA601" s="712"/>
      <c r="AB601" s="712"/>
      <c r="AC601" s="1"/>
      <c r="AD601" s="1"/>
      <c r="AE601" s="1"/>
      <c r="AF601" s="1"/>
      <c r="AG601" s="1"/>
      <c r="AH601" s="1"/>
      <c r="AI601" s="1"/>
      <c r="AJ601" s="1"/>
      <c r="AK601" s="1"/>
      <c r="AL601" s="1"/>
      <c r="AM601" s="117"/>
      <c r="AN601" s="424"/>
      <c r="AO601" s="100" t="s">
        <v>51</v>
      </c>
      <c r="AP601" s="117">
        <v>6</v>
      </c>
      <c r="AQ601" s="117"/>
      <c r="AR601" s="117"/>
      <c r="AS601" s="117"/>
      <c r="AT601" s="117"/>
      <c r="AU601" s="117"/>
      <c r="AV601" s="117"/>
      <c r="AW601" s="117"/>
      <c r="AX601" s="117"/>
      <c r="AY601" s="117"/>
      <c r="AZ601" s="117"/>
      <c r="BA601" s="117"/>
      <c r="BB601" s="117"/>
      <c r="BC601" s="117"/>
      <c r="BD601" s="117"/>
      <c r="BE601" s="117"/>
      <c r="BF601" s="117"/>
      <c r="BG601" s="117"/>
      <c r="BH601" s="117"/>
      <c r="BI601" s="117"/>
      <c r="BJ601" s="117"/>
      <c r="BK601" s="117"/>
      <c r="BL601" s="117"/>
      <c r="BM601" s="117"/>
      <c r="BN601" s="117"/>
      <c r="BO601" s="117"/>
      <c r="BP601" s="117"/>
      <c r="BQ601" s="117"/>
      <c r="BR601" s="117"/>
      <c r="BS601" s="117"/>
      <c r="BT601" s="117"/>
      <c r="BU601" s="117"/>
      <c r="BV601" s="117"/>
      <c r="BW601" s="117"/>
      <c r="BX601" s="117"/>
      <c r="BY601" s="117"/>
      <c r="BZ601" s="117"/>
      <c r="CA601" s="117"/>
    </row>
    <row r="602" spans="1:79" ht="12.75" customHeight="1">
      <c r="A602" s="117"/>
      <c r="B602" s="33"/>
      <c r="C602" s="194"/>
      <c r="D602" s="41"/>
      <c r="E602" s="41" t="s">
        <v>2357</v>
      </c>
      <c r="F602" s="712"/>
      <c r="G602" s="712"/>
      <c r="H602" s="712"/>
      <c r="I602" s="712"/>
      <c r="J602" s="712"/>
      <c r="K602" s="712"/>
      <c r="L602" s="712"/>
      <c r="M602" s="712"/>
      <c r="N602" s="712"/>
      <c r="O602" s="712"/>
      <c r="P602" s="712"/>
      <c r="Q602" s="712"/>
      <c r="R602" s="712"/>
      <c r="S602" s="712"/>
      <c r="T602" s="712"/>
      <c r="U602" s="712"/>
      <c r="V602" s="712"/>
      <c r="W602" s="712"/>
      <c r="X602" s="712"/>
      <c r="Y602" s="712"/>
      <c r="Z602" s="712"/>
      <c r="AA602" s="712"/>
      <c r="AB602" s="712"/>
      <c r="AC602" s="1"/>
      <c r="AD602" s="1"/>
      <c r="AE602" s="1"/>
      <c r="AF602" s="1"/>
      <c r="AG602" s="1"/>
      <c r="AH602" s="1"/>
      <c r="AI602" s="1"/>
      <c r="AJ602" s="1"/>
      <c r="AK602" s="1"/>
      <c r="AL602" s="1"/>
      <c r="AM602" s="117"/>
      <c r="AN602" s="424"/>
      <c r="AO602" s="100" t="s">
        <v>82</v>
      </c>
      <c r="AP602" s="117">
        <v>5</v>
      </c>
      <c r="AQ602" s="117"/>
      <c r="AR602" s="117"/>
      <c r="AS602" s="117"/>
      <c r="AT602" s="117"/>
      <c r="AU602" s="117"/>
      <c r="AV602" s="117"/>
      <c r="AW602" s="117"/>
      <c r="AX602" s="117"/>
      <c r="AY602" s="117"/>
      <c r="AZ602" s="117"/>
      <c r="BA602" s="117"/>
      <c r="BB602" s="117"/>
      <c r="BC602" s="117"/>
      <c r="BD602" s="117"/>
      <c r="BE602" s="117"/>
      <c r="BF602" s="117"/>
      <c r="BG602" s="117"/>
      <c r="BH602" s="117"/>
      <c r="BI602" s="117"/>
      <c r="BJ602" s="117"/>
      <c r="BK602" s="117"/>
      <c r="BL602" s="117"/>
      <c r="BM602" s="117"/>
      <c r="BN602" s="117"/>
      <c r="BO602" s="117"/>
      <c r="BP602" s="117"/>
      <c r="BQ602" s="117"/>
      <c r="BR602" s="117"/>
      <c r="BS602" s="117"/>
      <c r="BT602" s="117"/>
      <c r="BU602" s="117"/>
      <c r="BV602" s="117"/>
      <c r="BW602" s="117"/>
      <c r="BX602" s="117"/>
      <c r="BY602" s="117"/>
      <c r="BZ602" s="117"/>
      <c r="CA602" s="117"/>
    </row>
    <row r="603" spans="1:79" ht="12.75" customHeight="1">
      <c r="A603" s="117"/>
      <c r="B603" s="33"/>
      <c r="C603" s="194"/>
      <c r="D603" s="41"/>
      <c r="E603" s="322"/>
      <c r="F603" s="322"/>
      <c r="G603" s="322"/>
      <c r="H603" s="322"/>
      <c r="I603" s="14"/>
      <c r="J603" s="14"/>
      <c r="K603" s="14"/>
      <c r="L603" s="14"/>
      <c r="M603" s="14"/>
      <c r="N603" s="14"/>
      <c r="O603" s="14"/>
      <c r="P603" s="14"/>
      <c r="Q603" s="14"/>
      <c r="R603" s="14"/>
      <c r="S603" s="14"/>
      <c r="T603" s="14"/>
      <c r="U603" s="14"/>
      <c r="V603" s="14"/>
      <c r="W603" s="14"/>
      <c r="X603" s="14"/>
      <c r="Y603" s="14"/>
      <c r="Z603" s="14"/>
      <c r="AA603" s="14"/>
      <c r="AB603" s="14"/>
      <c r="AC603" s="1"/>
      <c r="AD603" s="1"/>
      <c r="AE603" s="14"/>
      <c r="AF603" s="1"/>
      <c r="AG603" s="1"/>
      <c r="AH603" s="1"/>
      <c r="AI603" s="1"/>
      <c r="AJ603" s="1"/>
      <c r="AK603" s="1"/>
      <c r="AL603" s="1"/>
      <c r="AM603" s="117"/>
      <c r="AN603" s="424"/>
      <c r="AO603" s="100" t="s">
        <v>2359</v>
      </c>
      <c r="AP603" s="117">
        <v>4</v>
      </c>
      <c r="AQ603" s="117"/>
      <c r="AR603" s="117"/>
      <c r="AS603" s="117"/>
      <c r="AT603" s="117"/>
      <c r="AU603" s="117"/>
      <c r="AV603" s="117"/>
      <c r="AW603" s="117"/>
      <c r="AX603" s="117"/>
      <c r="AY603" s="117"/>
      <c r="AZ603" s="117"/>
      <c r="BA603" s="117"/>
      <c r="BB603" s="117"/>
      <c r="BC603" s="117"/>
      <c r="BD603" s="117"/>
      <c r="BE603" s="117"/>
      <c r="BF603" s="117"/>
      <c r="BG603" s="117"/>
      <c r="BH603" s="117"/>
      <c r="BI603" s="117"/>
      <c r="BJ603" s="117"/>
      <c r="BK603" s="117"/>
      <c r="BL603" s="117"/>
      <c r="BM603" s="117"/>
      <c r="BN603" s="117"/>
      <c r="BO603" s="117"/>
      <c r="BP603" s="117"/>
      <c r="BQ603" s="117"/>
      <c r="BR603" s="117"/>
      <c r="BS603" s="117"/>
      <c r="BT603" s="117"/>
      <c r="BU603" s="117"/>
      <c r="BV603" s="117"/>
      <c r="BW603" s="117"/>
      <c r="BX603" s="117"/>
      <c r="BY603" s="117"/>
      <c r="BZ603" s="117"/>
      <c r="CA603" s="117"/>
    </row>
    <row r="604" spans="1:79" ht="12.75" customHeight="1">
      <c r="A604" s="117"/>
      <c r="B604" s="1"/>
      <c r="C604" s="194"/>
      <c r="D604" s="41" t="s">
        <v>82</v>
      </c>
      <c r="E604" s="41" t="s">
        <v>2360</v>
      </c>
      <c r="F604" s="712"/>
      <c r="G604" s="712"/>
      <c r="H604" s="712"/>
      <c r="I604" s="712"/>
      <c r="J604" s="712"/>
      <c r="K604" s="712"/>
      <c r="L604" s="712"/>
      <c r="M604" s="712"/>
      <c r="N604" s="712"/>
      <c r="O604" s="712"/>
      <c r="P604" s="712"/>
      <c r="Q604" s="712"/>
      <c r="R604" s="712"/>
      <c r="S604" s="712"/>
      <c r="T604" s="712"/>
      <c r="U604" s="712"/>
      <c r="V604" s="712"/>
      <c r="W604" s="712"/>
      <c r="X604" s="712"/>
      <c r="Y604" s="712"/>
      <c r="Z604" s="712"/>
      <c r="AA604" s="712"/>
      <c r="AB604" s="712"/>
      <c r="AC604" s="1"/>
      <c r="AD604" s="1"/>
      <c r="AE604" s="1"/>
      <c r="AF604" s="1376" t="s">
        <v>2361</v>
      </c>
      <c r="AG604" s="893"/>
      <c r="AH604" s="893"/>
      <c r="AI604" s="893"/>
      <c r="AJ604" s="893"/>
      <c r="AK604" s="893"/>
      <c r="AL604" s="893"/>
      <c r="AM604" s="117"/>
      <c r="AN604" s="424"/>
      <c r="AO604" s="100" t="s">
        <v>2362</v>
      </c>
      <c r="AP604" s="117">
        <v>3</v>
      </c>
      <c r="AQ604" s="117"/>
      <c r="AR604" s="117"/>
      <c r="AS604" s="117"/>
      <c r="AT604" s="117"/>
      <c r="AU604" s="117"/>
      <c r="AV604" s="117"/>
      <c r="AW604" s="117"/>
      <c r="AX604" s="117"/>
      <c r="AY604" s="117"/>
      <c r="AZ604" s="117"/>
      <c r="BA604" s="117"/>
      <c r="BB604" s="117"/>
      <c r="BC604" s="117"/>
      <c r="BD604" s="117"/>
      <c r="BE604" s="117"/>
      <c r="BF604" s="117"/>
      <c r="BG604" s="117"/>
      <c r="BH604" s="117"/>
      <c r="BI604" s="117"/>
      <c r="BJ604" s="117"/>
      <c r="BK604" s="117"/>
      <c r="BL604" s="117"/>
      <c r="BM604" s="117"/>
      <c r="BN604" s="117"/>
      <c r="BO604" s="117"/>
      <c r="BP604" s="117"/>
      <c r="BQ604" s="117"/>
      <c r="BR604" s="117"/>
      <c r="BS604" s="117"/>
      <c r="BT604" s="117"/>
      <c r="BU604" s="117"/>
      <c r="BV604" s="117"/>
      <c r="BW604" s="117"/>
      <c r="BX604" s="117"/>
      <c r="BY604" s="117"/>
      <c r="BZ604" s="117"/>
      <c r="CA604" s="117"/>
    </row>
    <row r="605" spans="1:79" ht="12.75" customHeight="1">
      <c r="A605" s="117"/>
      <c r="B605" s="1"/>
      <c r="C605" s="713"/>
      <c r="D605" s="41"/>
      <c r="E605" s="41" t="s">
        <v>2354</v>
      </c>
      <c r="F605" s="712"/>
      <c r="G605" s="712"/>
      <c r="H605" s="712"/>
      <c r="I605" s="712"/>
      <c r="J605" s="712"/>
      <c r="K605" s="712"/>
      <c r="L605" s="712"/>
      <c r="M605" s="712"/>
      <c r="N605" s="712"/>
      <c r="O605" s="712"/>
      <c r="P605" s="712"/>
      <c r="Q605" s="712"/>
      <c r="R605" s="712"/>
      <c r="S605" s="712"/>
      <c r="T605" s="712"/>
      <c r="U605" s="712"/>
      <c r="V605" s="712"/>
      <c r="W605" s="712"/>
      <c r="X605" s="712"/>
      <c r="Y605" s="712"/>
      <c r="Z605" s="712"/>
      <c r="AA605" s="712"/>
      <c r="AB605" s="712"/>
      <c r="AC605" s="1"/>
      <c r="AD605" s="1"/>
      <c r="AE605" s="1"/>
      <c r="AF605" s="1"/>
      <c r="AG605" s="1"/>
      <c r="AH605" s="1"/>
      <c r="AI605" s="1"/>
      <c r="AJ605" s="1"/>
      <c r="AK605" s="1"/>
      <c r="AL605" s="1"/>
      <c r="AM605" s="117"/>
      <c r="AN605" s="424"/>
      <c r="AO605" s="117"/>
      <c r="AP605" s="117"/>
      <c r="AQ605" s="117"/>
      <c r="AR605" s="117"/>
      <c r="AS605" s="117"/>
      <c r="AT605" s="117"/>
      <c r="AU605" s="117"/>
      <c r="AV605" s="117"/>
      <c r="AW605" s="117"/>
      <c r="AX605" s="117"/>
      <c r="AY605" s="117"/>
      <c r="AZ605" s="117"/>
      <c r="BA605" s="117"/>
      <c r="BB605" s="117"/>
      <c r="BC605" s="117"/>
      <c r="BD605" s="117"/>
      <c r="BE605" s="117"/>
      <c r="BF605" s="117"/>
      <c r="BG605" s="117"/>
      <c r="BH605" s="117"/>
      <c r="BI605" s="117"/>
      <c r="BJ605" s="117"/>
      <c r="BK605" s="117"/>
      <c r="BL605" s="117"/>
      <c r="BM605" s="117"/>
      <c r="BN605" s="117"/>
      <c r="BO605" s="117"/>
      <c r="BP605" s="117"/>
      <c r="BQ605" s="117"/>
      <c r="BR605" s="117"/>
      <c r="BS605" s="117"/>
      <c r="BT605" s="117"/>
      <c r="BU605" s="117"/>
      <c r="BV605" s="117"/>
      <c r="BW605" s="117"/>
      <c r="BX605" s="117"/>
      <c r="BY605" s="117"/>
      <c r="BZ605" s="117"/>
      <c r="CA605" s="117"/>
    </row>
    <row r="606" spans="1:79" ht="12.75" customHeight="1">
      <c r="A606" s="117"/>
      <c r="B606" s="1"/>
      <c r="C606" s="713"/>
      <c r="D606" s="41"/>
      <c r="E606" s="41" t="s">
        <v>2355</v>
      </c>
      <c r="F606" s="712"/>
      <c r="G606" s="712"/>
      <c r="H606" s="712"/>
      <c r="I606" s="712"/>
      <c r="J606" s="712"/>
      <c r="K606" s="712"/>
      <c r="L606" s="712"/>
      <c r="M606" s="712"/>
      <c r="N606" s="712"/>
      <c r="O606" s="712"/>
      <c r="P606" s="712"/>
      <c r="Q606" s="712"/>
      <c r="R606" s="712"/>
      <c r="S606" s="712"/>
      <c r="T606" s="712"/>
      <c r="U606" s="712"/>
      <c r="V606" s="712"/>
      <c r="W606" s="712"/>
      <c r="X606" s="712"/>
      <c r="Y606" s="712"/>
      <c r="Z606" s="712"/>
      <c r="AA606" s="712"/>
      <c r="AB606" s="712"/>
      <c r="AC606" s="1"/>
      <c r="AD606" s="1"/>
      <c r="AE606" s="1"/>
      <c r="AF606" s="1"/>
      <c r="AG606" s="1"/>
      <c r="AH606" s="1"/>
      <c r="AI606" s="1"/>
      <c r="AJ606" s="1"/>
      <c r="AK606" s="1"/>
      <c r="AL606" s="1"/>
      <c r="AM606" s="117"/>
      <c r="AN606" s="424"/>
      <c r="AO606" s="117" t="s">
        <v>2364</v>
      </c>
      <c r="AP606" s="117"/>
      <c r="AQ606" s="117"/>
      <c r="AR606" s="117"/>
      <c r="AS606" s="117"/>
      <c r="AT606" s="117"/>
      <c r="AU606" s="117"/>
      <c r="AV606" s="117"/>
      <c r="AW606" s="117"/>
      <c r="AX606" s="117"/>
      <c r="AY606" s="117"/>
      <c r="AZ606" s="117"/>
      <c r="BA606" s="117"/>
      <c r="BB606" s="117"/>
      <c r="BC606" s="117"/>
      <c r="BD606" s="117"/>
      <c r="BE606" s="117"/>
      <c r="BF606" s="117"/>
      <c r="BG606" s="117"/>
      <c r="BH606" s="117"/>
      <c r="BI606" s="117"/>
      <c r="BJ606" s="117"/>
      <c r="BK606" s="117"/>
      <c r="BL606" s="117"/>
      <c r="BM606" s="117"/>
      <c r="BN606" s="117"/>
      <c r="BO606" s="117"/>
      <c r="BP606" s="117"/>
      <c r="BQ606" s="117"/>
      <c r="BR606" s="117"/>
      <c r="BS606" s="117"/>
      <c r="BT606" s="117"/>
      <c r="BU606" s="117"/>
      <c r="BV606" s="117"/>
      <c r="BW606" s="117"/>
      <c r="BX606" s="117"/>
      <c r="BY606" s="117"/>
      <c r="BZ606" s="117"/>
      <c r="CA606" s="117"/>
    </row>
    <row r="607" spans="1:79" ht="12.75" customHeight="1">
      <c r="A607" s="117"/>
      <c r="B607" s="1"/>
      <c r="C607" s="713"/>
      <c r="D607" s="41"/>
      <c r="E607" s="41" t="s">
        <v>2356</v>
      </c>
      <c r="F607" s="712"/>
      <c r="G607" s="712"/>
      <c r="H607" s="712"/>
      <c r="I607" s="712"/>
      <c r="J607" s="712"/>
      <c r="K607" s="712"/>
      <c r="L607" s="712"/>
      <c r="M607" s="712"/>
      <c r="N607" s="712"/>
      <c r="O607" s="712"/>
      <c r="P607" s="712"/>
      <c r="Q607" s="712"/>
      <c r="R607" s="712"/>
      <c r="S607" s="712"/>
      <c r="T607" s="712"/>
      <c r="U607" s="712"/>
      <c r="V607" s="712"/>
      <c r="W607" s="712"/>
      <c r="X607" s="712"/>
      <c r="Y607" s="712"/>
      <c r="Z607" s="712"/>
      <c r="AA607" s="712"/>
      <c r="AB607" s="712"/>
      <c r="AC607" s="1"/>
      <c r="AD607" s="1"/>
      <c r="AE607" s="1"/>
      <c r="AF607" s="1"/>
      <c r="AG607" s="1"/>
      <c r="AH607" s="1"/>
      <c r="AI607" s="1"/>
      <c r="AJ607" s="1"/>
      <c r="AK607" s="1"/>
      <c r="AL607" s="1"/>
      <c r="AM607" s="117"/>
      <c r="AN607" s="424"/>
      <c r="AO607" s="117" t="s">
        <v>2365</v>
      </c>
      <c r="AP607" s="117"/>
      <c r="AQ607" s="117"/>
      <c r="AR607" s="117"/>
      <c r="AS607" s="117"/>
      <c r="AT607" s="117"/>
      <c r="AU607" s="117"/>
      <c r="AV607" s="117"/>
      <c r="AW607" s="117"/>
      <c r="AX607" s="117"/>
      <c r="AY607" s="117"/>
      <c r="AZ607" s="117"/>
      <c r="BA607" s="117"/>
      <c r="BB607" s="117"/>
      <c r="BC607" s="117"/>
      <c r="BD607" s="117"/>
      <c r="BE607" s="117"/>
      <c r="BF607" s="117"/>
      <c r="BG607" s="117"/>
      <c r="BH607" s="117"/>
      <c r="BI607" s="117"/>
      <c r="BJ607" s="117"/>
      <c r="BK607" s="117"/>
      <c r="BL607" s="117"/>
      <c r="BM607" s="117"/>
      <c r="BN607" s="117"/>
      <c r="BO607" s="117"/>
      <c r="BP607" s="117"/>
      <c r="BQ607" s="117"/>
      <c r="BR607" s="117"/>
      <c r="BS607" s="117"/>
      <c r="BT607" s="117"/>
      <c r="BU607" s="117"/>
      <c r="BV607" s="117"/>
      <c r="BW607" s="117"/>
      <c r="BX607" s="117"/>
      <c r="BY607" s="117"/>
      <c r="BZ607" s="117"/>
      <c r="CA607" s="117"/>
    </row>
    <row r="608" spans="1:79" ht="12.75" customHeight="1">
      <c r="A608" s="117"/>
      <c r="B608" s="1"/>
      <c r="C608" s="713"/>
      <c r="D608" s="41"/>
      <c r="E608" s="41" t="s">
        <v>2357</v>
      </c>
      <c r="F608" s="712"/>
      <c r="G608" s="712"/>
      <c r="H608" s="712"/>
      <c r="I608" s="712"/>
      <c r="J608" s="712"/>
      <c r="K608" s="712"/>
      <c r="L608" s="712"/>
      <c r="M608" s="712"/>
      <c r="N608" s="712"/>
      <c r="O608" s="712"/>
      <c r="P608" s="712"/>
      <c r="Q608" s="712"/>
      <c r="R608" s="712"/>
      <c r="S608" s="712"/>
      <c r="T608" s="712"/>
      <c r="U608" s="712"/>
      <c r="V608" s="712"/>
      <c r="W608" s="712"/>
      <c r="X608" s="712"/>
      <c r="Y608" s="712"/>
      <c r="Z608" s="712"/>
      <c r="AA608" s="712"/>
      <c r="AB608" s="712"/>
      <c r="AC608" s="1"/>
      <c r="AD608" s="1"/>
      <c r="AE608" s="1"/>
      <c r="AF608" s="1"/>
      <c r="AG608" s="1"/>
      <c r="AH608" s="1"/>
      <c r="AI608" s="1"/>
      <c r="AJ608" s="1"/>
      <c r="AK608" s="1"/>
      <c r="AL608" s="1"/>
      <c r="AM608" s="117"/>
      <c r="AN608" s="424"/>
      <c r="AO608" s="117" t="s">
        <v>2366</v>
      </c>
      <c r="AP608" s="117"/>
      <c r="AQ608" s="117"/>
      <c r="AR608" s="117"/>
      <c r="AS608" s="117"/>
      <c r="AT608" s="117"/>
      <c r="AU608" s="117"/>
      <c r="AV608" s="117"/>
      <c r="AW608" s="117"/>
      <c r="AX608" s="117"/>
      <c r="AY608" s="117"/>
      <c r="AZ608" s="117"/>
      <c r="BA608" s="117"/>
      <c r="BB608" s="117"/>
      <c r="BC608" s="117"/>
      <c r="BD608" s="117"/>
      <c r="BE608" s="117"/>
      <c r="BF608" s="117"/>
      <c r="BG608" s="117"/>
      <c r="BH608" s="117"/>
      <c r="BI608" s="117"/>
      <c r="BJ608" s="117"/>
      <c r="BK608" s="117"/>
      <c r="BL608" s="117"/>
      <c r="BM608" s="117"/>
      <c r="BN608" s="117"/>
      <c r="BO608" s="117"/>
      <c r="BP608" s="117"/>
      <c r="BQ608" s="117"/>
      <c r="BR608" s="117"/>
      <c r="BS608" s="117"/>
      <c r="BT608" s="117"/>
      <c r="BU608" s="117"/>
      <c r="BV608" s="117"/>
      <c r="BW608" s="117"/>
      <c r="BX608" s="117"/>
      <c r="BY608" s="117"/>
      <c r="BZ608" s="117"/>
      <c r="CA608" s="117"/>
    </row>
    <row r="609" spans="1:79" ht="12.75" customHeight="1">
      <c r="A609" s="1"/>
      <c r="B609" s="1"/>
      <c r="C609" s="1"/>
      <c r="D609" s="4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424"/>
      <c r="AO609" s="117"/>
      <c r="AP609" s="117"/>
      <c r="AQ609" s="117"/>
      <c r="AR609" s="117"/>
      <c r="AS609" s="117"/>
      <c r="AT609" s="117"/>
      <c r="AU609" s="117"/>
      <c r="AV609" s="117"/>
      <c r="AW609" s="117"/>
      <c r="AX609" s="117"/>
      <c r="AY609" s="117"/>
      <c r="AZ609" s="117"/>
      <c r="BA609" s="117"/>
      <c r="BB609" s="117"/>
      <c r="BC609" s="117"/>
      <c r="BD609" s="117"/>
      <c r="BE609" s="117"/>
      <c r="BF609" s="117"/>
      <c r="BG609" s="117"/>
      <c r="BH609" s="117"/>
      <c r="BI609" s="117"/>
      <c r="BJ609" s="117"/>
      <c r="BK609" s="117"/>
      <c r="BL609" s="117"/>
      <c r="BM609" s="117"/>
      <c r="BN609" s="117"/>
      <c r="BO609" s="117"/>
      <c r="BP609" s="117"/>
      <c r="BQ609" s="117"/>
      <c r="BR609" s="117"/>
      <c r="BS609" s="117"/>
      <c r="BT609" s="117"/>
      <c r="BU609" s="117"/>
      <c r="BV609" s="117"/>
      <c r="BW609" s="117"/>
      <c r="BX609" s="117"/>
      <c r="BY609" s="117"/>
      <c r="BZ609" s="117"/>
      <c r="CA609" s="117"/>
    </row>
    <row r="610" spans="1:79" ht="12.75" customHeight="1">
      <c r="A610" s="117"/>
      <c r="B610" s="1"/>
      <c r="C610" s="194"/>
      <c r="D610" s="41" t="s">
        <v>2359</v>
      </c>
      <c r="E610" s="41" t="s">
        <v>2367</v>
      </c>
      <c r="F610" s="712"/>
      <c r="G610" s="712"/>
      <c r="H610" s="712"/>
      <c r="I610" s="712"/>
      <c r="J610" s="712"/>
      <c r="K610" s="712"/>
      <c r="L610" s="712"/>
      <c r="M610" s="712"/>
      <c r="N610" s="712"/>
      <c r="O610" s="712"/>
      <c r="P610" s="712"/>
      <c r="Q610" s="712"/>
      <c r="R610" s="712"/>
      <c r="S610" s="712"/>
      <c r="T610" s="712"/>
      <c r="U610" s="712"/>
      <c r="V610" s="712"/>
      <c r="W610" s="712"/>
      <c r="X610" s="712"/>
      <c r="Y610" s="712"/>
      <c r="Z610" s="712"/>
      <c r="AA610" s="712"/>
      <c r="AB610" s="712"/>
      <c r="AC610" s="1"/>
      <c r="AD610" s="1"/>
      <c r="AE610" s="1"/>
      <c r="AF610" s="1376" t="s">
        <v>2368</v>
      </c>
      <c r="AG610" s="893"/>
      <c r="AH610" s="893"/>
      <c r="AI610" s="893"/>
      <c r="AJ610" s="893"/>
      <c r="AK610" s="893"/>
      <c r="AL610" s="893"/>
      <c r="AM610" s="117"/>
      <c r="AN610" s="424"/>
      <c r="AO610" s="117" t="str">
        <f>X647</f>
        <v>Yes</v>
      </c>
      <c r="AP610" s="117"/>
      <c r="AQ610" s="117"/>
      <c r="AR610" s="117"/>
      <c r="AS610" s="117"/>
      <c r="AT610" s="117"/>
      <c r="AU610" s="117"/>
      <c r="AV610" s="117"/>
      <c r="AW610" s="117"/>
      <c r="AX610" s="117"/>
      <c r="AY610" s="117"/>
      <c r="AZ610" s="117"/>
      <c r="BA610" s="117"/>
      <c r="BB610" s="117"/>
      <c r="BC610" s="117"/>
      <c r="BD610" s="117"/>
      <c r="BE610" s="117"/>
      <c r="BF610" s="117"/>
      <c r="BG610" s="117"/>
      <c r="BH610" s="117"/>
      <c r="BI610" s="117"/>
      <c r="BJ610" s="117"/>
      <c r="BK610" s="117"/>
      <c r="BL610" s="117"/>
      <c r="BM610" s="117"/>
      <c r="BN610" s="117"/>
      <c r="BO610" s="117"/>
      <c r="BP610" s="117"/>
      <c r="BQ610" s="117"/>
      <c r="BR610" s="117"/>
      <c r="BS610" s="117"/>
      <c r="BT610" s="117"/>
      <c r="BU610" s="117"/>
      <c r="BV610" s="117"/>
      <c r="BW610" s="117"/>
      <c r="BX610" s="117"/>
      <c r="BY610" s="117"/>
      <c r="BZ610" s="117"/>
      <c r="CA610" s="117"/>
    </row>
    <row r="611" spans="1:79" ht="12.75" customHeight="1">
      <c r="A611" s="117"/>
      <c r="B611" s="1"/>
      <c r="C611" s="713"/>
      <c r="D611" s="41"/>
      <c r="E611" s="41" t="s">
        <v>2369</v>
      </c>
      <c r="F611" s="712"/>
      <c r="G611" s="712"/>
      <c r="H611" s="712"/>
      <c r="I611" s="712"/>
      <c r="J611" s="712"/>
      <c r="K611" s="712"/>
      <c r="L611" s="712"/>
      <c r="M611" s="712"/>
      <c r="N611" s="712"/>
      <c r="O611" s="712"/>
      <c r="P611" s="712"/>
      <c r="Q611" s="712"/>
      <c r="R611" s="712"/>
      <c r="S611" s="712"/>
      <c r="T611" s="712"/>
      <c r="U611" s="712"/>
      <c r="V611" s="712"/>
      <c r="W611" s="712"/>
      <c r="X611" s="712"/>
      <c r="Y611" s="712"/>
      <c r="Z611" s="712"/>
      <c r="AA611" s="712"/>
      <c r="AB611" s="712"/>
      <c r="AC611" s="1"/>
      <c r="AD611" s="1"/>
      <c r="AE611" s="1"/>
      <c r="AF611" s="1"/>
      <c r="AG611" s="1"/>
      <c r="AH611" s="1"/>
      <c r="AI611" s="1"/>
      <c r="AJ611" s="1"/>
      <c r="AK611" s="1"/>
      <c r="AL611" s="1"/>
      <c r="AM611" s="117"/>
      <c r="AN611" s="424"/>
      <c r="AO611" s="117"/>
      <c r="AP611" s="117"/>
      <c r="AQ611" s="117"/>
      <c r="AR611" s="117"/>
      <c r="AS611" s="117"/>
      <c r="AT611" s="117"/>
      <c r="AU611" s="422"/>
      <c r="AV611" s="422"/>
      <c r="AW611" s="422"/>
      <c r="AX611" s="422"/>
      <c r="AY611" s="422"/>
      <c r="AZ611" s="422"/>
      <c r="BA611" s="422"/>
      <c r="BB611" s="117"/>
      <c r="BC611" s="117"/>
      <c r="BD611" s="117"/>
      <c r="BE611" s="117"/>
      <c r="BF611" s="117"/>
      <c r="BG611" s="117"/>
      <c r="BH611" s="117"/>
      <c r="BI611" s="117"/>
      <c r="BJ611" s="117"/>
      <c r="BK611" s="117"/>
      <c r="BL611" s="117"/>
      <c r="BM611" s="117"/>
      <c r="BN611" s="117"/>
      <c r="BO611" s="117"/>
      <c r="BP611" s="117"/>
      <c r="BQ611" s="117"/>
      <c r="BR611" s="117"/>
      <c r="BS611" s="117"/>
      <c r="BT611" s="117"/>
      <c r="BU611" s="117"/>
      <c r="BV611" s="117"/>
      <c r="BW611" s="117"/>
      <c r="BX611" s="117"/>
      <c r="BY611" s="117"/>
      <c r="BZ611" s="117"/>
      <c r="CA611" s="117"/>
    </row>
    <row r="612" spans="1:79" ht="12.75" customHeight="1">
      <c r="A612" s="117"/>
      <c r="B612" s="33"/>
      <c r="C612" s="194"/>
      <c r="D612" s="41"/>
      <c r="E612" s="41" t="s">
        <v>2370</v>
      </c>
      <c r="F612" s="712"/>
      <c r="G612" s="712"/>
      <c r="H612" s="712"/>
      <c r="I612" s="712"/>
      <c r="J612" s="712"/>
      <c r="K612" s="712"/>
      <c r="L612" s="712"/>
      <c r="M612" s="712"/>
      <c r="N612" s="712"/>
      <c r="O612" s="712"/>
      <c r="P612" s="712"/>
      <c r="Q612" s="712"/>
      <c r="R612" s="712"/>
      <c r="S612" s="712"/>
      <c r="T612" s="712"/>
      <c r="U612" s="712"/>
      <c r="V612" s="712"/>
      <c r="W612" s="712"/>
      <c r="X612" s="712"/>
      <c r="Y612" s="712"/>
      <c r="Z612" s="712"/>
      <c r="AA612" s="712"/>
      <c r="AB612" s="712"/>
      <c r="AC612" s="1"/>
      <c r="AD612" s="1"/>
      <c r="AE612" s="1"/>
      <c r="AF612" s="1"/>
      <c r="AG612" s="1"/>
      <c r="AH612" s="1"/>
      <c r="AI612" s="1"/>
      <c r="AJ612" s="1"/>
      <c r="AK612" s="1"/>
      <c r="AL612" s="1"/>
      <c r="AM612" s="117"/>
      <c r="AN612" s="424"/>
      <c r="AO612" s="117" t="s">
        <v>2371</v>
      </c>
      <c r="AP612" s="117"/>
      <c r="AQ612" s="117"/>
      <c r="AR612" s="117"/>
      <c r="AS612" s="117"/>
      <c r="AT612" s="117"/>
      <c r="AU612" s="117"/>
      <c r="AV612" s="117"/>
      <c r="AW612" s="117"/>
      <c r="AX612" s="117"/>
      <c r="AY612" s="117"/>
      <c r="AZ612" s="117"/>
      <c r="BA612" s="117"/>
      <c r="BB612" s="117"/>
      <c r="BC612" s="117"/>
      <c r="BD612" s="117"/>
      <c r="BE612" s="117"/>
      <c r="BF612" s="117"/>
      <c r="BG612" s="117"/>
      <c r="BH612" s="117"/>
      <c r="BI612" s="117"/>
      <c r="BJ612" s="117"/>
      <c r="BK612" s="117"/>
      <c r="BL612" s="117"/>
      <c r="BM612" s="117"/>
      <c r="BN612" s="117"/>
      <c r="BO612" s="117"/>
      <c r="BP612" s="117"/>
      <c r="BQ612" s="117"/>
      <c r="BR612" s="117"/>
      <c r="BS612" s="117"/>
      <c r="BT612" s="117"/>
      <c r="BU612" s="117"/>
      <c r="BV612" s="117"/>
      <c r="BW612" s="117"/>
      <c r="BX612" s="117"/>
      <c r="BY612" s="117"/>
      <c r="BZ612" s="117"/>
      <c r="CA612" s="117"/>
    </row>
    <row r="613" spans="1:79" ht="12.75" customHeight="1">
      <c r="A613" s="117"/>
      <c r="B613" s="33"/>
      <c r="C613" s="194"/>
      <c r="D613" s="41"/>
      <c r="E613" s="41"/>
      <c r="F613" s="712"/>
      <c r="G613" s="712"/>
      <c r="H613" s="712"/>
      <c r="I613" s="712"/>
      <c r="J613" s="712"/>
      <c r="K613" s="712"/>
      <c r="L613" s="712"/>
      <c r="M613" s="712"/>
      <c r="N613" s="712"/>
      <c r="O613" s="712"/>
      <c r="P613" s="712"/>
      <c r="Q613" s="712"/>
      <c r="R613" s="712"/>
      <c r="S613" s="712"/>
      <c r="T613" s="712"/>
      <c r="U613" s="712"/>
      <c r="V613" s="712"/>
      <c r="W613" s="712"/>
      <c r="X613" s="712"/>
      <c r="Y613" s="712"/>
      <c r="Z613" s="712"/>
      <c r="AA613" s="712"/>
      <c r="AB613" s="712"/>
      <c r="AC613" s="1"/>
      <c r="AD613" s="1"/>
      <c r="AE613" s="1"/>
      <c r="AF613" s="1"/>
      <c r="AG613" s="1"/>
      <c r="AH613" s="1"/>
      <c r="AI613" s="1"/>
      <c r="AJ613" s="1"/>
      <c r="AK613" s="1"/>
      <c r="AL613" s="1"/>
      <c r="AM613" s="117"/>
      <c r="AN613" s="424"/>
      <c r="AO613" s="117" t="s">
        <v>2372</v>
      </c>
      <c r="AP613" s="117"/>
      <c r="AQ613" s="117"/>
      <c r="AR613" s="117"/>
      <c r="AS613" s="117"/>
      <c r="AT613" s="117"/>
      <c r="AU613" s="117"/>
      <c r="AV613" s="117"/>
      <c r="AW613" s="117"/>
      <c r="AX613" s="117"/>
      <c r="AY613" s="117"/>
      <c r="AZ613" s="117"/>
      <c r="BA613" s="117"/>
      <c r="BB613" s="117"/>
      <c r="BC613" s="117"/>
      <c r="BD613" s="117"/>
      <c r="BE613" s="117"/>
      <c r="BF613" s="117"/>
      <c r="BG613" s="117"/>
      <c r="BH613" s="117"/>
      <c r="BI613" s="117"/>
      <c r="BJ613" s="117"/>
      <c r="BK613" s="117"/>
      <c r="BL613" s="117"/>
      <c r="BM613" s="117"/>
      <c r="BN613" s="117"/>
      <c r="BO613" s="117"/>
      <c r="BP613" s="117"/>
      <c r="BQ613" s="117"/>
      <c r="BR613" s="117"/>
      <c r="BS613" s="117"/>
      <c r="BT613" s="117"/>
      <c r="BU613" s="117"/>
      <c r="BV613" s="117"/>
      <c r="BW613" s="117"/>
      <c r="BX613" s="117"/>
      <c r="BY613" s="117"/>
      <c r="BZ613" s="117"/>
      <c r="CA613" s="117"/>
    </row>
    <row r="614" spans="1:79" ht="12.75" hidden="1" customHeight="1">
      <c r="A614" s="117"/>
      <c r="B614" s="33"/>
      <c r="C614" s="194"/>
      <c r="D614" s="41"/>
      <c r="E614" s="1" t="s">
        <v>2373</v>
      </c>
      <c r="F614" s="117"/>
      <c r="G614" s="117"/>
      <c r="H614" s="117"/>
      <c r="I614" s="117"/>
      <c r="J614" s="117"/>
      <c r="K614" s="117"/>
      <c r="L614" s="117"/>
      <c r="M614" s="117"/>
      <c r="N614" s="117"/>
      <c r="O614" s="1380" t="s">
        <v>1137</v>
      </c>
      <c r="P614" s="968"/>
      <c r="Q614" s="968"/>
      <c r="R614" s="968"/>
      <c r="S614" s="968"/>
      <c r="T614" s="968"/>
      <c r="U614" s="968"/>
      <c r="V614" s="968"/>
      <c r="W614" s="968"/>
      <c r="X614" s="968"/>
      <c r="Y614" s="968"/>
      <c r="Z614" s="968"/>
      <c r="AA614" s="968"/>
      <c r="AB614" s="969"/>
      <c r="AC614" s="117"/>
      <c r="AD614" s="117"/>
      <c r="AE614" s="117"/>
      <c r="AF614" s="117"/>
      <c r="AG614" s="117"/>
      <c r="AH614" s="1"/>
      <c r="AI614" s="1"/>
      <c r="AJ614" s="1"/>
      <c r="AK614" s="1"/>
      <c r="AL614" s="1"/>
      <c r="AM614" s="117"/>
      <c r="AN614" s="424"/>
      <c r="AO614" s="117"/>
      <c r="AP614" s="117"/>
      <c r="AQ614" s="117"/>
      <c r="AR614" s="117"/>
      <c r="AS614" s="117"/>
      <c r="AT614" s="117"/>
      <c r="AU614" s="117"/>
      <c r="AV614" s="117"/>
      <c r="AW614" s="117"/>
      <c r="AX614" s="117"/>
      <c r="AY614" s="117"/>
      <c r="AZ614" s="117"/>
      <c r="BA614" s="117"/>
      <c r="BB614" s="117"/>
      <c r="BC614" s="117"/>
      <c r="BD614" s="117"/>
      <c r="BE614" s="117"/>
      <c r="BF614" s="117"/>
      <c r="BG614" s="117"/>
      <c r="BH614" s="117"/>
      <c r="BI614" s="117"/>
      <c r="BJ614" s="117"/>
      <c r="BK614" s="117"/>
      <c r="BL614" s="117"/>
      <c r="BM614" s="117"/>
      <c r="BN614" s="117"/>
      <c r="BO614" s="117"/>
      <c r="BP614" s="117"/>
      <c r="BQ614" s="117"/>
      <c r="BR614" s="117"/>
      <c r="BS614" s="117"/>
      <c r="BT614" s="117"/>
      <c r="BU614" s="117"/>
      <c r="BV614" s="117"/>
      <c r="BW614" s="117"/>
      <c r="BX614" s="117"/>
      <c r="BY614" s="117"/>
      <c r="BZ614" s="117"/>
      <c r="CA614" s="117"/>
    </row>
    <row r="615" spans="1:79" ht="12.75" hidden="1" customHeight="1">
      <c r="A615" s="117"/>
      <c r="B615" s="33"/>
      <c r="C615" s="194"/>
      <c r="D615" s="41"/>
      <c r="E615" s="41"/>
      <c r="F615" s="712"/>
      <c r="G615" s="712"/>
      <c r="H615" s="712"/>
      <c r="I615" s="712"/>
      <c r="J615" s="712"/>
      <c r="K615" s="712"/>
      <c r="L615" s="712"/>
      <c r="M615" s="712"/>
      <c r="N615" s="712"/>
      <c r="O615" s="712"/>
      <c r="P615" s="712"/>
      <c r="Q615" s="712"/>
      <c r="R615" s="712"/>
      <c r="S615" s="712"/>
      <c r="T615" s="712"/>
      <c r="U615" s="712"/>
      <c r="V615" s="712"/>
      <c r="W615" s="712"/>
      <c r="X615" s="712"/>
      <c r="Y615" s="712"/>
      <c r="Z615" s="712"/>
      <c r="AA615" s="712"/>
      <c r="AB615" s="712"/>
      <c r="AC615" s="1"/>
      <c r="AD615" s="1"/>
      <c r="AE615" s="1"/>
      <c r="AF615" s="1"/>
      <c r="AG615" s="1"/>
      <c r="AH615" s="1"/>
      <c r="AI615" s="1"/>
      <c r="AJ615" s="1"/>
      <c r="AK615" s="1"/>
      <c r="AL615" s="1"/>
      <c r="AM615" s="117"/>
      <c r="AN615" s="424"/>
      <c r="AO615" s="117"/>
      <c r="AP615" s="117"/>
      <c r="AQ615" s="117"/>
      <c r="AR615" s="117"/>
      <c r="AS615" s="117"/>
      <c r="AT615" s="117"/>
      <c r="AU615" s="117"/>
      <c r="AV615" s="117"/>
      <c r="AW615" s="117"/>
      <c r="AX615" s="117"/>
      <c r="AY615" s="117"/>
      <c r="AZ615" s="117"/>
      <c r="BA615" s="117"/>
      <c r="BB615" s="117"/>
      <c r="BC615" s="117"/>
      <c r="BD615" s="117"/>
      <c r="BE615" s="117"/>
      <c r="BF615" s="117"/>
      <c r="BG615" s="117"/>
      <c r="BH615" s="117"/>
      <c r="BI615" s="117"/>
      <c r="BJ615" s="117"/>
      <c r="BK615" s="117"/>
      <c r="BL615" s="117"/>
      <c r="BM615" s="117"/>
      <c r="BN615" s="117"/>
      <c r="BO615" s="117"/>
      <c r="BP615" s="117"/>
      <c r="BQ615" s="117"/>
      <c r="BR615" s="117"/>
      <c r="BS615" s="117"/>
      <c r="BT615" s="117"/>
      <c r="BU615" s="117"/>
      <c r="BV615" s="117"/>
      <c r="BW615" s="117"/>
      <c r="BX615" s="117"/>
      <c r="BY615" s="117"/>
      <c r="BZ615" s="117"/>
      <c r="CA615" s="117"/>
    </row>
    <row r="616" spans="1:79" ht="12.75" customHeight="1">
      <c r="A616" s="117"/>
      <c r="B616" s="1"/>
      <c r="C616" s="194"/>
      <c r="D616" s="41" t="s">
        <v>2362</v>
      </c>
      <c r="E616" s="41" t="s">
        <v>2375</v>
      </c>
      <c r="F616" s="712"/>
      <c r="G616" s="712"/>
      <c r="H616" s="712"/>
      <c r="I616" s="712"/>
      <c r="J616" s="712"/>
      <c r="K616" s="712"/>
      <c r="L616" s="712"/>
      <c r="M616" s="712"/>
      <c r="N616" s="712"/>
      <c r="O616" s="712"/>
      <c r="P616" s="712"/>
      <c r="Q616" s="712"/>
      <c r="R616" s="712"/>
      <c r="S616" s="712"/>
      <c r="T616" s="712"/>
      <c r="U616" s="712"/>
      <c r="V616" s="712"/>
      <c r="W616" s="712"/>
      <c r="X616" s="712"/>
      <c r="Y616" s="712"/>
      <c r="Z616" s="712"/>
      <c r="AA616" s="712"/>
      <c r="AB616" s="712"/>
      <c r="AC616" s="1"/>
      <c r="AD616" s="1"/>
      <c r="AE616" s="1"/>
      <c r="AF616" s="1376" t="s">
        <v>1959</v>
      </c>
      <c r="AG616" s="893"/>
      <c r="AH616" s="893"/>
      <c r="AI616" s="893"/>
      <c r="AJ616" s="893"/>
      <c r="AK616" s="893"/>
      <c r="AL616" s="893"/>
      <c r="AM616" s="117"/>
      <c r="AN616" s="424"/>
      <c r="AO616" s="117"/>
      <c r="AP616" s="117"/>
      <c r="AQ616" s="117"/>
      <c r="AR616" s="117"/>
      <c r="AS616" s="117"/>
      <c r="AT616" s="117"/>
      <c r="AU616" s="117"/>
      <c r="AV616" s="117"/>
      <c r="AW616" s="117"/>
      <c r="AX616" s="117"/>
      <c r="AY616" s="117"/>
      <c r="AZ616" s="117"/>
      <c r="BA616" s="117"/>
      <c r="BB616" s="117"/>
      <c r="BC616" s="117"/>
      <c r="BD616" s="117"/>
      <c r="BE616" s="117"/>
      <c r="BF616" s="117"/>
      <c r="BG616" s="117"/>
      <c r="BH616" s="117"/>
      <c r="BI616" s="117"/>
      <c r="BJ616" s="117"/>
      <c r="BK616" s="117"/>
      <c r="BL616" s="117"/>
      <c r="BM616" s="117"/>
      <c r="BN616" s="117"/>
      <c r="BO616" s="117"/>
      <c r="BP616" s="117"/>
      <c r="BQ616" s="117"/>
      <c r="BR616" s="117"/>
      <c r="BS616" s="117"/>
      <c r="BT616" s="117"/>
      <c r="BU616" s="117"/>
      <c r="BV616" s="117"/>
      <c r="BW616" s="117"/>
      <c r="BX616" s="117"/>
      <c r="BY616" s="117"/>
      <c r="BZ616" s="117"/>
      <c r="CA616" s="117"/>
    </row>
    <row r="617" spans="1:79" ht="12.75" customHeight="1">
      <c r="A617" s="117"/>
      <c r="B617" s="1"/>
      <c r="C617" s="194"/>
      <c r="D617" s="41"/>
      <c r="E617" s="41" t="s">
        <v>2376</v>
      </c>
      <c r="F617" s="712"/>
      <c r="G617" s="712"/>
      <c r="H617" s="712"/>
      <c r="I617" s="712"/>
      <c r="J617" s="712"/>
      <c r="K617" s="712"/>
      <c r="L617" s="712"/>
      <c r="M617" s="712"/>
      <c r="N617" s="712"/>
      <c r="O617" s="712"/>
      <c r="P617" s="712"/>
      <c r="Q617" s="712"/>
      <c r="R617" s="712"/>
      <c r="S617" s="712"/>
      <c r="T617" s="712"/>
      <c r="U617" s="712"/>
      <c r="V617" s="712"/>
      <c r="W617" s="712"/>
      <c r="X617" s="712"/>
      <c r="Y617" s="712"/>
      <c r="Z617" s="712"/>
      <c r="AA617" s="712"/>
      <c r="AB617" s="712"/>
      <c r="AC617" s="1"/>
      <c r="AD617" s="1"/>
      <c r="AE617" s="422"/>
      <c r="AF617" s="1"/>
      <c r="AG617" s="1"/>
      <c r="AH617" s="1"/>
      <c r="AI617" s="1"/>
      <c r="AJ617" s="1"/>
      <c r="AK617" s="1"/>
      <c r="AL617" s="1"/>
      <c r="AM617" s="117"/>
      <c r="AN617" s="424"/>
      <c r="AO617" s="117"/>
      <c r="AP617" s="117"/>
      <c r="AQ617" s="117"/>
      <c r="AR617" s="117"/>
      <c r="AS617" s="117"/>
      <c r="AT617" s="117"/>
      <c r="AU617" s="117"/>
      <c r="AV617" s="117"/>
      <c r="AW617" s="117"/>
      <c r="AX617" s="117"/>
      <c r="AY617" s="117"/>
      <c r="AZ617" s="117"/>
      <c r="BA617" s="117"/>
      <c r="BB617" s="117"/>
      <c r="BC617" s="117"/>
      <c r="BD617" s="117"/>
      <c r="BE617" s="117"/>
      <c r="BF617" s="117"/>
      <c r="BG617" s="117"/>
      <c r="BH617" s="117"/>
      <c r="BI617" s="117"/>
      <c r="BJ617" s="117"/>
      <c r="BK617" s="117"/>
      <c r="BL617" s="117"/>
      <c r="BM617" s="117"/>
      <c r="BN617" s="117"/>
      <c r="BO617" s="117"/>
      <c r="BP617" s="117"/>
      <c r="BQ617" s="117"/>
      <c r="BR617" s="117"/>
      <c r="BS617" s="117"/>
      <c r="BT617" s="117"/>
      <c r="BU617" s="117"/>
      <c r="BV617" s="117"/>
      <c r="BW617" s="117"/>
      <c r="BX617" s="117"/>
      <c r="BY617" s="117"/>
      <c r="BZ617" s="117"/>
      <c r="CA617" s="117"/>
    </row>
    <row r="618" spans="1:79" ht="12.75" customHeight="1">
      <c r="A618" s="117"/>
      <c r="B618" s="1"/>
      <c r="C618" s="713"/>
      <c r="D618" s="1"/>
      <c r="E618" s="14"/>
      <c r="F618" s="719"/>
      <c r="G618" s="719"/>
      <c r="H618" s="719"/>
      <c r="I618" s="719"/>
      <c r="J618" s="719"/>
      <c r="K618" s="719"/>
      <c r="L618" s="719"/>
      <c r="M618" s="719"/>
      <c r="N618" s="719"/>
      <c r="O618" s="719"/>
      <c r="P618" s="719"/>
      <c r="Q618" s="719"/>
      <c r="R618" s="719"/>
      <c r="S618" s="719"/>
      <c r="T618" s="719"/>
      <c r="U618" s="719"/>
      <c r="V618" s="719"/>
      <c r="W618" s="719"/>
      <c r="X618" s="719"/>
      <c r="Y618" s="719"/>
      <c r="Z618" s="719"/>
      <c r="AA618" s="719"/>
      <c r="AB618" s="719"/>
      <c r="AC618" s="1"/>
      <c r="AD618" s="1"/>
      <c r="AE618" s="1"/>
      <c r="AF618" s="1"/>
      <c r="AG618" s="1"/>
      <c r="AH618" s="1"/>
      <c r="AI618" s="1"/>
      <c r="AJ618" s="1"/>
      <c r="AK618" s="1"/>
      <c r="AL618" s="1"/>
      <c r="AM618" s="117"/>
      <c r="AN618" s="424"/>
      <c r="AO618" s="117" t="s">
        <v>855</v>
      </c>
      <c r="AP618" s="521">
        <v>0</v>
      </c>
      <c r="AQ618" s="117"/>
      <c r="AR618" s="117"/>
      <c r="AS618" s="117"/>
      <c r="AT618" s="117" t="s">
        <v>855</v>
      </c>
      <c r="AU618" s="521">
        <v>0</v>
      </c>
      <c r="AV618" s="117"/>
      <c r="AW618" s="117"/>
      <c r="AX618" s="117"/>
      <c r="AY618" s="117"/>
      <c r="AZ618" s="117"/>
      <c r="BA618" s="117"/>
      <c r="BB618" s="117"/>
      <c r="BC618" s="117"/>
      <c r="BD618" s="117"/>
      <c r="BE618" s="117"/>
      <c r="BF618" s="117"/>
      <c r="BG618" s="117"/>
      <c r="BH618" s="117"/>
      <c r="BI618" s="117"/>
      <c r="BJ618" s="117"/>
      <c r="BK618" s="117"/>
      <c r="BL618" s="117"/>
      <c r="BM618" s="117"/>
      <c r="BN618" s="117"/>
      <c r="BO618" s="117"/>
      <c r="BP618" s="117"/>
      <c r="BQ618" s="117"/>
      <c r="BR618" s="117"/>
      <c r="BS618" s="117"/>
      <c r="BT618" s="117"/>
      <c r="BU618" s="117"/>
      <c r="BV618" s="117"/>
      <c r="BW618" s="117"/>
      <c r="BX618" s="117"/>
      <c r="BY618" s="117"/>
      <c r="BZ618" s="117"/>
      <c r="CA618" s="117"/>
    </row>
    <row r="619" spans="1:79" ht="12.75" customHeight="1">
      <c r="A619" s="117"/>
      <c r="B619" s="1"/>
      <c r="C619" s="713"/>
      <c r="D619" s="1" t="s">
        <v>2378</v>
      </c>
      <c r="E619" s="719"/>
      <c r="F619" s="719"/>
      <c r="G619" s="719"/>
      <c r="H619" s="1379" t="s">
        <v>2359</v>
      </c>
      <c r="I619" s="969"/>
      <c r="J619" s="719"/>
      <c r="K619" s="719"/>
      <c r="L619" s="719"/>
      <c r="M619" s="117"/>
      <c r="N619" s="117"/>
      <c r="O619" s="117"/>
      <c r="P619" s="117"/>
      <c r="Q619" s="720" t="s">
        <v>2379</v>
      </c>
      <c r="R619" s="1381" t="s">
        <v>2364</v>
      </c>
      <c r="S619" s="893"/>
      <c r="T619" s="893"/>
      <c r="U619" s="893"/>
      <c r="V619" s="893"/>
      <c r="W619" s="893"/>
      <c r="X619" s="1"/>
      <c r="Y619" s="1"/>
      <c r="Z619" s="1"/>
      <c r="AA619" s="1"/>
      <c r="AB619" s="1"/>
      <c r="AC619" s="1"/>
      <c r="AD619" s="1"/>
      <c r="AE619" s="1"/>
      <c r="AF619" s="1"/>
      <c r="AG619" s="1"/>
      <c r="AH619" s="1"/>
      <c r="AI619" s="1"/>
      <c r="AJ619" s="1"/>
      <c r="AK619" s="1"/>
      <c r="AL619" s="1"/>
      <c r="AM619" s="117"/>
      <c r="AN619" s="424"/>
      <c r="AO619" s="100" t="s">
        <v>44</v>
      </c>
      <c r="AP619" s="117">
        <v>3</v>
      </c>
      <c r="AQ619" s="117"/>
      <c r="AR619" s="117"/>
      <c r="AS619" s="117"/>
      <c r="AT619" s="100" t="s">
        <v>44</v>
      </c>
      <c r="AU619" s="117">
        <v>3</v>
      </c>
      <c r="AV619" s="117"/>
      <c r="AW619" s="117"/>
      <c r="AX619" s="117"/>
      <c r="AY619" s="117"/>
      <c r="AZ619" s="117"/>
      <c r="BA619" s="117"/>
      <c r="BB619" s="117"/>
      <c r="BC619" s="117"/>
      <c r="BD619" s="117"/>
      <c r="BE619" s="117"/>
      <c r="BF619" s="117"/>
      <c r="BG619" s="117"/>
      <c r="BH619" s="117"/>
      <c r="BI619" s="117"/>
      <c r="BJ619" s="117"/>
      <c r="BK619" s="117"/>
      <c r="BL619" s="117"/>
      <c r="BM619" s="117"/>
      <c r="BN619" s="117"/>
      <c r="BO619" s="117"/>
      <c r="BP619" s="117"/>
      <c r="BQ619" s="117"/>
      <c r="BR619" s="117"/>
      <c r="BS619" s="117"/>
      <c r="BT619" s="117"/>
      <c r="BU619" s="117"/>
      <c r="BV619" s="117"/>
      <c r="BW619" s="117"/>
      <c r="BX619" s="117"/>
      <c r="BY619" s="117"/>
      <c r="BZ619" s="117"/>
      <c r="CA619" s="117"/>
    </row>
    <row r="620" spans="1:79" ht="12.75" customHeight="1">
      <c r="A620" s="117"/>
      <c r="B620" s="1"/>
      <c r="C620" s="713"/>
      <c r="D620" s="1"/>
      <c r="E620" s="719"/>
      <c r="F620" s="719"/>
      <c r="G620" s="719"/>
      <c r="H620" s="719"/>
      <c r="I620" s="719"/>
      <c r="J620" s="719"/>
      <c r="K620" s="719"/>
      <c r="L620" s="719"/>
      <c r="M620" s="719"/>
      <c r="N620" s="1"/>
      <c r="O620" s="1"/>
      <c r="P620" s="1"/>
      <c r="Q620" s="1"/>
      <c r="R620" s="1"/>
      <c r="S620" s="1"/>
      <c r="T620" s="1"/>
      <c r="U620" s="1"/>
      <c r="V620" s="1"/>
      <c r="W620" s="1"/>
      <c r="X620" s="1"/>
      <c r="Y620" s="1382" t="str">
        <f>IF(AND(H619="(i)",NOT(AP595)),AO612,IF(AND(H619="(iv)",OR(R619=AO608,R619=AO607),NOT(AP596)),AO613,""))</f>
        <v/>
      </c>
      <c r="Z620" s="893"/>
      <c r="AA620" s="893"/>
      <c r="AB620" s="893"/>
      <c r="AC620" s="893"/>
      <c r="AD620" s="893"/>
      <c r="AE620" s="893"/>
      <c r="AF620" s="893"/>
      <c r="AG620" s="893"/>
      <c r="AH620" s="893"/>
      <c r="AI620" s="893"/>
      <c r="AJ620" s="893"/>
      <c r="AK620" s="893"/>
      <c r="AL620" s="893"/>
      <c r="AM620" s="959"/>
      <c r="AN620" s="424"/>
      <c r="AO620" s="100" t="s">
        <v>51</v>
      </c>
      <c r="AP620" s="117">
        <v>2</v>
      </c>
      <c r="AQ620" s="117"/>
      <c r="AR620" s="117"/>
      <c r="AS620" s="117"/>
      <c r="AT620" s="100" t="s">
        <v>51</v>
      </c>
      <c r="AU620" s="117">
        <v>2</v>
      </c>
      <c r="AV620" s="117"/>
      <c r="AW620" s="117"/>
      <c r="AX620" s="117"/>
      <c r="AY620" s="117"/>
      <c r="AZ620" s="117"/>
      <c r="BA620" s="117"/>
      <c r="BB620" s="117"/>
      <c r="BC620" s="117"/>
      <c r="BD620" s="117"/>
      <c r="BE620" s="117"/>
      <c r="BF620" s="117"/>
      <c r="BG620" s="117"/>
      <c r="BH620" s="117"/>
      <c r="BI620" s="117"/>
      <c r="BJ620" s="117"/>
      <c r="BK620" s="117"/>
      <c r="BL620" s="117"/>
      <c r="BM620" s="117"/>
      <c r="BN620" s="117"/>
      <c r="BO620" s="117"/>
      <c r="BP620" s="117"/>
      <c r="BQ620" s="117"/>
      <c r="BR620" s="117"/>
      <c r="BS620" s="117"/>
      <c r="BT620" s="117"/>
      <c r="BU620" s="117"/>
      <c r="BV620" s="117"/>
      <c r="BW620" s="117"/>
      <c r="BX620" s="117"/>
      <c r="BY620" s="117"/>
      <c r="BZ620" s="117"/>
      <c r="CA620" s="117"/>
    </row>
    <row r="621" spans="1:79" ht="12.75" customHeight="1">
      <c r="A621" s="117"/>
      <c r="B621" s="1"/>
      <c r="C621" s="713"/>
      <c r="D621" s="1"/>
      <c r="E621" s="719"/>
      <c r="F621" s="719"/>
      <c r="G621" s="719"/>
      <c r="H621" s="719"/>
      <c r="I621" s="719"/>
      <c r="J621" s="719"/>
      <c r="K621" s="719"/>
      <c r="L621" s="719"/>
      <c r="M621" s="719"/>
      <c r="N621" s="1"/>
      <c r="O621" s="1"/>
      <c r="P621" s="1"/>
      <c r="Q621" s="1"/>
      <c r="R621" s="117"/>
      <c r="S621" s="117"/>
      <c r="T621" s="117"/>
      <c r="U621" s="117"/>
      <c r="V621" s="117"/>
      <c r="W621" s="117"/>
      <c r="X621" s="1"/>
      <c r="Y621" s="893"/>
      <c r="Z621" s="893"/>
      <c r="AA621" s="893"/>
      <c r="AB621" s="893"/>
      <c r="AC621" s="893"/>
      <c r="AD621" s="893"/>
      <c r="AE621" s="893"/>
      <c r="AF621" s="893"/>
      <c r="AG621" s="893"/>
      <c r="AH621" s="893"/>
      <c r="AI621" s="893"/>
      <c r="AJ621" s="893"/>
      <c r="AK621" s="893"/>
      <c r="AL621" s="893"/>
      <c r="AM621" s="959"/>
      <c r="AN621" s="424"/>
      <c r="AO621" s="100"/>
      <c r="AP621" s="117"/>
      <c r="AQ621" s="117"/>
      <c r="AR621" s="117"/>
      <c r="AS621" s="117"/>
      <c r="AT621" s="100"/>
      <c r="AU621" s="117"/>
      <c r="AV621" s="117"/>
      <c r="AW621" s="117"/>
      <c r="AX621" s="117"/>
      <c r="AY621" s="117"/>
      <c r="AZ621" s="117"/>
      <c r="BA621" s="117"/>
      <c r="BB621" s="117"/>
      <c r="BC621" s="117"/>
      <c r="BD621" s="117"/>
      <c r="BE621" s="117"/>
      <c r="BF621" s="117"/>
      <c r="BG621" s="117"/>
      <c r="BH621" s="117"/>
      <c r="BI621" s="117"/>
      <c r="BJ621" s="117"/>
      <c r="BK621" s="117"/>
      <c r="BL621" s="117"/>
      <c r="BM621" s="117"/>
      <c r="BN621" s="117"/>
      <c r="BO621" s="117"/>
      <c r="BP621" s="117"/>
      <c r="BQ621" s="117"/>
      <c r="BR621" s="117"/>
      <c r="BS621" s="117"/>
      <c r="BT621" s="117"/>
      <c r="BU621" s="117"/>
      <c r="BV621" s="117"/>
      <c r="BW621" s="117"/>
      <c r="BX621" s="117"/>
      <c r="BY621" s="117"/>
      <c r="BZ621" s="117"/>
      <c r="CA621" s="117"/>
    </row>
    <row r="622" spans="1:79" ht="12.75" customHeight="1">
      <c r="A622" s="117"/>
      <c r="B622" s="1"/>
      <c r="C622" s="713"/>
      <c r="D622" s="1" t="s">
        <v>2382</v>
      </c>
      <c r="E622" s="719"/>
      <c r="F622" s="719"/>
      <c r="G622" s="719"/>
      <c r="H622" s="719"/>
      <c r="I622" s="719"/>
      <c r="J622" s="719"/>
      <c r="K622" s="719"/>
      <c r="L622" s="719"/>
      <c r="M622" s="719"/>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17"/>
      <c r="AN622" s="424"/>
      <c r="AO622" s="117"/>
      <c r="AP622" s="117"/>
      <c r="AQ622" s="117"/>
      <c r="AR622" s="117"/>
      <c r="AS622" s="117"/>
      <c r="AT622" s="117"/>
      <c r="AU622" s="117"/>
      <c r="AV622" s="117"/>
      <c r="AW622" s="117"/>
      <c r="AX622" s="117"/>
      <c r="AY622" s="117"/>
      <c r="AZ622" s="117"/>
      <c r="BA622" s="117"/>
      <c r="BB622" s="117"/>
      <c r="BC622" s="117"/>
      <c r="BD622" s="117"/>
      <c r="BE622" s="117"/>
      <c r="BF622" s="117"/>
      <c r="BG622" s="117"/>
      <c r="BH622" s="117"/>
      <c r="BI622" s="117"/>
      <c r="BJ622" s="117"/>
      <c r="BK622" s="117"/>
      <c r="BL622" s="117"/>
      <c r="BM622" s="117"/>
      <c r="BN622" s="117"/>
      <c r="BO622" s="117"/>
      <c r="BP622" s="117"/>
      <c r="BQ622" s="117"/>
      <c r="BR622" s="117"/>
      <c r="BS622" s="117"/>
      <c r="BT622" s="117"/>
      <c r="BU622" s="117"/>
      <c r="BV622" s="117"/>
      <c r="BW622" s="117"/>
      <c r="BX622" s="117"/>
      <c r="BY622" s="117"/>
      <c r="BZ622" s="117"/>
      <c r="CA622" s="117"/>
    </row>
    <row r="623" spans="1:79" ht="12.75" customHeight="1">
      <c r="A623" s="117"/>
      <c r="B623" s="1"/>
      <c r="C623" s="713"/>
      <c r="D623" s="1" t="s">
        <v>2384</v>
      </c>
      <c r="E623" s="719"/>
      <c r="F623" s="719"/>
      <c r="G623" s="719"/>
      <c r="H623" s="719"/>
      <c r="I623" s="719"/>
      <c r="J623" s="719"/>
      <c r="K623" s="719"/>
      <c r="L623" s="719"/>
      <c r="M623" s="719"/>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17"/>
      <c r="AN623" s="424"/>
      <c r="AO623" s="117"/>
      <c r="AP623" s="117"/>
      <c r="AQ623" s="117"/>
      <c r="AR623" s="117"/>
      <c r="AS623" s="117"/>
      <c r="AT623" s="117"/>
      <c r="AU623" s="117"/>
      <c r="AV623" s="117"/>
      <c r="AW623" s="117"/>
      <c r="AX623" s="117"/>
      <c r="AY623" s="117"/>
      <c r="AZ623" s="117"/>
      <c r="BA623" s="117"/>
      <c r="BB623" s="117"/>
      <c r="BC623" s="117"/>
      <c r="BD623" s="117"/>
      <c r="BE623" s="117"/>
      <c r="BF623" s="117"/>
      <c r="BG623" s="117"/>
      <c r="BH623" s="117"/>
      <c r="BI623" s="117"/>
      <c r="BJ623" s="117"/>
      <c r="BK623" s="117"/>
      <c r="BL623" s="117"/>
      <c r="BM623" s="117"/>
      <c r="BN623" s="117"/>
      <c r="BO623" s="117"/>
      <c r="BP623" s="117"/>
      <c r="BQ623" s="117"/>
      <c r="BR623" s="117"/>
      <c r="BS623" s="117"/>
      <c r="BT623" s="117"/>
      <c r="BU623" s="117"/>
      <c r="BV623" s="117"/>
      <c r="BW623" s="117"/>
      <c r="BX623" s="117"/>
      <c r="BY623" s="117"/>
      <c r="BZ623" s="117"/>
      <c r="CA623" s="117"/>
    </row>
    <row r="624" spans="1:79" ht="12.75" customHeight="1">
      <c r="A624" s="117"/>
      <c r="B624" s="1"/>
      <c r="C624" s="713"/>
      <c r="D624" s="1" t="s">
        <v>2385</v>
      </c>
      <c r="E624" s="719"/>
      <c r="F624" s="719"/>
      <c r="G624" s="719"/>
      <c r="H624" s="719"/>
      <c r="I624" s="719"/>
      <c r="J624" s="719"/>
      <c r="K624" s="719"/>
      <c r="L624" s="719"/>
      <c r="M624" s="719"/>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17"/>
      <c r="AN624" s="424"/>
      <c r="AO624" s="117"/>
      <c r="AP624" s="117"/>
      <c r="AQ624" s="117"/>
      <c r="AR624" s="117"/>
      <c r="AS624" s="117"/>
      <c r="AT624" s="117"/>
      <c r="AU624" s="117"/>
      <c r="AV624" s="117"/>
      <c r="AW624" s="117"/>
      <c r="AX624" s="117"/>
      <c r="AY624" s="117"/>
      <c r="AZ624" s="117"/>
      <c r="BA624" s="117"/>
      <c r="BB624" s="117"/>
      <c r="BC624" s="117"/>
      <c r="BD624" s="117"/>
      <c r="BE624" s="117"/>
      <c r="BF624" s="117"/>
      <c r="BG624" s="117"/>
      <c r="BH624" s="117"/>
      <c r="BI624" s="117"/>
      <c r="BJ624" s="117"/>
      <c r="BK624" s="117"/>
      <c r="BL624" s="117"/>
      <c r="BM624" s="117"/>
      <c r="BN624" s="117"/>
      <c r="BO624" s="117"/>
      <c r="BP624" s="117"/>
      <c r="BQ624" s="117"/>
      <c r="BR624" s="117"/>
      <c r="BS624" s="117"/>
      <c r="BT624" s="117"/>
      <c r="BU624" s="117"/>
      <c r="BV624" s="117"/>
      <c r="BW624" s="117"/>
      <c r="BX624" s="117"/>
      <c r="BY624" s="117"/>
      <c r="BZ624" s="117"/>
      <c r="CA624" s="117"/>
    </row>
    <row r="625" spans="1:79" ht="12.75" customHeight="1">
      <c r="A625" s="117"/>
      <c r="B625" s="1"/>
      <c r="C625" s="713"/>
      <c r="D625" s="17" t="s">
        <v>2386</v>
      </c>
      <c r="E625" s="719"/>
      <c r="F625" s="719"/>
      <c r="G625" s="719"/>
      <c r="H625" s="719"/>
      <c r="I625" s="719"/>
      <c r="J625" s="719"/>
      <c r="K625" s="719"/>
      <c r="L625" s="719"/>
      <c r="M625" s="719"/>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17"/>
      <c r="AN625" s="424"/>
      <c r="AO625" s="117"/>
      <c r="AP625" s="117"/>
      <c r="AQ625" s="117"/>
      <c r="AR625" s="117"/>
      <c r="AS625" s="117"/>
      <c r="AT625" s="117"/>
      <c r="AU625" s="117"/>
      <c r="AV625" s="117"/>
      <c r="AW625" s="117"/>
      <c r="AX625" s="117"/>
      <c r="AY625" s="117"/>
      <c r="AZ625" s="117"/>
      <c r="BA625" s="117"/>
      <c r="BB625" s="117"/>
      <c r="BC625" s="117"/>
      <c r="BD625" s="117"/>
      <c r="BE625" s="117"/>
      <c r="BF625" s="117"/>
      <c r="BG625" s="117"/>
      <c r="BH625" s="117"/>
      <c r="BI625" s="117"/>
      <c r="BJ625" s="117"/>
      <c r="BK625" s="117"/>
      <c r="BL625" s="117"/>
      <c r="BM625" s="117"/>
      <c r="BN625" s="117"/>
      <c r="BO625" s="117"/>
      <c r="BP625" s="117"/>
      <c r="BQ625" s="117"/>
      <c r="BR625" s="117"/>
      <c r="BS625" s="117"/>
      <c r="BT625" s="117"/>
      <c r="BU625" s="117"/>
      <c r="BV625" s="117"/>
      <c r="BW625" s="117"/>
      <c r="BX625" s="117"/>
      <c r="BY625" s="117"/>
      <c r="BZ625" s="117"/>
      <c r="CA625" s="117"/>
    </row>
    <row r="626" spans="1:79" ht="12.75" customHeight="1">
      <c r="A626" s="117"/>
      <c r="B626" s="1"/>
      <c r="C626" s="713"/>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17"/>
      <c r="AN626" s="424"/>
      <c r="AO626" s="117" t="s">
        <v>855</v>
      </c>
      <c r="AP626" s="521">
        <v>0</v>
      </c>
      <c r="AQ626" s="117"/>
      <c r="AR626" s="117"/>
      <c r="AS626" s="117"/>
      <c r="AT626" s="117"/>
      <c r="AU626" s="117"/>
      <c r="AV626" s="117"/>
      <c r="AW626" s="117"/>
      <c r="AX626" s="117"/>
      <c r="AY626" s="117"/>
      <c r="AZ626" s="117"/>
      <c r="BA626" s="117"/>
      <c r="BB626" s="117"/>
      <c r="BC626" s="117"/>
      <c r="BD626" s="117"/>
      <c r="BE626" s="117"/>
      <c r="BF626" s="117"/>
      <c r="BG626" s="117"/>
      <c r="BH626" s="117"/>
      <c r="BI626" s="117"/>
      <c r="BJ626" s="117"/>
      <c r="BK626" s="117"/>
      <c r="BL626" s="117"/>
      <c r="BM626" s="117"/>
      <c r="BN626" s="117"/>
      <c r="BO626" s="117"/>
      <c r="BP626" s="117"/>
      <c r="BQ626" s="117"/>
      <c r="BR626" s="117"/>
      <c r="BS626" s="117"/>
      <c r="BT626" s="117"/>
      <c r="BU626" s="117"/>
      <c r="BV626" s="117"/>
      <c r="BW626" s="117"/>
      <c r="BX626" s="117"/>
      <c r="BY626" s="117"/>
      <c r="BZ626" s="117"/>
      <c r="CA626" s="117"/>
    </row>
    <row r="627" spans="1:79" ht="12.75" customHeight="1">
      <c r="A627" s="117"/>
      <c r="B627" s="1"/>
      <c r="C627" s="713"/>
      <c r="D627" s="1"/>
      <c r="E627" s="1" t="s">
        <v>2378</v>
      </c>
      <c r="F627" s="719"/>
      <c r="G627" s="719"/>
      <c r="H627" s="117"/>
      <c r="I627" s="1377" t="s">
        <v>855</v>
      </c>
      <c r="J627" s="968"/>
      <c r="K627" s="968"/>
      <c r="L627" s="968"/>
      <c r="M627" s="968"/>
      <c r="N627" s="968"/>
      <c r="O627" s="968"/>
      <c r="P627" s="968"/>
      <c r="Q627" s="968"/>
      <c r="R627" s="968"/>
      <c r="S627" s="968"/>
      <c r="T627" s="968"/>
      <c r="U627" s="968"/>
      <c r="V627" s="968"/>
      <c r="W627" s="968"/>
      <c r="X627" s="968"/>
      <c r="Y627" s="968"/>
      <c r="Z627" s="968"/>
      <c r="AA627" s="968"/>
      <c r="AB627" s="968"/>
      <c r="AC627" s="968"/>
      <c r="AD627" s="968"/>
      <c r="AE627" s="969"/>
      <c r="AF627" s="1"/>
      <c r="AG627" s="1"/>
      <c r="AH627" s="1"/>
      <c r="AI627" s="1"/>
      <c r="AJ627" s="1"/>
      <c r="AK627" s="1"/>
      <c r="AL627" s="1"/>
      <c r="AM627" s="117"/>
      <c r="AN627" s="424"/>
      <c r="AO627" s="117" t="s">
        <v>2388</v>
      </c>
      <c r="AP627" s="117">
        <v>3</v>
      </c>
      <c r="AQ627" s="117"/>
      <c r="AR627" s="117"/>
      <c r="AS627" s="117"/>
      <c r="AT627" s="117"/>
      <c r="AU627" s="117"/>
      <c r="AV627" s="117"/>
      <c r="AW627" s="117"/>
      <c r="AX627" s="117"/>
      <c r="AY627" s="117"/>
      <c r="AZ627" s="117"/>
      <c r="BA627" s="117"/>
      <c r="BB627" s="117"/>
      <c r="BC627" s="117"/>
      <c r="BD627" s="117"/>
      <c r="BE627" s="117"/>
      <c r="BF627" s="117"/>
      <c r="BG627" s="117"/>
      <c r="BH627" s="117"/>
      <c r="BI627" s="117"/>
      <c r="BJ627" s="117"/>
      <c r="BK627" s="117"/>
      <c r="BL627" s="117"/>
      <c r="BM627" s="117"/>
      <c r="BN627" s="117"/>
      <c r="BO627" s="117"/>
      <c r="BP627" s="117"/>
      <c r="BQ627" s="117"/>
      <c r="BR627" s="117"/>
      <c r="BS627" s="117"/>
      <c r="BT627" s="117"/>
      <c r="BU627" s="117"/>
      <c r="BV627" s="117"/>
      <c r="BW627" s="117"/>
      <c r="BX627" s="117"/>
      <c r="BY627" s="117"/>
      <c r="BZ627" s="117"/>
      <c r="CA627" s="117"/>
    </row>
    <row r="628" spans="1:79" ht="12.75" customHeight="1">
      <c r="A628" s="117"/>
      <c r="B628" s="1"/>
      <c r="C628" s="1"/>
      <c r="D628" s="1"/>
      <c r="E628" s="1"/>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117"/>
      <c r="AN628" s="424"/>
      <c r="AO628" s="117" t="s">
        <v>2389</v>
      </c>
      <c r="AP628" s="117">
        <v>2</v>
      </c>
      <c r="AQ628" s="117"/>
      <c r="AR628" s="117"/>
      <c r="AS628" s="117"/>
      <c r="AT628" s="117"/>
      <c r="AU628" s="117"/>
      <c r="AV628" s="117"/>
      <c r="AW628" s="117"/>
      <c r="AX628" s="117"/>
      <c r="AY628" s="117"/>
      <c r="AZ628" s="117"/>
      <c r="BA628" s="117"/>
      <c r="BB628" s="117"/>
      <c r="BC628" s="117"/>
      <c r="BD628" s="117"/>
      <c r="BE628" s="117"/>
      <c r="BF628" s="117"/>
      <c r="BG628" s="117"/>
      <c r="BH628" s="117"/>
      <c r="BI628" s="117"/>
      <c r="BJ628" s="117"/>
      <c r="BK628" s="117"/>
      <c r="BL628" s="117"/>
      <c r="BM628" s="117"/>
      <c r="BN628" s="117"/>
      <c r="BO628" s="117"/>
      <c r="BP628" s="117"/>
      <c r="BQ628" s="117"/>
      <c r="BR628" s="117"/>
      <c r="BS628" s="117"/>
      <c r="BT628" s="117"/>
      <c r="BU628" s="117"/>
      <c r="BV628" s="117"/>
      <c r="BW628" s="117"/>
      <c r="BX628" s="117"/>
      <c r="BY628" s="117"/>
      <c r="BZ628" s="117"/>
      <c r="CA628" s="117"/>
    </row>
    <row r="629" spans="1:79" ht="12.75" customHeight="1">
      <c r="A629" s="117"/>
      <c r="B629" s="973" t="s">
        <v>855</v>
      </c>
      <c r="C629" s="969"/>
      <c r="D629" s="4"/>
      <c r="E629" s="895" t="s">
        <v>2390</v>
      </c>
      <c r="F629" s="893"/>
      <c r="G629" s="893"/>
      <c r="H629" s="893"/>
      <c r="I629" s="893"/>
      <c r="J629" s="893"/>
      <c r="K629" s="893"/>
      <c r="L629" s="893"/>
      <c r="M629" s="893"/>
      <c r="N629" s="893"/>
      <c r="O629" s="893"/>
      <c r="P629" s="893"/>
      <c r="Q629" s="893"/>
      <c r="R629" s="893"/>
      <c r="S629" s="893"/>
      <c r="T629" s="893"/>
      <c r="U629" s="893"/>
      <c r="V629" s="893"/>
      <c r="W629" s="893"/>
      <c r="X629" s="893"/>
      <c r="Y629" s="893"/>
      <c r="Z629" s="893"/>
      <c r="AA629" s="893"/>
      <c r="AB629" s="893"/>
      <c r="AC629" s="893"/>
      <c r="AD629" s="893"/>
      <c r="AE629" s="893"/>
      <c r="AF629" s="893"/>
      <c r="AG629" s="893"/>
      <c r="AH629" s="4"/>
      <c r="AI629" s="4"/>
      <c r="AJ629" s="4"/>
      <c r="AK629" s="4"/>
      <c r="AL629" s="4"/>
      <c r="AM629" s="117"/>
      <c r="AN629" s="424"/>
      <c r="AO629" s="117"/>
      <c r="AP629" s="117"/>
      <c r="AQ629" s="117"/>
      <c r="AR629" s="117"/>
      <c r="AS629" s="117"/>
      <c r="AT629" s="117"/>
      <c r="AU629" s="117"/>
      <c r="AV629" s="117"/>
      <c r="AW629" s="117"/>
      <c r="AX629" s="117"/>
      <c r="AY629" s="117"/>
      <c r="AZ629" s="117"/>
      <c r="BA629" s="117"/>
      <c r="BB629" s="117"/>
      <c r="BC629" s="117"/>
      <c r="BD629" s="117"/>
      <c r="BE629" s="117"/>
      <c r="BF629" s="117"/>
      <c r="BG629" s="117"/>
      <c r="BH629" s="117"/>
      <c r="BI629" s="117"/>
      <c r="BJ629" s="117"/>
      <c r="BK629" s="117"/>
      <c r="BL629" s="117"/>
      <c r="BM629" s="117"/>
      <c r="BN629" s="117"/>
      <c r="BO629" s="117"/>
      <c r="BP629" s="117"/>
      <c r="BQ629" s="117"/>
      <c r="BR629" s="117"/>
      <c r="BS629" s="117"/>
      <c r="BT629" s="117"/>
      <c r="BU629" s="117"/>
      <c r="BV629" s="117"/>
      <c r="BW629" s="117"/>
      <c r="BX629" s="117"/>
      <c r="BY629" s="117"/>
      <c r="BZ629" s="117"/>
      <c r="CA629" s="117"/>
    </row>
    <row r="630" spans="1:79" ht="12.75" customHeight="1">
      <c r="A630" s="117"/>
      <c r="B630" s="1"/>
      <c r="C630" s="713"/>
      <c r="D630" s="4"/>
      <c r="E630" s="893"/>
      <c r="F630" s="893"/>
      <c r="G630" s="893"/>
      <c r="H630" s="893"/>
      <c r="I630" s="893"/>
      <c r="J630" s="893"/>
      <c r="K630" s="893"/>
      <c r="L630" s="893"/>
      <c r="M630" s="893"/>
      <c r="N630" s="893"/>
      <c r="O630" s="893"/>
      <c r="P630" s="893"/>
      <c r="Q630" s="893"/>
      <c r="R630" s="893"/>
      <c r="S630" s="893"/>
      <c r="T630" s="893"/>
      <c r="U630" s="893"/>
      <c r="V630" s="893"/>
      <c r="W630" s="893"/>
      <c r="X630" s="893"/>
      <c r="Y630" s="893"/>
      <c r="Z630" s="893"/>
      <c r="AA630" s="893"/>
      <c r="AB630" s="893"/>
      <c r="AC630" s="893"/>
      <c r="AD630" s="893"/>
      <c r="AE630" s="893"/>
      <c r="AF630" s="893"/>
      <c r="AG630" s="893"/>
      <c r="AH630" s="4"/>
      <c r="AI630" s="4"/>
      <c r="AJ630" s="4"/>
      <c r="AK630" s="4"/>
      <c r="AL630" s="4"/>
      <c r="AM630" s="117"/>
      <c r="AN630" s="424"/>
      <c r="AO630" s="117"/>
      <c r="AP630" s="117"/>
      <c r="AQ630" s="117"/>
      <c r="AR630" s="117"/>
      <c r="AS630" s="117"/>
      <c r="AT630" s="117"/>
      <c r="AU630" s="117"/>
      <c r="AV630" s="117"/>
      <c r="AW630" s="117"/>
      <c r="AX630" s="117"/>
      <c r="AY630" s="117"/>
      <c r="AZ630" s="117"/>
      <c r="BA630" s="117"/>
      <c r="BB630" s="117"/>
      <c r="BC630" s="117"/>
      <c r="BD630" s="117"/>
      <c r="BE630" s="117"/>
      <c r="BF630" s="117"/>
      <c r="BG630" s="117"/>
      <c r="BH630" s="117"/>
      <c r="BI630" s="117"/>
      <c r="BJ630" s="117"/>
      <c r="BK630" s="117"/>
      <c r="BL630" s="117"/>
      <c r="BM630" s="117"/>
      <c r="BN630" s="117"/>
      <c r="BO630" s="117"/>
      <c r="BP630" s="117"/>
      <c r="BQ630" s="117"/>
      <c r="BR630" s="117"/>
      <c r="BS630" s="117"/>
      <c r="BT630" s="117"/>
      <c r="BU630" s="117"/>
      <c r="BV630" s="117"/>
      <c r="BW630" s="117"/>
      <c r="BX630" s="117"/>
      <c r="BY630" s="117"/>
      <c r="BZ630" s="117"/>
      <c r="CA630" s="117"/>
    </row>
    <row r="631" spans="1:79" ht="12.75" customHeight="1">
      <c r="A631" s="117"/>
      <c r="B631" s="1"/>
      <c r="C631" s="713"/>
      <c r="D631" s="4"/>
      <c r="E631" s="893"/>
      <c r="F631" s="893"/>
      <c r="G631" s="893"/>
      <c r="H631" s="893"/>
      <c r="I631" s="893"/>
      <c r="J631" s="893"/>
      <c r="K631" s="893"/>
      <c r="L631" s="893"/>
      <c r="M631" s="893"/>
      <c r="N631" s="893"/>
      <c r="O631" s="893"/>
      <c r="P631" s="893"/>
      <c r="Q631" s="893"/>
      <c r="R631" s="893"/>
      <c r="S631" s="893"/>
      <c r="T631" s="893"/>
      <c r="U631" s="893"/>
      <c r="V631" s="893"/>
      <c r="W631" s="893"/>
      <c r="X631" s="893"/>
      <c r="Y631" s="893"/>
      <c r="Z631" s="893"/>
      <c r="AA631" s="893"/>
      <c r="AB631" s="893"/>
      <c r="AC631" s="893"/>
      <c r="AD631" s="893"/>
      <c r="AE631" s="893"/>
      <c r="AF631" s="893"/>
      <c r="AG631" s="893"/>
      <c r="AH631" s="4"/>
      <c r="AI631" s="4"/>
      <c r="AJ631" s="4"/>
      <c r="AK631" s="4"/>
      <c r="AL631" s="4"/>
      <c r="AM631" s="117"/>
      <c r="AN631" s="424"/>
      <c r="AO631" s="117"/>
      <c r="AP631" s="117"/>
      <c r="AQ631" s="117"/>
      <c r="AR631" s="117"/>
      <c r="AS631" s="117"/>
      <c r="AT631" s="117"/>
      <c r="AU631" s="117"/>
      <c r="AV631" s="117"/>
      <c r="AW631" s="117"/>
      <c r="AX631" s="117"/>
      <c r="AY631" s="117"/>
      <c r="AZ631" s="117"/>
      <c r="BA631" s="117"/>
      <c r="BB631" s="117"/>
      <c r="BC631" s="117"/>
      <c r="BD631" s="117"/>
      <c r="BE631" s="117"/>
      <c r="BF631" s="117"/>
      <c r="BG631" s="117"/>
      <c r="BH631" s="117"/>
      <c r="BI631" s="117"/>
      <c r="BJ631" s="117"/>
      <c r="BK631" s="117"/>
      <c r="BL631" s="117"/>
      <c r="BM631" s="117"/>
      <c r="BN631" s="117"/>
      <c r="BO631" s="117"/>
      <c r="BP631" s="117"/>
      <c r="BQ631" s="117"/>
      <c r="BR631" s="117"/>
      <c r="BS631" s="117"/>
      <c r="BT631" s="117"/>
      <c r="BU631" s="117"/>
      <c r="BV631" s="117"/>
      <c r="BW631" s="117"/>
      <c r="BX631" s="117"/>
      <c r="BY631" s="117"/>
      <c r="BZ631" s="117"/>
      <c r="CA631" s="117"/>
    </row>
    <row r="632" spans="1:79" ht="12.75" customHeight="1">
      <c r="A632" s="117"/>
      <c r="B632" s="1"/>
      <c r="C632" s="713"/>
      <c r="D632" s="4"/>
      <c r="E632" s="893"/>
      <c r="F632" s="893"/>
      <c r="G632" s="893"/>
      <c r="H632" s="893"/>
      <c r="I632" s="893"/>
      <c r="J632" s="893"/>
      <c r="K632" s="893"/>
      <c r="L632" s="893"/>
      <c r="M632" s="893"/>
      <c r="N632" s="893"/>
      <c r="O632" s="893"/>
      <c r="P632" s="893"/>
      <c r="Q632" s="893"/>
      <c r="R632" s="893"/>
      <c r="S632" s="893"/>
      <c r="T632" s="893"/>
      <c r="U632" s="893"/>
      <c r="V632" s="893"/>
      <c r="W632" s="893"/>
      <c r="X632" s="893"/>
      <c r="Y632" s="893"/>
      <c r="Z632" s="893"/>
      <c r="AA632" s="893"/>
      <c r="AB632" s="893"/>
      <c r="AC632" s="893"/>
      <c r="AD632" s="893"/>
      <c r="AE632" s="893"/>
      <c r="AF632" s="893"/>
      <c r="AG632" s="893"/>
      <c r="AH632" s="4"/>
      <c r="AI632" s="4"/>
      <c r="AJ632" s="4"/>
      <c r="AK632" s="4"/>
      <c r="AL632" s="4"/>
      <c r="AM632" s="117"/>
      <c r="AN632" s="424"/>
      <c r="AO632" s="117"/>
      <c r="AP632" s="117"/>
      <c r="AQ632" s="117"/>
      <c r="AR632" s="117"/>
      <c r="AS632" s="117"/>
      <c r="AT632" s="117"/>
      <c r="AU632" s="117"/>
      <c r="AV632" s="117"/>
      <c r="AW632" s="117"/>
      <c r="AX632" s="117"/>
      <c r="AY632" s="117"/>
      <c r="AZ632" s="117"/>
      <c r="BA632" s="117"/>
      <c r="BB632" s="117"/>
      <c r="BC632" s="117"/>
      <c r="BD632" s="117"/>
      <c r="BE632" s="117"/>
      <c r="BF632" s="117"/>
      <c r="BG632" s="117"/>
      <c r="BH632" s="117"/>
      <c r="BI632" s="117"/>
      <c r="BJ632" s="117"/>
      <c r="BK632" s="117"/>
      <c r="BL632" s="117"/>
      <c r="BM632" s="117"/>
      <c r="BN632" s="117"/>
      <c r="BO632" s="117"/>
      <c r="BP632" s="117"/>
      <c r="BQ632" s="117"/>
      <c r="BR632" s="117"/>
      <c r="BS632" s="117"/>
      <c r="BT632" s="117"/>
      <c r="BU632" s="117"/>
      <c r="BV632" s="117"/>
      <c r="BW632" s="117"/>
      <c r="BX632" s="117"/>
      <c r="BY632" s="117"/>
      <c r="BZ632" s="117"/>
      <c r="CA632" s="117"/>
    </row>
    <row r="633" spans="1:79" ht="12.75" customHeight="1">
      <c r="A633" s="117"/>
      <c r="B633" s="1"/>
      <c r="C633" s="713"/>
      <c r="D633" s="139"/>
      <c r="E633" s="721"/>
      <c r="F633" s="721"/>
      <c r="G633" s="721"/>
      <c r="H633" s="721"/>
      <c r="I633" s="721"/>
      <c r="J633" s="721"/>
      <c r="K633" s="721"/>
      <c r="L633" s="721"/>
      <c r="M633" s="721"/>
      <c r="N633" s="721"/>
      <c r="O633" s="721"/>
      <c r="P633" s="721"/>
      <c r="Q633" s="721"/>
      <c r="R633" s="721"/>
      <c r="S633" s="721"/>
      <c r="T633" s="721"/>
      <c r="U633" s="721"/>
      <c r="V633" s="721"/>
      <c r="W633" s="721"/>
      <c r="X633" s="721"/>
      <c r="Y633" s="721"/>
      <c r="Z633" s="721"/>
      <c r="AA633" s="721"/>
      <c r="AB633" s="721"/>
      <c r="AC633" s="721"/>
      <c r="AD633" s="721"/>
      <c r="AE633" s="721"/>
      <c r="AF633" s="721"/>
      <c r="AG633" s="721"/>
      <c r="AH633" s="139"/>
      <c r="AI633" s="139"/>
      <c r="AJ633" s="139"/>
      <c r="AK633" s="139"/>
      <c r="AL633" s="4"/>
      <c r="AM633" s="117"/>
      <c r="AN633" s="424"/>
      <c r="AO633" s="117"/>
      <c r="AP633" s="117"/>
      <c r="AQ633" s="117"/>
      <c r="AR633" s="117"/>
      <c r="AS633" s="117"/>
      <c r="AT633" s="117"/>
      <c r="AU633" s="117"/>
      <c r="AV633" s="117"/>
      <c r="AW633" s="117"/>
      <c r="AX633" s="117"/>
      <c r="AY633" s="117"/>
      <c r="AZ633" s="117"/>
      <c r="BA633" s="117"/>
      <c r="BB633" s="117"/>
      <c r="BC633" s="117"/>
      <c r="BD633" s="117"/>
      <c r="BE633" s="117"/>
      <c r="BF633" s="117"/>
      <c r="BG633" s="117"/>
      <c r="BH633" s="117"/>
      <c r="BI633" s="117"/>
      <c r="BJ633" s="117"/>
      <c r="BK633" s="117"/>
      <c r="BL633" s="117"/>
      <c r="BM633" s="117"/>
      <c r="BN633" s="117"/>
      <c r="BO633" s="117"/>
      <c r="BP633" s="117"/>
      <c r="BQ633" s="117"/>
      <c r="BR633" s="117"/>
      <c r="BS633" s="117"/>
      <c r="BT633" s="117"/>
      <c r="BU633" s="117"/>
      <c r="BV633" s="117"/>
      <c r="BW633" s="117"/>
      <c r="BX633" s="117"/>
      <c r="BY633" s="117"/>
      <c r="BZ633" s="117"/>
      <c r="CA633" s="117"/>
    </row>
    <row r="634" spans="1:79" ht="12.75" customHeight="1">
      <c r="A634" s="425"/>
      <c r="B634" s="5"/>
      <c r="C634" s="722"/>
      <c r="D634" s="5"/>
      <c r="E634" s="723"/>
      <c r="F634" s="723"/>
      <c r="G634" s="723"/>
      <c r="H634" s="723"/>
      <c r="I634" s="723"/>
      <c r="J634" s="723"/>
      <c r="K634" s="723"/>
      <c r="L634" s="723"/>
      <c r="M634" s="723"/>
      <c r="N634" s="723"/>
      <c r="O634" s="723"/>
      <c r="P634" s="723"/>
      <c r="Q634" s="723"/>
      <c r="R634" s="723"/>
      <c r="S634" s="723"/>
      <c r="T634" s="723"/>
      <c r="U634" s="723"/>
      <c r="V634" s="723"/>
      <c r="W634" s="723"/>
      <c r="X634" s="723"/>
      <c r="Y634" s="723"/>
      <c r="Z634" s="723"/>
      <c r="AA634" s="723"/>
      <c r="AB634" s="5"/>
      <c r="AC634" s="5"/>
      <c r="AD634" s="5"/>
      <c r="AE634" s="5"/>
      <c r="AF634" s="5"/>
      <c r="AG634" s="5"/>
      <c r="AH634" s="5"/>
      <c r="AI634" s="372" t="s">
        <v>2394</v>
      </c>
      <c r="AJ634" s="945">
        <f>VLOOKUP($H$619,$AO$599:$AP$604,2,FALSE)+IF(R619=AO607,0,VLOOKUP($I$627,$AO$626:$AP$628,2,FALSE))</f>
        <v>4</v>
      </c>
      <c r="AK634" s="943"/>
      <c r="AL634" s="7"/>
      <c r="AM634" s="724"/>
      <c r="AN634" s="424"/>
      <c r="AO634" s="117"/>
      <c r="AP634" s="117"/>
      <c r="AQ634" s="117"/>
      <c r="AR634" s="117"/>
      <c r="AS634" s="117"/>
      <c r="AT634" s="117"/>
      <c r="AU634" s="117"/>
      <c r="AV634" s="117"/>
      <c r="AW634" s="117"/>
      <c r="AX634" s="117"/>
      <c r="AY634" s="117"/>
      <c r="AZ634" s="117"/>
      <c r="BA634" s="117"/>
      <c r="BB634" s="117"/>
      <c r="BC634" s="117"/>
      <c r="BD634" s="117"/>
      <c r="BE634" s="117"/>
      <c r="BF634" s="117"/>
      <c r="BG634" s="117"/>
      <c r="BH634" s="117"/>
      <c r="BI634" s="117"/>
      <c r="BJ634" s="117"/>
      <c r="BK634" s="117"/>
      <c r="BL634" s="117"/>
      <c r="BM634" s="117"/>
      <c r="BN634" s="117"/>
      <c r="BO634" s="117"/>
      <c r="BP634" s="117"/>
      <c r="BQ634" s="117"/>
      <c r="BR634" s="117"/>
      <c r="BS634" s="117"/>
      <c r="BT634" s="117"/>
      <c r="BU634" s="117"/>
      <c r="BV634" s="117"/>
      <c r="BW634" s="117"/>
      <c r="BX634" s="117"/>
      <c r="BY634" s="117"/>
      <c r="BZ634" s="117"/>
      <c r="CA634" s="117"/>
    </row>
    <row r="635" spans="1:79" ht="12.75" customHeight="1">
      <c r="A635" s="117"/>
      <c r="B635" s="1"/>
      <c r="C635" s="713"/>
      <c r="D635" s="1"/>
      <c r="E635" s="719"/>
      <c r="F635" s="719"/>
      <c r="G635" s="719"/>
      <c r="H635" s="719"/>
      <c r="I635" s="719"/>
      <c r="J635" s="719"/>
      <c r="K635" s="719"/>
      <c r="L635" s="719"/>
      <c r="M635" s="719"/>
      <c r="N635" s="719"/>
      <c r="O635" s="719"/>
      <c r="P635" s="719"/>
      <c r="Q635" s="719"/>
      <c r="R635" s="719"/>
      <c r="S635" s="719"/>
      <c r="T635" s="719"/>
      <c r="U635" s="719"/>
      <c r="V635" s="719"/>
      <c r="W635" s="719"/>
      <c r="X635" s="719"/>
      <c r="Y635" s="719"/>
      <c r="Z635" s="719"/>
      <c r="AA635" s="719"/>
      <c r="AB635" s="719"/>
      <c r="AC635" s="1"/>
      <c r="AD635" s="1"/>
      <c r="AE635" s="719"/>
      <c r="AF635" s="719"/>
      <c r="AG635" s="719"/>
      <c r="AH635" s="719"/>
      <c r="AI635" s="719"/>
      <c r="AJ635" s="719"/>
      <c r="AK635" s="719"/>
      <c r="AL635" s="719"/>
      <c r="AM635" s="724"/>
      <c r="AN635" s="424"/>
      <c r="AO635" s="117"/>
      <c r="AP635" s="117"/>
      <c r="AQ635" s="117"/>
      <c r="AR635" s="117"/>
      <c r="AS635" s="117"/>
      <c r="AT635" s="117"/>
      <c r="AU635" s="117"/>
      <c r="AV635" s="117"/>
      <c r="AW635" s="117"/>
      <c r="AX635" s="117"/>
      <c r="AY635" s="117"/>
      <c r="AZ635" s="117"/>
      <c r="BA635" s="117"/>
      <c r="BB635" s="117"/>
      <c r="BC635" s="117"/>
      <c r="BD635" s="117"/>
      <c r="BE635" s="117"/>
      <c r="BF635" s="117"/>
      <c r="BG635" s="117"/>
      <c r="BH635" s="117"/>
      <c r="BI635" s="117"/>
      <c r="BJ635" s="117"/>
      <c r="BK635" s="117"/>
      <c r="BL635" s="117"/>
      <c r="BM635" s="117"/>
      <c r="BN635" s="117"/>
      <c r="BO635" s="117"/>
      <c r="BP635" s="117"/>
      <c r="BQ635" s="117"/>
      <c r="BR635" s="117"/>
      <c r="BS635" s="117"/>
      <c r="BT635" s="117"/>
      <c r="BU635" s="117"/>
      <c r="BV635" s="117"/>
      <c r="BW635" s="117"/>
      <c r="BX635" s="117"/>
      <c r="BY635" s="117"/>
      <c r="BZ635" s="117"/>
      <c r="CA635" s="117"/>
    </row>
    <row r="636" spans="1:79" ht="12.75" customHeight="1">
      <c r="A636" s="117"/>
      <c r="B636" s="1"/>
      <c r="C636" s="8" t="s">
        <v>2273</v>
      </c>
      <c r="D636" s="8"/>
      <c r="E636" s="719"/>
      <c r="F636" s="719"/>
      <c r="G636" s="719"/>
      <c r="H636" s="719"/>
      <c r="I636" s="719"/>
      <c r="J636" s="719"/>
      <c r="K636" s="719"/>
      <c r="L636" s="719"/>
      <c r="M636" s="719"/>
      <c r="N636" s="719"/>
      <c r="O636" s="719"/>
      <c r="P636" s="719"/>
      <c r="Q636" s="719"/>
      <c r="R636" s="719"/>
      <c r="S636" s="719"/>
      <c r="T636" s="719"/>
      <c r="U636" s="719"/>
      <c r="V636" s="719"/>
      <c r="W636" s="719"/>
      <c r="X636" s="719"/>
      <c r="Y636" s="719"/>
      <c r="Z636" s="719"/>
      <c r="AA636" s="719"/>
      <c r="AB636" s="719"/>
      <c r="AC636" s="1"/>
      <c r="AD636" s="1"/>
      <c r="AE636" s="1"/>
      <c r="AF636" s="1"/>
      <c r="AG636" s="1"/>
      <c r="AH636" s="1"/>
      <c r="AI636" s="1"/>
      <c r="AJ636" s="1"/>
      <c r="AK636" s="1"/>
      <c r="AL636" s="1"/>
      <c r="AM636" s="117"/>
      <c r="AN636" s="424"/>
      <c r="AO636" s="117"/>
      <c r="AP636" s="117"/>
      <c r="AQ636" s="117"/>
      <c r="AR636" s="117"/>
      <c r="AS636" s="117"/>
      <c r="AT636" s="117"/>
      <c r="AU636" s="117"/>
      <c r="AV636" s="117"/>
      <c r="AW636" s="117"/>
      <c r="AX636" s="117"/>
      <c r="AY636" s="117"/>
      <c r="AZ636" s="117"/>
      <c r="BA636" s="117"/>
      <c r="BB636" s="117"/>
      <c r="BC636" s="117"/>
      <c r="BD636" s="117"/>
      <c r="BE636" s="117"/>
      <c r="BF636" s="117"/>
      <c r="BG636" s="117"/>
      <c r="BH636" s="117"/>
      <c r="BI636" s="117"/>
      <c r="BJ636" s="117"/>
      <c r="BK636" s="117"/>
      <c r="BL636" s="117"/>
      <c r="BM636" s="117"/>
      <c r="BN636" s="117"/>
      <c r="BO636" s="117"/>
      <c r="BP636" s="117"/>
      <c r="BQ636" s="117"/>
      <c r="BR636" s="117"/>
      <c r="BS636" s="117"/>
      <c r="BT636" s="117"/>
      <c r="BU636" s="117"/>
      <c r="BV636" s="117"/>
      <c r="BW636" s="117"/>
      <c r="BX636" s="117"/>
      <c r="BY636" s="117"/>
      <c r="BZ636" s="117"/>
      <c r="CA636" s="117"/>
    </row>
    <row r="637" spans="1:79" ht="12.75" customHeight="1">
      <c r="A637" s="117"/>
      <c r="B637" s="33"/>
      <c r="C637" s="1"/>
      <c r="D637" s="322"/>
      <c r="E637" s="719"/>
      <c r="F637" s="719"/>
      <c r="G637" s="719"/>
      <c r="H637" s="719"/>
      <c r="I637" s="719"/>
      <c r="J637" s="719"/>
      <c r="K637" s="719"/>
      <c r="L637" s="719"/>
      <c r="M637" s="719"/>
      <c r="N637" s="719"/>
      <c r="O637" s="719"/>
      <c r="P637" s="719"/>
      <c r="Q637" s="719"/>
      <c r="R637" s="719"/>
      <c r="S637" s="719"/>
      <c r="T637" s="719"/>
      <c r="U637" s="719"/>
      <c r="V637" s="719"/>
      <c r="W637" s="719"/>
      <c r="X637" s="719"/>
      <c r="Y637" s="719"/>
      <c r="Z637" s="719"/>
      <c r="AA637" s="719"/>
      <c r="AB637" s="719"/>
      <c r="AC637" s="1"/>
      <c r="AD637" s="1"/>
      <c r="AE637" s="1"/>
      <c r="AF637" s="1"/>
      <c r="AG637" s="1"/>
      <c r="AH637" s="1"/>
      <c r="AI637" s="1"/>
      <c r="AJ637" s="1"/>
      <c r="AK637" s="1"/>
      <c r="AL637" s="1"/>
      <c r="AM637" s="117"/>
      <c r="AN637" s="424"/>
      <c r="AO637" s="117"/>
      <c r="AP637" s="117"/>
      <c r="AQ637" s="117"/>
      <c r="AR637" s="117"/>
      <c r="AS637" s="117"/>
      <c r="AT637" s="117"/>
      <c r="AU637" s="117"/>
      <c r="AV637" s="117"/>
      <c r="AW637" s="117"/>
      <c r="AX637" s="117"/>
      <c r="AY637" s="117"/>
      <c r="AZ637" s="117"/>
      <c r="BA637" s="117"/>
      <c r="BB637" s="117"/>
      <c r="BC637" s="117"/>
      <c r="BD637" s="117"/>
      <c r="BE637" s="117"/>
      <c r="BF637" s="117"/>
      <c r="BG637" s="117"/>
      <c r="BH637" s="117"/>
      <c r="BI637" s="117"/>
      <c r="BJ637" s="117"/>
      <c r="BK637" s="117"/>
      <c r="BL637" s="117"/>
      <c r="BM637" s="117"/>
      <c r="BN637" s="117"/>
      <c r="BO637" s="117"/>
      <c r="BP637" s="117"/>
      <c r="BQ637" s="117"/>
      <c r="BR637" s="117"/>
      <c r="BS637" s="117"/>
      <c r="BT637" s="117"/>
      <c r="BU637" s="117"/>
      <c r="BV637" s="117"/>
      <c r="BW637" s="117"/>
      <c r="BX637" s="117"/>
      <c r="BY637" s="117"/>
      <c r="BZ637" s="117"/>
      <c r="CA637" s="117"/>
    </row>
    <row r="638" spans="1:79" ht="12.75" customHeight="1">
      <c r="A638" s="117"/>
      <c r="B638" s="1"/>
      <c r="C638" s="1"/>
      <c r="D638" s="41" t="s">
        <v>44</v>
      </c>
      <c r="E638" s="1378" t="s">
        <v>2396</v>
      </c>
      <c r="F638" s="893"/>
      <c r="G638" s="893"/>
      <c r="H638" s="893"/>
      <c r="I638" s="893"/>
      <c r="J638" s="893"/>
      <c r="K638" s="893"/>
      <c r="L638" s="893"/>
      <c r="M638" s="893"/>
      <c r="N638" s="893"/>
      <c r="O638" s="893"/>
      <c r="P638" s="893"/>
      <c r="Q638" s="893"/>
      <c r="R638" s="893"/>
      <c r="S638" s="893"/>
      <c r="T638" s="893"/>
      <c r="U638" s="893"/>
      <c r="V638" s="893"/>
      <c r="W638" s="893"/>
      <c r="X638" s="893"/>
      <c r="Y638" s="893"/>
      <c r="Z638" s="893"/>
      <c r="AA638" s="893"/>
      <c r="AB638" s="893"/>
      <c r="AC638" s="893"/>
      <c r="AD638" s="893"/>
      <c r="AE638" s="8"/>
      <c r="AF638" s="1376" t="s">
        <v>1959</v>
      </c>
      <c r="AG638" s="893"/>
      <c r="AH638" s="893"/>
      <c r="AI638" s="893"/>
      <c r="AJ638" s="893"/>
      <c r="AK638" s="893"/>
      <c r="AL638" s="893"/>
      <c r="AM638" s="117"/>
      <c r="AN638" s="654"/>
      <c r="AO638" s="514"/>
      <c r="AP638" s="514"/>
      <c r="AQ638" s="514"/>
      <c r="AR638" s="514"/>
      <c r="AS638" s="514"/>
      <c r="AT638" s="514"/>
      <c r="AU638" s="514"/>
      <c r="AV638" s="514"/>
      <c r="AW638" s="514"/>
      <c r="AX638" s="514"/>
      <c r="AY638" s="514"/>
      <c r="AZ638" s="514"/>
      <c r="BA638" s="514"/>
      <c r="BB638" s="514"/>
      <c r="BC638" s="514"/>
      <c r="BD638" s="514"/>
      <c r="BE638" s="514"/>
      <c r="BF638" s="514"/>
      <c r="BG638" s="514"/>
      <c r="BH638" s="514"/>
      <c r="BI638" s="514"/>
      <c r="BJ638" s="514"/>
      <c r="BK638" s="514"/>
      <c r="BL638" s="514"/>
      <c r="BM638" s="514"/>
      <c r="BN638" s="514"/>
      <c r="BO638" s="514"/>
      <c r="BP638" s="514"/>
      <c r="BQ638" s="514"/>
      <c r="BR638" s="514"/>
      <c r="BS638" s="514"/>
      <c r="BT638" s="514"/>
      <c r="BU638" s="514"/>
      <c r="BV638" s="514"/>
      <c r="BW638" s="514"/>
      <c r="BX638" s="514"/>
      <c r="BY638" s="514"/>
      <c r="BZ638" s="514"/>
      <c r="CA638" s="514"/>
    </row>
    <row r="639" spans="1:79" ht="12.75" customHeight="1">
      <c r="A639" s="63"/>
      <c r="B639" s="1"/>
      <c r="C639" s="713"/>
      <c r="D639" s="41"/>
      <c r="E639" s="893"/>
      <c r="F639" s="893"/>
      <c r="G639" s="893"/>
      <c r="H639" s="893"/>
      <c r="I639" s="893"/>
      <c r="J639" s="893"/>
      <c r="K639" s="893"/>
      <c r="L639" s="893"/>
      <c r="M639" s="893"/>
      <c r="N639" s="893"/>
      <c r="O639" s="893"/>
      <c r="P639" s="893"/>
      <c r="Q639" s="893"/>
      <c r="R639" s="893"/>
      <c r="S639" s="893"/>
      <c r="T639" s="893"/>
      <c r="U639" s="893"/>
      <c r="V639" s="893"/>
      <c r="W639" s="893"/>
      <c r="X639" s="893"/>
      <c r="Y639" s="893"/>
      <c r="Z639" s="893"/>
      <c r="AA639" s="893"/>
      <c r="AB639" s="893"/>
      <c r="AC639" s="893"/>
      <c r="AD639" s="893"/>
      <c r="AE639" s="1"/>
      <c r="AF639" s="1"/>
      <c r="AG639" s="1"/>
      <c r="AH639" s="1"/>
      <c r="AI639" s="1"/>
      <c r="AJ639" s="1"/>
      <c r="AK639" s="1"/>
      <c r="AL639" s="1"/>
      <c r="AM639" s="117"/>
      <c r="AN639" s="424"/>
      <c r="AO639" s="117"/>
      <c r="AP639" s="117"/>
      <c r="AQ639" s="117"/>
      <c r="AR639" s="117"/>
      <c r="AS639" s="117"/>
      <c r="AT639" s="117"/>
      <c r="AU639" s="117"/>
      <c r="AV639" s="117"/>
      <c r="AW639" s="117"/>
      <c r="AX639" s="117"/>
      <c r="AY639" s="117"/>
      <c r="AZ639" s="117"/>
      <c r="BA639" s="117"/>
      <c r="BB639" s="117"/>
      <c r="BC639" s="117"/>
      <c r="BD639" s="117"/>
      <c r="BE639" s="117"/>
      <c r="BF639" s="117"/>
      <c r="BG639" s="117"/>
      <c r="BH639" s="117"/>
      <c r="BI639" s="117"/>
      <c r="BJ639" s="117"/>
      <c r="BK639" s="117"/>
      <c r="BL639" s="117"/>
      <c r="BM639" s="117"/>
      <c r="BN639" s="117"/>
      <c r="BO639" s="117"/>
      <c r="BP639" s="117"/>
      <c r="BQ639" s="117"/>
      <c r="BR639" s="117"/>
      <c r="BS639" s="117"/>
      <c r="BT639" s="117"/>
      <c r="BU639" s="117"/>
      <c r="BV639" s="117"/>
      <c r="BW639" s="117"/>
      <c r="BX639" s="117"/>
      <c r="BY639" s="117"/>
      <c r="BZ639" s="117"/>
      <c r="CA639" s="117"/>
    </row>
    <row r="640" spans="1:79" ht="12.75" customHeight="1">
      <c r="A640" s="117"/>
      <c r="B640" s="1"/>
      <c r="C640" s="194"/>
      <c r="D640" s="41"/>
      <c r="E640" s="893"/>
      <c r="F640" s="893"/>
      <c r="G640" s="893"/>
      <c r="H640" s="893"/>
      <c r="I640" s="893"/>
      <c r="J640" s="893"/>
      <c r="K640" s="893"/>
      <c r="L640" s="893"/>
      <c r="M640" s="893"/>
      <c r="N640" s="893"/>
      <c r="O640" s="893"/>
      <c r="P640" s="893"/>
      <c r="Q640" s="893"/>
      <c r="R640" s="893"/>
      <c r="S640" s="893"/>
      <c r="T640" s="893"/>
      <c r="U640" s="893"/>
      <c r="V640" s="893"/>
      <c r="W640" s="893"/>
      <c r="X640" s="893"/>
      <c r="Y640" s="893"/>
      <c r="Z640" s="893"/>
      <c r="AA640" s="893"/>
      <c r="AB640" s="893"/>
      <c r="AC640" s="893"/>
      <c r="AD640" s="893"/>
      <c r="AE640" s="1"/>
      <c r="AF640" s="1"/>
      <c r="AG640" s="1"/>
      <c r="AH640" s="1"/>
      <c r="AI640" s="1"/>
      <c r="AJ640" s="1"/>
      <c r="AK640" s="1"/>
      <c r="AL640" s="1"/>
      <c r="AM640" s="117"/>
      <c r="AN640" s="424"/>
      <c r="AO640" s="117"/>
      <c r="AP640" s="117"/>
      <c r="AQ640" s="117"/>
      <c r="AR640" s="117"/>
      <c r="AS640" s="117"/>
      <c r="AT640" s="117"/>
      <c r="AU640" s="117"/>
      <c r="AV640" s="117"/>
      <c r="AW640" s="117"/>
      <c r="AX640" s="117"/>
      <c r="AY640" s="117"/>
      <c r="AZ640" s="117"/>
      <c r="BA640" s="117"/>
      <c r="BB640" s="117"/>
      <c r="BC640" s="117"/>
      <c r="BD640" s="117"/>
      <c r="BE640" s="117"/>
      <c r="BF640" s="117"/>
      <c r="BG640" s="117"/>
      <c r="BH640" s="117"/>
      <c r="BI640" s="117"/>
      <c r="BJ640" s="117"/>
      <c r="BK640" s="117"/>
      <c r="BL640" s="117"/>
      <c r="BM640" s="117"/>
      <c r="BN640" s="117"/>
      <c r="BO640" s="117"/>
      <c r="BP640" s="117"/>
      <c r="BQ640" s="117"/>
      <c r="BR640" s="117"/>
      <c r="BS640" s="117"/>
      <c r="BT640" s="117"/>
      <c r="BU640" s="117"/>
      <c r="BV640" s="117"/>
      <c r="BW640" s="117"/>
      <c r="BX640" s="117"/>
      <c r="BY640" s="117"/>
      <c r="BZ640" s="117"/>
      <c r="CA640" s="117"/>
    </row>
    <row r="641" spans="1:79" ht="12.75" customHeight="1">
      <c r="A641" s="117"/>
      <c r="B641" s="1"/>
      <c r="C641" s="194"/>
      <c r="D641" s="41"/>
      <c r="E641" s="893"/>
      <c r="F641" s="893"/>
      <c r="G641" s="893"/>
      <c r="H641" s="893"/>
      <c r="I641" s="893"/>
      <c r="J641" s="893"/>
      <c r="K641" s="893"/>
      <c r="L641" s="893"/>
      <c r="M641" s="893"/>
      <c r="N641" s="893"/>
      <c r="O641" s="893"/>
      <c r="P641" s="893"/>
      <c r="Q641" s="893"/>
      <c r="R641" s="893"/>
      <c r="S641" s="893"/>
      <c r="T641" s="893"/>
      <c r="U641" s="893"/>
      <c r="V641" s="893"/>
      <c r="W641" s="893"/>
      <c r="X641" s="893"/>
      <c r="Y641" s="893"/>
      <c r="Z641" s="893"/>
      <c r="AA641" s="893"/>
      <c r="AB641" s="893"/>
      <c r="AC641" s="893"/>
      <c r="AD641" s="893"/>
      <c r="AE641" s="1"/>
      <c r="AF641" s="1"/>
      <c r="AG641" s="1"/>
      <c r="AH641" s="1"/>
      <c r="AI641" s="1"/>
      <c r="AJ641" s="1"/>
      <c r="AK641" s="1"/>
      <c r="AL641" s="1"/>
      <c r="AM641" s="117"/>
      <c r="AN641" s="424"/>
      <c r="AO641" s="117"/>
      <c r="AP641" s="117"/>
      <c r="AQ641" s="117"/>
      <c r="AR641" s="117"/>
      <c r="AS641" s="117"/>
      <c r="AT641" s="117"/>
      <c r="AU641" s="117"/>
      <c r="AV641" s="117"/>
      <c r="AW641" s="117"/>
      <c r="AX641" s="117"/>
      <c r="AY641" s="117"/>
      <c r="AZ641" s="117"/>
      <c r="BA641" s="117"/>
      <c r="BB641" s="117"/>
      <c r="BC641" s="117"/>
      <c r="BD641" s="117"/>
      <c r="BE641" s="117"/>
      <c r="BF641" s="117"/>
      <c r="BG641" s="117"/>
      <c r="BH641" s="117"/>
      <c r="BI641" s="117"/>
      <c r="BJ641" s="117"/>
      <c r="BK641" s="117"/>
      <c r="BL641" s="117"/>
      <c r="BM641" s="117"/>
      <c r="BN641" s="117"/>
      <c r="BO641" s="117"/>
      <c r="BP641" s="117"/>
      <c r="BQ641" s="117"/>
      <c r="BR641" s="117"/>
      <c r="BS641" s="117"/>
      <c r="BT641" s="117"/>
      <c r="BU641" s="117"/>
      <c r="BV641" s="117"/>
      <c r="BW641" s="117"/>
      <c r="BX641" s="117"/>
      <c r="BY641" s="117"/>
      <c r="BZ641" s="117"/>
      <c r="CA641" s="117"/>
    </row>
    <row r="642" spans="1:79" ht="12.75" customHeight="1">
      <c r="A642" s="117"/>
      <c r="B642" s="1"/>
      <c r="C642" s="194"/>
      <c r="D642" s="41"/>
      <c r="E642" s="893"/>
      <c r="F642" s="893"/>
      <c r="G642" s="893"/>
      <c r="H642" s="893"/>
      <c r="I642" s="893"/>
      <c r="J642" s="893"/>
      <c r="K642" s="893"/>
      <c r="L642" s="893"/>
      <c r="M642" s="893"/>
      <c r="N642" s="893"/>
      <c r="O642" s="893"/>
      <c r="P642" s="893"/>
      <c r="Q642" s="893"/>
      <c r="R642" s="893"/>
      <c r="S642" s="893"/>
      <c r="T642" s="893"/>
      <c r="U642" s="893"/>
      <c r="V642" s="893"/>
      <c r="W642" s="893"/>
      <c r="X642" s="893"/>
      <c r="Y642" s="893"/>
      <c r="Z642" s="893"/>
      <c r="AA642" s="893"/>
      <c r="AB642" s="893"/>
      <c r="AC642" s="893"/>
      <c r="AD642" s="893"/>
      <c r="AE642" s="1"/>
      <c r="AF642" s="1"/>
      <c r="AG642" s="1"/>
      <c r="AH642" s="1"/>
      <c r="AI642" s="1"/>
      <c r="AJ642" s="1"/>
      <c r="AK642" s="1"/>
      <c r="AL642" s="1"/>
      <c r="AM642" s="117"/>
      <c r="AN642" s="424"/>
      <c r="AO642" s="117"/>
      <c r="AP642" s="117"/>
      <c r="AQ642" s="117"/>
      <c r="AR642" s="117"/>
      <c r="AS642" s="117"/>
      <c r="AT642" s="117"/>
      <c r="AU642" s="117"/>
      <c r="AV642" s="117"/>
      <c r="AW642" s="117"/>
      <c r="AX642" s="117"/>
      <c r="AY642" s="117"/>
      <c r="AZ642" s="117"/>
      <c r="BA642" s="117"/>
      <c r="BB642" s="117"/>
      <c r="BC642" s="117"/>
      <c r="BD642" s="117"/>
      <c r="BE642" s="117"/>
      <c r="BF642" s="117"/>
      <c r="BG642" s="117"/>
      <c r="BH642" s="117"/>
      <c r="BI642" s="117"/>
      <c r="BJ642" s="117"/>
      <c r="BK642" s="117"/>
      <c r="BL642" s="117"/>
      <c r="BM642" s="117"/>
      <c r="BN642" s="117"/>
      <c r="BO642" s="117"/>
      <c r="BP642" s="117"/>
      <c r="BQ642" s="117"/>
      <c r="BR642" s="117"/>
      <c r="BS642" s="117"/>
      <c r="BT642" s="117"/>
      <c r="BU642" s="117"/>
      <c r="BV642" s="117"/>
      <c r="BW642" s="117"/>
      <c r="BX642" s="117"/>
      <c r="BY642" s="117"/>
      <c r="BZ642" s="117"/>
      <c r="CA642" s="117"/>
    </row>
    <row r="643" spans="1:79" ht="12.75" customHeight="1">
      <c r="A643" s="117"/>
      <c r="B643" s="1"/>
      <c r="C643" s="194"/>
      <c r="D643" s="41"/>
      <c r="E643" s="893"/>
      <c r="F643" s="893"/>
      <c r="G643" s="893"/>
      <c r="H643" s="893"/>
      <c r="I643" s="893"/>
      <c r="J643" s="893"/>
      <c r="K643" s="893"/>
      <c r="L643" s="893"/>
      <c r="M643" s="893"/>
      <c r="N643" s="893"/>
      <c r="O643" s="893"/>
      <c r="P643" s="893"/>
      <c r="Q643" s="893"/>
      <c r="R643" s="893"/>
      <c r="S643" s="893"/>
      <c r="T643" s="893"/>
      <c r="U643" s="893"/>
      <c r="V643" s="893"/>
      <c r="W643" s="893"/>
      <c r="X643" s="893"/>
      <c r="Y643" s="893"/>
      <c r="Z643" s="893"/>
      <c r="AA643" s="893"/>
      <c r="AB643" s="893"/>
      <c r="AC643" s="893"/>
      <c r="AD643" s="893"/>
      <c r="AE643" s="1"/>
      <c r="AF643" s="1"/>
      <c r="AG643" s="1"/>
      <c r="AH643" s="1"/>
      <c r="AI643" s="1"/>
      <c r="AJ643" s="1"/>
      <c r="AK643" s="1"/>
      <c r="AL643" s="1"/>
      <c r="AM643" s="117"/>
      <c r="AN643" s="424"/>
      <c r="AO643" s="117"/>
      <c r="AP643" s="117"/>
      <c r="AQ643" s="117"/>
      <c r="AR643" s="117"/>
      <c r="AS643" s="117"/>
      <c r="AT643" s="117"/>
      <c r="AU643" s="117"/>
      <c r="AV643" s="117"/>
      <c r="AW643" s="117"/>
      <c r="AX643" s="117"/>
      <c r="AY643" s="117"/>
      <c r="AZ643" s="117"/>
      <c r="BA643" s="117"/>
      <c r="BB643" s="117"/>
      <c r="BC643" s="117"/>
      <c r="BD643" s="117"/>
      <c r="BE643" s="117"/>
      <c r="BF643" s="117"/>
      <c r="BG643" s="117"/>
      <c r="BH643" s="117"/>
      <c r="BI643" s="117"/>
      <c r="BJ643" s="117"/>
      <c r="BK643" s="117"/>
      <c r="BL643" s="117"/>
      <c r="BM643" s="117"/>
      <c r="BN643" s="117"/>
      <c r="BO643" s="117"/>
      <c r="BP643" s="117"/>
      <c r="BQ643" s="117"/>
      <c r="BR643" s="117"/>
      <c r="BS643" s="117"/>
      <c r="BT643" s="117"/>
      <c r="BU643" s="117"/>
      <c r="BV643" s="117"/>
      <c r="BW643" s="117"/>
      <c r="BX643" s="117"/>
      <c r="BY643" s="117"/>
      <c r="BZ643" s="117"/>
      <c r="CA643" s="117"/>
    </row>
    <row r="644" spans="1:79" ht="12.75" customHeight="1">
      <c r="A644" s="521"/>
      <c r="B644" s="14"/>
      <c r="C644" s="726"/>
      <c r="D644" s="41"/>
      <c r="E644" s="893"/>
      <c r="F644" s="893"/>
      <c r="G644" s="893"/>
      <c r="H644" s="893"/>
      <c r="I644" s="893"/>
      <c r="J644" s="893"/>
      <c r="K644" s="893"/>
      <c r="L644" s="893"/>
      <c r="M644" s="893"/>
      <c r="N644" s="893"/>
      <c r="O644" s="893"/>
      <c r="P644" s="893"/>
      <c r="Q644" s="893"/>
      <c r="R644" s="893"/>
      <c r="S644" s="893"/>
      <c r="T644" s="893"/>
      <c r="U644" s="893"/>
      <c r="V644" s="893"/>
      <c r="W644" s="893"/>
      <c r="X644" s="893"/>
      <c r="Y644" s="893"/>
      <c r="Z644" s="893"/>
      <c r="AA644" s="893"/>
      <c r="AB644" s="893"/>
      <c r="AC644" s="893"/>
      <c r="AD644" s="893"/>
      <c r="AE644" s="14"/>
      <c r="AF644" s="14"/>
      <c r="AG644" s="14"/>
      <c r="AH644" s="14"/>
      <c r="AI644" s="14"/>
      <c r="AJ644" s="14"/>
      <c r="AK644" s="1"/>
      <c r="AL644" s="1"/>
      <c r="AM644" s="117"/>
      <c r="AN644" s="424"/>
      <c r="AO644" s="117"/>
      <c r="AP644" s="117"/>
      <c r="AQ644" s="117"/>
      <c r="AR644" s="117"/>
      <c r="AS644" s="117"/>
      <c r="AT644" s="117"/>
      <c r="AU644" s="117"/>
      <c r="AV644" s="117"/>
      <c r="AW644" s="117"/>
      <c r="AX644" s="117"/>
      <c r="AY644" s="117"/>
      <c r="AZ644" s="117"/>
      <c r="BA644" s="117"/>
      <c r="BB644" s="117"/>
      <c r="BC644" s="117"/>
      <c r="BD644" s="117"/>
      <c r="BE644" s="117"/>
      <c r="BF644" s="117"/>
      <c r="BG644" s="117"/>
      <c r="BH644" s="117"/>
      <c r="BI644" s="117"/>
      <c r="BJ644" s="117"/>
      <c r="BK644" s="117"/>
      <c r="BL644" s="117"/>
      <c r="BM644" s="117"/>
      <c r="BN644" s="117"/>
      <c r="BO644" s="117"/>
      <c r="BP644" s="117"/>
      <c r="BQ644" s="117"/>
      <c r="BR644" s="117"/>
      <c r="BS644" s="117"/>
      <c r="BT644" s="117"/>
      <c r="BU644" s="117"/>
      <c r="BV644" s="117"/>
      <c r="BW644" s="117"/>
      <c r="BX644" s="117"/>
      <c r="BY644" s="117"/>
      <c r="BZ644" s="117"/>
      <c r="CA644" s="117"/>
    </row>
    <row r="645" spans="1:79" ht="12.75" customHeight="1">
      <c r="A645" s="117"/>
      <c r="B645" s="14"/>
      <c r="C645" s="726"/>
      <c r="D645" s="41"/>
      <c r="E645" s="893"/>
      <c r="F645" s="893"/>
      <c r="G645" s="893"/>
      <c r="H645" s="893"/>
      <c r="I645" s="893"/>
      <c r="J645" s="893"/>
      <c r="K645" s="893"/>
      <c r="L645" s="893"/>
      <c r="M645" s="893"/>
      <c r="N645" s="893"/>
      <c r="O645" s="893"/>
      <c r="P645" s="893"/>
      <c r="Q645" s="893"/>
      <c r="R645" s="893"/>
      <c r="S645" s="893"/>
      <c r="T645" s="893"/>
      <c r="U645" s="893"/>
      <c r="V645" s="893"/>
      <c r="W645" s="893"/>
      <c r="X645" s="893"/>
      <c r="Y645" s="893"/>
      <c r="Z645" s="893"/>
      <c r="AA645" s="893"/>
      <c r="AB645" s="893"/>
      <c r="AC645" s="893"/>
      <c r="AD645" s="893"/>
      <c r="AE645" s="14"/>
      <c r="AF645" s="14"/>
      <c r="AG645" s="14"/>
      <c r="AH645" s="14"/>
      <c r="AI645" s="14"/>
      <c r="AJ645" s="14"/>
      <c r="AK645" s="1"/>
      <c r="AL645" s="1"/>
      <c r="AM645" s="117"/>
      <c r="AN645" s="424"/>
      <c r="AO645" s="117"/>
      <c r="AP645" s="117"/>
      <c r="AQ645" s="117"/>
      <c r="AR645" s="117"/>
      <c r="AS645" s="117"/>
      <c r="AT645" s="117"/>
      <c r="AU645" s="117"/>
      <c r="AV645" s="117"/>
      <c r="AW645" s="117"/>
      <c r="AX645" s="117"/>
      <c r="AY645" s="117"/>
      <c r="AZ645" s="117"/>
      <c r="BA645" s="117"/>
      <c r="BB645" s="117"/>
      <c r="BC645" s="117"/>
      <c r="BD645" s="117"/>
      <c r="BE645" s="117"/>
      <c r="BF645" s="117"/>
      <c r="BG645" s="117"/>
      <c r="BH645" s="117"/>
      <c r="BI645" s="117"/>
      <c r="BJ645" s="117"/>
      <c r="BK645" s="117"/>
      <c r="BL645" s="117"/>
      <c r="BM645" s="117"/>
      <c r="BN645" s="117"/>
      <c r="BO645" s="117"/>
      <c r="BP645" s="117"/>
      <c r="BQ645" s="117"/>
      <c r="BR645" s="117"/>
      <c r="BS645" s="117"/>
      <c r="BT645" s="117"/>
      <c r="BU645" s="117"/>
      <c r="BV645" s="117"/>
      <c r="BW645" s="117"/>
      <c r="BX645" s="117"/>
      <c r="BY645" s="117"/>
      <c r="BZ645" s="117"/>
      <c r="CA645" s="117"/>
    </row>
    <row r="646" spans="1:79" ht="12" customHeight="1">
      <c r="A646" s="117"/>
      <c r="B646" s="14"/>
      <c r="C646" s="726"/>
      <c r="D646" s="41"/>
      <c r="E646" s="725"/>
      <c r="F646" s="725"/>
      <c r="G646" s="725"/>
      <c r="H646" s="725"/>
      <c r="I646" s="725"/>
      <c r="J646" s="725"/>
      <c r="K646" s="725"/>
      <c r="L646" s="725"/>
      <c r="M646" s="725"/>
      <c r="N646" s="725"/>
      <c r="O646" s="725"/>
      <c r="P646" s="725"/>
      <c r="Q646" s="725"/>
      <c r="R646" s="725"/>
      <c r="S646" s="725"/>
      <c r="T646" s="725"/>
      <c r="U646" s="725"/>
      <c r="V646" s="725"/>
      <c r="W646" s="725"/>
      <c r="X646" s="725"/>
      <c r="Y646" s="725"/>
      <c r="Z646" s="725"/>
      <c r="AA646" s="725"/>
      <c r="AB646" s="725"/>
      <c r="AC646" s="725"/>
      <c r="AD646" s="725"/>
      <c r="AE646" s="14"/>
      <c r="AF646" s="14"/>
      <c r="AG646" s="14"/>
      <c r="AH646" s="14"/>
      <c r="AI646" s="14"/>
      <c r="AJ646" s="14"/>
      <c r="AK646" s="1"/>
      <c r="AL646" s="1"/>
      <c r="AM646" s="117"/>
      <c r="AN646" s="424"/>
      <c r="AO646" s="117" t="s">
        <v>855</v>
      </c>
      <c r="AP646" s="521">
        <v>0</v>
      </c>
      <c r="AQ646" s="117"/>
      <c r="AR646" s="117"/>
      <c r="AS646" s="117"/>
      <c r="AT646" s="117"/>
      <c r="AU646" s="117"/>
      <c r="AV646" s="117"/>
      <c r="AW646" s="117"/>
      <c r="AX646" s="117"/>
      <c r="AY646" s="117"/>
      <c r="AZ646" s="117"/>
      <c r="BA646" s="117"/>
      <c r="BB646" s="117"/>
      <c r="BC646" s="117"/>
      <c r="BD646" s="117"/>
      <c r="BE646" s="117"/>
      <c r="BF646" s="117"/>
      <c r="BG646" s="117"/>
      <c r="BH646" s="117"/>
      <c r="BI646" s="117"/>
      <c r="BJ646" s="117"/>
      <c r="BK646" s="117"/>
      <c r="BL646" s="117"/>
      <c r="BM646" s="117"/>
      <c r="BN646" s="117"/>
      <c r="BO646" s="117"/>
      <c r="BP646" s="117"/>
      <c r="BQ646" s="117"/>
      <c r="BR646" s="117"/>
      <c r="BS646" s="117"/>
      <c r="BT646" s="117"/>
      <c r="BU646" s="117"/>
      <c r="BV646" s="117"/>
      <c r="BW646" s="117"/>
      <c r="BX646" s="117"/>
      <c r="BY646" s="117"/>
      <c r="BZ646" s="117"/>
      <c r="CA646" s="117"/>
    </row>
    <row r="647" spans="1:79" ht="12.75" customHeight="1">
      <c r="A647" s="117"/>
      <c r="B647" s="14"/>
      <c r="C647" s="194"/>
      <c r="D647" s="41"/>
      <c r="E647" s="14" t="s">
        <v>2400</v>
      </c>
      <c r="F647" s="727"/>
      <c r="G647" s="727"/>
      <c r="H647" s="727"/>
      <c r="I647" s="727"/>
      <c r="J647" s="727"/>
      <c r="K647" s="727"/>
      <c r="L647" s="727"/>
      <c r="M647" s="727"/>
      <c r="N647" s="727"/>
      <c r="O647" s="727"/>
      <c r="P647" s="727"/>
      <c r="Q647" s="727"/>
      <c r="R647" s="727"/>
      <c r="S647" s="117"/>
      <c r="T647" s="117"/>
      <c r="U647" s="727"/>
      <c r="V647" s="727"/>
      <c r="W647" s="727"/>
      <c r="X647" s="973" t="s">
        <v>901</v>
      </c>
      <c r="Y647" s="969"/>
      <c r="Z647" s="727"/>
      <c r="AA647" s="727"/>
      <c r="AB647" s="727"/>
      <c r="AC647" s="727"/>
      <c r="AD647" s="727"/>
      <c r="AE647" s="1"/>
      <c r="AF647" s="14"/>
      <c r="AG647" s="14"/>
      <c r="AH647" s="14"/>
      <c r="AI647" s="14"/>
      <c r="AJ647" s="14"/>
      <c r="AK647" s="1"/>
      <c r="AL647" s="1"/>
      <c r="AM647" s="117"/>
      <c r="AN647" s="424"/>
      <c r="AO647" s="100" t="s">
        <v>44</v>
      </c>
      <c r="AP647" s="117">
        <v>5</v>
      </c>
      <c r="AQ647" s="117"/>
      <c r="AR647" s="117"/>
      <c r="AS647" s="117"/>
      <c r="AT647" s="117"/>
      <c r="AU647" s="117"/>
      <c r="AV647" s="117"/>
      <c r="AW647" s="117"/>
      <c r="AX647" s="117"/>
      <c r="AY647" s="117"/>
      <c r="AZ647" s="117"/>
      <c r="BA647" s="117"/>
      <c r="BB647" s="117"/>
      <c r="BC647" s="117"/>
      <c r="BD647" s="117"/>
      <c r="BE647" s="117"/>
      <c r="BF647" s="117"/>
      <c r="BG647" s="117"/>
      <c r="BH647" s="117"/>
      <c r="BI647" s="117"/>
      <c r="BJ647" s="117"/>
      <c r="BK647" s="117"/>
      <c r="BL647" s="117"/>
      <c r="BM647" s="117"/>
      <c r="BN647" s="117"/>
      <c r="BO647" s="117"/>
      <c r="BP647" s="117"/>
      <c r="BQ647" s="117"/>
      <c r="BR647" s="117"/>
      <c r="BS647" s="117"/>
      <c r="BT647" s="117"/>
      <c r="BU647" s="117"/>
      <c r="BV647" s="117"/>
      <c r="BW647" s="117"/>
      <c r="BX647" s="117"/>
      <c r="BY647" s="117"/>
      <c r="BZ647" s="117"/>
      <c r="CA647" s="117"/>
    </row>
    <row r="648" spans="1:79" ht="12.75" customHeight="1">
      <c r="A648" s="117"/>
      <c r="B648" s="14"/>
      <c r="C648" s="726"/>
      <c r="D648" s="1"/>
      <c r="E648" s="1"/>
      <c r="F648" s="1"/>
      <c r="G648" s="1"/>
      <c r="H648" s="1"/>
      <c r="I648" s="1"/>
      <c r="J648" s="1"/>
      <c r="K648" s="1"/>
      <c r="L648" s="1"/>
      <c r="M648" s="1"/>
      <c r="N648" s="1"/>
      <c r="O648" s="1"/>
      <c r="P648" s="1"/>
      <c r="Q648" s="1"/>
      <c r="R648" s="1"/>
      <c r="S648" s="1"/>
      <c r="T648" s="1"/>
      <c r="U648" s="1"/>
      <c r="V648" s="1"/>
      <c r="W648" s="14"/>
      <c r="X648" s="14"/>
      <c r="Y648" s="14"/>
      <c r="Z648" s="14"/>
      <c r="AA648" s="14"/>
      <c r="AB648" s="14"/>
      <c r="AC648" s="1"/>
      <c r="AD648" s="1"/>
      <c r="AE648" s="1"/>
      <c r="AF648" s="1"/>
      <c r="AG648" s="1"/>
      <c r="AH648" s="1"/>
      <c r="AI648" s="1"/>
      <c r="AJ648" s="1"/>
      <c r="AK648" s="1"/>
      <c r="AL648" s="1"/>
      <c r="AM648" s="117"/>
      <c r="AN648" s="424"/>
      <c r="AO648" s="100" t="s">
        <v>51</v>
      </c>
      <c r="AP648" s="117">
        <v>4</v>
      </c>
      <c r="AQ648" s="117"/>
      <c r="AR648" s="117"/>
      <c r="AS648" s="117"/>
      <c r="AT648" s="117"/>
      <c r="AU648" s="117"/>
      <c r="AV648" s="117"/>
      <c r="AW648" s="117"/>
      <c r="AX648" s="117"/>
      <c r="AY648" s="117"/>
      <c r="AZ648" s="117"/>
      <c r="BA648" s="117"/>
      <c r="BB648" s="117"/>
      <c r="BC648" s="117"/>
      <c r="BD648" s="117"/>
      <c r="BE648" s="117"/>
      <c r="BF648" s="117"/>
      <c r="BG648" s="117"/>
      <c r="BH648" s="117"/>
      <c r="BI648" s="117"/>
      <c r="BJ648" s="117"/>
      <c r="BK648" s="117"/>
      <c r="BL648" s="117"/>
      <c r="BM648" s="117"/>
      <c r="BN648" s="117"/>
      <c r="BO648" s="117"/>
      <c r="BP648" s="117"/>
      <c r="BQ648" s="117"/>
      <c r="BR648" s="117"/>
      <c r="BS648" s="117"/>
      <c r="BT648" s="117"/>
      <c r="BU648" s="117"/>
      <c r="BV648" s="117"/>
      <c r="BW648" s="117"/>
      <c r="BX648" s="117"/>
      <c r="BY648" s="117"/>
      <c r="BZ648" s="117"/>
      <c r="CA648" s="117"/>
    </row>
    <row r="649" spans="1:79" ht="12.75" customHeight="1">
      <c r="A649" s="117"/>
      <c r="B649" s="1"/>
      <c r="C649" s="194"/>
      <c r="D649" s="41" t="s">
        <v>51</v>
      </c>
      <c r="E649" s="46" t="s">
        <v>2401</v>
      </c>
      <c r="F649" s="719"/>
      <c r="G649" s="719"/>
      <c r="H649" s="719"/>
      <c r="I649" s="719"/>
      <c r="J649" s="719"/>
      <c r="K649" s="719"/>
      <c r="L649" s="719"/>
      <c r="M649" s="719"/>
      <c r="N649" s="719"/>
      <c r="O649" s="719"/>
      <c r="P649" s="719"/>
      <c r="Q649" s="719"/>
      <c r="R649" s="719"/>
      <c r="S649" s="719"/>
      <c r="T649" s="719"/>
      <c r="U649" s="1"/>
      <c r="V649" s="1"/>
      <c r="W649" s="719"/>
      <c r="X649" s="719"/>
      <c r="Y649" s="719"/>
      <c r="Z649" s="719"/>
      <c r="AA649" s="719"/>
      <c r="AB649" s="719"/>
      <c r="AC649" s="1"/>
      <c r="AD649" s="1"/>
      <c r="AE649" s="1"/>
      <c r="AF649" s="1376" t="s">
        <v>2402</v>
      </c>
      <c r="AG649" s="893"/>
      <c r="AH649" s="893"/>
      <c r="AI649" s="893"/>
      <c r="AJ649" s="893"/>
      <c r="AK649" s="893"/>
      <c r="AL649" s="893"/>
      <c r="AM649" s="117"/>
      <c r="AN649" s="424"/>
      <c r="AO649" s="100" t="s">
        <v>82</v>
      </c>
      <c r="AP649" s="117">
        <v>3</v>
      </c>
      <c r="AQ649" s="117"/>
      <c r="AR649" s="117"/>
      <c r="AS649" s="117"/>
      <c r="AT649" s="117"/>
      <c r="AU649" s="117"/>
      <c r="AV649" s="117"/>
      <c r="AW649" s="117"/>
      <c r="AX649" s="117"/>
      <c r="AY649" s="117"/>
      <c r="AZ649" s="117"/>
      <c r="BA649" s="117"/>
      <c r="BB649" s="117"/>
      <c r="BC649" s="117"/>
      <c r="BD649" s="117"/>
      <c r="BE649" s="117"/>
      <c r="BF649" s="117"/>
      <c r="BG649" s="117"/>
      <c r="BH649" s="117"/>
      <c r="BI649" s="117"/>
      <c r="BJ649" s="117"/>
      <c r="BK649" s="117"/>
      <c r="BL649" s="117"/>
      <c r="BM649" s="117"/>
      <c r="BN649" s="117"/>
      <c r="BO649" s="117"/>
      <c r="BP649" s="117"/>
      <c r="BQ649" s="117"/>
      <c r="BR649" s="117"/>
      <c r="BS649" s="117"/>
      <c r="BT649" s="117"/>
      <c r="BU649" s="117"/>
      <c r="BV649" s="117"/>
      <c r="BW649" s="117"/>
      <c r="BX649" s="117"/>
      <c r="BY649" s="117"/>
      <c r="BZ649" s="117"/>
      <c r="CA649" s="117"/>
    </row>
    <row r="650" spans="1:79" ht="12.75" customHeight="1">
      <c r="A650" s="117"/>
      <c r="B650" s="1"/>
      <c r="C650" s="194"/>
      <c r="D650" s="1"/>
      <c r="E650" s="1"/>
      <c r="F650" s="719"/>
      <c r="G650" s="719"/>
      <c r="H650" s="719"/>
      <c r="I650" s="719"/>
      <c r="J650" s="719"/>
      <c r="K650" s="719"/>
      <c r="L650" s="719"/>
      <c r="M650" s="719"/>
      <c r="N650" s="719"/>
      <c r="O650" s="719"/>
      <c r="P650" s="719"/>
      <c r="Q650" s="719"/>
      <c r="R650" s="719"/>
      <c r="S650" s="719"/>
      <c r="T650" s="719"/>
      <c r="U650" s="1"/>
      <c r="V650" s="1"/>
      <c r="W650" s="1"/>
      <c r="X650" s="719"/>
      <c r="Y650" s="719"/>
      <c r="Z650" s="719"/>
      <c r="AA650" s="719"/>
      <c r="AB650" s="719"/>
      <c r="AC650" s="1"/>
      <c r="AD650" s="1"/>
      <c r="AE650" s="1"/>
      <c r="AF650" s="1"/>
      <c r="AG650" s="1"/>
      <c r="AH650" s="1"/>
      <c r="AI650" s="1"/>
      <c r="AJ650" s="1"/>
      <c r="AK650" s="1"/>
      <c r="AL650" s="1"/>
      <c r="AM650" s="117"/>
      <c r="AN650" s="424"/>
      <c r="AO650" s="100" t="s">
        <v>2359</v>
      </c>
      <c r="AP650" s="117">
        <v>4</v>
      </c>
      <c r="AQ650" s="117"/>
      <c r="AR650" s="117"/>
      <c r="AS650" s="117"/>
      <c r="AT650" s="117"/>
      <c r="AU650" s="117"/>
      <c r="AV650" s="117"/>
      <c r="AW650" s="117"/>
      <c r="AX650" s="117"/>
      <c r="AY650" s="117"/>
      <c r="AZ650" s="117"/>
      <c r="BA650" s="117"/>
      <c r="BB650" s="117"/>
      <c r="BC650" s="117"/>
      <c r="BD650" s="117"/>
      <c r="BE650" s="117"/>
      <c r="BF650" s="117"/>
      <c r="BG650" s="117"/>
      <c r="BH650" s="117"/>
      <c r="BI650" s="117"/>
      <c r="BJ650" s="117"/>
      <c r="BK650" s="117"/>
      <c r="BL650" s="117"/>
      <c r="BM650" s="117"/>
      <c r="BN650" s="117"/>
      <c r="BO650" s="117"/>
      <c r="BP650" s="117"/>
      <c r="BQ650" s="117"/>
      <c r="BR650" s="117"/>
      <c r="BS650" s="117"/>
      <c r="BT650" s="117"/>
      <c r="BU650" s="117"/>
      <c r="BV650" s="117"/>
      <c r="BW650" s="117"/>
      <c r="BX650" s="117"/>
      <c r="BY650" s="117"/>
      <c r="BZ650" s="117"/>
      <c r="CA650" s="117"/>
    </row>
    <row r="651" spans="1:79" ht="12.75" customHeight="1">
      <c r="A651" s="117"/>
      <c r="B651" s="1"/>
      <c r="C651" s="194"/>
      <c r="D651" s="1" t="s">
        <v>2378</v>
      </c>
      <c r="E651" s="719"/>
      <c r="F651" s="719"/>
      <c r="G651" s="719"/>
      <c r="H651" s="1379" t="s">
        <v>44</v>
      </c>
      <c r="I651" s="969"/>
      <c r="J651" s="719"/>
      <c r="K651" s="719"/>
      <c r="L651" s="719"/>
      <c r="M651" s="719"/>
      <c r="N651" s="719"/>
      <c r="O651" s="719"/>
      <c r="P651" s="719"/>
      <c r="Q651" s="719"/>
      <c r="R651" s="719"/>
      <c r="S651" s="719"/>
      <c r="T651" s="719"/>
      <c r="U651" s="719"/>
      <c r="V651" s="719"/>
      <c r="W651" s="719"/>
      <c r="X651" s="1"/>
      <c r="Y651" s="1"/>
      <c r="Z651" s="1"/>
      <c r="AA651" s="1"/>
      <c r="AB651" s="1"/>
      <c r="AC651" s="1"/>
      <c r="AD651" s="1"/>
      <c r="AE651" s="1"/>
      <c r="AF651" s="1"/>
      <c r="AG651" s="1"/>
      <c r="AH651" s="1"/>
      <c r="AI651" s="1"/>
      <c r="AJ651" s="1"/>
      <c r="AK651" s="1"/>
      <c r="AL651" s="1"/>
      <c r="AM651" s="117"/>
      <c r="AN651" s="424"/>
      <c r="AO651" s="100" t="s">
        <v>2362</v>
      </c>
      <c r="AP651" s="117">
        <v>3</v>
      </c>
      <c r="AQ651" s="117"/>
      <c r="AR651" s="117"/>
      <c r="AS651" s="117"/>
      <c r="AT651" s="117"/>
      <c r="AU651" s="117"/>
      <c r="AV651" s="117"/>
      <c r="AW651" s="117"/>
      <c r="AX651" s="117"/>
      <c r="AY651" s="117"/>
      <c r="AZ651" s="117"/>
      <c r="BA651" s="117"/>
      <c r="BB651" s="117"/>
      <c r="BC651" s="117"/>
      <c r="BD651" s="117"/>
      <c r="BE651" s="117"/>
      <c r="BF651" s="117"/>
      <c r="BG651" s="117"/>
      <c r="BH651" s="117"/>
      <c r="BI651" s="117"/>
      <c r="BJ651" s="117"/>
      <c r="BK651" s="117"/>
      <c r="BL651" s="117"/>
      <c r="BM651" s="117"/>
      <c r="BN651" s="117"/>
      <c r="BO651" s="117"/>
      <c r="BP651" s="117"/>
      <c r="BQ651" s="117"/>
      <c r="BR651" s="117"/>
      <c r="BS651" s="117"/>
      <c r="BT651" s="117"/>
      <c r="BU651" s="117"/>
      <c r="BV651" s="117"/>
      <c r="BW651" s="117"/>
      <c r="BX651" s="117"/>
      <c r="BY651" s="117"/>
      <c r="BZ651" s="117"/>
      <c r="CA651" s="117"/>
    </row>
    <row r="652" spans="1:79" ht="12.75" customHeight="1">
      <c r="A652" s="117"/>
      <c r="B652" s="1"/>
      <c r="C652" s="194"/>
      <c r="D652" s="1"/>
      <c r="E652" s="719"/>
      <c r="F652" s="719"/>
      <c r="G652" s="719"/>
      <c r="H652" s="719"/>
      <c r="I652" s="725"/>
      <c r="J652" s="719"/>
      <c r="K652" s="719"/>
      <c r="L652" s="719"/>
      <c r="M652" s="719"/>
      <c r="N652" s="719"/>
      <c r="O652" s="719"/>
      <c r="P652" s="719"/>
      <c r="Q652" s="719"/>
      <c r="R652" s="1"/>
      <c r="S652" s="1"/>
      <c r="T652" s="719"/>
      <c r="U652" s="719"/>
      <c r="V652" s="719"/>
      <c r="W652" s="719"/>
      <c r="X652" s="719"/>
      <c r="Y652" s="719"/>
      <c r="Z652" s="719"/>
      <c r="AA652" s="719"/>
      <c r="AB652" s="719"/>
      <c r="AC652" s="1"/>
      <c r="AD652" s="1"/>
      <c r="AE652" s="1"/>
      <c r="AF652" s="1"/>
      <c r="AG652" s="1"/>
      <c r="AH652" s="1"/>
      <c r="AI652" s="719"/>
      <c r="AJ652" s="719"/>
      <c r="AK652" s="719"/>
      <c r="AL652" s="719"/>
      <c r="AM652" s="724"/>
      <c r="AN652" s="424"/>
      <c r="AO652" s="100" t="s">
        <v>2404</v>
      </c>
      <c r="AP652" s="117">
        <v>2</v>
      </c>
      <c r="AQ652" s="117"/>
      <c r="AR652" s="117"/>
      <c r="AS652" s="117"/>
      <c r="AT652" s="117"/>
      <c r="AU652" s="117"/>
      <c r="AV652" s="117"/>
      <c r="AW652" s="117"/>
      <c r="AX652" s="117"/>
      <c r="AY652" s="117"/>
      <c r="AZ652" s="117"/>
      <c r="BA652" s="117"/>
      <c r="BB652" s="117"/>
      <c r="BC652" s="117"/>
      <c r="BD652" s="117"/>
      <c r="BE652" s="117"/>
      <c r="BF652" s="117"/>
      <c r="BG652" s="117"/>
      <c r="BH652" s="117"/>
      <c r="BI652" s="117"/>
      <c r="BJ652" s="117"/>
      <c r="BK652" s="117"/>
      <c r="BL652" s="117"/>
      <c r="BM652" s="117"/>
      <c r="BN652" s="117"/>
      <c r="BO652" s="117"/>
      <c r="BP652" s="117"/>
      <c r="BQ652" s="117"/>
      <c r="BR652" s="117"/>
      <c r="BS652" s="117"/>
      <c r="BT652" s="117"/>
      <c r="BU652" s="117"/>
      <c r="BV652" s="117"/>
      <c r="BW652" s="117"/>
      <c r="BX652" s="117"/>
      <c r="BY652" s="117"/>
      <c r="BZ652" s="117"/>
      <c r="CA652" s="117"/>
    </row>
    <row r="653" spans="1:79" ht="12.75" customHeight="1">
      <c r="A653" s="425"/>
      <c r="B653" s="5"/>
      <c r="C653" s="728"/>
      <c r="D653" s="5"/>
      <c r="E653" s="723"/>
      <c r="F653" s="723"/>
      <c r="G653" s="723"/>
      <c r="H653" s="723"/>
      <c r="I653" s="723"/>
      <c r="J653" s="723"/>
      <c r="K653" s="723"/>
      <c r="L653" s="723"/>
      <c r="M653" s="723"/>
      <c r="N653" s="723"/>
      <c r="O653" s="723"/>
      <c r="P653" s="723"/>
      <c r="Q653" s="723"/>
      <c r="R653" s="723"/>
      <c r="S653" s="723"/>
      <c r="T653" s="723"/>
      <c r="U653" s="723"/>
      <c r="V653" s="723"/>
      <c r="W653" s="723"/>
      <c r="X653" s="723"/>
      <c r="Y653" s="723"/>
      <c r="Z653" s="723"/>
      <c r="AA653" s="723"/>
      <c r="AB653" s="5"/>
      <c r="AC653" s="5"/>
      <c r="AD653" s="5"/>
      <c r="AE653" s="5"/>
      <c r="AF653" s="5"/>
      <c r="AG653" s="5"/>
      <c r="AH653" s="5"/>
      <c r="AI653" s="372" t="s">
        <v>2405</v>
      </c>
      <c r="AJ653" s="945">
        <f>VLOOKUP($H$651,$AO$618:$AP$620,2,FALSE)</f>
        <v>3</v>
      </c>
      <c r="AK653" s="943"/>
      <c r="AL653" s="7"/>
      <c r="AM653" s="117"/>
      <c r="AN653" s="424"/>
      <c r="AO653" s="100" t="s">
        <v>2406</v>
      </c>
      <c r="AP653" s="117">
        <v>1</v>
      </c>
      <c r="AQ653" s="117"/>
      <c r="AR653" s="117"/>
      <c r="AS653" s="117"/>
      <c r="AT653" s="117"/>
      <c r="AU653" s="117"/>
      <c r="AV653" s="117"/>
      <c r="AW653" s="117"/>
      <c r="AX653" s="117"/>
      <c r="AY653" s="117"/>
      <c r="AZ653" s="117"/>
      <c r="BA653" s="117"/>
      <c r="BB653" s="117"/>
      <c r="BC653" s="117"/>
      <c r="BD653" s="117"/>
      <c r="BE653" s="117"/>
      <c r="BF653" s="117"/>
      <c r="BG653" s="117"/>
      <c r="BH653" s="117"/>
      <c r="BI653" s="117"/>
      <c r="BJ653" s="117"/>
      <c r="BK653" s="117"/>
      <c r="BL653" s="117"/>
      <c r="BM653" s="117"/>
      <c r="BN653" s="117"/>
      <c r="BO653" s="117"/>
      <c r="BP653" s="117"/>
      <c r="BQ653" s="117"/>
      <c r="BR653" s="117"/>
      <c r="BS653" s="117"/>
      <c r="BT653" s="117"/>
      <c r="BU653" s="117"/>
      <c r="BV653" s="117"/>
      <c r="BW653" s="117"/>
      <c r="BX653" s="117"/>
      <c r="BY653" s="117"/>
      <c r="BZ653" s="117"/>
      <c r="CA653" s="117"/>
    </row>
    <row r="654" spans="1:79" ht="12.75" customHeight="1">
      <c r="A654" s="117"/>
      <c r="B654" s="1"/>
      <c r="C654" s="194"/>
      <c r="D654" s="1"/>
      <c r="E654" s="719"/>
      <c r="F654" s="719"/>
      <c r="G654" s="719"/>
      <c r="H654" s="1"/>
      <c r="I654" s="1"/>
      <c r="J654" s="719"/>
      <c r="K654" s="719"/>
      <c r="L654" s="719"/>
      <c r="M654" s="719"/>
      <c r="N654" s="719"/>
      <c r="O654" s="719"/>
      <c r="P654" s="719"/>
      <c r="Q654" s="719"/>
      <c r="R654" s="719"/>
      <c r="S654" s="719"/>
      <c r="T654" s="719"/>
      <c r="U654" s="719"/>
      <c r="V654" s="719"/>
      <c r="W654" s="719"/>
      <c r="X654" s="719"/>
      <c r="Y654" s="719"/>
      <c r="Z654" s="719"/>
      <c r="AA654" s="719"/>
      <c r="AB654" s="719"/>
      <c r="AC654" s="1"/>
      <c r="AD654" s="1"/>
      <c r="AE654" s="1"/>
      <c r="AF654" s="1"/>
      <c r="AG654" s="1"/>
      <c r="AH654" s="1"/>
      <c r="AI654" s="1"/>
      <c r="AJ654" s="237"/>
      <c r="AK654" s="1"/>
      <c r="AL654" s="1"/>
      <c r="AM654" s="117"/>
      <c r="AN654" s="424"/>
      <c r="AO654" s="117"/>
      <c r="AP654" s="117"/>
      <c r="AQ654" s="117"/>
      <c r="AR654" s="117"/>
      <c r="AS654" s="117"/>
      <c r="AT654" s="117"/>
      <c r="AU654" s="117"/>
      <c r="AV654" s="117"/>
      <c r="AW654" s="117"/>
      <c r="AX654" s="117"/>
      <c r="AY654" s="117"/>
      <c r="AZ654" s="117"/>
      <c r="BA654" s="117"/>
      <c r="BB654" s="117"/>
      <c r="BC654" s="117"/>
      <c r="BD654" s="117"/>
      <c r="BE654" s="117"/>
      <c r="BF654" s="117"/>
      <c r="BG654" s="117"/>
      <c r="BH654" s="117"/>
      <c r="BI654" s="117"/>
      <c r="BJ654" s="117"/>
      <c r="BK654" s="117"/>
      <c r="BL654" s="117"/>
      <c r="BM654" s="117"/>
      <c r="BN654" s="117"/>
      <c r="BO654" s="117"/>
      <c r="BP654" s="117"/>
      <c r="BQ654" s="117"/>
      <c r="BR654" s="117"/>
      <c r="BS654" s="117"/>
      <c r="BT654" s="117"/>
      <c r="BU654" s="117"/>
      <c r="BV654" s="117"/>
      <c r="BW654" s="117"/>
      <c r="BX654" s="117"/>
      <c r="BY654" s="117"/>
      <c r="BZ654" s="117"/>
      <c r="CA654" s="117"/>
    </row>
    <row r="655" spans="1:79" ht="12.75" customHeight="1">
      <c r="A655" s="117"/>
      <c r="B655" s="1"/>
      <c r="C655" s="8" t="s">
        <v>2407</v>
      </c>
      <c r="D655" s="1"/>
      <c r="E655" s="719"/>
      <c r="F655" s="719"/>
      <c r="G655" s="719"/>
      <c r="H655" s="719"/>
      <c r="I655" s="719"/>
      <c r="J655" s="719"/>
      <c r="K655" s="719"/>
      <c r="L655" s="719"/>
      <c r="M655" s="719"/>
      <c r="N655" s="719"/>
      <c r="O655" s="719"/>
      <c r="P655" s="719"/>
      <c r="Q655" s="719"/>
      <c r="R655" s="719"/>
      <c r="S655" s="719"/>
      <c r="T655" s="719"/>
      <c r="U655" s="1"/>
      <c r="V655" s="1"/>
      <c r="W655" s="719"/>
      <c r="X655" s="719"/>
      <c r="Y655" s="719"/>
      <c r="Z655" s="719"/>
      <c r="AA655" s="719"/>
      <c r="AB655" s="719"/>
      <c r="AC655" s="422"/>
      <c r="AD655" s="422"/>
      <c r="AE655" s="422"/>
      <c r="AF655" s="422"/>
      <c r="AG655" s="422"/>
      <c r="AH655" s="422"/>
      <c r="AI655" s="422"/>
      <c r="AJ655" s="1"/>
      <c r="AK655" s="1"/>
      <c r="AL655" s="1"/>
      <c r="AM655" s="117"/>
      <c r="AN655" s="424"/>
      <c r="AO655" s="117"/>
      <c r="AP655" s="117"/>
      <c r="AQ655" s="117"/>
      <c r="AR655" s="117"/>
      <c r="AS655" s="117"/>
      <c r="AT655" s="117"/>
      <c r="AU655" s="117"/>
      <c r="AV655" s="117"/>
      <c r="AW655" s="117"/>
      <c r="AX655" s="117"/>
      <c r="AY655" s="117"/>
      <c r="AZ655" s="117"/>
      <c r="BA655" s="117"/>
      <c r="BB655" s="117"/>
      <c r="BC655" s="117"/>
      <c r="BD655" s="117"/>
      <c r="BE655" s="117"/>
      <c r="BF655" s="117"/>
      <c r="BG655" s="117"/>
      <c r="BH655" s="117"/>
      <c r="BI655" s="117"/>
      <c r="BJ655" s="117"/>
      <c r="BK655" s="117"/>
      <c r="BL655" s="117"/>
      <c r="BM655" s="117"/>
      <c r="BN655" s="117"/>
      <c r="BO655" s="117"/>
      <c r="BP655" s="117"/>
      <c r="BQ655" s="117"/>
      <c r="BR655" s="117"/>
      <c r="BS655" s="117"/>
      <c r="BT655" s="117"/>
      <c r="BU655" s="117"/>
      <c r="BV655" s="117"/>
      <c r="BW655" s="117"/>
      <c r="BX655" s="117"/>
      <c r="BY655" s="117"/>
      <c r="BZ655" s="117"/>
      <c r="CA655" s="117"/>
    </row>
    <row r="656" spans="1:79" ht="12.75" customHeight="1">
      <c r="A656" s="521"/>
      <c r="B656" s="1"/>
      <c r="C656" s="713"/>
      <c r="D656" s="1"/>
      <c r="E656" s="719"/>
      <c r="F656" s="719"/>
      <c r="G656" s="719"/>
      <c r="H656" s="719"/>
      <c r="I656" s="719"/>
      <c r="J656" s="719"/>
      <c r="K656" s="719"/>
      <c r="L656" s="719"/>
      <c r="M656" s="719"/>
      <c r="N656" s="719"/>
      <c r="O656" s="719"/>
      <c r="P656" s="719"/>
      <c r="Q656" s="719"/>
      <c r="R656" s="719"/>
      <c r="S656" s="719"/>
      <c r="T656" s="719"/>
      <c r="U656" s="719"/>
      <c r="V656" s="719"/>
      <c r="W656" s="719"/>
      <c r="X656" s="719"/>
      <c r="Y656" s="719"/>
      <c r="Z656" s="719"/>
      <c r="AA656" s="719"/>
      <c r="AB656" s="719"/>
      <c r="AC656" s="1"/>
      <c r="AD656" s="1"/>
      <c r="AE656" s="1"/>
      <c r="AF656" s="1"/>
      <c r="AG656" s="1"/>
      <c r="AH656" s="1"/>
      <c r="AI656" s="1"/>
      <c r="AJ656" s="1"/>
      <c r="AK656" s="1"/>
      <c r="AL656" s="1"/>
      <c r="AM656" s="117"/>
      <c r="AN656" s="424"/>
      <c r="AO656" s="117"/>
      <c r="AP656" s="117"/>
      <c r="AQ656" s="117"/>
      <c r="AR656" s="117"/>
      <c r="AS656" s="117"/>
      <c r="AT656" s="117"/>
      <c r="AU656" s="117"/>
      <c r="AV656" s="117"/>
      <c r="AW656" s="117"/>
      <c r="AX656" s="117"/>
      <c r="AY656" s="117"/>
      <c r="AZ656" s="117"/>
      <c r="BA656" s="117"/>
      <c r="BB656" s="117"/>
      <c r="BC656" s="117"/>
      <c r="BD656" s="117"/>
      <c r="BE656" s="117"/>
      <c r="BF656" s="117"/>
      <c r="BG656" s="117"/>
      <c r="BH656" s="117"/>
      <c r="BI656" s="117"/>
      <c r="BJ656" s="117"/>
      <c r="BK656" s="117"/>
      <c r="BL656" s="117"/>
      <c r="BM656" s="117"/>
      <c r="BN656" s="117"/>
      <c r="BO656" s="117"/>
      <c r="BP656" s="117"/>
      <c r="BQ656" s="117"/>
      <c r="BR656" s="117"/>
      <c r="BS656" s="117"/>
      <c r="BT656" s="117"/>
      <c r="BU656" s="117"/>
      <c r="BV656" s="117"/>
      <c r="BW656" s="117"/>
      <c r="BX656" s="117"/>
      <c r="BY656" s="117"/>
      <c r="BZ656" s="117"/>
      <c r="CA656" s="117"/>
    </row>
    <row r="657" spans="1:79" ht="12.75" customHeight="1">
      <c r="A657" s="117"/>
      <c r="B657" s="1"/>
      <c r="C657" s="1"/>
      <c r="D657" s="41" t="s">
        <v>44</v>
      </c>
      <c r="E657" s="895" t="s">
        <v>2408</v>
      </c>
      <c r="F657" s="893"/>
      <c r="G657" s="893"/>
      <c r="H657" s="893"/>
      <c r="I657" s="893"/>
      <c r="J657" s="893"/>
      <c r="K657" s="893"/>
      <c r="L657" s="893"/>
      <c r="M657" s="893"/>
      <c r="N657" s="893"/>
      <c r="O657" s="893"/>
      <c r="P657" s="893"/>
      <c r="Q657" s="893"/>
      <c r="R657" s="893"/>
      <c r="S657" s="893"/>
      <c r="T657" s="893"/>
      <c r="U657" s="893"/>
      <c r="V657" s="893"/>
      <c r="W657" s="893"/>
      <c r="X657" s="893"/>
      <c r="Y657" s="893"/>
      <c r="Z657" s="893"/>
      <c r="AA657" s="893"/>
      <c r="AB657" s="893"/>
      <c r="AC657" s="893"/>
      <c r="AD657" s="893"/>
      <c r="AE657" s="1"/>
      <c r="AF657" s="1376" t="s">
        <v>1959</v>
      </c>
      <c r="AG657" s="893"/>
      <c r="AH657" s="893"/>
      <c r="AI657" s="893"/>
      <c r="AJ657" s="893"/>
      <c r="AK657" s="893"/>
      <c r="AL657" s="893"/>
      <c r="AM657" s="117"/>
      <c r="AN657" s="424"/>
      <c r="AO657" s="117"/>
      <c r="AP657" s="117"/>
      <c r="AQ657" s="117"/>
      <c r="AR657" s="117"/>
      <c r="AS657" s="117"/>
      <c r="AT657" s="117"/>
      <c r="AU657" s="117"/>
      <c r="AV657" s="117"/>
      <c r="AW657" s="117"/>
      <c r="AX657" s="117"/>
      <c r="AY657" s="117"/>
      <c r="AZ657" s="117"/>
      <c r="BA657" s="117"/>
      <c r="BB657" s="117"/>
      <c r="BC657" s="117"/>
      <c r="BD657" s="117"/>
      <c r="BE657" s="117"/>
      <c r="BF657" s="117"/>
      <c r="BG657" s="117"/>
      <c r="BH657" s="117"/>
      <c r="BI657" s="117"/>
      <c r="BJ657" s="117"/>
      <c r="BK657" s="117"/>
      <c r="BL657" s="117"/>
      <c r="BM657" s="117"/>
      <c r="BN657" s="117"/>
      <c r="BO657" s="117"/>
      <c r="BP657" s="117"/>
      <c r="BQ657" s="117"/>
      <c r="BR657" s="117"/>
      <c r="BS657" s="117"/>
      <c r="BT657" s="117"/>
      <c r="BU657" s="117"/>
      <c r="BV657" s="117"/>
      <c r="BW657" s="117"/>
      <c r="BX657" s="117"/>
      <c r="BY657" s="117"/>
      <c r="BZ657" s="117"/>
      <c r="CA657" s="117"/>
    </row>
    <row r="658" spans="1:79" ht="12.75" customHeight="1">
      <c r="A658" s="117"/>
      <c r="B658" s="1"/>
      <c r="C658" s="1"/>
      <c r="D658" s="41"/>
      <c r="E658" s="893"/>
      <c r="F658" s="893"/>
      <c r="G658" s="893"/>
      <c r="H658" s="893"/>
      <c r="I658" s="893"/>
      <c r="J658" s="893"/>
      <c r="K658" s="893"/>
      <c r="L658" s="893"/>
      <c r="M658" s="893"/>
      <c r="N658" s="893"/>
      <c r="O658" s="893"/>
      <c r="P658" s="893"/>
      <c r="Q658" s="893"/>
      <c r="R658" s="893"/>
      <c r="S658" s="893"/>
      <c r="T658" s="893"/>
      <c r="U658" s="893"/>
      <c r="V658" s="893"/>
      <c r="W658" s="893"/>
      <c r="X658" s="893"/>
      <c r="Y658" s="893"/>
      <c r="Z658" s="893"/>
      <c r="AA658" s="893"/>
      <c r="AB658" s="893"/>
      <c r="AC658" s="893"/>
      <c r="AD658" s="893"/>
      <c r="AE658" s="422"/>
      <c r="AF658" s="422"/>
      <c r="AG658" s="422"/>
      <c r="AH658" s="422"/>
      <c r="AI658" s="422"/>
      <c r="AJ658" s="422"/>
      <c r="AK658" s="422"/>
      <c r="AL658" s="422"/>
      <c r="AM658" s="117"/>
      <c r="AN658" s="424"/>
      <c r="AO658" s="117"/>
      <c r="AP658" s="117"/>
      <c r="AQ658" s="117"/>
      <c r="AR658" s="117"/>
      <c r="AS658" s="117"/>
      <c r="AT658" s="117"/>
      <c r="AU658" s="117"/>
      <c r="AV658" s="117"/>
      <c r="AW658" s="117"/>
      <c r="AX658" s="117"/>
      <c r="AY658" s="117"/>
      <c r="AZ658" s="117"/>
      <c r="BA658" s="117"/>
      <c r="BB658" s="117"/>
      <c r="BC658" s="117"/>
      <c r="BD658" s="117"/>
      <c r="BE658" s="117"/>
      <c r="BF658" s="117"/>
      <c r="BG658" s="117"/>
      <c r="BH658" s="117"/>
      <c r="BI658" s="117"/>
      <c r="BJ658" s="117"/>
      <c r="BK658" s="117"/>
      <c r="BL658" s="117"/>
      <c r="BM658" s="117"/>
      <c r="BN658" s="117"/>
      <c r="BO658" s="117"/>
      <c r="BP658" s="117"/>
      <c r="BQ658" s="117"/>
      <c r="BR658" s="117"/>
      <c r="BS658" s="117"/>
      <c r="BT658" s="117"/>
      <c r="BU658" s="117"/>
      <c r="BV658" s="117"/>
      <c r="BW658" s="117"/>
      <c r="BX658" s="117"/>
      <c r="BY658" s="117"/>
      <c r="BZ658" s="117"/>
      <c r="CA658" s="117"/>
    </row>
    <row r="659" spans="1:79" ht="12.75" customHeight="1">
      <c r="A659" s="117"/>
      <c r="B659" s="14"/>
      <c r="C659" s="726"/>
      <c r="D659" s="41"/>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
      <c r="AD659" s="1"/>
      <c r="AE659" s="14"/>
      <c r="AF659" s="1"/>
      <c r="AG659" s="1"/>
      <c r="AH659" s="1"/>
      <c r="AI659" s="1"/>
      <c r="AJ659" s="1"/>
      <c r="AK659" s="1"/>
      <c r="AL659" s="1"/>
      <c r="AM659" s="117"/>
      <c r="AN659" s="424"/>
      <c r="AO659" s="117"/>
      <c r="AP659" s="117"/>
      <c r="AQ659" s="117"/>
      <c r="AR659" s="117"/>
      <c r="AS659" s="117"/>
      <c r="AT659" s="117"/>
      <c r="AU659" s="117"/>
      <c r="AV659" s="117"/>
      <c r="AW659" s="117"/>
      <c r="AX659" s="117"/>
      <c r="AY659" s="117"/>
      <c r="AZ659" s="117"/>
      <c r="BA659" s="117"/>
      <c r="BB659" s="117"/>
      <c r="BC659" s="117"/>
      <c r="BD659" s="117"/>
      <c r="BE659" s="117"/>
      <c r="BF659" s="117"/>
      <c r="BG659" s="117"/>
      <c r="BH659" s="117"/>
      <c r="BI659" s="117"/>
      <c r="BJ659" s="117"/>
      <c r="BK659" s="117"/>
      <c r="BL659" s="117"/>
      <c r="BM659" s="117"/>
      <c r="BN659" s="117"/>
      <c r="BO659" s="117"/>
      <c r="BP659" s="117"/>
      <c r="BQ659" s="117"/>
      <c r="BR659" s="117"/>
      <c r="BS659" s="117"/>
      <c r="BT659" s="117"/>
      <c r="BU659" s="117"/>
      <c r="BV659" s="117"/>
      <c r="BW659" s="117"/>
      <c r="BX659" s="117"/>
      <c r="BY659" s="117"/>
      <c r="BZ659" s="117"/>
      <c r="CA659" s="117"/>
    </row>
    <row r="660" spans="1:79" ht="12.75" customHeight="1">
      <c r="A660" s="117"/>
      <c r="B660" s="1"/>
      <c r="C660" s="194"/>
      <c r="D660" s="41" t="s">
        <v>51</v>
      </c>
      <c r="E660" s="14" t="s">
        <v>2409</v>
      </c>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
      <c r="AD660" s="1"/>
      <c r="AE660" s="1"/>
      <c r="AF660" s="1376" t="s">
        <v>2402</v>
      </c>
      <c r="AG660" s="893"/>
      <c r="AH660" s="893"/>
      <c r="AI660" s="893"/>
      <c r="AJ660" s="893"/>
      <c r="AK660" s="893"/>
      <c r="AL660" s="893"/>
      <c r="AM660" s="117"/>
      <c r="AN660" s="424"/>
      <c r="AO660" s="117"/>
      <c r="AP660" s="117"/>
      <c r="AQ660" s="117"/>
      <c r="AR660" s="117"/>
      <c r="AS660" s="117"/>
      <c r="AT660" s="117"/>
      <c r="AU660" s="117"/>
      <c r="AV660" s="117"/>
      <c r="AW660" s="117"/>
      <c r="AX660" s="117"/>
      <c r="AY660" s="117"/>
      <c r="AZ660" s="117"/>
      <c r="BA660" s="117"/>
      <c r="BB660" s="117"/>
      <c r="BC660" s="117"/>
      <c r="BD660" s="117"/>
      <c r="BE660" s="117"/>
      <c r="BF660" s="117"/>
      <c r="BG660" s="117"/>
      <c r="BH660" s="117"/>
      <c r="BI660" s="117"/>
      <c r="BJ660" s="117"/>
      <c r="BK660" s="117"/>
      <c r="BL660" s="117"/>
      <c r="BM660" s="117"/>
      <c r="BN660" s="117"/>
      <c r="BO660" s="117"/>
      <c r="BP660" s="117"/>
      <c r="BQ660" s="117"/>
      <c r="BR660" s="117"/>
      <c r="BS660" s="117"/>
      <c r="BT660" s="117"/>
      <c r="BU660" s="117"/>
      <c r="BV660" s="117"/>
      <c r="BW660" s="117"/>
      <c r="BX660" s="117"/>
      <c r="BY660" s="117"/>
      <c r="BZ660" s="117"/>
      <c r="CA660" s="117"/>
    </row>
    <row r="661" spans="1:79" ht="12.75" customHeight="1">
      <c r="A661" s="117"/>
      <c r="B661" s="1"/>
      <c r="C661" s="194"/>
      <c r="D661" s="41"/>
      <c r="E661" s="14" t="s">
        <v>2410</v>
      </c>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
      <c r="AD661" s="1"/>
      <c r="AE661" s="422"/>
      <c r="AF661" s="422"/>
      <c r="AG661" s="422"/>
      <c r="AH661" s="422"/>
      <c r="AI661" s="422"/>
      <c r="AJ661" s="422"/>
      <c r="AK661" s="422"/>
      <c r="AL661" s="422"/>
      <c r="AM661" s="117"/>
      <c r="AN661" s="424"/>
      <c r="AO661" s="117"/>
      <c r="AP661" s="117"/>
      <c r="AQ661" s="117"/>
      <c r="AR661" s="117"/>
      <c r="AS661" s="117"/>
      <c r="AT661" s="117"/>
      <c r="AU661" s="117"/>
      <c r="AV661" s="117"/>
      <c r="AW661" s="117"/>
      <c r="AX661" s="117"/>
      <c r="AY661" s="117"/>
      <c r="AZ661" s="117"/>
      <c r="BA661" s="117"/>
      <c r="BB661" s="117"/>
      <c r="BC661" s="117"/>
      <c r="BD661" s="117"/>
      <c r="BE661" s="117"/>
      <c r="BF661" s="117"/>
      <c r="BG661" s="117"/>
      <c r="BH661" s="117"/>
      <c r="BI661" s="117"/>
      <c r="BJ661" s="117"/>
      <c r="BK661" s="117"/>
      <c r="BL661" s="117"/>
      <c r="BM661" s="117"/>
      <c r="BN661" s="117"/>
      <c r="BO661" s="117"/>
      <c r="BP661" s="117"/>
      <c r="BQ661" s="117"/>
      <c r="BR661" s="117"/>
      <c r="BS661" s="117"/>
      <c r="BT661" s="117"/>
      <c r="BU661" s="117"/>
      <c r="BV661" s="117"/>
      <c r="BW661" s="117"/>
      <c r="BX661" s="117"/>
      <c r="BY661" s="117"/>
      <c r="BZ661" s="117"/>
      <c r="CA661" s="117"/>
    </row>
    <row r="662" spans="1:79" ht="12.75" customHeight="1">
      <c r="A662" s="117"/>
      <c r="B662" s="1"/>
      <c r="C662" s="194"/>
      <c r="D662" s="1"/>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
      <c r="AD662" s="1"/>
      <c r="AE662" s="1"/>
      <c r="AF662" s="1"/>
      <c r="AG662" s="1"/>
      <c r="AH662" s="1"/>
      <c r="AI662" s="1"/>
      <c r="AJ662" s="1"/>
      <c r="AK662" s="1"/>
      <c r="AL662" s="1"/>
      <c r="AM662" s="117"/>
      <c r="AN662" s="424"/>
      <c r="AO662" s="117"/>
      <c r="AP662" s="117"/>
      <c r="AQ662" s="117"/>
      <c r="AR662" s="117"/>
      <c r="AS662" s="117"/>
      <c r="AT662" s="117"/>
      <c r="AU662" s="117"/>
      <c r="AV662" s="117"/>
      <c r="AW662" s="117"/>
      <c r="AX662" s="117"/>
      <c r="AY662" s="117"/>
      <c r="AZ662" s="117"/>
      <c r="BA662" s="117"/>
      <c r="BB662" s="117"/>
      <c r="BC662" s="117"/>
      <c r="BD662" s="117"/>
      <c r="BE662" s="117"/>
      <c r="BF662" s="117"/>
      <c r="BG662" s="117"/>
      <c r="BH662" s="117"/>
      <c r="BI662" s="117"/>
      <c r="BJ662" s="117"/>
      <c r="BK662" s="117"/>
      <c r="BL662" s="117"/>
      <c r="BM662" s="117"/>
      <c r="BN662" s="117"/>
      <c r="BO662" s="117"/>
      <c r="BP662" s="117"/>
      <c r="BQ662" s="117"/>
      <c r="BR662" s="117"/>
      <c r="BS662" s="117"/>
      <c r="BT662" s="117"/>
      <c r="BU662" s="117"/>
      <c r="BV662" s="117"/>
      <c r="BW662" s="117"/>
      <c r="BX662" s="117"/>
      <c r="BY662" s="117"/>
      <c r="BZ662" s="117"/>
      <c r="CA662" s="117"/>
    </row>
    <row r="663" spans="1:79" ht="12.75" customHeight="1">
      <c r="A663" s="117"/>
      <c r="B663" s="1"/>
      <c r="C663" s="194"/>
      <c r="D663" s="1" t="s">
        <v>2378</v>
      </c>
      <c r="E663" s="719"/>
      <c r="F663" s="719"/>
      <c r="G663" s="719"/>
      <c r="H663" s="1379" t="s">
        <v>44</v>
      </c>
      <c r="I663" s="969"/>
      <c r="J663" s="14"/>
      <c r="K663" s="14"/>
      <c r="L663" s="14"/>
      <c r="M663" s="14"/>
      <c r="N663" s="14"/>
      <c r="O663" s="14"/>
      <c r="P663" s="14"/>
      <c r="Q663" s="14"/>
      <c r="R663" s="14"/>
      <c r="S663" s="14"/>
      <c r="T663" s="14"/>
      <c r="U663" s="14"/>
      <c r="V663" s="14"/>
      <c r="W663" s="1"/>
      <c r="X663" s="1"/>
      <c r="Y663" s="1"/>
      <c r="Z663" s="1"/>
      <c r="AA663" s="1"/>
      <c r="AB663" s="1"/>
      <c r="AC663" s="1"/>
      <c r="AD663" s="1"/>
      <c r="AE663" s="1"/>
      <c r="AF663" s="1"/>
      <c r="AG663" s="1"/>
      <c r="AH663" s="1"/>
      <c r="AI663" s="1"/>
      <c r="AJ663" s="1"/>
      <c r="AK663" s="1"/>
      <c r="AL663" s="1"/>
      <c r="AM663" s="117"/>
      <c r="AN663" s="424"/>
      <c r="AO663" s="117"/>
      <c r="AP663" s="117"/>
      <c r="AQ663" s="117"/>
      <c r="AR663" s="117"/>
      <c r="AS663" s="117"/>
      <c r="AT663" s="117"/>
      <c r="AU663" s="117"/>
      <c r="AV663" s="117"/>
      <c r="AW663" s="117"/>
      <c r="AX663" s="117"/>
      <c r="AY663" s="117"/>
      <c r="AZ663" s="117"/>
      <c r="BA663" s="117"/>
      <c r="BB663" s="117"/>
      <c r="BC663" s="117"/>
      <c r="BD663" s="117"/>
      <c r="BE663" s="117"/>
      <c r="BF663" s="117"/>
      <c r="BG663" s="117"/>
      <c r="BH663" s="117"/>
      <c r="BI663" s="117"/>
      <c r="BJ663" s="117"/>
      <c r="BK663" s="117"/>
      <c r="BL663" s="117"/>
      <c r="BM663" s="117"/>
      <c r="BN663" s="117"/>
      <c r="BO663" s="117"/>
      <c r="BP663" s="117"/>
      <c r="BQ663" s="117"/>
      <c r="BR663" s="117"/>
      <c r="BS663" s="117"/>
      <c r="BT663" s="117"/>
      <c r="BU663" s="117"/>
      <c r="BV663" s="117"/>
      <c r="BW663" s="117"/>
      <c r="BX663" s="117"/>
      <c r="BY663" s="117"/>
      <c r="BZ663" s="117"/>
      <c r="CA663" s="117"/>
    </row>
    <row r="664" spans="1:79" ht="12.75" customHeight="1">
      <c r="A664" s="117"/>
      <c r="B664" s="1"/>
      <c r="C664" s="194"/>
      <c r="D664" s="1"/>
      <c r="E664" s="719"/>
      <c r="F664" s="719"/>
      <c r="G664" s="14"/>
      <c r="H664" s="14"/>
      <c r="I664" s="14"/>
      <c r="J664" s="14"/>
      <c r="K664" s="14"/>
      <c r="L664" s="14"/>
      <c r="M664" s="14"/>
      <c r="N664" s="14"/>
      <c r="O664" s="14"/>
      <c r="P664" s="14"/>
      <c r="Q664" s="14"/>
      <c r="R664" s="14"/>
      <c r="S664" s="14"/>
      <c r="T664" s="14"/>
      <c r="U664" s="14"/>
      <c r="V664" s="14"/>
      <c r="W664" s="14"/>
      <c r="X664" s="14"/>
      <c r="Y664" s="14"/>
      <c r="Z664" s="719"/>
      <c r="AA664" s="719"/>
      <c r="AB664" s="719"/>
      <c r="AC664" s="1"/>
      <c r="AD664" s="1"/>
      <c r="AE664" s="1"/>
      <c r="AF664" s="1"/>
      <c r="AG664" s="1"/>
      <c r="AH664" s="1"/>
      <c r="AI664" s="1"/>
      <c r="AJ664" s="14"/>
      <c r="AK664" s="14"/>
      <c r="AL664" s="14"/>
      <c r="AM664" s="76"/>
      <c r="AN664" s="424"/>
      <c r="AO664" s="117"/>
      <c r="AP664" s="117"/>
      <c r="AQ664" s="117"/>
      <c r="AR664" s="117"/>
      <c r="AS664" s="117"/>
      <c r="AT664" s="117"/>
      <c r="AU664" s="117"/>
      <c r="AV664" s="117"/>
      <c r="AW664" s="117"/>
      <c r="AX664" s="117"/>
      <c r="AY664" s="117"/>
      <c r="AZ664" s="117"/>
      <c r="BA664" s="117"/>
      <c r="BB664" s="117"/>
      <c r="BC664" s="117"/>
      <c r="BD664" s="117"/>
      <c r="BE664" s="117"/>
      <c r="BF664" s="117"/>
      <c r="BG664" s="117"/>
      <c r="BH664" s="117"/>
      <c r="BI664" s="117"/>
      <c r="BJ664" s="117"/>
      <c r="BK664" s="117"/>
      <c r="BL664" s="117"/>
      <c r="BM664" s="117"/>
      <c r="BN664" s="117"/>
      <c r="BO664" s="117"/>
      <c r="BP664" s="117"/>
      <c r="BQ664" s="117"/>
      <c r="BR664" s="117"/>
      <c r="BS664" s="117"/>
      <c r="BT664" s="117"/>
      <c r="BU664" s="117"/>
      <c r="BV664" s="117"/>
      <c r="BW664" s="117"/>
      <c r="BX664" s="117"/>
      <c r="BY664" s="117"/>
      <c r="BZ664" s="117"/>
      <c r="CA664" s="117"/>
    </row>
    <row r="665" spans="1:79" ht="12.75" customHeight="1">
      <c r="A665" s="425"/>
      <c r="B665" s="5"/>
      <c r="C665" s="728"/>
      <c r="D665" s="5"/>
      <c r="E665" s="723"/>
      <c r="F665" s="723"/>
      <c r="G665" s="561"/>
      <c r="H665" s="561"/>
      <c r="I665" s="561"/>
      <c r="J665" s="561"/>
      <c r="K665" s="561"/>
      <c r="L665" s="561"/>
      <c r="M665" s="561"/>
      <c r="N665" s="561"/>
      <c r="O665" s="561"/>
      <c r="P665" s="561"/>
      <c r="Q665" s="561"/>
      <c r="R665" s="561"/>
      <c r="S665" s="561"/>
      <c r="T665" s="561"/>
      <c r="U665" s="561"/>
      <c r="V665" s="561"/>
      <c r="W665" s="561"/>
      <c r="X665" s="561"/>
      <c r="Y665" s="723"/>
      <c r="Z665" s="723"/>
      <c r="AA665" s="723"/>
      <c r="AB665" s="5"/>
      <c r="AC665" s="5"/>
      <c r="AD665" s="5"/>
      <c r="AE665" s="5"/>
      <c r="AF665" s="5"/>
      <c r="AG665" s="5"/>
      <c r="AH665" s="5"/>
      <c r="AI665" s="372" t="s">
        <v>2411</v>
      </c>
      <c r="AJ665" s="945">
        <f>VLOOKUP(H663,AT618:AU620,2,FALSE)</f>
        <v>3</v>
      </c>
      <c r="AK665" s="943"/>
      <c r="AL665" s="7"/>
      <c r="AM665" s="117"/>
      <c r="AN665" s="424"/>
      <c r="AO665" s="117"/>
      <c r="AP665" s="117"/>
      <c r="AQ665" s="117"/>
      <c r="AR665" s="117"/>
      <c r="AS665" s="117"/>
      <c r="AT665" s="117"/>
      <c r="AU665" s="117"/>
      <c r="AV665" s="117"/>
      <c r="AW665" s="117"/>
      <c r="AX665" s="117"/>
      <c r="AY665" s="117"/>
      <c r="AZ665" s="117"/>
      <c r="BA665" s="117"/>
      <c r="BB665" s="117"/>
      <c r="BC665" s="117"/>
      <c r="BD665" s="117"/>
      <c r="BE665" s="117"/>
      <c r="BF665" s="117"/>
      <c r="BG665" s="117"/>
      <c r="BH665" s="117"/>
      <c r="BI665" s="117"/>
      <c r="BJ665" s="117"/>
      <c r="BK665" s="117"/>
      <c r="BL665" s="117"/>
      <c r="BM665" s="117"/>
      <c r="BN665" s="117"/>
      <c r="BO665" s="117"/>
      <c r="BP665" s="117"/>
      <c r="BQ665" s="117"/>
      <c r="BR665" s="117"/>
      <c r="BS665" s="117"/>
      <c r="BT665" s="117"/>
      <c r="BU665" s="117"/>
      <c r="BV665" s="117"/>
      <c r="BW665" s="117"/>
      <c r="BX665" s="117"/>
      <c r="BY665" s="117"/>
      <c r="BZ665" s="117"/>
      <c r="CA665" s="117"/>
    </row>
    <row r="666" spans="1:79" ht="12.75" customHeight="1">
      <c r="A666" s="117"/>
      <c r="B666" s="1"/>
      <c r="C666" s="194"/>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17"/>
      <c r="AN666" s="424"/>
      <c r="AO666" s="117"/>
      <c r="AP666" s="117"/>
      <c r="AQ666" s="117"/>
      <c r="AR666" s="117"/>
      <c r="AS666" s="117"/>
      <c r="AT666" s="117"/>
      <c r="AU666" s="117"/>
      <c r="AV666" s="117"/>
      <c r="AW666" s="117"/>
      <c r="AX666" s="117"/>
      <c r="AY666" s="117"/>
      <c r="AZ666" s="117"/>
      <c r="BA666" s="117"/>
      <c r="BB666" s="117"/>
      <c r="BC666" s="117"/>
      <c r="BD666" s="117"/>
      <c r="BE666" s="117"/>
      <c r="BF666" s="117"/>
      <c r="BG666" s="117"/>
      <c r="BH666" s="117"/>
      <c r="BI666" s="117"/>
      <c r="BJ666" s="117"/>
      <c r="BK666" s="117"/>
      <c r="BL666" s="117"/>
      <c r="BM666" s="117"/>
      <c r="BN666" s="117"/>
      <c r="BO666" s="117"/>
      <c r="BP666" s="117"/>
      <c r="BQ666" s="117"/>
      <c r="BR666" s="117"/>
      <c r="BS666" s="117"/>
      <c r="BT666" s="117"/>
      <c r="BU666" s="117"/>
      <c r="BV666" s="117"/>
      <c r="BW666" s="117"/>
      <c r="BX666" s="117"/>
      <c r="BY666" s="117"/>
      <c r="BZ666" s="117"/>
      <c r="CA666" s="117"/>
    </row>
    <row r="667" spans="1:79" ht="12.75" customHeight="1">
      <c r="A667" s="117"/>
      <c r="B667" s="1"/>
      <c r="C667" s="8" t="s">
        <v>2412</v>
      </c>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17"/>
      <c r="AN667" s="424"/>
      <c r="AO667" s="117"/>
      <c r="AP667" s="117"/>
      <c r="AQ667" s="117"/>
      <c r="AR667" s="117"/>
      <c r="AS667" s="117"/>
      <c r="AT667" s="117"/>
      <c r="AU667" s="117"/>
      <c r="AV667" s="117"/>
      <c r="AW667" s="117"/>
      <c r="AX667" s="117"/>
      <c r="AY667" s="117"/>
      <c r="AZ667" s="117"/>
      <c r="BA667" s="117"/>
      <c r="BB667" s="117"/>
      <c r="BC667" s="117"/>
      <c r="BD667" s="117"/>
      <c r="BE667" s="117"/>
      <c r="BF667" s="117"/>
      <c r="BG667" s="117"/>
      <c r="BH667" s="117"/>
      <c r="BI667" s="117"/>
      <c r="BJ667" s="117"/>
      <c r="BK667" s="117"/>
      <c r="BL667" s="117"/>
      <c r="BM667" s="117"/>
      <c r="BN667" s="117"/>
      <c r="BO667" s="117"/>
      <c r="BP667" s="117"/>
      <c r="BQ667" s="117"/>
      <c r="BR667" s="117"/>
      <c r="BS667" s="117"/>
      <c r="BT667" s="117"/>
      <c r="BU667" s="117"/>
      <c r="BV667" s="117"/>
      <c r="BW667" s="117"/>
      <c r="BX667" s="117"/>
      <c r="BY667" s="117"/>
      <c r="BZ667" s="117"/>
      <c r="CA667" s="117"/>
    </row>
    <row r="668" spans="1:79" ht="12.75" customHeight="1">
      <c r="A668" s="117"/>
      <c r="B668" s="1"/>
      <c r="C668" s="8"/>
      <c r="D668" s="38" t="s">
        <v>2413</v>
      </c>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17"/>
      <c r="AN668" s="424"/>
      <c r="AO668" s="117"/>
      <c r="AP668" s="117"/>
      <c r="AQ668" s="117"/>
      <c r="AR668" s="117"/>
      <c r="AS668" s="117"/>
      <c r="AT668" s="117"/>
      <c r="AU668" s="117"/>
      <c r="AV668" s="117"/>
      <c r="AW668" s="117"/>
      <c r="AX668" s="117"/>
      <c r="AY668" s="117"/>
      <c r="AZ668" s="117"/>
      <c r="BA668" s="117"/>
      <c r="BB668" s="117"/>
      <c r="BC668" s="117"/>
      <c r="BD668" s="117"/>
      <c r="BE668" s="117"/>
      <c r="BF668" s="117"/>
      <c r="BG668" s="117"/>
      <c r="BH668" s="117"/>
      <c r="BI668" s="117"/>
      <c r="BJ668" s="117"/>
      <c r="BK668" s="117"/>
      <c r="BL668" s="117"/>
      <c r="BM668" s="117"/>
      <c r="BN668" s="117"/>
      <c r="BO668" s="117"/>
      <c r="BP668" s="117"/>
      <c r="BQ668" s="117"/>
      <c r="BR668" s="117"/>
      <c r="BS668" s="117"/>
      <c r="BT668" s="117"/>
      <c r="BU668" s="117"/>
      <c r="BV668" s="117"/>
      <c r="BW668" s="117"/>
      <c r="BX668" s="117"/>
      <c r="BY668" s="117"/>
      <c r="BZ668" s="117"/>
      <c r="CA668" s="117"/>
    </row>
    <row r="669" spans="1:79" ht="12.75" customHeight="1">
      <c r="A669" s="117"/>
      <c r="B669" s="1"/>
      <c r="C669" s="8"/>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17"/>
      <c r="AN669" s="424"/>
      <c r="AO669" s="117"/>
      <c r="AP669" s="117"/>
      <c r="AQ669" s="117"/>
      <c r="AR669" s="117"/>
      <c r="AS669" s="117"/>
      <c r="AT669" s="117"/>
      <c r="AU669" s="117"/>
      <c r="AV669" s="117"/>
      <c r="AW669" s="117"/>
      <c r="AX669" s="117"/>
      <c r="AY669" s="117"/>
      <c r="AZ669" s="117"/>
      <c r="BA669" s="117"/>
      <c r="BB669" s="117"/>
      <c r="BC669" s="117"/>
      <c r="BD669" s="117"/>
      <c r="BE669" s="117"/>
      <c r="BF669" s="117"/>
      <c r="BG669" s="117"/>
      <c r="BH669" s="117"/>
      <c r="BI669" s="117"/>
      <c r="BJ669" s="117"/>
      <c r="BK669" s="117"/>
      <c r="BL669" s="117"/>
      <c r="BM669" s="117"/>
      <c r="BN669" s="117"/>
      <c r="BO669" s="117"/>
      <c r="BP669" s="117"/>
      <c r="BQ669" s="117"/>
      <c r="BR669" s="117"/>
      <c r="BS669" s="117"/>
      <c r="BT669" s="117"/>
      <c r="BU669" s="117"/>
      <c r="BV669" s="117"/>
      <c r="BW669" s="117"/>
      <c r="BX669" s="117"/>
      <c r="BY669" s="117"/>
      <c r="BZ669" s="117"/>
      <c r="CA669" s="117"/>
    </row>
    <row r="670" spans="1:79" ht="12.75" customHeight="1">
      <c r="A670" s="117"/>
      <c r="B670" s="1"/>
      <c r="C670" s="8"/>
      <c r="D670" s="41" t="s">
        <v>44</v>
      </c>
      <c r="E670" s="895" t="s">
        <v>2414</v>
      </c>
      <c r="F670" s="893"/>
      <c r="G670" s="893"/>
      <c r="H670" s="893"/>
      <c r="I670" s="893"/>
      <c r="J670" s="893"/>
      <c r="K670" s="893"/>
      <c r="L670" s="893"/>
      <c r="M670" s="893"/>
      <c r="N670" s="893"/>
      <c r="O670" s="893"/>
      <c r="P670" s="893"/>
      <c r="Q670" s="893"/>
      <c r="R670" s="893"/>
      <c r="S670" s="893"/>
      <c r="T670" s="893"/>
      <c r="U670" s="893"/>
      <c r="V670" s="893"/>
      <c r="W670" s="893"/>
      <c r="X670" s="893"/>
      <c r="Y670" s="893"/>
      <c r="Z670" s="893"/>
      <c r="AA670" s="893"/>
      <c r="AB670" s="893"/>
      <c r="AC670" s="893"/>
      <c r="AD670" s="1"/>
      <c r="AE670" s="1"/>
      <c r="AF670" s="1376" t="s">
        <v>2361</v>
      </c>
      <c r="AG670" s="893"/>
      <c r="AH670" s="893"/>
      <c r="AI670" s="893"/>
      <c r="AJ670" s="893"/>
      <c r="AK670" s="893"/>
      <c r="AL670" s="893"/>
      <c r="AM670" s="117"/>
      <c r="AN670" s="424"/>
      <c r="AO670" s="117"/>
      <c r="AP670" s="117"/>
      <c r="AQ670" s="117"/>
      <c r="AR670" s="117"/>
      <c r="AS670" s="117"/>
      <c r="AT670" s="117"/>
      <c r="AU670" s="117"/>
      <c r="AV670" s="117"/>
      <c r="AW670" s="117"/>
      <c r="AX670" s="117"/>
      <c r="AY670" s="117"/>
      <c r="AZ670" s="117"/>
      <c r="BA670" s="117"/>
      <c r="BB670" s="117"/>
      <c r="BC670" s="117"/>
      <c r="BD670" s="117"/>
      <c r="BE670" s="117"/>
      <c r="BF670" s="117"/>
      <c r="BG670" s="117"/>
      <c r="BH670" s="117"/>
      <c r="BI670" s="117"/>
      <c r="BJ670" s="117"/>
      <c r="BK670" s="117"/>
      <c r="BL670" s="117"/>
      <c r="BM670" s="117"/>
      <c r="BN670" s="117"/>
      <c r="BO670" s="117"/>
      <c r="BP670" s="117"/>
      <c r="BQ670" s="117"/>
      <c r="BR670" s="117"/>
      <c r="BS670" s="117"/>
      <c r="BT670" s="117"/>
      <c r="BU670" s="117"/>
      <c r="BV670" s="117"/>
      <c r="BW670" s="117"/>
      <c r="BX670" s="117"/>
      <c r="BY670" s="117"/>
      <c r="BZ670" s="117"/>
      <c r="CA670" s="117"/>
    </row>
    <row r="671" spans="1:79" ht="12.75" customHeight="1">
      <c r="A671" s="117"/>
      <c r="B671" s="1"/>
      <c r="C671" s="8"/>
      <c r="D671" s="1"/>
      <c r="E671" s="893"/>
      <c r="F671" s="893"/>
      <c r="G671" s="893"/>
      <c r="H671" s="893"/>
      <c r="I671" s="893"/>
      <c r="J671" s="893"/>
      <c r="K671" s="893"/>
      <c r="L671" s="893"/>
      <c r="M671" s="893"/>
      <c r="N671" s="893"/>
      <c r="O671" s="893"/>
      <c r="P671" s="893"/>
      <c r="Q671" s="893"/>
      <c r="R671" s="893"/>
      <c r="S671" s="893"/>
      <c r="T671" s="893"/>
      <c r="U671" s="893"/>
      <c r="V671" s="893"/>
      <c r="W671" s="893"/>
      <c r="X671" s="893"/>
      <c r="Y671" s="893"/>
      <c r="Z671" s="893"/>
      <c r="AA671" s="893"/>
      <c r="AB671" s="893"/>
      <c r="AC671" s="893"/>
      <c r="AD671" s="1"/>
      <c r="AE671" s="1"/>
      <c r="AF671" s="1"/>
      <c r="AG671" s="1"/>
      <c r="AH671" s="1"/>
      <c r="AI671" s="1"/>
      <c r="AJ671" s="1"/>
      <c r="AK671" s="1"/>
      <c r="AL671" s="1"/>
      <c r="AM671" s="117"/>
      <c r="AN671" s="424"/>
      <c r="AO671" s="117"/>
      <c r="AP671" s="117"/>
      <c r="AQ671" s="117"/>
      <c r="AR671" s="117"/>
      <c r="AS671" s="117"/>
      <c r="AT671" s="117"/>
      <c r="AU671" s="117"/>
      <c r="AV671" s="117"/>
      <c r="AW671" s="117"/>
      <c r="AX671" s="117"/>
      <c r="AY671" s="117"/>
      <c r="AZ671" s="117"/>
      <c r="BA671" s="117"/>
      <c r="BB671" s="117"/>
      <c r="BC671" s="117"/>
      <c r="BD671" s="117"/>
      <c r="BE671" s="117"/>
      <c r="BF671" s="117"/>
      <c r="BG671" s="117"/>
      <c r="BH671" s="117"/>
      <c r="BI671" s="117"/>
      <c r="BJ671" s="117"/>
      <c r="BK671" s="117"/>
      <c r="BL671" s="117"/>
      <c r="BM671" s="117"/>
      <c r="BN671" s="117"/>
      <c r="BO671" s="117"/>
      <c r="BP671" s="117"/>
      <c r="BQ671" s="117"/>
      <c r="BR671" s="117"/>
      <c r="BS671" s="117"/>
      <c r="BT671" s="117"/>
      <c r="BU671" s="117"/>
      <c r="BV671" s="117"/>
      <c r="BW671" s="117"/>
      <c r="BX671" s="117"/>
      <c r="BY671" s="117"/>
      <c r="BZ671" s="117"/>
      <c r="CA671" s="117"/>
    </row>
    <row r="672" spans="1:79" ht="12.75" customHeight="1">
      <c r="A672" s="117"/>
      <c r="B672" s="1"/>
      <c r="C672" s="8"/>
      <c r="D672" s="41"/>
      <c r="E672" s="893"/>
      <c r="F672" s="893"/>
      <c r="G672" s="893"/>
      <c r="H672" s="893"/>
      <c r="I672" s="893"/>
      <c r="J672" s="893"/>
      <c r="K672" s="893"/>
      <c r="L672" s="893"/>
      <c r="M672" s="893"/>
      <c r="N672" s="893"/>
      <c r="O672" s="893"/>
      <c r="P672" s="893"/>
      <c r="Q672" s="893"/>
      <c r="R672" s="893"/>
      <c r="S672" s="893"/>
      <c r="T672" s="893"/>
      <c r="U672" s="893"/>
      <c r="V672" s="893"/>
      <c r="W672" s="893"/>
      <c r="X672" s="893"/>
      <c r="Y672" s="893"/>
      <c r="Z672" s="893"/>
      <c r="AA672" s="893"/>
      <c r="AB672" s="893"/>
      <c r="AC672" s="893"/>
      <c r="AD672" s="1"/>
      <c r="AE672" s="1"/>
      <c r="AF672" s="1"/>
      <c r="AG672" s="1"/>
      <c r="AH672" s="1"/>
      <c r="AI672" s="1"/>
      <c r="AJ672" s="1"/>
      <c r="AK672" s="1"/>
      <c r="AL672" s="1"/>
      <c r="AM672" s="117"/>
      <c r="AN672" s="424"/>
      <c r="AO672" s="117"/>
      <c r="AP672" s="117"/>
      <c r="AQ672" s="117"/>
      <c r="AR672" s="117"/>
      <c r="AS672" s="117"/>
      <c r="AT672" s="117"/>
      <c r="AU672" s="117"/>
      <c r="AV672" s="117"/>
      <c r="AW672" s="117"/>
      <c r="AX672" s="117"/>
      <c r="AY672" s="117"/>
      <c r="AZ672" s="117"/>
      <c r="BA672" s="117"/>
      <c r="BB672" s="117"/>
      <c r="BC672" s="117"/>
      <c r="BD672" s="117"/>
      <c r="BE672" s="117"/>
      <c r="BF672" s="117"/>
      <c r="BG672" s="117"/>
      <c r="BH672" s="117"/>
      <c r="BI672" s="117"/>
      <c r="BJ672" s="117"/>
      <c r="BK672" s="117"/>
      <c r="BL672" s="117"/>
      <c r="BM672" s="117"/>
      <c r="BN672" s="117"/>
      <c r="BO672" s="117"/>
      <c r="BP672" s="117"/>
      <c r="BQ672" s="117"/>
      <c r="BR672" s="117"/>
      <c r="BS672" s="117"/>
      <c r="BT672" s="117"/>
      <c r="BU672" s="117"/>
      <c r="BV672" s="117"/>
      <c r="BW672" s="117"/>
      <c r="BX672" s="117"/>
      <c r="BY672" s="117"/>
      <c r="BZ672" s="117"/>
      <c r="CA672" s="117"/>
    </row>
    <row r="673" spans="1:79" ht="15" customHeight="1">
      <c r="A673" s="117"/>
      <c r="B673" s="1"/>
      <c r="C673" s="8"/>
      <c r="D673" s="1"/>
      <c r="E673" s="52"/>
      <c r="F673" s="52"/>
      <c r="G673" s="52"/>
      <c r="H673" s="52"/>
      <c r="I673" s="52"/>
      <c r="J673" s="52"/>
      <c r="K673" s="52"/>
      <c r="L673" s="52"/>
      <c r="M673" s="52"/>
      <c r="N673" s="52"/>
      <c r="O673" s="52"/>
      <c r="P673" s="52"/>
      <c r="Q673" s="52"/>
      <c r="R673" s="52"/>
      <c r="S673" s="52"/>
      <c r="T673" s="52"/>
      <c r="U673" s="52"/>
      <c r="V673" s="52"/>
      <c r="W673" s="52"/>
      <c r="X673" s="52"/>
      <c r="Y673" s="52"/>
      <c r="Z673" s="52"/>
      <c r="AA673" s="52"/>
      <c r="AB673" s="52"/>
      <c r="AC673" s="1"/>
      <c r="AD673" s="1"/>
      <c r="AE673" s="1"/>
      <c r="AF673" s="1"/>
      <c r="AG673" s="1"/>
      <c r="AH673" s="1"/>
      <c r="AI673" s="1"/>
      <c r="AJ673" s="1"/>
      <c r="AK673" s="1"/>
      <c r="AL673" s="1"/>
      <c r="AM673" s="117"/>
      <c r="AN673" s="424"/>
      <c r="AO673" s="117"/>
      <c r="AP673" s="117"/>
      <c r="AQ673" s="117"/>
      <c r="AR673" s="117"/>
      <c r="AS673" s="117"/>
      <c r="AT673" s="117"/>
      <c r="AU673" s="117"/>
      <c r="AV673" s="117"/>
      <c r="AW673" s="117"/>
      <c r="AX673" s="117"/>
      <c r="AY673" s="117"/>
      <c r="AZ673" s="117"/>
      <c r="BA673" s="117"/>
      <c r="BB673" s="117"/>
      <c r="BC673" s="117"/>
      <c r="BD673" s="117"/>
      <c r="BE673" s="117"/>
      <c r="BF673" s="117"/>
      <c r="BG673" s="117"/>
      <c r="BH673" s="117"/>
      <c r="BI673" s="117"/>
      <c r="BJ673" s="117"/>
      <c r="BK673" s="117"/>
      <c r="BL673" s="117"/>
      <c r="BM673" s="117"/>
      <c r="BN673" s="117"/>
      <c r="BO673" s="117"/>
      <c r="BP673" s="117"/>
      <c r="BQ673" s="117"/>
      <c r="BR673" s="117"/>
      <c r="BS673" s="117"/>
      <c r="BT673" s="117"/>
      <c r="BU673" s="117"/>
      <c r="BV673" s="117"/>
      <c r="BW673" s="117"/>
      <c r="BX673" s="117"/>
      <c r="BY673" s="117"/>
      <c r="BZ673" s="117"/>
      <c r="CA673" s="117"/>
    </row>
    <row r="674" spans="1:79" ht="12.75" customHeight="1">
      <c r="A674" s="117"/>
      <c r="B674" s="1"/>
      <c r="C674" s="8"/>
      <c r="D674" s="41" t="s">
        <v>51</v>
      </c>
      <c r="E674" s="895" t="s">
        <v>2415</v>
      </c>
      <c r="F674" s="893"/>
      <c r="G674" s="893"/>
      <c r="H674" s="893"/>
      <c r="I674" s="893"/>
      <c r="J674" s="893"/>
      <c r="K674" s="893"/>
      <c r="L674" s="893"/>
      <c r="M674" s="893"/>
      <c r="N674" s="893"/>
      <c r="O674" s="893"/>
      <c r="P674" s="893"/>
      <c r="Q674" s="893"/>
      <c r="R674" s="893"/>
      <c r="S674" s="893"/>
      <c r="T674" s="893"/>
      <c r="U674" s="893"/>
      <c r="V674" s="893"/>
      <c r="W674" s="893"/>
      <c r="X674" s="893"/>
      <c r="Y674" s="893"/>
      <c r="Z674" s="893"/>
      <c r="AA674" s="893"/>
      <c r="AB674" s="893"/>
      <c r="AC674" s="893"/>
      <c r="AD674" s="1"/>
      <c r="AE674" s="1"/>
      <c r="AF674" s="1376" t="s">
        <v>2368</v>
      </c>
      <c r="AG674" s="893"/>
      <c r="AH674" s="893"/>
      <c r="AI674" s="893"/>
      <c r="AJ674" s="893"/>
      <c r="AK674" s="893"/>
      <c r="AL674" s="893"/>
      <c r="AM674" s="117"/>
      <c r="AN674" s="424"/>
      <c r="AO674" s="117"/>
      <c r="AP674" s="117"/>
      <c r="AQ674" s="117"/>
      <c r="AR674" s="117"/>
      <c r="AS674" s="117"/>
      <c r="AT674" s="117"/>
      <c r="AU674" s="117"/>
      <c r="AV674" s="117"/>
      <c r="AW674" s="117"/>
      <c r="AX674" s="117"/>
      <c r="AY674" s="117"/>
      <c r="AZ674" s="117"/>
      <c r="BA674" s="117"/>
      <c r="BB674" s="117"/>
      <c r="BC674" s="117"/>
      <c r="BD674" s="117"/>
      <c r="BE674" s="117"/>
      <c r="BF674" s="117"/>
      <c r="BG674" s="117"/>
      <c r="BH674" s="117"/>
      <c r="BI674" s="117"/>
      <c r="BJ674" s="117"/>
      <c r="BK674" s="117"/>
      <c r="BL674" s="117"/>
      <c r="BM674" s="117"/>
      <c r="BN674" s="117"/>
      <c r="BO674" s="117"/>
      <c r="BP674" s="117"/>
      <c r="BQ674" s="117"/>
      <c r="BR674" s="117"/>
      <c r="BS674" s="117"/>
      <c r="BT674" s="117"/>
      <c r="BU674" s="117"/>
      <c r="BV674" s="117"/>
      <c r="BW674" s="117"/>
      <c r="BX674" s="117"/>
      <c r="BY674" s="117"/>
      <c r="BZ674" s="117"/>
      <c r="CA674" s="117"/>
    </row>
    <row r="675" spans="1:79" ht="12.75" customHeight="1">
      <c r="A675" s="117"/>
      <c r="B675" s="1"/>
      <c r="C675" s="8"/>
      <c r="D675" s="1"/>
      <c r="E675" s="893"/>
      <c r="F675" s="893"/>
      <c r="G675" s="893"/>
      <c r="H675" s="893"/>
      <c r="I675" s="893"/>
      <c r="J675" s="893"/>
      <c r="K675" s="893"/>
      <c r="L675" s="893"/>
      <c r="M675" s="893"/>
      <c r="N675" s="893"/>
      <c r="O675" s="893"/>
      <c r="P675" s="893"/>
      <c r="Q675" s="893"/>
      <c r="R675" s="893"/>
      <c r="S675" s="893"/>
      <c r="T675" s="893"/>
      <c r="U675" s="893"/>
      <c r="V675" s="893"/>
      <c r="W675" s="893"/>
      <c r="X675" s="893"/>
      <c r="Y675" s="893"/>
      <c r="Z675" s="893"/>
      <c r="AA675" s="893"/>
      <c r="AB675" s="893"/>
      <c r="AC675" s="893"/>
      <c r="AD675" s="1"/>
      <c r="AE675" s="1"/>
      <c r="AF675" s="1"/>
      <c r="AG675" s="1"/>
      <c r="AH675" s="1"/>
      <c r="AI675" s="1"/>
      <c r="AJ675" s="1"/>
      <c r="AK675" s="1"/>
      <c r="AL675" s="1"/>
      <c r="AM675" s="117"/>
      <c r="AN675" s="424"/>
      <c r="AO675" s="117"/>
      <c r="AP675" s="117"/>
      <c r="AQ675" s="117"/>
      <c r="AR675" s="117"/>
      <c r="AS675" s="117"/>
      <c r="AT675" s="117"/>
      <c r="AU675" s="117"/>
      <c r="AV675" s="117"/>
      <c r="AW675" s="117"/>
      <c r="AX675" s="117"/>
      <c r="AY675" s="117"/>
      <c r="AZ675" s="117"/>
      <c r="BA675" s="117"/>
      <c r="BB675" s="117"/>
      <c r="BC675" s="117"/>
      <c r="BD675" s="117"/>
      <c r="BE675" s="117"/>
      <c r="BF675" s="117"/>
      <c r="BG675" s="117"/>
      <c r="BH675" s="117"/>
      <c r="BI675" s="117"/>
      <c r="BJ675" s="117"/>
      <c r="BK675" s="117"/>
      <c r="BL675" s="117"/>
      <c r="BM675" s="117"/>
      <c r="BN675" s="117"/>
      <c r="BO675" s="117"/>
      <c r="BP675" s="117"/>
      <c r="BQ675" s="117"/>
      <c r="BR675" s="117"/>
      <c r="BS675" s="117"/>
      <c r="BT675" s="117"/>
      <c r="BU675" s="117"/>
      <c r="BV675" s="117"/>
      <c r="BW675" s="117"/>
      <c r="BX675" s="117"/>
      <c r="BY675" s="117"/>
      <c r="BZ675" s="117"/>
      <c r="CA675" s="117"/>
    </row>
    <row r="676" spans="1:79" ht="15" customHeight="1">
      <c r="A676" s="117"/>
      <c r="B676" s="1"/>
      <c r="C676" s="8"/>
      <c r="D676" s="41"/>
      <c r="E676" s="893"/>
      <c r="F676" s="893"/>
      <c r="G676" s="893"/>
      <c r="H676" s="893"/>
      <c r="I676" s="893"/>
      <c r="J676" s="893"/>
      <c r="K676" s="893"/>
      <c r="L676" s="893"/>
      <c r="M676" s="893"/>
      <c r="N676" s="893"/>
      <c r="O676" s="893"/>
      <c r="P676" s="893"/>
      <c r="Q676" s="893"/>
      <c r="R676" s="893"/>
      <c r="S676" s="893"/>
      <c r="T676" s="893"/>
      <c r="U676" s="893"/>
      <c r="V676" s="893"/>
      <c r="W676" s="893"/>
      <c r="X676" s="893"/>
      <c r="Y676" s="893"/>
      <c r="Z676" s="893"/>
      <c r="AA676" s="893"/>
      <c r="AB676" s="893"/>
      <c r="AC676" s="893"/>
      <c r="AD676" s="1"/>
      <c r="AE676" s="1"/>
      <c r="AF676" s="1"/>
      <c r="AG676" s="1"/>
      <c r="AH676" s="1"/>
      <c r="AI676" s="1"/>
      <c r="AJ676" s="1"/>
      <c r="AK676" s="1"/>
      <c r="AL676" s="1"/>
      <c r="AM676" s="117"/>
      <c r="AN676" s="424"/>
      <c r="AO676" s="117"/>
      <c r="AP676" s="117"/>
      <c r="AQ676" s="117"/>
      <c r="AR676" s="117"/>
      <c r="AS676" s="117"/>
      <c r="AT676" s="117"/>
      <c r="AU676" s="117"/>
      <c r="AV676" s="117"/>
      <c r="AW676" s="117"/>
      <c r="AX676" s="117"/>
      <c r="AY676" s="117"/>
      <c r="AZ676" s="117"/>
      <c r="BA676" s="117"/>
      <c r="BB676" s="117"/>
      <c r="BC676" s="117"/>
      <c r="BD676" s="117"/>
      <c r="BE676" s="117"/>
      <c r="BF676" s="117"/>
      <c r="BG676" s="117"/>
      <c r="BH676" s="117"/>
      <c r="BI676" s="117"/>
      <c r="BJ676" s="117"/>
      <c r="BK676" s="117"/>
      <c r="BL676" s="117"/>
      <c r="BM676" s="117"/>
      <c r="BN676" s="117"/>
      <c r="BO676" s="117"/>
      <c r="BP676" s="117"/>
      <c r="BQ676" s="117"/>
      <c r="BR676" s="117"/>
      <c r="BS676" s="117"/>
      <c r="BT676" s="117"/>
      <c r="BU676" s="117"/>
      <c r="BV676" s="117"/>
      <c r="BW676" s="117"/>
      <c r="BX676" s="117"/>
      <c r="BY676" s="117"/>
      <c r="BZ676" s="117"/>
      <c r="CA676" s="117"/>
    </row>
    <row r="677" spans="1:79" ht="12.75" customHeight="1">
      <c r="A677" s="117"/>
      <c r="B677" s="1"/>
      <c r="C677" s="8"/>
      <c r="D677" s="1"/>
      <c r="E677" s="52"/>
      <c r="F677" s="52"/>
      <c r="G677" s="52"/>
      <c r="H677" s="52"/>
      <c r="I677" s="52"/>
      <c r="J677" s="52"/>
      <c r="K677" s="52"/>
      <c r="L677" s="52"/>
      <c r="M677" s="52"/>
      <c r="N677" s="52"/>
      <c r="O677" s="52"/>
      <c r="P677" s="52"/>
      <c r="Q677" s="52"/>
      <c r="R677" s="52"/>
      <c r="S677" s="52"/>
      <c r="T677" s="52"/>
      <c r="U677" s="52"/>
      <c r="V677" s="52"/>
      <c r="W677" s="52"/>
      <c r="X677" s="52"/>
      <c r="Y677" s="52"/>
      <c r="Z677" s="52"/>
      <c r="AA677" s="52"/>
      <c r="AB677" s="52"/>
      <c r="AC677" s="1"/>
      <c r="AD677" s="1"/>
      <c r="AE677" s="1"/>
      <c r="AF677" s="1"/>
      <c r="AG677" s="1"/>
      <c r="AH677" s="1"/>
      <c r="AI677" s="1"/>
      <c r="AJ677" s="1"/>
      <c r="AK677" s="1"/>
      <c r="AL677" s="1"/>
      <c r="AM677" s="117"/>
      <c r="AN677" s="424"/>
      <c r="AO677" s="117"/>
      <c r="AP677" s="117"/>
      <c r="AQ677" s="117"/>
      <c r="AR677" s="117"/>
      <c r="AS677" s="117"/>
      <c r="AT677" s="117"/>
      <c r="AU677" s="117"/>
      <c r="AV677" s="117"/>
      <c r="AW677" s="117"/>
      <c r="AX677" s="117"/>
      <c r="AY677" s="117"/>
      <c r="AZ677" s="117"/>
      <c r="BA677" s="117"/>
      <c r="BB677" s="117"/>
      <c r="BC677" s="117"/>
      <c r="BD677" s="117"/>
      <c r="BE677" s="117"/>
      <c r="BF677" s="117"/>
      <c r="BG677" s="117"/>
      <c r="BH677" s="117"/>
      <c r="BI677" s="117"/>
      <c r="BJ677" s="117"/>
      <c r="BK677" s="117"/>
      <c r="BL677" s="117"/>
      <c r="BM677" s="117"/>
      <c r="BN677" s="117"/>
      <c r="BO677" s="117"/>
      <c r="BP677" s="117"/>
      <c r="BQ677" s="117"/>
      <c r="BR677" s="117"/>
      <c r="BS677" s="117"/>
      <c r="BT677" s="117"/>
      <c r="BU677" s="117"/>
      <c r="BV677" s="117"/>
      <c r="BW677" s="117"/>
      <c r="BX677" s="117"/>
      <c r="BY677" s="117"/>
      <c r="BZ677" s="117"/>
      <c r="CA677" s="117"/>
    </row>
    <row r="678" spans="1:79" ht="12.75" customHeight="1">
      <c r="A678" s="117"/>
      <c r="B678" s="1"/>
      <c r="C678" s="8"/>
      <c r="D678" s="41" t="s">
        <v>82</v>
      </c>
      <c r="E678" s="895" t="s">
        <v>2417</v>
      </c>
      <c r="F678" s="893"/>
      <c r="G678" s="893"/>
      <c r="H678" s="893"/>
      <c r="I678" s="893"/>
      <c r="J678" s="893"/>
      <c r="K678" s="893"/>
      <c r="L678" s="893"/>
      <c r="M678" s="893"/>
      <c r="N678" s="893"/>
      <c r="O678" s="893"/>
      <c r="P678" s="893"/>
      <c r="Q678" s="893"/>
      <c r="R678" s="893"/>
      <c r="S678" s="893"/>
      <c r="T678" s="893"/>
      <c r="U678" s="893"/>
      <c r="V678" s="893"/>
      <c r="W678" s="893"/>
      <c r="X678" s="893"/>
      <c r="Y678" s="893"/>
      <c r="Z678" s="893"/>
      <c r="AA678" s="893"/>
      <c r="AB678" s="893"/>
      <c r="AC678" s="893"/>
      <c r="AD678" s="1"/>
      <c r="AE678" s="1"/>
      <c r="AF678" s="1376" t="s">
        <v>1959</v>
      </c>
      <c r="AG678" s="893"/>
      <c r="AH678" s="893"/>
      <c r="AI678" s="893"/>
      <c r="AJ678" s="893"/>
      <c r="AK678" s="893"/>
      <c r="AL678" s="893"/>
      <c r="AM678" s="117"/>
      <c r="AN678" s="424"/>
      <c r="AO678" s="117"/>
      <c r="AP678" s="117"/>
      <c r="AQ678" s="117"/>
      <c r="AR678" s="117"/>
      <c r="AS678" s="117"/>
      <c r="AT678" s="117"/>
      <c r="AU678" s="117"/>
      <c r="AV678" s="117"/>
      <c r="AW678" s="117"/>
      <c r="AX678" s="117"/>
      <c r="AY678" s="117"/>
      <c r="AZ678" s="117"/>
      <c r="BA678" s="117"/>
      <c r="BB678" s="117"/>
      <c r="BC678" s="117"/>
      <c r="BD678" s="117"/>
      <c r="BE678" s="117"/>
      <c r="BF678" s="117"/>
      <c r="BG678" s="117"/>
      <c r="BH678" s="117"/>
      <c r="BI678" s="117"/>
      <c r="BJ678" s="117"/>
      <c r="BK678" s="117"/>
      <c r="BL678" s="117"/>
      <c r="BM678" s="117"/>
      <c r="BN678" s="117"/>
      <c r="BO678" s="117"/>
      <c r="BP678" s="117"/>
      <c r="BQ678" s="117"/>
      <c r="BR678" s="117"/>
      <c r="BS678" s="117"/>
      <c r="BT678" s="117"/>
      <c r="BU678" s="117"/>
      <c r="BV678" s="117"/>
      <c r="BW678" s="117"/>
      <c r="BX678" s="117"/>
      <c r="BY678" s="117"/>
      <c r="BZ678" s="117"/>
      <c r="CA678" s="117"/>
    </row>
    <row r="679" spans="1:79" ht="12.75" customHeight="1">
      <c r="A679" s="117"/>
      <c r="B679" s="1"/>
      <c r="C679" s="194"/>
      <c r="D679" s="1"/>
      <c r="E679" s="893"/>
      <c r="F679" s="893"/>
      <c r="G679" s="893"/>
      <c r="H679" s="893"/>
      <c r="I679" s="893"/>
      <c r="J679" s="893"/>
      <c r="K679" s="893"/>
      <c r="L679" s="893"/>
      <c r="M679" s="893"/>
      <c r="N679" s="893"/>
      <c r="O679" s="893"/>
      <c r="P679" s="893"/>
      <c r="Q679" s="893"/>
      <c r="R679" s="893"/>
      <c r="S679" s="893"/>
      <c r="T679" s="893"/>
      <c r="U679" s="893"/>
      <c r="V679" s="893"/>
      <c r="W679" s="893"/>
      <c r="X679" s="893"/>
      <c r="Y679" s="893"/>
      <c r="Z679" s="893"/>
      <c r="AA679" s="893"/>
      <c r="AB679" s="893"/>
      <c r="AC679" s="893"/>
      <c r="AD679" s="1"/>
      <c r="AE679" s="1376"/>
      <c r="AF679" s="893"/>
      <c r="AG679" s="893"/>
      <c r="AH679" s="893"/>
      <c r="AI679" s="893"/>
      <c r="AJ679" s="893"/>
      <c r="AK679" s="893"/>
      <c r="AL679" s="422"/>
      <c r="AM679" s="117"/>
      <c r="AN679" s="424"/>
      <c r="AO679" s="117" t="s">
        <v>855</v>
      </c>
      <c r="AP679" s="521">
        <v>0</v>
      </c>
      <c r="AQ679" s="117"/>
      <c r="AR679" s="117"/>
      <c r="AS679" s="117"/>
      <c r="AT679" s="117"/>
      <c r="AU679" s="117"/>
      <c r="AV679" s="117"/>
      <c r="AW679" s="117"/>
      <c r="AX679" s="117"/>
      <c r="AY679" s="117"/>
      <c r="AZ679" s="117"/>
      <c r="BA679" s="117"/>
      <c r="BB679" s="117"/>
      <c r="BC679" s="117"/>
      <c r="BD679" s="117"/>
      <c r="BE679" s="117"/>
      <c r="BF679" s="117"/>
      <c r="BG679" s="117"/>
      <c r="BH679" s="117"/>
      <c r="BI679" s="117"/>
      <c r="BJ679" s="117"/>
      <c r="BK679" s="117"/>
      <c r="BL679" s="117"/>
      <c r="BM679" s="117"/>
      <c r="BN679" s="117"/>
      <c r="BO679" s="117"/>
      <c r="BP679" s="117"/>
      <c r="BQ679" s="117"/>
      <c r="BR679" s="117"/>
      <c r="BS679" s="117"/>
      <c r="BT679" s="117"/>
      <c r="BU679" s="117"/>
      <c r="BV679" s="117"/>
      <c r="BW679" s="117"/>
      <c r="BX679" s="117"/>
      <c r="BY679" s="117"/>
      <c r="BZ679" s="117"/>
      <c r="CA679" s="117"/>
    </row>
    <row r="680" spans="1:79" ht="12.75" customHeight="1">
      <c r="A680" s="63"/>
      <c r="B680" s="1"/>
      <c r="C680" s="1"/>
      <c r="D680" s="41"/>
      <c r="E680" s="893"/>
      <c r="F680" s="893"/>
      <c r="G680" s="893"/>
      <c r="H680" s="893"/>
      <c r="I680" s="893"/>
      <c r="J680" s="893"/>
      <c r="K680" s="893"/>
      <c r="L680" s="893"/>
      <c r="M680" s="893"/>
      <c r="N680" s="893"/>
      <c r="O680" s="893"/>
      <c r="P680" s="893"/>
      <c r="Q680" s="893"/>
      <c r="R680" s="893"/>
      <c r="S680" s="893"/>
      <c r="T680" s="893"/>
      <c r="U680" s="893"/>
      <c r="V680" s="893"/>
      <c r="W680" s="893"/>
      <c r="X680" s="893"/>
      <c r="Y680" s="893"/>
      <c r="Z680" s="893"/>
      <c r="AA680" s="893"/>
      <c r="AB680" s="893"/>
      <c r="AC680" s="893"/>
      <c r="AD680" s="1"/>
      <c r="AE680" s="1"/>
      <c r="AF680" s="1"/>
      <c r="AG680" s="1"/>
      <c r="AH680" s="1"/>
      <c r="AI680" s="1"/>
      <c r="AJ680" s="1"/>
      <c r="AK680" s="1"/>
      <c r="AL680" s="1"/>
      <c r="AM680" s="117"/>
      <c r="AN680" s="424"/>
      <c r="AO680" s="100" t="s">
        <v>44</v>
      </c>
      <c r="AP680" s="117">
        <v>3</v>
      </c>
      <c r="AQ680" s="117"/>
      <c r="AR680" s="117"/>
      <c r="AS680" s="117"/>
      <c r="AT680" s="117"/>
      <c r="AU680" s="117"/>
      <c r="AV680" s="117"/>
      <c r="AW680" s="117"/>
      <c r="AX680" s="117"/>
      <c r="AY680" s="117"/>
      <c r="AZ680" s="117"/>
      <c r="BA680" s="117"/>
      <c r="BB680" s="117"/>
      <c r="BC680" s="117"/>
      <c r="BD680" s="117"/>
      <c r="BE680" s="117"/>
      <c r="BF680" s="117"/>
      <c r="BG680" s="117"/>
      <c r="BH680" s="117"/>
      <c r="BI680" s="117"/>
      <c r="BJ680" s="117"/>
      <c r="BK680" s="117"/>
      <c r="BL680" s="117"/>
      <c r="BM680" s="117"/>
      <c r="BN680" s="117"/>
      <c r="BO680" s="117"/>
      <c r="BP680" s="117"/>
      <c r="BQ680" s="117"/>
      <c r="BR680" s="117"/>
      <c r="BS680" s="117"/>
      <c r="BT680" s="117"/>
      <c r="BU680" s="117"/>
      <c r="BV680" s="117"/>
      <c r="BW680" s="117"/>
      <c r="BX680" s="117"/>
      <c r="BY680" s="117"/>
      <c r="BZ680" s="117"/>
      <c r="CA680" s="117"/>
    </row>
    <row r="681" spans="1:79" ht="12.75" customHeight="1">
      <c r="A681" s="117"/>
      <c r="B681" s="1"/>
      <c r="C681" s="194"/>
      <c r="D681" s="41"/>
      <c r="E681" s="221"/>
      <c r="F681" s="221"/>
      <c r="G681" s="221"/>
      <c r="H681" s="221"/>
      <c r="I681" s="221"/>
      <c r="J681" s="221"/>
      <c r="K681" s="221"/>
      <c r="L681" s="221"/>
      <c r="M681" s="221"/>
      <c r="N681" s="221"/>
      <c r="O681" s="221"/>
      <c r="P681" s="221"/>
      <c r="Q681" s="221"/>
      <c r="R681" s="221"/>
      <c r="S681" s="221"/>
      <c r="T681" s="221"/>
      <c r="U681" s="221"/>
      <c r="V681" s="221"/>
      <c r="W681" s="221"/>
      <c r="X681" s="221"/>
      <c r="Y681" s="221"/>
      <c r="Z681" s="221"/>
      <c r="AA681" s="221"/>
      <c r="AB681" s="221"/>
      <c r="AC681" s="1"/>
      <c r="AD681" s="1"/>
      <c r="AE681" s="1"/>
      <c r="AF681" s="1"/>
      <c r="AG681" s="1"/>
      <c r="AH681" s="1"/>
      <c r="AI681" s="1"/>
      <c r="AJ681" s="1"/>
      <c r="AK681" s="1"/>
      <c r="AL681" s="1"/>
      <c r="AM681" s="117"/>
      <c r="AN681" s="424"/>
      <c r="AO681" s="100" t="s">
        <v>51</v>
      </c>
      <c r="AP681" s="117">
        <v>2</v>
      </c>
      <c r="AQ681" s="117"/>
      <c r="AR681" s="117"/>
      <c r="AS681" s="117"/>
      <c r="AT681" s="117"/>
      <c r="AU681" s="117"/>
      <c r="AV681" s="117"/>
      <c r="AW681" s="117"/>
      <c r="AX681" s="117"/>
      <c r="AY681" s="117"/>
      <c r="AZ681" s="117"/>
      <c r="BA681" s="117"/>
      <c r="BB681" s="117"/>
      <c r="BC681" s="117"/>
      <c r="BD681" s="117"/>
      <c r="BE681" s="117"/>
      <c r="BF681" s="117"/>
      <c r="BG681" s="117"/>
      <c r="BH681" s="117"/>
      <c r="BI681" s="117"/>
      <c r="BJ681" s="117"/>
      <c r="BK681" s="117"/>
      <c r="BL681" s="117"/>
      <c r="BM681" s="117"/>
      <c r="BN681" s="117"/>
      <c r="BO681" s="117"/>
      <c r="BP681" s="117"/>
      <c r="BQ681" s="117"/>
      <c r="BR681" s="117"/>
      <c r="BS681" s="117"/>
      <c r="BT681" s="117"/>
      <c r="BU681" s="117"/>
      <c r="BV681" s="117"/>
      <c r="BW681" s="117"/>
      <c r="BX681" s="117"/>
      <c r="BY681" s="117"/>
      <c r="BZ681" s="117"/>
      <c r="CA681" s="117"/>
    </row>
    <row r="682" spans="1:79" ht="12.75" customHeight="1">
      <c r="A682" s="730"/>
      <c r="B682" s="1"/>
      <c r="C682" s="731"/>
      <c r="D682" s="41" t="s">
        <v>2359</v>
      </c>
      <c r="E682" s="895" t="s">
        <v>2420</v>
      </c>
      <c r="F682" s="893"/>
      <c r="G682" s="893"/>
      <c r="H682" s="893"/>
      <c r="I682" s="893"/>
      <c r="J682" s="893"/>
      <c r="K682" s="893"/>
      <c r="L682" s="893"/>
      <c r="M682" s="893"/>
      <c r="N682" s="893"/>
      <c r="O682" s="893"/>
      <c r="P682" s="893"/>
      <c r="Q682" s="893"/>
      <c r="R682" s="893"/>
      <c r="S682" s="893"/>
      <c r="T682" s="893"/>
      <c r="U682" s="893"/>
      <c r="V682" s="893"/>
      <c r="W682" s="893"/>
      <c r="X682" s="893"/>
      <c r="Y682" s="893"/>
      <c r="Z682" s="893"/>
      <c r="AA682" s="893"/>
      <c r="AB682" s="893"/>
      <c r="AC682" s="893"/>
      <c r="AD682" s="1"/>
      <c r="AE682" s="1"/>
      <c r="AF682" s="1376" t="s">
        <v>2368</v>
      </c>
      <c r="AG682" s="893"/>
      <c r="AH682" s="893"/>
      <c r="AI682" s="893"/>
      <c r="AJ682" s="893"/>
      <c r="AK682" s="893"/>
      <c r="AL682" s="893"/>
      <c r="AM682" s="117"/>
      <c r="AN682" s="424"/>
      <c r="AO682" s="117"/>
      <c r="AP682" s="117"/>
      <c r="AQ682" s="117"/>
      <c r="AR682" s="117"/>
      <c r="AS682" s="117"/>
      <c r="AT682" s="117"/>
      <c r="AU682" s="117"/>
      <c r="AV682" s="117"/>
      <c r="AW682" s="117"/>
      <c r="AX682" s="117"/>
      <c r="AY682" s="117"/>
      <c r="AZ682" s="117"/>
      <c r="BA682" s="117"/>
      <c r="BB682" s="117"/>
      <c r="BC682" s="117"/>
      <c r="BD682" s="117"/>
      <c r="BE682" s="117"/>
      <c r="BF682" s="117"/>
      <c r="BG682" s="117"/>
      <c r="BH682" s="117"/>
      <c r="BI682" s="117"/>
      <c r="BJ682" s="117"/>
      <c r="BK682" s="117"/>
      <c r="BL682" s="117"/>
      <c r="BM682" s="117"/>
      <c r="BN682" s="117"/>
      <c r="BO682" s="117"/>
      <c r="BP682" s="117"/>
      <c r="BQ682" s="117"/>
      <c r="BR682" s="117"/>
      <c r="BS682" s="117"/>
      <c r="BT682" s="117"/>
      <c r="BU682" s="117"/>
      <c r="BV682" s="117"/>
      <c r="BW682" s="117"/>
      <c r="BX682" s="117"/>
      <c r="BY682" s="117"/>
      <c r="BZ682" s="117"/>
      <c r="CA682" s="117"/>
    </row>
    <row r="683" spans="1:79" ht="12.75" customHeight="1">
      <c r="A683" s="730"/>
      <c r="B683" s="1"/>
      <c r="C683" s="731"/>
      <c r="D683" s="41"/>
      <c r="E683" s="893"/>
      <c r="F683" s="893"/>
      <c r="G683" s="893"/>
      <c r="H683" s="893"/>
      <c r="I683" s="893"/>
      <c r="J683" s="893"/>
      <c r="K683" s="893"/>
      <c r="L683" s="893"/>
      <c r="M683" s="893"/>
      <c r="N683" s="893"/>
      <c r="O683" s="893"/>
      <c r="P683" s="893"/>
      <c r="Q683" s="893"/>
      <c r="R683" s="893"/>
      <c r="S683" s="893"/>
      <c r="T683" s="893"/>
      <c r="U683" s="893"/>
      <c r="V683" s="893"/>
      <c r="W683" s="893"/>
      <c r="X683" s="893"/>
      <c r="Y683" s="893"/>
      <c r="Z683" s="893"/>
      <c r="AA683" s="893"/>
      <c r="AB683" s="893"/>
      <c r="AC683" s="893"/>
      <c r="AD683" s="1"/>
      <c r="AE683" s="422"/>
      <c r="AF683" s="422"/>
      <c r="AG683" s="422"/>
      <c r="AH683" s="422"/>
      <c r="AI683" s="422"/>
      <c r="AJ683" s="422"/>
      <c r="AK683" s="422"/>
      <c r="AL683" s="422"/>
      <c r="AM683" s="514"/>
      <c r="AN683" s="424"/>
      <c r="AO683" s="117"/>
      <c r="AP683" s="117"/>
      <c r="AQ683" s="117"/>
      <c r="AR683" s="117"/>
      <c r="AS683" s="117"/>
      <c r="AT683" s="117"/>
      <c r="AU683" s="117"/>
      <c r="AV683" s="117"/>
      <c r="AW683" s="117"/>
      <c r="AX683" s="117"/>
      <c r="AY683" s="117"/>
      <c r="AZ683" s="117"/>
      <c r="BA683" s="117"/>
      <c r="BB683" s="117"/>
      <c r="BC683" s="117"/>
      <c r="BD683" s="117"/>
      <c r="BE683" s="117"/>
      <c r="BF683" s="117"/>
      <c r="BG683" s="117"/>
      <c r="BH683" s="117"/>
      <c r="BI683" s="117"/>
      <c r="BJ683" s="117"/>
      <c r="BK683" s="117"/>
      <c r="BL683" s="117"/>
      <c r="BM683" s="117"/>
      <c r="BN683" s="117"/>
      <c r="BO683" s="117"/>
      <c r="BP683" s="117"/>
      <c r="BQ683" s="117"/>
      <c r="BR683" s="117"/>
      <c r="BS683" s="117"/>
      <c r="BT683" s="117"/>
      <c r="BU683" s="117"/>
      <c r="BV683" s="117"/>
      <c r="BW683" s="117"/>
      <c r="BX683" s="117"/>
      <c r="BY683" s="117"/>
      <c r="BZ683" s="117"/>
      <c r="CA683" s="117"/>
    </row>
    <row r="684" spans="1:79" ht="12.75" customHeight="1">
      <c r="A684" s="730"/>
      <c r="B684" s="1"/>
      <c r="C684" s="731"/>
      <c r="D684" s="41"/>
      <c r="E684" s="893"/>
      <c r="F684" s="893"/>
      <c r="G684" s="893"/>
      <c r="H684" s="893"/>
      <c r="I684" s="893"/>
      <c r="J684" s="893"/>
      <c r="K684" s="893"/>
      <c r="L684" s="893"/>
      <c r="M684" s="893"/>
      <c r="N684" s="893"/>
      <c r="O684" s="893"/>
      <c r="P684" s="893"/>
      <c r="Q684" s="893"/>
      <c r="R684" s="893"/>
      <c r="S684" s="893"/>
      <c r="T684" s="893"/>
      <c r="U684" s="893"/>
      <c r="V684" s="893"/>
      <c r="W684" s="893"/>
      <c r="X684" s="893"/>
      <c r="Y684" s="893"/>
      <c r="Z684" s="893"/>
      <c r="AA684" s="893"/>
      <c r="AB684" s="893"/>
      <c r="AC684" s="893"/>
      <c r="AD684" s="1"/>
      <c r="AE684" s="422"/>
      <c r="AF684" s="422"/>
      <c r="AG684" s="422"/>
      <c r="AH684" s="422"/>
      <c r="AI684" s="422"/>
      <c r="AJ684" s="422"/>
      <c r="AK684" s="422"/>
      <c r="AL684" s="422"/>
      <c r="AM684" s="514"/>
      <c r="AN684" s="424"/>
      <c r="AO684" s="117"/>
      <c r="AP684" s="117"/>
      <c r="AQ684" s="117"/>
      <c r="AR684" s="117"/>
      <c r="AS684" s="117"/>
      <c r="AT684" s="117"/>
      <c r="AU684" s="117"/>
      <c r="AV684" s="117"/>
      <c r="AW684" s="117"/>
      <c r="AX684" s="117"/>
      <c r="AY684" s="117"/>
      <c r="AZ684" s="117"/>
      <c r="BA684" s="117"/>
      <c r="BB684" s="117"/>
      <c r="BC684" s="117"/>
      <c r="BD684" s="117"/>
      <c r="BE684" s="117"/>
      <c r="BF684" s="117"/>
      <c r="BG684" s="117"/>
      <c r="BH684" s="117"/>
      <c r="BI684" s="117"/>
      <c r="BJ684" s="117"/>
      <c r="BK684" s="117"/>
      <c r="BL684" s="117"/>
      <c r="BM684" s="117"/>
      <c r="BN684" s="117"/>
      <c r="BO684" s="117"/>
      <c r="BP684" s="117"/>
      <c r="BQ684" s="117"/>
      <c r="BR684" s="117"/>
      <c r="BS684" s="117"/>
      <c r="BT684" s="117"/>
      <c r="BU684" s="117"/>
      <c r="BV684" s="117"/>
      <c r="BW684" s="117"/>
      <c r="BX684" s="117"/>
      <c r="BY684" s="117"/>
      <c r="BZ684" s="117"/>
      <c r="CA684" s="117"/>
    </row>
    <row r="685" spans="1:79" ht="12.75" customHeight="1">
      <c r="A685" s="117"/>
      <c r="B685" s="1"/>
      <c r="C685" s="194"/>
      <c r="D685" s="41"/>
      <c r="E685" s="4"/>
      <c r="F685" s="4"/>
      <c r="G685" s="4"/>
      <c r="H685" s="4"/>
      <c r="I685" s="4"/>
      <c r="J685" s="4"/>
      <c r="K685" s="4"/>
      <c r="L685" s="4"/>
      <c r="M685" s="4"/>
      <c r="N685" s="4"/>
      <c r="O685" s="4"/>
      <c r="P685" s="4"/>
      <c r="Q685" s="4"/>
      <c r="R685" s="4"/>
      <c r="S685" s="4"/>
      <c r="T685" s="4"/>
      <c r="U685" s="4"/>
      <c r="V685" s="4"/>
      <c r="W685" s="4"/>
      <c r="X685" s="4"/>
      <c r="Y685" s="4"/>
      <c r="Z685" s="4"/>
      <c r="AA685" s="4"/>
      <c r="AB685" s="4"/>
      <c r="AC685" s="8"/>
      <c r="AD685" s="8"/>
      <c r="AE685" s="1"/>
      <c r="AF685" s="1"/>
      <c r="AG685" s="1"/>
      <c r="AH685" s="1"/>
      <c r="AI685" s="1"/>
      <c r="AJ685" s="1"/>
      <c r="AK685" s="1"/>
      <c r="AL685" s="422"/>
      <c r="AM685" s="514"/>
      <c r="AN685" s="424"/>
      <c r="AO685" s="117"/>
      <c r="AP685" s="117"/>
      <c r="AQ685" s="117"/>
      <c r="AR685" s="117"/>
      <c r="AS685" s="117"/>
      <c r="AT685" s="117"/>
      <c r="AU685" s="117"/>
      <c r="AV685" s="117"/>
      <c r="AW685" s="117"/>
      <c r="AX685" s="117"/>
      <c r="AY685" s="117"/>
      <c r="AZ685" s="117"/>
      <c r="BA685" s="117"/>
      <c r="BB685" s="117"/>
      <c r="BC685" s="117"/>
      <c r="BD685" s="117"/>
      <c r="BE685" s="117"/>
      <c r="BF685" s="117"/>
      <c r="BG685" s="117"/>
      <c r="BH685" s="117"/>
      <c r="BI685" s="117"/>
      <c r="BJ685" s="117"/>
      <c r="BK685" s="117"/>
      <c r="BL685" s="117"/>
      <c r="BM685" s="117"/>
      <c r="BN685" s="117"/>
      <c r="BO685" s="117"/>
      <c r="BP685" s="117"/>
      <c r="BQ685" s="117"/>
      <c r="BR685" s="117"/>
      <c r="BS685" s="117"/>
      <c r="BT685" s="117"/>
      <c r="BU685" s="117"/>
      <c r="BV685" s="117"/>
      <c r="BW685" s="117"/>
      <c r="BX685" s="117"/>
      <c r="BY685" s="117"/>
      <c r="BZ685" s="117"/>
      <c r="CA685" s="117"/>
    </row>
    <row r="686" spans="1:79" ht="12.75" customHeight="1">
      <c r="A686" s="117"/>
      <c r="B686" s="1"/>
      <c r="C686" s="194"/>
      <c r="D686" s="41" t="s">
        <v>2362</v>
      </c>
      <c r="E686" s="895" t="s">
        <v>2422</v>
      </c>
      <c r="F686" s="893"/>
      <c r="G686" s="893"/>
      <c r="H686" s="893"/>
      <c r="I686" s="893"/>
      <c r="J686" s="893"/>
      <c r="K686" s="893"/>
      <c r="L686" s="893"/>
      <c r="M686" s="893"/>
      <c r="N686" s="893"/>
      <c r="O686" s="893"/>
      <c r="P686" s="893"/>
      <c r="Q686" s="893"/>
      <c r="R686" s="893"/>
      <c r="S686" s="893"/>
      <c r="T686" s="893"/>
      <c r="U686" s="893"/>
      <c r="V686" s="893"/>
      <c r="W686" s="893"/>
      <c r="X686" s="893"/>
      <c r="Y686" s="893"/>
      <c r="Z686" s="893"/>
      <c r="AA686" s="893"/>
      <c r="AB686" s="893"/>
      <c r="AC686" s="893"/>
      <c r="AD686" s="1"/>
      <c r="AE686" s="1"/>
      <c r="AF686" s="1376" t="s">
        <v>1959</v>
      </c>
      <c r="AG686" s="893"/>
      <c r="AH686" s="893"/>
      <c r="AI686" s="893"/>
      <c r="AJ686" s="893"/>
      <c r="AK686" s="893"/>
      <c r="AL686" s="893"/>
      <c r="AM686" s="514"/>
      <c r="AN686" s="424"/>
      <c r="AO686" s="117"/>
      <c r="AP686" s="117"/>
      <c r="AQ686" s="117"/>
      <c r="AR686" s="117"/>
      <c r="AS686" s="117"/>
      <c r="AT686" s="117"/>
      <c r="AU686" s="117"/>
      <c r="AV686" s="117"/>
      <c r="AW686" s="117"/>
      <c r="AX686" s="117"/>
      <c r="AY686" s="117"/>
      <c r="AZ686" s="117"/>
      <c r="BA686" s="117"/>
      <c r="BB686" s="117"/>
      <c r="BC686" s="117"/>
      <c r="BD686" s="117"/>
      <c r="BE686" s="117"/>
      <c r="BF686" s="117"/>
      <c r="BG686" s="117"/>
      <c r="BH686" s="117"/>
      <c r="BI686" s="117"/>
      <c r="BJ686" s="117"/>
      <c r="BK686" s="117"/>
      <c r="BL686" s="117"/>
      <c r="BM686" s="117"/>
      <c r="BN686" s="117"/>
      <c r="BO686" s="117"/>
      <c r="BP686" s="117"/>
      <c r="BQ686" s="117"/>
      <c r="BR686" s="117"/>
      <c r="BS686" s="117"/>
      <c r="BT686" s="117"/>
      <c r="BU686" s="117"/>
      <c r="BV686" s="117"/>
      <c r="BW686" s="117"/>
      <c r="BX686" s="117"/>
      <c r="BY686" s="117"/>
      <c r="BZ686" s="117"/>
      <c r="CA686" s="117"/>
    </row>
    <row r="687" spans="1:79" ht="12.75" customHeight="1">
      <c r="A687" s="117"/>
      <c r="B687" s="1"/>
      <c r="C687" s="194"/>
      <c r="D687" s="41"/>
      <c r="E687" s="893"/>
      <c r="F687" s="893"/>
      <c r="G687" s="893"/>
      <c r="H687" s="893"/>
      <c r="I687" s="893"/>
      <c r="J687" s="893"/>
      <c r="K687" s="893"/>
      <c r="L687" s="893"/>
      <c r="M687" s="893"/>
      <c r="N687" s="893"/>
      <c r="O687" s="893"/>
      <c r="P687" s="893"/>
      <c r="Q687" s="893"/>
      <c r="R687" s="893"/>
      <c r="S687" s="893"/>
      <c r="T687" s="893"/>
      <c r="U687" s="893"/>
      <c r="V687" s="893"/>
      <c r="W687" s="893"/>
      <c r="X687" s="893"/>
      <c r="Y687" s="893"/>
      <c r="Z687" s="893"/>
      <c r="AA687" s="893"/>
      <c r="AB687" s="893"/>
      <c r="AC687" s="893"/>
      <c r="AD687" s="1"/>
      <c r="AE687" s="1"/>
      <c r="AF687" s="1"/>
      <c r="AG687" s="1"/>
      <c r="AH687" s="1"/>
      <c r="AI687" s="1"/>
      <c r="AJ687" s="1"/>
      <c r="AK687" s="1"/>
      <c r="AL687" s="1"/>
      <c r="AM687" s="514"/>
      <c r="AN687" s="424"/>
      <c r="AO687" s="117"/>
      <c r="AP687" s="117"/>
      <c r="AQ687" s="117"/>
      <c r="AR687" s="117"/>
      <c r="AS687" s="117"/>
      <c r="AT687" s="117"/>
      <c r="AU687" s="117"/>
      <c r="AV687" s="117"/>
      <c r="AW687" s="117"/>
      <c r="AX687" s="117"/>
      <c r="AY687" s="117"/>
      <c r="AZ687" s="117"/>
      <c r="BA687" s="117"/>
      <c r="BB687" s="117"/>
      <c r="BC687" s="117"/>
      <c r="BD687" s="117"/>
      <c r="BE687" s="117"/>
      <c r="BF687" s="117"/>
      <c r="BG687" s="117"/>
      <c r="BH687" s="117"/>
      <c r="BI687" s="117"/>
      <c r="BJ687" s="117"/>
      <c r="BK687" s="117"/>
      <c r="BL687" s="117"/>
      <c r="BM687" s="117"/>
      <c r="BN687" s="117"/>
      <c r="BO687" s="117"/>
      <c r="BP687" s="117"/>
      <c r="BQ687" s="117"/>
      <c r="BR687" s="117"/>
      <c r="BS687" s="117"/>
      <c r="BT687" s="117"/>
      <c r="BU687" s="117"/>
      <c r="BV687" s="117"/>
      <c r="BW687" s="117"/>
      <c r="BX687" s="117"/>
      <c r="BY687" s="117"/>
      <c r="BZ687" s="117"/>
      <c r="CA687" s="117"/>
    </row>
    <row r="688" spans="1:79" ht="12.75" customHeight="1">
      <c r="A688" s="117"/>
      <c r="B688" s="1"/>
      <c r="C688" s="194"/>
      <c r="D688" s="41"/>
      <c r="E688" s="893"/>
      <c r="F688" s="893"/>
      <c r="G688" s="893"/>
      <c r="H688" s="893"/>
      <c r="I688" s="893"/>
      <c r="J688" s="893"/>
      <c r="K688" s="893"/>
      <c r="L688" s="893"/>
      <c r="M688" s="893"/>
      <c r="N688" s="893"/>
      <c r="O688" s="893"/>
      <c r="P688" s="893"/>
      <c r="Q688" s="893"/>
      <c r="R688" s="893"/>
      <c r="S688" s="893"/>
      <c r="T688" s="893"/>
      <c r="U688" s="893"/>
      <c r="V688" s="893"/>
      <c r="W688" s="893"/>
      <c r="X688" s="893"/>
      <c r="Y688" s="893"/>
      <c r="Z688" s="893"/>
      <c r="AA688" s="893"/>
      <c r="AB688" s="893"/>
      <c r="AC688" s="893"/>
      <c r="AD688" s="1"/>
      <c r="AE688" s="1"/>
      <c r="AF688" s="1"/>
      <c r="AG688" s="1"/>
      <c r="AH688" s="1"/>
      <c r="AI688" s="1"/>
      <c r="AJ688" s="1"/>
      <c r="AK688" s="1"/>
      <c r="AL688" s="1"/>
      <c r="AM688" s="514"/>
      <c r="AN688" s="424"/>
      <c r="AO688" s="117"/>
      <c r="AP688" s="117"/>
      <c r="AQ688" s="117"/>
      <c r="AR688" s="117"/>
      <c r="AS688" s="117"/>
      <c r="AT688" s="117"/>
      <c r="AU688" s="117"/>
      <c r="AV688" s="117"/>
      <c r="AW688" s="117"/>
      <c r="AX688" s="117"/>
      <c r="AY688" s="117"/>
      <c r="AZ688" s="117"/>
      <c r="BA688" s="117"/>
      <c r="BB688" s="117"/>
      <c r="BC688" s="117"/>
      <c r="BD688" s="117"/>
      <c r="BE688" s="117"/>
      <c r="BF688" s="117"/>
      <c r="BG688" s="117"/>
      <c r="BH688" s="117"/>
      <c r="BI688" s="117"/>
      <c r="BJ688" s="117"/>
      <c r="BK688" s="117"/>
      <c r="BL688" s="117"/>
      <c r="BM688" s="117"/>
      <c r="BN688" s="117"/>
      <c r="BO688" s="117"/>
      <c r="BP688" s="117"/>
      <c r="BQ688" s="117"/>
      <c r="BR688" s="117"/>
      <c r="BS688" s="117"/>
      <c r="BT688" s="117"/>
      <c r="BU688" s="117"/>
      <c r="BV688" s="117"/>
      <c r="BW688" s="117"/>
      <c r="BX688" s="117"/>
      <c r="BY688" s="117"/>
      <c r="BZ688" s="117"/>
      <c r="CA688" s="117"/>
    </row>
    <row r="689" spans="1:79" ht="12.75" customHeight="1">
      <c r="A689" s="117"/>
      <c r="B689" s="1"/>
      <c r="C689" s="194"/>
      <c r="D689" s="4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514"/>
      <c r="AN689" s="424"/>
      <c r="AO689" s="117"/>
      <c r="AP689" s="117"/>
      <c r="AQ689" s="117"/>
      <c r="AR689" s="117"/>
      <c r="AS689" s="117"/>
      <c r="AT689" s="117"/>
      <c r="AU689" s="117"/>
      <c r="AV689" s="117"/>
      <c r="AW689" s="117"/>
      <c r="AX689" s="117"/>
      <c r="AY689" s="117"/>
      <c r="AZ689" s="117"/>
      <c r="BA689" s="117"/>
      <c r="BB689" s="117"/>
      <c r="BC689" s="117"/>
      <c r="BD689" s="117"/>
      <c r="BE689" s="117"/>
      <c r="BF689" s="117"/>
      <c r="BG689" s="117"/>
      <c r="BH689" s="117"/>
      <c r="BI689" s="117"/>
      <c r="BJ689" s="117"/>
      <c r="BK689" s="117"/>
      <c r="BL689" s="117"/>
      <c r="BM689" s="117"/>
      <c r="BN689" s="117"/>
      <c r="BO689" s="117"/>
      <c r="BP689" s="117"/>
      <c r="BQ689" s="117"/>
      <c r="BR689" s="117"/>
      <c r="BS689" s="117"/>
      <c r="BT689" s="117"/>
      <c r="BU689" s="117"/>
      <c r="BV689" s="117"/>
      <c r="BW689" s="117"/>
      <c r="BX689" s="117"/>
      <c r="BY689" s="117"/>
      <c r="BZ689" s="117"/>
      <c r="CA689" s="117"/>
    </row>
    <row r="690" spans="1:79" ht="12.75" customHeight="1">
      <c r="A690" s="63"/>
      <c r="B690" s="1"/>
      <c r="C690" s="194"/>
      <c r="D690" s="41" t="s">
        <v>2404</v>
      </c>
      <c r="E690" s="895" t="s">
        <v>2424</v>
      </c>
      <c r="F690" s="893"/>
      <c r="G690" s="893"/>
      <c r="H690" s="893"/>
      <c r="I690" s="893"/>
      <c r="J690" s="893"/>
      <c r="K690" s="893"/>
      <c r="L690" s="893"/>
      <c r="M690" s="893"/>
      <c r="N690" s="893"/>
      <c r="O690" s="893"/>
      <c r="P690" s="893"/>
      <c r="Q690" s="893"/>
      <c r="R690" s="893"/>
      <c r="S690" s="893"/>
      <c r="T690" s="893"/>
      <c r="U690" s="893"/>
      <c r="V690" s="893"/>
      <c r="W690" s="893"/>
      <c r="X690" s="893"/>
      <c r="Y690" s="893"/>
      <c r="Z690" s="893"/>
      <c r="AA690" s="893"/>
      <c r="AB690" s="893"/>
      <c r="AC690" s="893"/>
      <c r="AD690" s="1"/>
      <c r="AE690" s="1"/>
      <c r="AF690" s="1376" t="s">
        <v>2402</v>
      </c>
      <c r="AG690" s="893"/>
      <c r="AH690" s="893"/>
      <c r="AI690" s="893"/>
      <c r="AJ690" s="893"/>
      <c r="AK690" s="893"/>
      <c r="AL690" s="893"/>
      <c r="AM690" s="514"/>
      <c r="AN690" s="424"/>
      <c r="AO690" s="117"/>
      <c r="AP690" s="117"/>
      <c r="AQ690" s="117"/>
      <c r="AR690" s="117"/>
      <c r="AS690" s="117"/>
      <c r="AT690" s="117"/>
      <c r="AU690" s="117"/>
      <c r="AV690" s="117"/>
      <c r="AW690" s="117"/>
      <c r="AX690" s="117"/>
      <c r="AY690" s="117"/>
      <c r="AZ690" s="117"/>
      <c r="BA690" s="117"/>
      <c r="BB690" s="117"/>
      <c r="BC690" s="117"/>
      <c r="BD690" s="117"/>
      <c r="BE690" s="117"/>
      <c r="BF690" s="117"/>
      <c r="BG690" s="117"/>
      <c r="BH690" s="117"/>
      <c r="BI690" s="117"/>
      <c r="BJ690" s="117"/>
      <c r="BK690" s="117"/>
      <c r="BL690" s="117"/>
      <c r="BM690" s="117"/>
      <c r="BN690" s="117"/>
      <c r="BO690" s="117"/>
      <c r="BP690" s="117"/>
      <c r="BQ690" s="117"/>
      <c r="BR690" s="117"/>
      <c r="BS690" s="117"/>
      <c r="BT690" s="117"/>
      <c r="BU690" s="117"/>
      <c r="BV690" s="117"/>
      <c r="BW690" s="117"/>
      <c r="BX690" s="117"/>
      <c r="BY690" s="117"/>
      <c r="BZ690" s="117"/>
      <c r="CA690" s="117"/>
    </row>
    <row r="691" spans="1:79" ht="12.75" customHeight="1">
      <c r="A691" s="63"/>
      <c r="B691" s="1"/>
      <c r="C691" s="194"/>
      <c r="D691" s="41"/>
      <c r="E691" s="893"/>
      <c r="F691" s="893"/>
      <c r="G691" s="893"/>
      <c r="H691" s="893"/>
      <c r="I691" s="893"/>
      <c r="J691" s="893"/>
      <c r="K691" s="893"/>
      <c r="L691" s="893"/>
      <c r="M691" s="893"/>
      <c r="N691" s="893"/>
      <c r="O691" s="893"/>
      <c r="P691" s="893"/>
      <c r="Q691" s="893"/>
      <c r="R691" s="893"/>
      <c r="S691" s="893"/>
      <c r="T691" s="893"/>
      <c r="U691" s="893"/>
      <c r="V691" s="893"/>
      <c r="W691" s="893"/>
      <c r="X691" s="893"/>
      <c r="Y691" s="893"/>
      <c r="Z691" s="893"/>
      <c r="AA691" s="893"/>
      <c r="AB691" s="893"/>
      <c r="AC691" s="893"/>
      <c r="AD691" s="1"/>
      <c r="AE691" s="1"/>
      <c r="AF691" s="422"/>
      <c r="AG691" s="422"/>
      <c r="AH691" s="422"/>
      <c r="AI691" s="422"/>
      <c r="AJ691" s="422"/>
      <c r="AK691" s="422"/>
      <c r="AL691" s="422"/>
      <c r="AM691" s="514"/>
      <c r="AN691" s="424"/>
      <c r="AO691" s="117"/>
      <c r="AP691" s="117"/>
      <c r="AQ691" s="117"/>
      <c r="AR691" s="117"/>
      <c r="AS691" s="117"/>
      <c r="AT691" s="117"/>
      <c r="AU691" s="117"/>
      <c r="AV691" s="117"/>
      <c r="AW691" s="117"/>
      <c r="AX691" s="117"/>
      <c r="AY691" s="117"/>
      <c r="AZ691" s="117"/>
      <c r="BA691" s="117"/>
      <c r="BB691" s="117"/>
      <c r="BC691" s="117"/>
      <c r="BD691" s="117"/>
      <c r="BE691" s="117"/>
      <c r="BF691" s="117"/>
      <c r="BG691" s="117"/>
      <c r="BH691" s="117"/>
      <c r="BI691" s="117"/>
      <c r="BJ691" s="117"/>
      <c r="BK691" s="117"/>
      <c r="BL691" s="117"/>
      <c r="BM691" s="117"/>
      <c r="BN691" s="117"/>
      <c r="BO691" s="117"/>
      <c r="BP691" s="117"/>
      <c r="BQ691" s="117"/>
      <c r="BR691" s="117"/>
      <c r="BS691" s="117"/>
      <c r="BT691" s="117"/>
      <c r="BU691" s="117"/>
      <c r="BV691" s="117"/>
      <c r="BW691" s="117"/>
      <c r="BX691" s="117"/>
      <c r="BY691" s="117"/>
      <c r="BZ691" s="117"/>
      <c r="CA691" s="117"/>
    </row>
    <row r="692" spans="1:79" ht="12.75" customHeight="1">
      <c r="A692" s="63"/>
      <c r="B692" s="1"/>
      <c r="C692" s="194"/>
      <c r="D692" s="41"/>
      <c r="E692" s="893"/>
      <c r="F692" s="893"/>
      <c r="G692" s="893"/>
      <c r="H692" s="893"/>
      <c r="I692" s="893"/>
      <c r="J692" s="893"/>
      <c r="K692" s="893"/>
      <c r="L692" s="893"/>
      <c r="M692" s="893"/>
      <c r="N692" s="893"/>
      <c r="O692" s="893"/>
      <c r="P692" s="893"/>
      <c r="Q692" s="893"/>
      <c r="R692" s="893"/>
      <c r="S692" s="893"/>
      <c r="T692" s="893"/>
      <c r="U692" s="893"/>
      <c r="V692" s="893"/>
      <c r="W692" s="893"/>
      <c r="X692" s="893"/>
      <c r="Y692" s="893"/>
      <c r="Z692" s="893"/>
      <c r="AA692" s="893"/>
      <c r="AB692" s="893"/>
      <c r="AC692" s="893"/>
      <c r="AD692" s="1"/>
      <c r="AE692" s="422"/>
      <c r="AF692" s="422"/>
      <c r="AG692" s="422"/>
      <c r="AH692" s="422"/>
      <c r="AI692" s="422"/>
      <c r="AJ692" s="422"/>
      <c r="AK692" s="422"/>
      <c r="AL692" s="422"/>
      <c r="AM692" s="514"/>
      <c r="AN692" s="424"/>
      <c r="AO692" s="117"/>
      <c r="AP692" s="117"/>
      <c r="AQ692" s="117"/>
      <c r="AR692" s="117"/>
      <c r="AS692" s="117"/>
      <c r="AT692" s="117"/>
      <c r="AU692" s="117"/>
      <c r="AV692" s="117"/>
      <c r="AW692" s="117"/>
      <c r="AX692" s="117"/>
      <c r="AY692" s="117"/>
      <c r="AZ692" s="117"/>
      <c r="BA692" s="117"/>
      <c r="BB692" s="117"/>
      <c r="BC692" s="117"/>
      <c r="BD692" s="117"/>
      <c r="BE692" s="117"/>
      <c r="BF692" s="117"/>
      <c r="BG692" s="117"/>
      <c r="BH692" s="117"/>
      <c r="BI692" s="117"/>
      <c r="BJ692" s="117"/>
      <c r="BK692" s="117"/>
      <c r="BL692" s="117"/>
      <c r="BM692" s="117"/>
      <c r="BN692" s="117"/>
      <c r="BO692" s="117"/>
      <c r="BP692" s="117"/>
      <c r="BQ692" s="117"/>
      <c r="BR692" s="117"/>
      <c r="BS692" s="117"/>
      <c r="BT692" s="117"/>
      <c r="BU692" s="117"/>
      <c r="BV692" s="117"/>
      <c r="BW692" s="117"/>
      <c r="BX692" s="117"/>
      <c r="BY692" s="117"/>
      <c r="BZ692" s="117"/>
      <c r="CA692" s="117"/>
    </row>
    <row r="693" spans="1:79" ht="12.75" customHeight="1">
      <c r="A693" s="63"/>
      <c r="B693" s="1"/>
      <c r="C693" s="194"/>
      <c r="D693" s="41"/>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1"/>
      <c r="AE693" s="422"/>
      <c r="AF693" s="1"/>
      <c r="AG693" s="1"/>
      <c r="AH693" s="1"/>
      <c r="AI693" s="1"/>
      <c r="AJ693" s="1"/>
      <c r="AK693" s="1"/>
      <c r="AL693" s="1"/>
      <c r="AM693" s="514"/>
      <c r="AN693" s="424"/>
      <c r="AO693" s="117" t="s">
        <v>855</v>
      </c>
      <c r="AP693" s="521">
        <v>0</v>
      </c>
      <c r="AQ693" s="117"/>
      <c r="AR693" s="117"/>
      <c r="AS693" s="117"/>
      <c r="AT693" s="117"/>
      <c r="AU693" s="117"/>
      <c r="AV693" s="117"/>
      <c r="AW693" s="117"/>
      <c r="AX693" s="117"/>
      <c r="AY693" s="117"/>
      <c r="AZ693" s="117"/>
      <c r="BA693" s="117"/>
      <c r="BB693" s="117"/>
      <c r="BC693" s="117"/>
      <c r="BD693" s="117"/>
      <c r="BE693" s="117"/>
      <c r="BF693" s="117"/>
      <c r="BG693" s="117"/>
      <c r="BH693" s="117"/>
      <c r="BI693" s="117"/>
      <c r="BJ693" s="117"/>
      <c r="BK693" s="117"/>
      <c r="BL693" s="117"/>
      <c r="BM693" s="117"/>
      <c r="BN693" s="117"/>
      <c r="BO693" s="117"/>
      <c r="BP693" s="117"/>
      <c r="BQ693" s="117"/>
      <c r="BR693" s="117"/>
      <c r="BS693" s="117"/>
      <c r="BT693" s="117"/>
      <c r="BU693" s="117"/>
      <c r="BV693" s="117"/>
      <c r="BW693" s="117"/>
      <c r="BX693" s="117"/>
      <c r="BY693" s="117"/>
      <c r="BZ693" s="117"/>
      <c r="CA693" s="117"/>
    </row>
    <row r="694" spans="1:79" ht="12.75" customHeight="1">
      <c r="A694" s="63"/>
      <c r="B694" s="1"/>
      <c r="C694" s="194"/>
      <c r="D694" s="41" t="s">
        <v>2406</v>
      </c>
      <c r="E694" s="895" t="s">
        <v>2425</v>
      </c>
      <c r="F694" s="893"/>
      <c r="G694" s="893"/>
      <c r="H694" s="893"/>
      <c r="I694" s="893"/>
      <c r="J694" s="893"/>
      <c r="K694" s="893"/>
      <c r="L694" s="893"/>
      <c r="M694" s="893"/>
      <c r="N694" s="893"/>
      <c r="O694" s="893"/>
      <c r="P694" s="893"/>
      <c r="Q694" s="893"/>
      <c r="R694" s="893"/>
      <c r="S694" s="893"/>
      <c r="T694" s="893"/>
      <c r="U694" s="893"/>
      <c r="V694" s="893"/>
      <c r="W694" s="893"/>
      <c r="X694" s="893"/>
      <c r="Y694" s="893"/>
      <c r="Z694" s="893"/>
      <c r="AA694" s="893"/>
      <c r="AB694" s="893"/>
      <c r="AC694" s="893"/>
      <c r="AD694" s="1"/>
      <c r="AE694" s="1"/>
      <c r="AF694" s="1376" t="s">
        <v>2426</v>
      </c>
      <c r="AG694" s="893"/>
      <c r="AH694" s="893"/>
      <c r="AI694" s="893"/>
      <c r="AJ694" s="893"/>
      <c r="AK694" s="893"/>
      <c r="AL694" s="893"/>
      <c r="AM694" s="514"/>
      <c r="AN694" s="424"/>
      <c r="AO694" s="100" t="s">
        <v>44</v>
      </c>
      <c r="AP694" s="117">
        <v>3</v>
      </c>
      <c r="AQ694" s="117"/>
      <c r="AR694" s="117"/>
      <c r="AS694" s="117"/>
      <c r="AT694" s="117"/>
      <c r="AU694" s="117"/>
      <c r="AV694" s="117"/>
      <c r="AW694" s="117"/>
      <c r="AX694" s="117"/>
      <c r="AY694" s="117"/>
      <c r="AZ694" s="117"/>
      <c r="BA694" s="117"/>
      <c r="BB694" s="117"/>
      <c r="BC694" s="117"/>
      <c r="BD694" s="117"/>
      <c r="BE694" s="117"/>
      <c r="BF694" s="117"/>
      <c r="BG694" s="117"/>
      <c r="BH694" s="117"/>
      <c r="BI694" s="117"/>
      <c r="BJ694" s="117"/>
      <c r="BK694" s="117"/>
      <c r="BL694" s="117"/>
      <c r="BM694" s="117"/>
      <c r="BN694" s="117"/>
      <c r="BO694" s="117"/>
      <c r="BP694" s="117"/>
      <c r="BQ694" s="117"/>
      <c r="BR694" s="117"/>
      <c r="BS694" s="117"/>
      <c r="BT694" s="117"/>
      <c r="BU694" s="117"/>
      <c r="BV694" s="117"/>
      <c r="BW694" s="117"/>
      <c r="BX694" s="117"/>
      <c r="BY694" s="117"/>
      <c r="BZ694" s="117"/>
      <c r="CA694" s="117"/>
    </row>
    <row r="695" spans="1:79" ht="12.75" customHeight="1">
      <c r="A695" s="63"/>
      <c r="B695" s="1"/>
      <c r="C695" s="194"/>
      <c r="D695" s="41"/>
      <c r="E695" s="893"/>
      <c r="F695" s="893"/>
      <c r="G695" s="893"/>
      <c r="H695" s="893"/>
      <c r="I695" s="893"/>
      <c r="J695" s="893"/>
      <c r="K695" s="893"/>
      <c r="L695" s="893"/>
      <c r="M695" s="893"/>
      <c r="N695" s="893"/>
      <c r="O695" s="893"/>
      <c r="P695" s="893"/>
      <c r="Q695" s="893"/>
      <c r="R695" s="893"/>
      <c r="S695" s="893"/>
      <c r="T695" s="893"/>
      <c r="U695" s="893"/>
      <c r="V695" s="893"/>
      <c r="W695" s="893"/>
      <c r="X695" s="893"/>
      <c r="Y695" s="893"/>
      <c r="Z695" s="893"/>
      <c r="AA695" s="893"/>
      <c r="AB695" s="893"/>
      <c r="AC695" s="893"/>
      <c r="AD695" s="1"/>
      <c r="AE695" s="1"/>
      <c r="AF695" s="422"/>
      <c r="AG695" s="422"/>
      <c r="AH695" s="422"/>
      <c r="AI695" s="422"/>
      <c r="AJ695" s="422"/>
      <c r="AK695" s="422"/>
      <c r="AL695" s="422"/>
      <c r="AM695" s="514"/>
      <c r="AN695" s="424"/>
      <c r="AO695" s="100" t="s">
        <v>51</v>
      </c>
      <c r="AP695" s="117">
        <v>2</v>
      </c>
      <c r="AQ695" s="117"/>
      <c r="AR695" s="117"/>
      <c r="AS695" s="117"/>
      <c r="AT695" s="117"/>
      <c r="AU695" s="117"/>
      <c r="AV695" s="117"/>
      <c r="AW695" s="117"/>
      <c r="AX695" s="117"/>
      <c r="AY695" s="117"/>
      <c r="AZ695" s="117"/>
      <c r="BA695" s="117"/>
      <c r="BB695" s="117"/>
      <c r="BC695" s="117"/>
      <c r="BD695" s="117"/>
      <c r="BE695" s="117"/>
      <c r="BF695" s="117"/>
      <c r="BG695" s="117"/>
      <c r="BH695" s="117"/>
      <c r="BI695" s="117"/>
      <c r="BJ695" s="117"/>
      <c r="BK695" s="117"/>
      <c r="BL695" s="117"/>
      <c r="BM695" s="117"/>
      <c r="BN695" s="117"/>
      <c r="BO695" s="117"/>
      <c r="BP695" s="117"/>
      <c r="BQ695" s="117"/>
      <c r="BR695" s="117"/>
      <c r="BS695" s="117"/>
      <c r="BT695" s="117"/>
      <c r="BU695" s="117"/>
      <c r="BV695" s="117"/>
      <c r="BW695" s="117"/>
      <c r="BX695" s="117"/>
      <c r="BY695" s="117"/>
      <c r="BZ695" s="117"/>
      <c r="CA695" s="117"/>
    </row>
    <row r="696" spans="1:79" ht="12.75" customHeight="1">
      <c r="A696" s="63"/>
      <c r="B696" s="1"/>
      <c r="C696" s="194"/>
      <c r="D696" s="41"/>
      <c r="E696" s="893"/>
      <c r="F696" s="893"/>
      <c r="G696" s="893"/>
      <c r="H696" s="893"/>
      <c r="I696" s="893"/>
      <c r="J696" s="893"/>
      <c r="K696" s="893"/>
      <c r="L696" s="893"/>
      <c r="M696" s="893"/>
      <c r="N696" s="893"/>
      <c r="O696" s="893"/>
      <c r="P696" s="893"/>
      <c r="Q696" s="893"/>
      <c r="R696" s="893"/>
      <c r="S696" s="893"/>
      <c r="T696" s="893"/>
      <c r="U696" s="893"/>
      <c r="V696" s="893"/>
      <c r="W696" s="893"/>
      <c r="X696" s="893"/>
      <c r="Y696" s="893"/>
      <c r="Z696" s="893"/>
      <c r="AA696" s="893"/>
      <c r="AB696" s="893"/>
      <c r="AC696" s="893"/>
      <c r="AD696" s="1"/>
      <c r="AE696" s="422"/>
      <c r="AF696" s="422"/>
      <c r="AG696" s="422"/>
      <c r="AH696" s="422"/>
      <c r="AI696" s="422"/>
      <c r="AJ696" s="422"/>
      <c r="AK696" s="422"/>
      <c r="AL696" s="422"/>
      <c r="AM696" s="514"/>
      <c r="AN696" s="424"/>
      <c r="AO696" s="117"/>
      <c r="AP696" s="117"/>
      <c r="AQ696" s="117"/>
      <c r="AR696" s="117"/>
      <c r="AS696" s="117"/>
      <c r="AT696" s="117"/>
      <c r="AU696" s="117"/>
      <c r="AV696" s="117"/>
      <c r="AW696" s="117"/>
      <c r="AX696" s="117"/>
      <c r="AY696" s="117"/>
      <c r="AZ696" s="117"/>
      <c r="BA696" s="117"/>
      <c r="BB696" s="117"/>
      <c r="BC696" s="117"/>
      <c r="BD696" s="117"/>
      <c r="BE696" s="117"/>
      <c r="BF696" s="117"/>
      <c r="BG696" s="117"/>
      <c r="BH696" s="117"/>
      <c r="BI696" s="117"/>
      <c r="BJ696" s="117"/>
      <c r="BK696" s="117"/>
      <c r="BL696" s="117"/>
      <c r="BM696" s="117"/>
      <c r="BN696" s="117"/>
      <c r="BO696" s="117"/>
      <c r="BP696" s="117"/>
      <c r="BQ696" s="117"/>
      <c r="BR696" s="117"/>
      <c r="BS696" s="117"/>
      <c r="BT696" s="117"/>
      <c r="BU696" s="117"/>
      <c r="BV696" s="117"/>
      <c r="BW696" s="117"/>
      <c r="BX696" s="117"/>
      <c r="BY696" s="117"/>
      <c r="BZ696" s="117"/>
      <c r="CA696" s="117"/>
    </row>
    <row r="697" spans="1:79" ht="12.75" customHeight="1">
      <c r="A697" s="730"/>
      <c r="B697" s="1"/>
      <c r="C697" s="731"/>
      <c r="D697" s="4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
      <c r="AE697" s="422"/>
      <c r="AF697" s="422"/>
      <c r="AG697" s="422"/>
      <c r="AH697" s="422"/>
      <c r="AI697" s="422"/>
      <c r="AJ697" s="422"/>
      <c r="AK697" s="422"/>
      <c r="AL697" s="422"/>
      <c r="AM697" s="514"/>
      <c r="AN697" s="424"/>
      <c r="AO697" s="117"/>
      <c r="AP697" s="117"/>
      <c r="AQ697" s="117"/>
      <c r="AR697" s="117"/>
      <c r="AS697" s="117"/>
      <c r="AT697" s="117"/>
      <c r="AU697" s="117"/>
      <c r="AV697" s="117"/>
      <c r="AW697" s="117"/>
      <c r="AX697" s="117"/>
      <c r="AY697" s="117"/>
      <c r="AZ697" s="117"/>
      <c r="BA697" s="117"/>
      <c r="BB697" s="117"/>
      <c r="BC697" s="117"/>
      <c r="BD697" s="117"/>
      <c r="BE697" s="117"/>
      <c r="BF697" s="117"/>
      <c r="BG697" s="117"/>
      <c r="BH697" s="117"/>
      <c r="BI697" s="117"/>
      <c r="BJ697" s="117"/>
      <c r="BK697" s="117"/>
      <c r="BL697" s="117"/>
      <c r="BM697" s="117"/>
      <c r="BN697" s="117"/>
      <c r="BO697" s="117"/>
      <c r="BP697" s="117"/>
      <c r="BQ697" s="117"/>
      <c r="BR697" s="117"/>
      <c r="BS697" s="117"/>
      <c r="BT697" s="117"/>
      <c r="BU697" s="117"/>
      <c r="BV697" s="117"/>
      <c r="BW697" s="117"/>
      <c r="BX697" s="117"/>
      <c r="BY697" s="117"/>
      <c r="BZ697" s="117"/>
      <c r="CA697" s="117"/>
    </row>
    <row r="698" spans="1:79" ht="12.75" customHeight="1">
      <c r="A698" s="63"/>
      <c r="B698" s="1"/>
      <c r="C698" s="194"/>
      <c r="D698" s="1" t="s">
        <v>2378</v>
      </c>
      <c r="E698" s="719"/>
      <c r="F698" s="719"/>
      <c r="G698" s="719"/>
      <c r="H698" s="1379" t="s">
        <v>2359</v>
      </c>
      <c r="I698" s="969"/>
      <c r="J698" s="14"/>
      <c r="K698" s="14"/>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17"/>
      <c r="AN698" s="424"/>
      <c r="AO698" s="117"/>
      <c r="AP698" s="117"/>
      <c r="AQ698" s="117"/>
      <c r="AR698" s="117"/>
      <c r="AS698" s="117"/>
      <c r="AT698" s="117"/>
      <c r="AU698" s="117"/>
      <c r="AV698" s="117"/>
      <c r="AW698" s="117"/>
      <c r="AX698" s="117"/>
      <c r="AY698" s="117"/>
      <c r="AZ698" s="117"/>
      <c r="BA698" s="117"/>
      <c r="BB698" s="117"/>
      <c r="BC698" s="117"/>
      <c r="BD698" s="117"/>
      <c r="BE698" s="117"/>
      <c r="BF698" s="117"/>
      <c r="BG698" s="117"/>
      <c r="BH698" s="117"/>
      <c r="BI698" s="117"/>
      <c r="BJ698" s="117"/>
      <c r="BK698" s="117"/>
      <c r="BL698" s="117"/>
      <c r="BM698" s="117"/>
      <c r="BN698" s="117"/>
      <c r="BO698" s="117"/>
      <c r="BP698" s="117"/>
      <c r="BQ698" s="117"/>
      <c r="BR698" s="117"/>
      <c r="BS698" s="117"/>
      <c r="BT698" s="117"/>
      <c r="BU698" s="117"/>
      <c r="BV698" s="117"/>
      <c r="BW698" s="117"/>
      <c r="BX698" s="117"/>
      <c r="BY698" s="117"/>
      <c r="BZ698" s="117"/>
      <c r="CA698" s="117"/>
    </row>
    <row r="699" spans="1:79" ht="12.75" customHeight="1">
      <c r="A699" s="63"/>
      <c r="B699" s="1"/>
      <c r="C699" s="194"/>
      <c r="D699" s="1"/>
      <c r="E699" s="719"/>
      <c r="F699" s="719"/>
      <c r="G699" s="14"/>
      <c r="H699" s="14"/>
      <c r="I699" s="14"/>
      <c r="J699" s="14"/>
      <c r="K699" s="14"/>
      <c r="L699" s="14"/>
      <c r="M699" s="14"/>
      <c r="N699" s="14"/>
      <c r="O699" s="14"/>
      <c r="P699" s="14"/>
      <c r="Q699" s="14"/>
      <c r="R699" s="14"/>
      <c r="S699" s="14"/>
      <c r="T699" s="14"/>
      <c r="U699" s="14"/>
      <c r="V699" s="14"/>
      <c r="W699" s="14"/>
      <c r="X699" s="14"/>
      <c r="Y699" s="14"/>
      <c r="Z699" s="719"/>
      <c r="AA699" s="719"/>
      <c r="AB699" s="719"/>
      <c r="AC699" s="1"/>
      <c r="AD699" s="1"/>
      <c r="AE699" s="1"/>
      <c r="AF699" s="1"/>
      <c r="AG699" s="14"/>
      <c r="AH699" s="14"/>
      <c r="AI699" s="14"/>
      <c r="AJ699" s="14"/>
      <c r="AK699" s="14"/>
      <c r="AL699" s="14"/>
      <c r="AM699" s="76"/>
      <c r="AN699" s="424"/>
      <c r="AO699" s="117"/>
      <c r="AP699" s="117"/>
      <c r="AQ699" s="117"/>
      <c r="AR699" s="117"/>
      <c r="AS699" s="117"/>
      <c r="AT699" s="117"/>
      <c r="AU699" s="117"/>
      <c r="AV699" s="117"/>
      <c r="AW699" s="117"/>
      <c r="AX699" s="117"/>
      <c r="AY699" s="117"/>
      <c r="AZ699" s="117"/>
      <c r="BA699" s="117"/>
      <c r="BB699" s="117"/>
      <c r="BC699" s="117"/>
      <c r="BD699" s="117"/>
      <c r="BE699" s="117"/>
      <c r="BF699" s="117"/>
      <c r="BG699" s="117"/>
      <c r="BH699" s="117"/>
      <c r="BI699" s="117"/>
      <c r="BJ699" s="117"/>
      <c r="BK699" s="117"/>
      <c r="BL699" s="117"/>
      <c r="BM699" s="117"/>
      <c r="BN699" s="117"/>
      <c r="BO699" s="117"/>
      <c r="BP699" s="117"/>
      <c r="BQ699" s="117"/>
      <c r="BR699" s="117"/>
      <c r="BS699" s="117"/>
      <c r="BT699" s="117"/>
      <c r="BU699" s="117"/>
      <c r="BV699" s="117"/>
      <c r="BW699" s="117"/>
      <c r="BX699" s="117"/>
      <c r="BY699" s="117"/>
      <c r="BZ699" s="117"/>
      <c r="CA699" s="117"/>
    </row>
    <row r="700" spans="1:79" ht="12.75" customHeight="1">
      <c r="A700" s="732"/>
      <c r="B700" s="5"/>
      <c r="C700" s="728"/>
      <c r="D700" s="5"/>
      <c r="E700" s="723"/>
      <c r="F700" s="561"/>
      <c r="G700" s="561"/>
      <c r="H700" s="561"/>
      <c r="I700" s="561"/>
      <c r="J700" s="561"/>
      <c r="K700" s="561"/>
      <c r="L700" s="561"/>
      <c r="M700" s="561"/>
      <c r="N700" s="561"/>
      <c r="O700" s="561"/>
      <c r="P700" s="561"/>
      <c r="Q700" s="561"/>
      <c r="R700" s="561"/>
      <c r="S700" s="561"/>
      <c r="T700" s="561"/>
      <c r="U700" s="561"/>
      <c r="V700" s="561"/>
      <c r="W700" s="561"/>
      <c r="X700" s="561"/>
      <c r="Y700" s="723"/>
      <c r="Z700" s="723"/>
      <c r="AA700" s="723"/>
      <c r="AB700" s="5"/>
      <c r="AC700" s="5"/>
      <c r="AD700" s="5"/>
      <c r="AE700" s="5"/>
      <c r="AF700" s="5"/>
      <c r="AG700" s="5"/>
      <c r="AH700" s="5"/>
      <c r="AI700" s="372" t="s">
        <v>2429</v>
      </c>
      <c r="AJ700" s="945">
        <f>VLOOKUP($H$698,$AO$646:$AP$653,2,FALSE)</f>
        <v>4</v>
      </c>
      <c r="AK700" s="943"/>
      <c r="AL700" s="7"/>
      <c r="AM700" s="117"/>
      <c r="AN700" s="424"/>
      <c r="AO700" s="117"/>
      <c r="AP700" s="117"/>
      <c r="AQ700" s="117"/>
      <c r="AR700" s="117"/>
      <c r="AS700" s="117"/>
      <c r="AT700" s="117"/>
      <c r="AU700" s="117"/>
      <c r="AV700" s="117"/>
      <c r="AW700" s="117"/>
      <c r="AX700" s="117"/>
      <c r="AY700" s="117"/>
      <c r="AZ700" s="117"/>
      <c r="BA700" s="117"/>
      <c r="BB700" s="117"/>
      <c r="BC700" s="117"/>
      <c r="BD700" s="117"/>
      <c r="BE700" s="117"/>
      <c r="BF700" s="117"/>
      <c r="BG700" s="117"/>
      <c r="BH700" s="117"/>
      <c r="BI700" s="117"/>
      <c r="BJ700" s="117"/>
      <c r="BK700" s="117"/>
      <c r="BL700" s="117"/>
      <c r="BM700" s="117"/>
      <c r="BN700" s="117"/>
      <c r="BO700" s="117"/>
      <c r="BP700" s="117"/>
      <c r="BQ700" s="117"/>
      <c r="BR700" s="117"/>
      <c r="BS700" s="117"/>
      <c r="BT700" s="117"/>
      <c r="BU700" s="117"/>
      <c r="BV700" s="117"/>
      <c r="BW700" s="117"/>
      <c r="BX700" s="117"/>
      <c r="BY700" s="117"/>
      <c r="BZ700" s="117"/>
      <c r="CA700" s="117"/>
    </row>
    <row r="701" spans="1:79" ht="12.75" customHeight="1">
      <c r="A701" s="63"/>
      <c r="B701" s="1"/>
      <c r="C701" s="194"/>
      <c r="D701" s="1"/>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9"/>
      <c r="AE701" s="1"/>
      <c r="AF701" s="1"/>
      <c r="AG701" s="1"/>
      <c r="AH701" s="1"/>
      <c r="AI701" s="1"/>
      <c r="AJ701" s="1"/>
      <c r="AK701" s="1"/>
      <c r="AL701" s="1"/>
      <c r="AM701" s="117"/>
      <c r="AN701" s="424"/>
      <c r="AO701" s="117"/>
      <c r="AP701" s="117"/>
      <c r="AQ701" s="117"/>
      <c r="AR701" s="117"/>
      <c r="AS701" s="117"/>
      <c r="AT701" s="117"/>
      <c r="AU701" s="117"/>
      <c r="AV701" s="117"/>
      <c r="AW701" s="117"/>
      <c r="AX701" s="117"/>
      <c r="AY701" s="117"/>
      <c r="AZ701" s="117"/>
      <c r="BA701" s="117"/>
      <c r="BB701" s="117"/>
      <c r="BC701" s="117"/>
      <c r="BD701" s="117"/>
      <c r="BE701" s="117"/>
      <c r="BF701" s="117"/>
      <c r="BG701" s="117"/>
      <c r="BH701" s="117"/>
      <c r="BI701" s="117"/>
      <c r="BJ701" s="117"/>
      <c r="BK701" s="117"/>
      <c r="BL701" s="117"/>
      <c r="BM701" s="117"/>
      <c r="BN701" s="117"/>
      <c r="BO701" s="117"/>
      <c r="BP701" s="117"/>
      <c r="BQ701" s="117"/>
      <c r="BR701" s="117"/>
      <c r="BS701" s="117"/>
      <c r="BT701" s="117"/>
      <c r="BU701" s="117"/>
      <c r="BV701" s="117"/>
      <c r="BW701" s="117"/>
      <c r="BX701" s="117"/>
      <c r="BY701" s="117"/>
      <c r="BZ701" s="117"/>
      <c r="CA701" s="117"/>
    </row>
    <row r="702" spans="1:79" ht="12.75" customHeight="1">
      <c r="A702" s="63"/>
      <c r="B702" s="1"/>
      <c r="C702" s="8" t="s">
        <v>2430</v>
      </c>
      <c r="D702" s="86"/>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9"/>
      <c r="AE702" s="1"/>
      <c r="AF702" s="1"/>
      <c r="AG702" s="1"/>
      <c r="AH702" s="1"/>
      <c r="AI702" s="1"/>
      <c r="AJ702" s="1"/>
      <c r="AK702" s="1"/>
      <c r="AL702" s="1"/>
      <c r="AM702" s="117"/>
      <c r="AN702" s="424"/>
      <c r="AO702" s="117"/>
      <c r="AP702" s="117"/>
      <c r="AQ702" s="117"/>
      <c r="AR702" s="117"/>
      <c r="AS702" s="117"/>
      <c r="AT702" s="117"/>
      <c r="AU702" s="117"/>
      <c r="AV702" s="117"/>
      <c r="AW702" s="117" t="s">
        <v>2431</v>
      </c>
      <c r="AX702" s="117">
        <f>Application!Q212</f>
        <v>0</v>
      </c>
      <c r="AY702" s="117"/>
      <c r="AZ702" s="117"/>
      <c r="BA702" s="117"/>
      <c r="BB702" s="117"/>
      <c r="BC702" s="117"/>
      <c r="BD702" s="117"/>
      <c r="BE702" s="117"/>
      <c r="BF702" s="117"/>
      <c r="BG702" s="117"/>
      <c r="BH702" s="117"/>
      <c r="BI702" s="117"/>
      <c r="BJ702" s="117"/>
      <c r="BK702" s="117"/>
      <c r="BL702" s="117"/>
      <c r="BM702" s="117"/>
      <c r="BN702" s="117"/>
      <c r="BO702" s="117"/>
      <c r="BP702" s="117"/>
      <c r="BQ702" s="117"/>
      <c r="BR702" s="117"/>
      <c r="BS702" s="117"/>
      <c r="BT702" s="117"/>
      <c r="BU702" s="117"/>
      <c r="BV702" s="117"/>
      <c r="BW702" s="117"/>
      <c r="BX702" s="117"/>
      <c r="BY702" s="117"/>
      <c r="BZ702" s="117"/>
      <c r="CA702" s="117"/>
    </row>
    <row r="703" spans="1:79" ht="12.75" customHeight="1">
      <c r="A703" s="63"/>
      <c r="B703" s="1"/>
      <c r="C703" s="733"/>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17"/>
      <c r="AN703" s="424"/>
      <c r="AO703" s="117"/>
      <c r="AP703" s="117"/>
      <c r="AQ703" s="117"/>
      <c r="AR703" s="117"/>
      <c r="AS703" s="117"/>
      <c r="AT703" s="117"/>
      <c r="AU703" s="117"/>
      <c r="AV703" s="117"/>
      <c r="AW703" s="117" t="s">
        <v>2432</v>
      </c>
      <c r="AX703" s="734">
        <f>Application!G759</f>
        <v>232</v>
      </c>
      <c r="AY703" s="117"/>
      <c r="AZ703" s="117"/>
      <c r="BA703" s="117"/>
      <c r="BB703" s="117"/>
      <c r="BC703" s="117"/>
      <c r="BD703" s="117"/>
      <c r="BE703" s="117"/>
      <c r="BF703" s="117"/>
      <c r="BG703" s="117"/>
      <c r="BH703" s="117"/>
      <c r="BI703" s="117"/>
      <c r="BJ703" s="117"/>
      <c r="BK703" s="117"/>
      <c r="BL703" s="117"/>
      <c r="BM703" s="117"/>
      <c r="BN703" s="117"/>
      <c r="BO703" s="117"/>
      <c r="BP703" s="117"/>
      <c r="BQ703" s="117"/>
      <c r="BR703" s="117"/>
      <c r="BS703" s="117"/>
      <c r="BT703" s="117"/>
      <c r="BU703" s="117"/>
      <c r="BV703" s="117"/>
      <c r="BW703" s="117"/>
      <c r="BX703" s="117"/>
      <c r="BY703" s="117"/>
      <c r="BZ703" s="117"/>
      <c r="CA703" s="117"/>
    </row>
    <row r="704" spans="1:79" ht="12.75" customHeight="1">
      <c r="A704" s="63"/>
      <c r="B704" s="1"/>
      <c r="C704" s="733"/>
      <c r="D704" s="41" t="s">
        <v>44</v>
      </c>
      <c r="E704" s="909" t="s">
        <v>2433</v>
      </c>
      <c r="F704" s="893"/>
      <c r="G704" s="893"/>
      <c r="H704" s="893"/>
      <c r="I704" s="893"/>
      <c r="J704" s="893"/>
      <c r="K704" s="893"/>
      <c r="L704" s="893"/>
      <c r="M704" s="893"/>
      <c r="N704" s="893"/>
      <c r="O704" s="893"/>
      <c r="P704" s="893"/>
      <c r="Q704" s="893"/>
      <c r="R704" s="893"/>
      <c r="S704" s="893"/>
      <c r="T704" s="893"/>
      <c r="U704" s="893"/>
      <c r="V704" s="893"/>
      <c r="W704" s="893"/>
      <c r="X704" s="893"/>
      <c r="Y704" s="893"/>
      <c r="Z704" s="893"/>
      <c r="AA704" s="893"/>
      <c r="AB704" s="893"/>
      <c r="AC704" s="1"/>
      <c r="AD704" s="1"/>
      <c r="AE704" s="1"/>
      <c r="AF704" s="1376" t="s">
        <v>1959</v>
      </c>
      <c r="AG704" s="893"/>
      <c r="AH704" s="893"/>
      <c r="AI704" s="893"/>
      <c r="AJ704" s="893"/>
      <c r="AK704" s="893"/>
      <c r="AL704" s="893"/>
      <c r="AM704" s="117"/>
      <c r="AN704" s="424"/>
      <c r="AO704" s="117"/>
      <c r="AP704" s="117"/>
      <c r="AQ704" s="117"/>
      <c r="AR704" s="117"/>
      <c r="AS704" s="117"/>
      <c r="AT704" s="117"/>
      <c r="AU704" s="117"/>
      <c r="AV704" s="117"/>
      <c r="AW704" s="117" t="s">
        <v>2434</v>
      </c>
      <c r="AX704" s="117">
        <f>Application!DE759</f>
        <v>45</v>
      </c>
      <c r="AY704" s="117"/>
      <c r="AZ704" s="117"/>
      <c r="BA704" s="117"/>
      <c r="BB704" s="117"/>
      <c r="BC704" s="117"/>
      <c r="BD704" s="117"/>
      <c r="BE704" s="117"/>
      <c r="BF704" s="117"/>
      <c r="BG704" s="117"/>
      <c r="BH704" s="117"/>
      <c r="BI704" s="117"/>
      <c r="BJ704" s="117"/>
      <c r="BK704" s="117"/>
      <c r="BL704" s="117"/>
      <c r="BM704" s="117"/>
      <c r="BN704" s="117"/>
      <c r="BO704" s="117"/>
      <c r="BP704" s="117"/>
      <c r="BQ704" s="117"/>
      <c r="BR704" s="117"/>
      <c r="BS704" s="117"/>
      <c r="BT704" s="117"/>
      <c r="BU704" s="117"/>
      <c r="BV704" s="117"/>
      <c r="BW704" s="117"/>
      <c r="BX704" s="117"/>
      <c r="BY704" s="117"/>
      <c r="BZ704" s="117"/>
      <c r="CA704" s="117"/>
    </row>
    <row r="705" spans="1:79" ht="12.75" customHeight="1">
      <c r="A705" s="63"/>
      <c r="B705" s="1"/>
      <c r="C705" s="733"/>
      <c r="D705" s="41"/>
      <c r="E705" s="893"/>
      <c r="F705" s="893"/>
      <c r="G705" s="893"/>
      <c r="H705" s="893"/>
      <c r="I705" s="893"/>
      <c r="J705" s="893"/>
      <c r="K705" s="893"/>
      <c r="L705" s="893"/>
      <c r="M705" s="893"/>
      <c r="N705" s="893"/>
      <c r="O705" s="893"/>
      <c r="P705" s="893"/>
      <c r="Q705" s="893"/>
      <c r="R705" s="893"/>
      <c r="S705" s="893"/>
      <c r="T705" s="893"/>
      <c r="U705" s="893"/>
      <c r="V705" s="893"/>
      <c r="W705" s="893"/>
      <c r="X705" s="893"/>
      <c r="Y705" s="893"/>
      <c r="Z705" s="893"/>
      <c r="AA705" s="893"/>
      <c r="AB705" s="893"/>
      <c r="AC705" s="1"/>
      <c r="AD705" s="1"/>
      <c r="AE705" s="1"/>
      <c r="AF705" s="1"/>
      <c r="AG705" s="1"/>
      <c r="AH705" s="1"/>
      <c r="AI705" s="1"/>
      <c r="AJ705" s="1"/>
      <c r="AK705" s="1"/>
      <c r="AL705" s="1"/>
      <c r="AM705" s="117"/>
      <c r="AN705" s="424"/>
      <c r="AO705" s="117"/>
      <c r="AP705" s="117"/>
      <c r="AQ705" s="117"/>
      <c r="AR705" s="117"/>
      <c r="AS705" s="117"/>
      <c r="AT705" s="117"/>
      <c r="AU705" s="117"/>
      <c r="AV705" s="117"/>
      <c r="AW705" s="117" t="s">
        <v>2435</v>
      </c>
      <c r="AX705" s="117">
        <f>Application!DJ759</f>
        <v>0</v>
      </c>
      <c r="AY705" s="117"/>
      <c r="AZ705" s="117"/>
      <c r="BA705" s="117"/>
      <c r="BB705" s="117"/>
      <c r="BC705" s="117"/>
      <c r="BD705" s="117"/>
      <c r="BE705" s="117"/>
      <c r="BF705" s="117"/>
      <c r="BG705" s="117"/>
      <c r="BH705" s="117"/>
      <c r="BI705" s="117"/>
      <c r="BJ705" s="117"/>
      <c r="BK705" s="117"/>
      <c r="BL705" s="117"/>
      <c r="BM705" s="117"/>
      <c r="BN705" s="117"/>
      <c r="BO705" s="117"/>
      <c r="BP705" s="117"/>
      <c r="BQ705" s="117"/>
      <c r="BR705" s="117"/>
      <c r="BS705" s="117"/>
      <c r="BT705" s="117"/>
      <c r="BU705" s="117"/>
      <c r="BV705" s="117"/>
      <c r="BW705" s="117"/>
      <c r="BX705" s="117"/>
      <c r="BY705" s="117"/>
      <c r="BZ705" s="117"/>
      <c r="CA705" s="117"/>
    </row>
    <row r="706" spans="1:79" ht="12.75" customHeight="1">
      <c r="A706" s="63"/>
      <c r="B706" s="1"/>
      <c r="C706" s="733"/>
      <c r="D706" s="4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17"/>
      <c r="AN706" s="424"/>
      <c r="AO706" s="117"/>
      <c r="AP706" s="117"/>
      <c r="AQ706" s="117"/>
      <c r="AR706" s="117"/>
      <c r="AS706" s="117"/>
      <c r="AT706" s="117"/>
      <c r="AU706" s="117"/>
      <c r="AV706" s="117"/>
      <c r="AW706" s="117" t="s">
        <v>2436</v>
      </c>
      <c r="AX706" s="117">
        <f>Application!DO759</f>
        <v>0</v>
      </c>
      <c r="AY706" s="117"/>
      <c r="AZ706" s="117"/>
      <c r="BA706" s="117"/>
      <c r="BB706" s="117"/>
      <c r="BC706" s="117"/>
      <c r="BD706" s="117"/>
      <c r="BE706" s="117"/>
      <c r="BF706" s="117"/>
      <c r="BG706" s="117"/>
      <c r="BH706" s="117"/>
      <c r="BI706" s="117"/>
      <c r="BJ706" s="117"/>
      <c r="BK706" s="117"/>
      <c r="BL706" s="117"/>
      <c r="BM706" s="117"/>
      <c r="BN706" s="117"/>
      <c r="BO706" s="117"/>
      <c r="BP706" s="117"/>
      <c r="BQ706" s="117"/>
      <c r="BR706" s="117"/>
      <c r="BS706" s="117"/>
      <c r="BT706" s="117"/>
      <c r="BU706" s="117"/>
      <c r="BV706" s="117"/>
      <c r="BW706" s="117"/>
      <c r="BX706" s="117"/>
      <c r="BY706" s="117"/>
      <c r="BZ706" s="117"/>
      <c r="CA706" s="117"/>
    </row>
    <row r="707" spans="1:79" ht="12.75" customHeight="1">
      <c r="A707" s="117"/>
      <c r="B707" s="1"/>
      <c r="C707" s="194"/>
      <c r="D707" s="41" t="s">
        <v>51</v>
      </c>
      <c r="E707" s="895" t="s">
        <v>2437</v>
      </c>
      <c r="F707" s="893"/>
      <c r="G707" s="893"/>
      <c r="H707" s="893"/>
      <c r="I707" s="893"/>
      <c r="J707" s="893"/>
      <c r="K707" s="893"/>
      <c r="L707" s="893"/>
      <c r="M707" s="893"/>
      <c r="N707" s="893"/>
      <c r="O707" s="893"/>
      <c r="P707" s="893"/>
      <c r="Q707" s="893"/>
      <c r="R707" s="893"/>
      <c r="S707" s="893"/>
      <c r="T707" s="893"/>
      <c r="U707" s="893"/>
      <c r="V707" s="893"/>
      <c r="W707" s="893"/>
      <c r="X707" s="893"/>
      <c r="Y707" s="893"/>
      <c r="Z707" s="893"/>
      <c r="AA707" s="893"/>
      <c r="AB707" s="893"/>
      <c r="AC707" s="1"/>
      <c r="AD707" s="1"/>
      <c r="AE707" s="1"/>
      <c r="AF707" s="1376" t="s">
        <v>1959</v>
      </c>
      <c r="AG707" s="893"/>
      <c r="AH707" s="893"/>
      <c r="AI707" s="893"/>
      <c r="AJ707" s="893"/>
      <c r="AK707" s="893"/>
      <c r="AL707" s="893"/>
      <c r="AM707" s="117"/>
      <c r="AN707" s="424"/>
      <c r="AO707" s="117"/>
      <c r="AP707" s="117"/>
      <c r="AQ707" s="117"/>
      <c r="AR707" s="117"/>
      <c r="AS707" s="117"/>
      <c r="AT707" s="117"/>
      <c r="AU707" s="117"/>
      <c r="AV707" s="117"/>
      <c r="AW707" s="117" t="s">
        <v>2438</v>
      </c>
      <c r="AX707" s="117">
        <f>AX704+AX705+AX706</f>
        <v>45</v>
      </c>
      <c r="AY707" s="117"/>
      <c r="AZ707" s="117"/>
      <c r="BA707" s="117"/>
      <c r="BB707" s="117"/>
      <c r="BC707" s="117"/>
      <c r="BD707" s="117"/>
      <c r="BE707" s="117"/>
      <c r="BF707" s="117"/>
      <c r="BG707" s="117"/>
      <c r="BH707" s="117"/>
      <c r="BI707" s="117"/>
      <c r="BJ707" s="117"/>
      <c r="BK707" s="117"/>
      <c r="BL707" s="117"/>
      <c r="BM707" s="117"/>
      <c r="BN707" s="117"/>
      <c r="BO707" s="117"/>
      <c r="BP707" s="117"/>
      <c r="BQ707" s="117"/>
      <c r="BR707" s="117"/>
      <c r="BS707" s="117"/>
      <c r="BT707" s="117"/>
      <c r="BU707" s="117"/>
      <c r="BV707" s="117"/>
      <c r="BW707" s="117"/>
      <c r="BX707" s="117"/>
      <c r="BY707" s="117"/>
      <c r="BZ707" s="117"/>
      <c r="CA707" s="117"/>
    </row>
    <row r="708" spans="1:79" ht="12.75" customHeight="1">
      <c r="A708" s="117"/>
      <c r="B708" s="1"/>
      <c r="C708" s="726"/>
      <c r="D708" s="41"/>
      <c r="E708" s="893"/>
      <c r="F708" s="893"/>
      <c r="G708" s="893"/>
      <c r="H708" s="893"/>
      <c r="I708" s="893"/>
      <c r="J708" s="893"/>
      <c r="K708" s="893"/>
      <c r="L708" s="893"/>
      <c r="M708" s="893"/>
      <c r="N708" s="893"/>
      <c r="O708" s="893"/>
      <c r="P708" s="893"/>
      <c r="Q708" s="893"/>
      <c r="R708" s="893"/>
      <c r="S708" s="893"/>
      <c r="T708" s="893"/>
      <c r="U708" s="893"/>
      <c r="V708" s="893"/>
      <c r="W708" s="893"/>
      <c r="X708" s="893"/>
      <c r="Y708" s="893"/>
      <c r="Z708" s="893"/>
      <c r="AA708" s="893"/>
      <c r="AB708" s="893"/>
      <c r="AC708" s="1"/>
      <c r="AD708" s="1"/>
      <c r="AE708" s="14"/>
      <c r="AF708" s="1"/>
      <c r="AG708" s="1"/>
      <c r="AH708" s="1"/>
      <c r="AI708" s="1"/>
      <c r="AJ708" s="1"/>
      <c r="AK708" s="1"/>
      <c r="AL708" s="1"/>
      <c r="AM708" s="117"/>
      <c r="AN708" s="424"/>
      <c r="AO708" s="1134" t="b">
        <f>IF(Application!D211="Special Needs",IF(AY708&gt;=0.25,TRUE,FALSE),IF(AX708&gt;=0.25,TRUE,FALSE))</f>
        <v>0</v>
      </c>
      <c r="AP708" s="893"/>
      <c r="AQ708" s="117"/>
      <c r="AR708" s="117"/>
      <c r="AS708" s="117"/>
      <c r="AT708" s="117"/>
      <c r="AU708" s="117"/>
      <c r="AV708" s="117"/>
      <c r="AW708" s="117" t="s">
        <v>2439</v>
      </c>
      <c r="AX708" s="117">
        <f>IFERROR(AX707/AX703,0)</f>
        <v>0.19396551724137931</v>
      </c>
      <c r="AY708" s="117">
        <f>IFERROR(AX707/(AX703-AX702),0)</f>
        <v>0.19396551724137931</v>
      </c>
      <c r="AZ708" s="117"/>
      <c r="BA708" s="117"/>
      <c r="BB708" s="117"/>
      <c r="BC708" s="117"/>
      <c r="BD708" s="117"/>
      <c r="BE708" s="117"/>
      <c r="BF708" s="117"/>
      <c r="BG708" s="117"/>
      <c r="BH708" s="117"/>
      <c r="BI708" s="117"/>
      <c r="BJ708" s="117"/>
      <c r="BK708" s="117"/>
      <c r="BL708" s="117"/>
      <c r="BM708" s="117"/>
      <c r="BN708" s="117"/>
      <c r="BO708" s="117"/>
      <c r="BP708" s="117"/>
      <c r="BQ708" s="117"/>
      <c r="BR708" s="117"/>
      <c r="BS708" s="117"/>
      <c r="BT708" s="117"/>
      <c r="BU708" s="117"/>
      <c r="BV708" s="117"/>
      <c r="BW708" s="117"/>
      <c r="BX708" s="117"/>
      <c r="BY708" s="117"/>
      <c r="BZ708" s="117"/>
      <c r="CA708" s="117"/>
    </row>
    <row r="709" spans="1:79" ht="12.75" customHeight="1">
      <c r="A709" s="117"/>
      <c r="B709" s="1"/>
      <c r="C709" s="726"/>
      <c r="D709" s="117"/>
      <c r="E709" s="893"/>
      <c r="F709" s="893"/>
      <c r="G709" s="893"/>
      <c r="H709" s="893"/>
      <c r="I709" s="893"/>
      <c r="J709" s="893"/>
      <c r="K709" s="893"/>
      <c r="L709" s="893"/>
      <c r="M709" s="893"/>
      <c r="N709" s="893"/>
      <c r="O709" s="893"/>
      <c r="P709" s="893"/>
      <c r="Q709" s="893"/>
      <c r="R709" s="893"/>
      <c r="S709" s="893"/>
      <c r="T709" s="893"/>
      <c r="U709" s="893"/>
      <c r="V709" s="893"/>
      <c r="W709" s="893"/>
      <c r="X709" s="893"/>
      <c r="Y709" s="893"/>
      <c r="Z709" s="893"/>
      <c r="AA709" s="893"/>
      <c r="AB709" s="893"/>
      <c r="AC709" s="1"/>
      <c r="AD709" s="1"/>
      <c r="AE709" s="14"/>
      <c r="AF709" s="14"/>
      <c r="AG709" s="14"/>
      <c r="AH709" s="14"/>
      <c r="AI709" s="14"/>
      <c r="AJ709" s="14"/>
      <c r="AK709" s="14"/>
      <c r="AL709" s="14"/>
      <c r="AM709" s="117"/>
      <c r="AN709" s="424"/>
      <c r="AO709" s="117"/>
      <c r="AP709" s="117"/>
      <c r="AQ709" s="117"/>
      <c r="AR709" s="117"/>
      <c r="AS709" s="117"/>
      <c r="AT709" s="117"/>
      <c r="AU709" s="117"/>
      <c r="AV709" s="117"/>
      <c r="AW709" s="1"/>
      <c r="AX709" s="117"/>
      <c r="AY709" s="117"/>
      <c r="AZ709" s="117"/>
      <c r="BA709" s="117"/>
      <c r="BB709" s="117"/>
      <c r="BC709" s="117"/>
      <c r="BD709" s="117"/>
      <c r="BE709" s="117"/>
      <c r="BF709" s="117"/>
      <c r="BG709" s="117"/>
      <c r="BH709" s="117"/>
      <c r="BI709" s="117"/>
      <c r="BJ709" s="117"/>
      <c r="BK709" s="117"/>
      <c r="BL709" s="117"/>
      <c r="BM709" s="117"/>
      <c r="BN709" s="117"/>
      <c r="BO709" s="117"/>
      <c r="BP709" s="117"/>
      <c r="BQ709" s="117"/>
      <c r="BR709" s="117"/>
      <c r="BS709" s="117"/>
      <c r="BT709" s="117"/>
      <c r="BU709" s="117"/>
      <c r="BV709" s="117"/>
      <c r="BW709" s="117"/>
      <c r="BX709" s="117"/>
      <c r="BY709" s="117"/>
      <c r="BZ709" s="117"/>
      <c r="CA709" s="117"/>
    </row>
    <row r="710" spans="1:79" ht="28.5" customHeight="1">
      <c r="A710" s="117"/>
      <c r="B710" s="1"/>
      <c r="C710" s="726"/>
      <c r="D710" s="1"/>
      <c r="E710" s="893"/>
      <c r="F710" s="893"/>
      <c r="G710" s="893"/>
      <c r="H710" s="893"/>
      <c r="I710" s="893"/>
      <c r="J710" s="893"/>
      <c r="K710" s="893"/>
      <c r="L710" s="893"/>
      <c r="M710" s="893"/>
      <c r="N710" s="893"/>
      <c r="O710" s="893"/>
      <c r="P710" s="893"/>
      <c r="Q710" s="893"/>
      <c r="R710" s="893"/>
      <c r="S710" s="893"/>
      <c r="T710" s="893"/>
      <c r="U710" s="893"/>
      <c r="V710" s="893"/>
      <c r="W710" s="893"/>
      <c r="X710" s="893"/>
      <c r="Y710" s="893"/>
      <c r="Z710" s="893"/>
      <c r="AA710" s="893"/>
      <c r="AB710" s="893"/>
      <c r="AC710" s="1"/>
      <c r="AD710" s="1"/>
      <c r="AE710" s="14"/>
      <c r="AF710" s="14"/>
      <c r="AG710" s="14"/>
      <c r="AH710" s="14"/>
      <c r="AI710" s="14"/>
      <c r="AJ710" s="14"/>
      <c r="AK710" s="14"/>
      <c r="AL710" s="14"/>
      <c r="AM710" s="117"/>
      <c r="AN710" s="424"/>
      <c r="AO710" s="117" t="s">
        <v>855</v>
      </c>
      <c r="AP710" s="521">
        <v>0</v>
      </c>
      <c r="AQ710" s="117"/>
      <c r="AR710" s="117"/>
      <c r="AS710" s="117"/>
      <c r="AT710" s="117"/>
      <c r="AU710" s="117"/>
      <c r="AV710" s="117"/>
      <c r="AW710" s="117"/>
      <c r="AX710" s="117"/>
      <c r="AY710" s="117"/>
      <c r="AZ710" s="117"/>
      <c r="BA710" s="117"/>
      <c r="BB710" s="117"/>
      <c r="BC710" s="117"/>
      <c r="BD710" s="117"/>
      <c r="BE710" s="117"/>
      <c r="BF710" s="117"/>
      <c r="BG710" s="117"/>
      <c r="BH710" s="117"/>
      <c r="BI710" s="117"/>
      <c r="BJ710" s="117"/>
      <c r="BK710" s="117"/>
      <c r="BL710" s="117"/>
      <c r="BM710" s="117"/>
      <c r="BN710" s="117"/>
      <c r="BO710" s="117"/>
      <c r="BP710" s="117"/>
      <c r="BQ710" s="117"/>
      <c r="BR710" s="117"/>
      <c r="BS710" s="117"/>
      <c r="BT710" s="117"/>
      <c r="BU710" s="117"/>
      <c r="BV710" s="117"/>
      <c r="BW710" s="117"/>
      <c r="BX710" s="117"/>
      <c r="BY710" s="117"/>
      <c r="BZ710" s="117"/>
      <c r="CA710" s="117"/>
    </row>
    <row r="711" spans="1:79" ht="12.75" customHeight="1">
      <c r="A711" s="117"/>
      <c r="B711" s="1"/>
      <c r="C711" s="726"/>
      <c r="D711" s="117"/>
      <c r="E711" s="221"/>
      <c r="F711" s="221"/>
      <c r="G711" s="221"/>
      <c r="H711" s="221"/>
      <c r="I711" s="221"/>
      <c r="J711" s="221"/>
      <c r="K711" s="221"/>
      <c r="L711" s="221"/>
      <c r="M711" s="221"/>
      <c r="N711" s="221"/>
      <c r="O711" s="221"/>
      <c r="P711" s="221"/>
      <c r="Q711" s="221"/>
      <c r="R711" s="221"/>
      <c r="S711" s="221"/>
      <c r="T711" s="221"/>
      <c r="U711" s="221"/>
      <c r="V711" s="221"/>
      <c r="W711" s="221"/>
      <c r="X711" s="221"/>
      <c r="Y711" s="221"/>
      <c r="Z711" s="221"/>
      <c r="AA711" s="221"/>
      <c r="AB711" s="221"/>
      <c r="AC711" s="1"/>
      <c r="AD711" s="1"/>
      <c r="AE711" s="14"/>
      <c r="AF711" s="14"/>
      <c r="AG711" s="14"/>
      <c r="AH711" s="14"/>
      <c r="AI711" s="14"/>
      <c r="AJ711" s="14"/>
      <c r="AK711" s="14"/>
      <c r="AL711" s="14"/>
      <c r="AM711" s="117"/>
      <c r="AN711" s="424"/>
      <c r="AO711" s="100" t="s">
        <v>44</v>
      </c>
      <c r="AP711" s="117">
        <v>2</v>
      </c>
      <c r="AQ711" s="117"/>
      <c r="AR711" s="117"/>
      <c r="AS711" s="117"/>
      <c r="AT711" s="117"/>
      <c r="AU711" s="117"/>
      <c r="AV711" s="117"/>
      <c r="AW711" s="117"/>
      <c r="AX711" s="117"/>
      <c r="AY711" s="117"/>
      <c r="AZ711" s="117"/>
      <c r="BA711" s="117"/>
      <c r="BB711" s="117"/>
      <c r="BC711" s="117"/>
      <c r="BD711" s="117"/>
      <c r="BE711" s="117"/>
      <c r="BF711" s="117"/>
      <c r="BG711" s="117"/>
      <c r="BH711" s="117"/>
      <c r="BI711" s="117"/>
      <c r="BJ711" s="117"/>
      <c r="BK711" s="117"/>
      <c r="BL711" s="117"/>
      <c r="BM711" s="117"/>
      <c r="BN711" s="117"/>
      <c r="BO711" s="117"/>
      <c r="BP711" s="117"/>
      <c r="BQ711" s="117"/>
      <c r="BR711" s="117"/>
      <c r="BS711" s="117"/>
      <c r="BT711" s="117"/>
      <c r="BU711" s="117"/>
      <c r="BV711" s="117"/>
      <c r="BW711" s="117"/>
      <c r="BX711" s="117"/>
      <c r="BY711" s="117"/>
      <c r="BZ711" s="117"/>
      <c r="CA711" s="117"/>
    </row>
    <row r="712" spans="1:79" ht="12.75" customHeight="1">
      <c r="A712" s="117"/>
      <c r="B712" s="1"/>
      <c r="C712" s="194"/>
      <c r="D712" s="41" t="s">
        <v>82</v>
      </c>
      <c r="E712" s="895" t="s">
        <v>2440</v>
      </c>
      <c r="F712" s="893"/>
      <c r="G712" s="893"/>
      <c r="H712" s="893"/>
      <c r="I712" s="893"/>
      <c r="J712" s="893"/>
      <c r="K712" s="893"/>
      <c r="L712" s="893"/>
      <c r="M712" s="893"/>
      <c r="N712" s="893"/>
      <c r="O712" s="893"/>
      <c r="P712" s="893"/>
      <c r="Q712" s="893"/>
      <c r="R712" s="893"/>
      <c r="S712" s="893"/>
      <c r="T712" s="893"/>
      <c r="U712" s="893"/>
      <c r="V712" s="893"/>
      <c r="W712" s="893"/>
      <c r="X712" s="893"/>
      <c r="Y712" s="893"/>
      <c r="Z712" s="893"/>
      <c r="AA712" s="893"/>
      <c r="AB712" s="893"/>
      <c r="AC712" s="1"/>
      <c r="AD712" s="1"/>
      <c r="AE712" s="1"/>
      <c r="AF712" s="1376" t="s">
        <v>2402</v>
      </c>
      <c r="AG712" s="893"/>
      <c r="AH712" s="893"/>
      <c r="AI712" s="893"/>
      <c r="AJ712" s="893"/>
      <c r="AK712" s="893"/>
      <c r="AL712" s="893"/>
      <c r="AM712" s="117"/>
      <c r="AN712" s="424"/>
      <c r="AO712" s="100" t="s">
        <v>51</v>
      </c>
      <c r="AP712" s="117">
        <v>1</v>
      </c>
      <c r="AQ712" s="117"/>
      <c r="AR712" s="117"/>
      <c r="AS712" s="117"/>
      <c r="AT712" s="117"/>
      <c r="AU712" s="117"/>
      <c r="AV712" s="117"/>
      <c r="AW712" s="117"/>
      <c r="AX712" s="117"/>
      <c r="AY712" s="117"/>
      <c r="AZ712" s="117"/>
      <c r="BA712" s="117"/>
      <c r="BB712" s="117"/>
      <c r="BC712" s="117"/>
      <c r="BD712" s="117"/>
      <c r="BE712" s="117"/>
      <c r="BF712" s="117"/>
      <c r="BG712" s="117"/>
      <c r="BH712" s="117"/>
      <c r="BI712" s="117"/>
      <c r="BJ712" s="117"/>
      <c r="BK712" s="117"/>
      <c r="BL712" s="117"/>
      <c r="BM712" s="117"/>
      <c r="BN712" s="117"/>
      <c r="BO712" s="117"/>
      <c r="BP712" s="117"/>
      <c r="BQ712" s="117"/>
      <c r="BR712" s="117"/>
      <c r="BS712" s="117"/>
      <c r="BT712" s="117"/>
      <c r="BU712" s="117"/>
      <c r="BV712" s="117"/>
      <c r="BW712" s="117"/>
      <c r="BX712" s="117"/>
      <c r="BY712" s="117"/>
      <c r="BZ712" s="117"/>
      <c r="CA712" s="117"/>
    </row>
    <row r="713" spans="1:79" ht="12" customHeight="1">
      <c r="A713" s="117"/>
      <c r="B713" s="1"/>
      <c r="C713" s="194"/>
      <c r="D713" s="117"/>
      <c r="E713" s="893"/>
      <c r="F713" s="893"/>
      <c r="G713" s="893"/>
      <c r="H713" s="893"/>
      <c r="I713" s="893"/>
      <c r="J713" s="893"/>
      <c r="K713" s="893"/>
      <c r="L713" s="893"/>
      <c r="M713" s="893"/>
      <c r="N713" s="893"/>
      <c r="O713" s="893"/>
      <c r="P713" s="893"/>
      <c r="Q713" s="893"/>
      <c r="R713" s="893"/>
      <c r="S713" s="893"/>
      <c r="T713" s="893"/>
      <c r="U713" s="893"/>
      <c r="V713" s="893"/>
      <c r="W713" s="893"/>
      <c r="X713" s="893"/>
      <c r="Y713" s="893"/>
      <c r="Z713" s="893"/>
      <c r="AA713" s="893"/>
      <c r="AB713" s="893"/>
      <c r="AC713" s="1"/>
      <c r="AD713" s="1"/>
      <c r="AE713" s="14"/>
      <c r="AF713" s="1"/>
      <c r="AG713" s="1"/>
      <c r="AH713" s="1"/>
      <c r="AI713" s="1"/>
      <c r="AJ713" s="1"/>
      <c r="AK713" s="1"/>
      <c r="AL713" s="1"/>
      <c r="AM713" s="117"/>
      <c r="AN713" s="424"/>
      <c r="AO713" s="117"/>
      <c r="AP713" s="117"/>
      <c r="AQ713" s="117"/>
      <c r="AR713" s="117"/>
      <c r="AS713" s="117"/>
      <c r="AT713" s="117"/>
      <c r="AU713" s="117"/>
      <c r="AV713" s="117"/>
      <c r="AW713" s="117"/>
      <c r="AX713" s="117"/>
      <c r="AY713" s="117"/>
      <c r="AZ713" s="117"/>
      <c r="BA713" s="117"/>
      <c r="BB713" s="117"/>
      <c r="BC713" s="117"/>
      <c r="BD713" s="117"/>
      <c r="BE713" s="117"/>
      <c r="BF713" s="117"/>
      <c r="BG713" s="117"/>
      <c r="BH713" s="117"/>
      <c r="BI713" s="117"/>
      <c r="BJ713" s="117"/>
      <c r="BK713" s="117"/>
      <c r="BL713" s="117"/>
      <c r="BM713" s="117"/>
      <c r="BN713" s="117"/>
      <c r="BO713" s="117"/>
      <c r="BP713" s="117"/>
      <c r="BQ713" s="117"/>
      <c r="BR713" s="117"/>
      <c r="BS713" s="117"/>
      <c r="BT713" s="117"/>
      <c r="BU713" s="117"/>
      <c r="BV713" s="117"/>
      <c r="BW713" s="117"/>
      <c r="BX713" s="117"/>
      <c r="BY713" s="117"/>
      <c r="BZ713" s="117"/>
      <c r="CA713" s="117"/>
    </row>
    <row r="714" spans="1:79" ht="12" customHeight="1">
      <c r="A714" s="117"/>
      <c r="B714" s="1"/>
      <c r="C714" s="194"/>
      <c r="D714" s="1"/>
      <c r="E714" s="893"/>
      <c r="F714" s="893"/>
      <c r="G714" s="893"/>
      <c r="H714" s="893"/>
      <c r="I714" s="893"/>
      <c r="J714" s="893"/>
      <c r="K714" s="893"/>
      <c r="L714" s="893"/>
      <c r="M714" s="893"/>
      <c r="N714" s="893"/>
      <c r="O714" s="893"/>
      <c r="P714" s="893"/>
      <c r="Q714" s="893"/>
      <c r="R714" s="893"/>
      <c r="S714" s="893"/>
      <c r="T714" s="893"/>
      <c r="U714" s="893"/>
      <c r="V714" s="893"/>
      <c r="W714" s="893"/>
      <c r="X714" s="893"/>
      <c r="Y714" s="893"/>
      <c r="Z714" s="893"/>
      <c r="AA714" s="893"/>
      <c r="AB714" s="893"/>
      <c r="AC714" s="1"/>
      <c r="AD714" s="1"/>
      <c r="AE714" s="14"/>
      <c r="AF714" s="1"/>
      <c r="AG714" s="1"/>
      <c r="AH714" s="1"/>
      <c r="AI714" s="1"/>
      <c r="AJ714" s="1"/>
      <c r="AK714" s="1"/>
      <c r="AL714" s="1"/>
      <c r="AM714" s="117"/>
      <c r="AN714" s="424"/>
      <c r="AO714" s="117"/>
      <c r="AP714" s="117"/>
      <c r="AQ714" s="117"/>
      <c r="AR714" s="117"/>
      <c r="AS714" s="117"/>
      <c r="AT714" s="117"/>
      <c r="AU714" s="117"/>
      <c r="AV714" s="117"/>
      <c r="AW714" s="117"/>
      <c r="AX714" s="117"/>
      <c r="AY714" s="117"/>
      <c r="AZ714" s="117"/>
      <c r="BA714" s="117"/>
      <c r="BB714" s="117"/>
      <c r="BC714" s="117"/>
      <c r="BD714" s="117"/>
      <c r="BE714" s="117"/>
      <c r="BF714" s="117"/>
      <c r="BG714" s="117"/>
      <c r="BH714" s="117"/>
      <c r="BI714" s="117"/>
      <c r="BJ714" s="117"/>
      <c r="BK714" s="117"/>
      <c r="BL714" s="117"/>
      <c r="BM714" s="117"/>
      <c r="BN714" s="117"/>
      <c r="BO714" s="117"/>
      <c r="BP714" s="117"/>
      <c r="BQ714" s="117"/>
      <c r="BR714" s="117"/>
      <c r="BS714" s="117"/>
      <c r="BT714" s="117"/>
      <c r="BU714" s="117"/>
      <c r="BV714" s="117"/>
      <c r="BW714" s="117"/>
      <c r="BX714" s="117"/>
      <c r="BY714" s="117"/>
      <c r="BZ714" s="117"/>
      <c r="CA714" s="117"/>
    </row>
    <row r="715" spans="1:79" ht="12" customHeight="1">
      <c r="A715" s="117"/>
      <c r="B715" s="1"/>
      <c r="C715" s="194"/>
      <c r="D715" s="1"/>
      <c r="E715" s="893"/>
      <c r="F715" s="893"/>
      <c r="G715" s="893"/>
      <c r="H715" s="893"/>
      <c r="I715" s="893"/>
      <c r="J715" s="893"/>
      <c r="K715" s="893"/>
      <c r="L715" s="893"/>
      <c r="M715" s="893"/>
      <c r="N715" s="893"/>
      <c r="O715" s="893"/>
      <c r="P715" s="893"/>
      <c r="Q715" s="893"/>
      <c r="R715" s="893"/>
      <c r="S715" s="893"/>
      <c r="T715" s="893"/>
      <c r="U715" s="893"/>
      <c r="V715" s="893"/>
      <c r="W715" s="893"/>
      <c r="X715" s="893"/>
      <c r="Y715" s="893"/>
      <c r="Z715" s="893"/>
      <c r="AA715" s="893"/>
      <c r="AB715" s="893"/>
      <c r="AC715" s="1"/>
      <c r="AD715" s="1"/>
      <c r="AE715" s="14"/>
      <c r="AF715" s="1"/>
      <c r="AG715" s="1"/>
      <c r="AH715" s="1"/>
      <c r="AI715" s="1"/>
      <c r="AJ715" s="1"/>
      <c r="AK715" s="1"/>
      <c r="AL715" s="1"/>
      <c r="AM715" s="117"/>
      <c r="AN715" s="424"/>
      <c r="AO715" s="117"/>
      <c r="AP715" s="117"/>
      <c r="AQ715" s="117"/>
      <c r="AR715" s="117"/>
      <c r="AS715" s="117"/>
      <c r="AT715" s="117"/>
      <c r="AU715" s="117"/>
      <c r="AV715" s="117"/>
      <c r="AW715" s="117"/>
      <c r="AX715" s="117"/>
      <c r="AY715" s="117"/>
      <c r="AZ715" s="117"/>
      <c r="BA715" s="117"/>
      <c r="BB715" s="117"/>
      <c r="BC715" s="117"/>
      <c r="BD715" s="117"/>
      <c r="BE715" s="117"/>
      <c r="BF715" s="117"/>
      <c r="BG715" s="117"/>
      <c r="BH715" s="117"/>
      <c r="BI715" s="117"/>
      <c r="BJ715" s="117"/>
      <c r="BK715" s="117"/>
      <c r="BL715" s="117"/>
      <c r="BM715" s="117"/>
      <c r="BN715" s="117"/>
      <c r="BO715" s="117"/>
      <c r="BP715" s="117"/>
      <c r="BQ715" s="117"/>
      <c r="BR715" s="117"/>
      <c r="BS715" s="117"/>
      <c r="BT715" s="117"/>
      <c r="BU715" s="117"/>
      <c r="BV715" s="117"/>
      <c r="BW715" s="117"/>
      <c r="BX715" s="117"/>
      <c r="BY715" s="117"/>
      <c r="BZ715" s="117"/>
      <c r="CA715" s="117"/>
    </row>
    <row r="716" spans="1:79" ht="12.75" customHeight="1">
      <c r="A716" s="117"/>
      <c r="B716" s="1"/>
      <c r="C716" s="194"/>
      <c r="D716" s="1"/>
      <c r="E716" s="893"/>
      <c r="F716" s="893"/>
      <c r="G716" s="893"/>
      <c r="H716" s="893"/>
      <c r="I716" s="893"/>
      <c r="J716" s="893"/>
      <c r="K716" s="893"/>
      <c r="L716" s="893"/>
      <c r="M716" s="893"/>
      <c r="N716" s="893"/>
      <c r="O716" s="893"/>
      <c r="P716" s="893"/>
      <c r="Q716" s="893"/>
      <c r="R716" s="893"/>
      <c r="S716" s="893"/>
      <c r="T716" s="893"/>
      <c r="U716" s="893"/>
      <c r="V716" s="893"/>
      <c r="W716" s="893"/>
      <c r="X716" s="893"/>
      <c r="Y716" s="893"/>
      <c r="Z716" s="893"/>
      <c r="AA716" s="893"/>
      <c r="AB716" s="893"/>
      <c r="AC716" s="1"/>
      <c r="AD716" s="1"/>
      <c r="AE716" s="14"/>
      <c r="AF716" s="14"/>
      <c r="AG716" s="14"/>
      <c r="AH716" s="14"/>
      <c r="AI716" s="14"/>
      <c r="AJ716" s="1"/>
      <c r="AK716" s="1"/>
      <c r="AL716" s="1"/>
      <c r="AM716" s="117"/>
      <c r="AN716" s="267"/>
      <c r="AO716" s="117" t="s">
        <v>855</v>
      </c>
      <c r="AP716" s="521">
        <v>0</v>
      </c>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row>
    <row r="717" spans="1:79" ht="12" customHeight="1">
      <c r="A717" s="117"/>
      <c r="B717" s="1"/>
      <c r="C717" s="194"/>
      <c r="D717" s="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
      <c r="AD717" s="1"/>
      <c r="AE717" s="14"/>
      <c r="AF717" s="14"/>
      <c r="AG717" s="14"/>
      <c r="AH717" s="14"/>
      <c r="AI717" s="14"/>
      <c r="AJ717" s="1"/>
      <c r="AK717" s="1"/>
      <c r="AL717" s="1"/>
      <c r="AM717" s="117"/>
      <c r="AN717" s="267"/>
      <c r="AO717" s="100" t="s">
        <v>44</v>
      </c>
      <c r="AP717" s="117">
        <v>3</v>
      </c>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row>
    <row r="718" spans="1:79" ht="12.75" customHeight="1">
      <c r="A718" s="117"/>
      <c r="B718" s="1"/>
      <c r="C718" s="252"/>
      <c r="D718" s="100" t="s">
        <v>2359</v>
      </c>
      <c r="E718" s="923" t="s">
        <v>2441</v>
      </c>
      <c r="F718" s="893"/>
      <c r="G718" s="893"/>
      <c r="H718" s="893"/>
      <c r="I718" s="893"/>
      <c r="J718" s="893"/>
      <c r="K718" s="893"/>
      <c r="L718" s="893"/>
      <c r="M718" s="893"/>
      <c r="N718" s="893"/>
      <c r="O718" s="893"/>
      <c r="P718" s="893"/>
      <c r="Q718" s="893"/>
      <c r="R718" s="893"/>
      <c r="S718" s="893"/>
      <c r="T718" s="893"/>
      <c r="U718" s="893"/>
      <c r="V718" s="893"/>
      <c r="W718" s="893"/>
      <c r="X718" s="893"/>
      <c r="Y718" s="893"/>
      <c r="Z718" s="893"/>
      <c r="AA718" s="893"/>
      <c r="AB718" s="893"/>
      <c r="AC718" s="117"/>
      <c r="AD718" s="1"/>
      <c r="AE718" s="117"/>
      <c r="AF718" s="1424" t="s">
        <v>2402</v>
      </c>
      <c r="AG718" s="893"/>
      <c r="AH718" s="893"/>
      <c r="AI718" s="893"/>
      <c r="AJ718" s="893"/>
      <c r="AK718" s="893"/>
      <c r="AL718" s="893"/>
      <c r="AM718" s="117"/>
      <c r="AN718" s="267"/>
      <c r="AO718" s="100" t="s">
        <v>51</v>
      </c>
      <c r="AP718" s="117">
        <f>3*$AO$708</f>
        <v>0</v>
      </c>
      <c r="AQ718" s="1"/>
      <c r="AR718" s="1"/>
      <c r="AS718" s="1"/>
      <c r="AT718" s="1"/>
      <c r="AU718" s="1"/>
      <c r="AV718" s="1"/>
      <c r="AW718" s="1"/>
      <c r="AX718" s="1"/>
      <c r="AY718" s="1"/>
      <c r="AZ718" s="1"/>
      <c r="BA718" s="1"/>
      <c r="BB718" s="1"/>
      <c r="BC718" s="1"/>
      <c r="BD718" s="126"/>
      <c r="BE718" s="126"/>
      <c r="BF718" s="126"/>
      <c r="BG718" s="126"/>
      <c r="BH718" s="126"/>
      <c r="BI718" s="1"/>
      <c r="BJ718" s="1"/>
      <c r="BK718" s="1"/>
      <c r="BL718" s="1"/>
      <c r="BM718" s="1"/>
      <c r="BN718" s="1"/>
      <c r="BO718" s="1"/>
      <c r="BP718" s="1"/>
      <c r="BQ718" s="1"/>
      <c r="BR718" s="1"/>
      <c r="BS718" s="1"/>
      <c r="BT718" s="1"/>
      <c r="BU718" s="1"/>
      <c r="BV718" s="1"/>
      <c r="BW718" s="1"/>
      <c r="BX718" s="1"/>
      <c r="BY718" s="1"/>
      <c r="BZ718" s="1"/>
      <c r="CA718" s="1"/>
    </row>
    <row r="719" spans="1:79" ht="12.75" customHeight="1">
      <c r="A719" s="117"/>
      <c r="B719" s="1"/>
      <c r="C719" s="252"/>
      <c r="D719" s="100"/>
      <c r="E719" s="893"/>
      <c r="F719" s="893"/>
      <c r="G719" s="893"/>
      <c r="H719" s="893"/>
      <c r="I719" s="893"/>
      <c r="J719" s="893"/>
      <c r="K719" s="893"/>
      <c r="L719" s="893"/>
      <c r="M719" s="893"/>
      <c r="N719" s="893"/>
      <c r="O719" s="893"/>
      <c r="P719" s="893"/>
      <c r="Q719" s="893"/>
      <c r="R719" s="893"/>
      <c r="S719" s="893"/>
      <c r="T719" s="893"/>
      <c r="U719" s="893"/>
      <c r="V719" s="893"/>
      <c r="W719" s="893"/>
      <c r="X719" s="893"/>
      <c r="Y719" s="893"/>
      <c r="Z719" s="893"/>
      <c r="AA719" s="893"/>
      <c r="AB719" s="893"/>
      <c r="AC719" s="117"/>
      <c r="AD719" s="1"/>
      <c r="AE719" s="117"/>
      <c r="AF719" s="893"/>
      <c r="AG719" s="893"/>
      <c r="AH719" s="893"/>
      <c r="AI719" s="893"/>
      <c r="AJ719" s="893"/>
      <c r="AK719" s="893"/>
      <c r="AL719" s="893"/>
      <c r="AM719" s="117"/>
      <c r="AN719" s="267"/>
      <c r="AO719" s="100" t="s">
        <v>82</v>
      </c>
      <c r="AP719" s="117">
        <f>2*$AO$708</f>
        <v>0</v>
      </c>
      <c r="AQ719" s="1"/>
      <c r="AR719" s="1"/>
      <c r="AS719" s="1"/>
      <c r="AT719" s="1"/>
      <c r="AU719" s="1"/>
      <c r="AV719" s="1"/>
      <c r="AW719" s="1"/>
      <c r="AX719" s="1"/>
      <c r="AY719" s="1"/>
      <c r="AZ719" s="1"/>
      <c r="BA719" s="1"/>
      <c r="BB719" s="1"/>
      <c r="BC719" s="1"/>
      <c r="BD719" s="126"/>
      <c r="BE719" s="126"/>
      <c r="BF719" s="126"/>
      <c r="BG719" s="126"/>
      <c r="BH719" s="126"/>
      <c r="BI719" s="1"/>
      <c r="BJ719" s="1"/>
      <c r="BK719" s="1"/>
      <c r="BL719" s="1"/>
      <c r="BM719" s="1"/>
      <c r="BN719" s="1"/>
      <c r="BO719" s="1"/>
      <c r="BP719" s="1"/>
      <c r="BQ719" s="1"/>
      <c r="BR719" s="1"/>
      <c r="BS719" s="1"/>
      <c r="BT719" s="1"/>
      <c r="BU719" s="1"/>
      <c r="BV719" s="1"/>
      <c r="BW719" s="1"/>
      <c r="BX719" s="1"/>
      <c r="BY719" s="1"/>
      <c r="BZ719" s="1"/>
      <c r="CA719" s="1"/>
    </row>
    <row r="720" spans="1:79" ht="12.75" customHeight="1">
      <c r="A720" s="117"/>
      <c r="B720" s="1"/>
      <c r="C720" s="252"/>
      <c r="D720" s="117"/>
      <c r="E720" s="320"/>
      <c r="F720" s="320"/>
      <c r="G720" s="320"/>
      <c r="H720" s="320"/>
      <c r="I720" s="320"/>
      <c r="J720" s="320"/>
      <c r="K720" s="320"/>
      <c r="L720" s="320"/>
      <c r="M720" s="320"/>
      <c r="N720" s="320"/>
      <c r="O720" s="320"/>
      <c r="P720" s="320"/>
      <c r="Q720" s="320"/>
      <c r="R720" s="320"/>
      <c r="S720" s="320"/>
      <c r="T720" s="320"/>
      <c r="U720" s="320"/>
      <c r="V720" s="320"/>
      <c r="W720" s="320"/>
      <c r="X720" s="320"/>
      <c r="Y720" s="320"/>
      <c r="Z720" s="320"/>
      <c r="AA720" s="320"/>
      <c r="AB720" s="320"/>
      <c r="AC720" s="117"/>
      <c r="AD720" s="1"/>
      <c r="AE720" s="76"/>
      <c r="AF720" s="76"/>
      <c r="AG720" s="76"/>
      <c r="AH720" s="76"/>
      <c r="AI720" s="76"/>
      <c r="AJ720" s="117"/>
      <c r="AK720" s="117"/>
      <c r="AL720" s="117"/>
      <c r="AM720" s="117"/>
      <c r="AN720" s="267"/>
      <c r="AO720" s="100" t="s">
        <v>2359</v>
      </c>
      <c r="AP720" s="117">
        <v>2</v>
      </c>
      <c r="AQ720" s="1"/>
      <c r="AR720" s="1"/>
      <c r="AS720" s="1"/>
      <c r="AT720" s="1"/>
      <c r="AU720" s="1"/>
      <c r="AV720" s="1"/>
      <c r="AW720" s="1"/>
      <c r="AX720" s="1"/>
      <c r="AY720" s="1"/>
      <c r="AZ720" s="1"/>
      <c r="BA720" s="1"/>
      <c r="BB720" s="1"/>
      <c r="BC720" s="1"/>
      <c r="BD720" s="126"/>
      <c r="BE720" s="126"/>
      <c r="BF720" s="126"/>
      <c r="BG720" s="126"/>
      <c r="BH720" s="126"/>
      <c r="BI720" s="1"/>
      <c r="BJ720" s="1"/>
      <c r="BK720" s="1"/>
      <c r="BL720" s="1"/>
      <c r="BM720" s="1"/>
      <c r="BN720" s="1"/>
      <c r="BO720" s="1"/>
      <c r="BP720" s="1"/>
      <c r="BQ720" s="1"/>
      <c r="BR720" s="1"/>
      <c r="BS720" s="1"/>
      <c r="BT720" s="1"/>
      <c r="BU720" s="1"/>
      <c r="BV720" s="1"/>
      <c r="BW720" s="1"/>
      <c r="BX720" s="1"/>
      <c r="BY720" s="1"/>
      <c r="BZ720" s="1"/>
      <c r="CA720" s="1"/>
    </row>
    <row r="721" spans="1:79" ht="12.75" customHeight="1">
      <c r="A721" s="117"/>
      <c r="B721" s="1"/>
      <c r="C721" s="194"/>
      <c r="D721" s="1"/>
      <c r="E721" s="895" t="s">
        <v>2442</v>
      </c>
      <c r="F721" s="893"/>
      <c r="G721" s="893"/>
      <c r="H721" s="893"/>
      <c r="I721" s="893"/>
      <c r="J721" s="893"/>
      <c r="K721" s="893"/>
      <c r="L721" s="893"/>
      <c r="M721" s="893"/>
      <c r="N721" s="893"/>
      <c r="O721" s="893"/>
      <c r="P721" s="893"/>
      <c r="Q721" s="893"/>
      <c r="R721" s="893"/>
      <c r="S721" s="893"/>
      <c r="T721" s="893"/>
      <c r="U721" s="893"/>
      <c r="V721" s="893"/>
      <c r="W721" s="893"/>
      <c r="X721" s="893"/>
      <c r="Y721" s="893"/>
      <c r="Z721" s="893"/>
      <c r="AA721" s="893"/>
      <c r="AB721" s="893"/>
      <c r="AC721" s="1"/>
      <c r="AD721" s="1"/>
      <c r="AE721" s="14"/>
      <c r="AF721" s="14"/>
      <c r="AG721" s="14"/>
      <c r="AH721" s="14"/>
      <c r="AI721" s="14"/>
      <c r="AJ721" s="1"/>
      <c r="AK721" s="1"/>
      <c r="AL721" s="1"/>
      <c r="AM721" s="117"/>
      <c r="AN721" s="267"/>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row>
    <row r="722" spans="1:79" ht="12.75" customHeight="1">
      <c r="A722" s="117"/>
      <c r="B722" s="1"/>
      <c r="C722" s="194"/>
      <c r="D722" s="1"/>
      <c r="E722" s="893"/>
      <c r="F722" s="893"/>
      <c r="G722" s="893"/>
      <c r="H722" s="893"/>
      <c r="I722" s="893"/>
      <c r="J722" s="893"/>
      <c r="K722" s="893"/>
      <c r="L722" s="893"/>
      <c r="M722" s="893"/>
      <c r="N722" s="893"/>
      <c r="O722" s="893"/>
      <c r="P722" s="893"/>
      <c r="Q722" s="893"/>
      <c r="R722" s="893"/>
      <c r="S722" s="893"/>
      <c r="T722" s="893"/>
      <c r="U722" s="893"/>
      <c r="V722" s="893"/>
      <c r="W722" s="893"/>
      <c r="X722" s="893"/>
      <c r="Y722" s="893"/>
      <c r="Z722" s="893"/>
      <c r="AA722" s="893"/>
      <c r="AB722" s="893"/>
      <c r="AC722" s="1"/>
      <c r="AD722" s="1"/>
      <c r="AE722" s="14"/>
      <c r="AF722" s="14"/>
      <c r="AG722" s="14"/>
      <c r="AH722" s="14"/>
      <c r="AI722" s="14"/>
      <c r="AJ722" s="1"/>
      <c r="AK722" s="1"/>
      <c r="AL722" s="1"/>
      <c r="AM722" s="117"/>
      <c r="AN722" s="267"/>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row>
    <row r="723" spans="1:79" ht="12.75" customHeight="1">
      <c r="A723" s="117"/>
      <c r="B723" s="1"/>
      <c r="C723" s="194"/>
      <c r="D723" s="1"/>
      <c r="E723" s="893"/>
      <c r="F723" s="893"/>
      <c r="G723" s="893"/>
      <c r="H723" s="893"/>
      <c r="I723" s="893"/>
      <c r="J723" s="893"/>
      <c r="K723" s="893"/>
      <c r="L723" s="893"/>
      <c r="M723" s="893"/>
      <c r="N723" s="893"/>
      <c r="O723" s="893"/>
      <c r="P723" s="893"/>
      <c r="Q723" s="893"/>
      <c r="R723" s="893"/>
      <c r="S723" s="893"/>
      <c r="T723" s="893"/>
      <c r="U723" s="893"/>
      <c r="V723" s="893"/>
      <c r="W723" s="893"/>
      <c r="X723" s="893"/>
      <c r="Y723" s="893"/>
      <c r="Z723" s="893"/>
      <c r="AA723" s="893"/>
      <c r="AB723" s="893"/>
      <c r="AC723" s="1"/>
      <c r="AD723" s="1"/>
      <c r="AE723" s="14"/>
      <c r="AF723" s="14"/>
      <c r="AG723" s="14"/>
      <c r="AH723" s="14"/>
      <c r="AI723" s="14"/>
      <c r="AJ723" s="1"/>
      <c r="AK723" s="1"/>
      <c r="AL723" s="1"/>
      <c r="AM723" s="117"/>
      <c r="AN723" s="267"/>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row>
    <row r="724" spans="1:79" ht="12.75" customHeight="1">
      <c r="A724" s="117"/>
      <c r="B724" s="1"/>
      <c r="C724" s="194"/>
      <c r="D724" s="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
      <c r="AD724" s="1"/>
      <c r="AE724" s="14"/>
      <c r="AF724" s="14"/>
      <c r="AG724" s="14"/>
      <c r="AH724" s="14"/>
      <c r="AI724" s="14"/>
      <c r="AJ724" s="1"/>
      <c r="AK724" s="1"/>
      <c r="AL724" s="1"/>
      <c r="AM724" s="117"/>
      <c r="AN724" s="267"/>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row>
    <row r="725" spans="1:79" ht="12.75" customHeight="1">
      <c r="A725" s="117"/>
      <c r="B725" s="1"/>
      <c r="C725" s="194"/>
      <c r="D725" s="1" t="s">
        <v>2378</v>
      </c>
      <c r="E725" s="719"/>
      <c r="F725" s="719"/>
      <c r="G725" s="719"/>
      <c r="H725" s="1379" t="s">
        <v>51</v>
      </c>
      <c r="I725" s="969"/>
      <c r="J725" s="11"/>
      <c r="K725" s="11"/>
      <c r="L725" s="11"/>
      <c r="M725" s="11"/>
      <c r="N725" s="11"/>
      <c r="O725" s="11"/>
      <c r="P725" s="11"/>
      <c r="Q725" s="11"/>
      <c r="R725" s="11"/>
      <c r="S725" s="11"/>
      <c r="T725" s="11"/>
      <c r="U725" s="11"/>
      <c r="V725" s="11"/>
      <c r="W725" s="11"/>
      <c r="X725" s="11"/>
      <c r="Y725" s="11"/>
      <c r="Z725" s="11"/>
      <c r="AA725" s="11"/>
      <c r="AB725" s="11"/>
      <c r="AC725" s="1"/>
      <c r="AD725" s="1"/>
      <c r="AE725" s="14"/>
      <c r="AF725" s="14"/>
      <c r="AG725" s="14"/>
      <c r="AH725" s="14"/>
      <c r="AI725" s="14"/>
      <c r="AJ725" s="1"/>
      <c r="AK725" s="1"/>
      <c r="AL725" s="1"/>
      <c r="AM725" s="117"/>
      <c r="AN725" s="267"/>
      <c r="AO725" s="1"/>
      <c r="AP725" s="1" t="s">
        <v>2443</v>
      </c>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row>
    <row r="726" spans="1:79" ht="12.75" customHeight="1">
      <c r="A726" s="117"/>
      <c r="B726" s="1"/>
      <c r="C726" s="194"/>
      <c r="D726" s="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
      <c r="AD726" s="1"/>
      <c r="AE726" s="14"/>
      <c r="AF726" s="14"/>
      <c r="AG726" s="14"/>
      <c r="AH726" s="14"/>
      <c r="AI726" s="14"/>
      <c r="AJ726" s="1"/>
      <c r="AK726" s="1"/>
      <c r="AL726" s="1"/>
      <c r="AM726" s="117"/>
      <c r="AN726" s="267"/>
      <c r="AO726" s="1"/>
      <c r="AP726" s="1" t="s">
        <v>2273</v>
      </c>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row>
    <row r="727" spans="1:79" ht="12.75" customHeight="1">
      <c r="A727" s="425"/>
      <c r="B727" s="5"/>
      <c r="C727" s="728"/>
      <c r="D727" s="5"/>
      <c r="E727" s="5"/>
      <c r="F727" s="5"/>
      <c r="G727" s="5"/>
      <c r="H727" s="5"/>
      <c r="I727" s="5"/>
      <c r="J727" s="735"/>
      <c r="K727" s="735"/>
      <c r="L727" s="561"/>
      <c r="M727" s="561"/>
      <c r="N727" s="561"/>
      <c r="O727" s="561"/>
      <c r="P727" s="561"/>
      <c r="Q727" s="561"/>
      <c r="R727" s="561"/>
      <c r="S727" s="561"/>
      <c r="T727" s="561"/>
      <c r="U727" s="561"/>
      <c r="V727" s="561"/>
      <c r="W727" s="561"/>
      <c r="X727" s="561"/>
      <c r="Y727" s="723"/>
      <c r="Z727" s="723"/>
      <c r="AA727" s="723"/>
      <c r="AB727" s="5"/>
      <c r="AC727" s="5"/>
      <c r="AD727" s="5"/>
      <c r="AE727" s="5"/>
      <c r="AF727" s="5"/>
      <c r="AG727" s="5"/>
      <c r="AH727" s="5"/>
      <c r="AI727" s="372" t="s">
        <v>2444</v>
      </c>
      <c r="AJ727" s="945">
        <f>VLOOKUP($H$725,$AO$716:$AP$720,2,FALSE)</f>
        <v>0</v>
      </c>
      <c r="AK727" s="943"/>
      <c r="AL727" s="7"/>
      <c r="AM727" s="117"/>
      <c r="AN727" s="267"/>
      <c r="AO727" s="1"/>
      <c r="AP727" s="1" t="s">
        <v>2407</v>
      </c>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row>
    <row r="728" spans="1:79" ht="12.75" customHeight="1">
      <c r="A728" s="11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4"/>
      <c r="AF728" s="14"/>
      <c r="AG728" s="14"/>
      <c r="AH728" s="14"/>
      <c r="AI728" s="14"/>
      <c r="AJ728" s="1"/>
      <c r="AK728" s="1"/>
      <c r="AL728" s="1"/>
      <c r="AM728" s="117"/>
      <c r="AN728" s="267"/>
      <c r="AO728" s="1"/>
      <c r="AP728" s="1" t="s">
        <v>2445</v>
      </c>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row>
    <row r="729" spans="1:79" ht="12.75" customHeight="1">
      <c r="A729" s="117"/>
      <c r="B729" s="1"/>
      <c r="C729" s="8" t="s">
        <v>2446</v>
      </c>
      <c r="D729" s="86"/>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4"/>
      <c r="AF729" s="14"/>
      <c r="AG729" s="14"/>
      <c r="AH729" s="14"/>
      <c r="AI729" s="14"/>
      <c r="AJ729" s="1"/>
      <c r="AK729" s="1"/>
      <c r="AL729" s="1"/>
      <c r="AM729" s="117"/>
      <c r="AN729" s="267"/>
      <c r="AO729" s="1"/>
      <c r="AP729" s="1" t="s">
        <v>2447</v>
      </c>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row>
    <row r="730" spans="1:79" ht="12.75" customHeight="1">
      <c r="A730" s="117"/>
      <c r="B730" s="1"/>
      <c r="C730" s="194"/>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4"/>
      <c r="AF730" s="14"/>
      <c r="AG730" s="14"/>
      <c r="AH730" s="14"/>
      <c r="AI730" s="14"/>
      <c r="AJ730" s="1"/>
      <c r="AK730" s="1"/>
      <c r="AL730" s="1"/>
      <c r="AM730" s="117"/>
      <c r="AN730" s="267"/>
      <c r="AO730" s="1"/>
      <c r="AP730" s="1" t="s">
        <v>2280</v>
      </c>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row>
    <row r="731" spans="1:79" ht="12.75" customHeight="1">
      <c r="A731" s="521"/>
      <c r="B731" s="1"/>
      <c r="C731" s="194"/>
      <c r="D731" s="41" t="s">
        <v>44</v>
      </c>
      <c r="E731" s="1425" t="s">
        <v>2448</v>
      </c>
      <c r="F731" s="893"/>
      <c r="G731" s="893"/>
      <c r="H731" s="893"/>
      <c r="I731" s="893"/>
      <c r="J731" s="893"/>
      <c r="K731" s="893"/>
      <c r="L731" s="893"/>
      <c r="M731" s="893"/>
      <c r="N731" s="893"/>
      <c r="O731" s="893"/>
      <c r="P731" s="893"/>
      <c r="Q731" s="893"/>
      <c r="R731" s="893"/>
      <c r="S731" s="893"/>
      <c r="T731" s="893"/>
      <c r="U731" s="893"/>
      <c r="V731" s="893"/>
      <c r="W731" s="893"/>
      <c r="X731" s="893"/>
      <c r="Y731" s="893"/>
      <c r="Z731" s="893"/>
      <c r="AA731" s="893"/>
      <c r="AB731" s="893"/>
      <c r="AC731" s="1"/>
      <c r="AD731" s="1"/>
      <c r="AE731" s="1"/>
      <c r="AF731" s="1376" t="s">
        <v>1959</v>
      </c>
      <c r="AG731" s="893"/>
      <c r="AH731" s="893"/>
      <c r="AI731" s="893"/>
      <c r="AJ731" s="893"/>
      <c r="AK731" s="893"/>
      <c r="AL731" s="893"/>
      <c r="AM731" s="117"/>
      <c r="AN731" s="267"/>
      <c r="AO731" s="1"/>
      <c r="AP731" s="1" t="s">
        <v>2449</v>
      </c>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row>
    <row r="732" spans="1:79" ht="11.25" customHeight="1">
      <c r="A732" s="117"/>
      <c r="B732" s="1"/>
      <c r="C732" s="713"/>
      <c r="D732" s="41"/>
      <c r="E732" s="893"/>
      <c r="F732" s="893"/>
      <c r="G732" s="893"/>
      <c r="H732" s="893"/>
      <c r="I732" s="893"/>
      <c r="J732" s="893"/>
      <c r="K732" s="893"/>
      <c r="L732" s="893"/>
      <c r="M732" s="893"/>
      <c r="N732" s="893"/>
      <c r="O732" s="893"/>
      <c r="P732" s="893"/>
      <c r="Q732" s="893"/>
      <c r="R732" s="893"/>
      <c r="S732" s="893"/>
      <c r="T732" s="893"/>
      <c r="U732" s="893"/>
      <c r="V732" s="893"/>
      <c r="W732" s="893"/>
      <c r="X732" s="893"/>
      <c r="Y732" s="893"/>
      <c r="Z732" s="893"/>
      <c r="AA732" s="893"/>
      <c r="AB732" s="893"/>
      <c r="AC732" s="1"/>
      <c r="AD732" s="1"/>
      <c r="AE732" s="1"/>
      <c r="AF732" s="1"/>
      <c r="AG732" s="1"/>
      <c r="AH732" s="1"/>
      <c r="AI732" s="1"/>
      <c r="AJ732" s="1"/>
      <c r="AK732" s="1"/>
      <c r="AL732" s="1"/>
      <c r="AM732" s="117"/>
      <c r="AN732" s="267"/>
      <c r="AO732" s="1"/>
      <c r="AP732" s="1" t="s">
        <v>2450</v>
      </c>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row>
    <row r="733" spans="1:79" ht="13.5" customHeight="1">
      <c r="A733" s="117"/>
      <c r="B733" s="33"/>
      <c r="C733" s="194"/>
      <c r="D733" s="41"/>
      <c r="E733" s="893"/>
      <c r="F733" s="893"/>
      <c r="G733" s="893"/>
      <c r="H733" s="893"/>
      <c r="I733" s="893"/>
      <c r="J733" s="893"/>
      <c r="K733" s="893"/>
      <c r="L733" s="893"/>
      <c r="M733" s="893"/>
      <c r="N733" s="893"/>
      <c r="O733" s="893"/>
      <c r="P733" s="893"/>
      <c r="Q733" s="893"/>
      <c r="R733" s="893"/>
      <c r="S733" s="893"/>
      <c r="T733" s="893"/>
      <c r="U733" s="893"/>
      <c r="V733" s="893"/>
      <c r="W733" s="893"/>
      <c r="X733" s="893"/>
      <c r="Y733" s="893"/>
      <c r="Z733" s="893"/>
      <c r="AA733" s="893"/>
      <c r="AB733" s="893"/>
      <c r="AC733" s="1"/>
      <c r="AD733" s="1"/>
      <c r="AE733" s="14"/>
      <c r="AF733" s="1"/>
      <c r="AG733" s="1"/>
      <c r="AH733" s="1"/>
      <c r="AI733" s="1"/>
      <c r="AJ733" s="1"/>
      <c r="AK733" s="1"/>
      <c r="AL733" s="1"/>
      <c r="AM733" s="117"/>
      <c r="AN733" s="267"/>
      <c r="AO733" s="1"/>
      <c r="AP733" s="1" t="s">
        <v>2287</v>
      </c>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row>
    <row r="734" spans="1:79" ht="13.5" customHeight="1">
      <c r="A734" s="117"/>
      <c r="B734" s="33"/>
      <c r="C734" s="194"/>
      <c r="D734" s="41"/>
      <c r="E734" s="719"/>
      <c r="F734" s="719"/>
      <c r="G734" s="719"/>
      <c r="H734" s="719"/>
      <c r="I734" s="719"/>
      <c r="J734" s="719"/>
      <c r="K734" s="719"/>
      <c r="L734" s="719"/>
      <c r="M734" s="719"/>
      <c r="N734" s="719"/>
      <c r="O734" s="719"/>
      <c r="P734" s="719"/>
      <c r="Q734" s="719"/>
      <c r="R734" s="719"/>
      <c r="S734" s="719"/>
      <c r="T734" s="719"/>
      <c r="U734" s="719"/>
      <c r="V734" s="719"/>
      <c r="W734" s="719"/>
      <c r="X734" s="719"/>
      <c r="Y734" s="719"/>
      <c r="Z734" s="719"/>
      <c r="AA734" s="719"/>
      <c r="AB734" s="719"/>
      <c r="AC734" s="1"/>
      <c r="AD734" s="1"/>
      <c r="AE734" s="14"/>
      <c r="AF734" s="1"/>
      <c r="AG734" s="1"/>
      <c r="AH734" s="1"/>
      <c r="AI734" s="1"/>
      <c r="AJ734" s="1"/>
      <c r="AK734" s="1"/>
      <c r="AL734" s="1"/>
      <c r="AM734" s="117"/>
      <c r="AN734" s="267"/>
      <c r="AO734" s="1"/>
      <c r="AP734" s="41" t="s">
        <v>2451</v>
      </c>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row>
    <row r="735" spans="1:79" ht="13.5" customHeight="1">
      <c r="A735" s="117"/>
      <c r="B735" s="1"/>
      <c r="C735" s="194"/>
      <c r="D735" s="41" t="s">
        <v>51</v>
      </c>
      <c r="E735" s="1426" t="s">
        <v>2452</v>
      </c>
      <c r="F735" s="893"/>
      <c r="G735" s="893"/>
      <c r="H735" s="893"/>
      <c r="I735" s="893"/>
      <c r="J735" s="893"/>
      <c r="K735" s="893"/>
      <c r="L735" s="893"/>
      <c r="M735" s="893"/>
      <c r="N735" s="893"/>
      <c r="O735" s="893"/>
      <c r="P735" s="893"/>
      <c r="Q735" s="893"/>
      <c r="R735" s="893"/>
      <c r="S735" s="893"/>
      <c r="T735" s="893"/>
      <c r="U735" s="893"/>
      <c r="V735" s="893"/>
      <c r="W735" s="893"/>
      <c r="X735" s="893"/>
      <c r="Y735" s="893"/>
      <c r="Z735" s="893"/>
      <c r="AA735" s="893"/>
      <c r="AB735" s="893"/>
      <c r="AC735" s="1"/>
      <c r="AD735" s="1"/>
      <c r="AE735" s="1"/>
      <c r="AF735" s="1376" t="s">
        <v>2402</v>
      </c>
      <c r="AG735" s="893"/>
      <c r="AH735" s="893"/>
      <c r="AI735" s="893"/>
      <c r="AJ735" s="893"/>
      <c r="AK735" s="893"/>
      <c r="AL735" s="893"/>
      <c r="AM735" s="117"/>
      <c r="AN735" s="737"/>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row>
    <row r="736" spans="1:79" ht="12.75" customHeight="1">
      <c r="A736" s="117"/>
      <c r="B736" s="1"/>
      <c r="C736" s="713"/>
      <c r="D736" s="1"/>
      <c r="E736" s="893"/>
      <c r="F736" s="893"/>
      <c r="G736" s="893"/>
      <c r="H736" s="893"/>
      <c r="I736" s="893"/>
      <c r="J736" s="893"/>
      <c r="K736" s="893"/>
      <c r="L736" s="893"/>
      <c r="M736" s="893"/>
      <c r="N736" s="893"/>
      <c r="O736" s="893"/>
      <c r="P736" s="893"/>
      <c r="Q736" s="893"/>
      <c r="R736" s="893"/>
      <c r="S736" s="893"/>
      <c r="T736" s="893"/>
      <c r="U736" s="893"/>
      <c r="V736" s="893"/>
      <c r="W736" s="893"/>
      <c r="X736" s="893"/>
      <c r="Y736" s="893"/>
      <c r="Z736" s="893"/>
      <c r="AA736" s="893"/>
      <c r="AB736" s="893"/>
      <c r="AC736" s="1"/>
      <c r="AD736" s="1"/>
      <c r="AE736" s="1"/>
      <c r="AF736" s="1"/>
      <c r="AG736" s="1"/>
      <c r="AH736" s="1"/>
      <c r="AI736" s="1"/>
      <c r="AJ736" s="1"/>
      <c r="AK736" s="1"/>
      <c r="AL736" s="1"/>
      <c r="AM736" s="117"/>
      <c r="AN736" s="267"/>
      <c r="AO736" s="1"/>
      <c r="AP736" s="117" t="s">
        <v>855</v>
      </c>
      <c r="AQ736" s="521">
        <v>0</v>
      </c>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row>
    <row r="737" spans="1:79" ht="13.5" customHeight="1">
      <c r="A737" s="117"/>
      <c r="B737" s="1"/>
      <c r="C737" s="713"/>
      <c r="D737" s="1"/>
      <c r="E737" s="893"/>
      <c r="F737" s="893"/>
      <c r="G737" s="893"/>
      <c r="H737" s="893"/>
      <c r="I737" s="893"/>
      <c r="J737" s="893"/>
      <c r="K737" s="893"/>
      <c r="L737" s="893"/>
      <c r="M737" s="893"/>
      <c r="N737" s="893"/>
      <c r="O737" s="893"/>
      <c r="P737" s="893"/>
      <c r="Q737" s="893"/>
      <c r="R737" s="893"/>
      <c r="S737" s="893"/>
      <c r="T737" s="893"/>
      <c r="U737" s="893"/>
      <c r="V737" s="893"/>
      <c r="W737" s="893"/>
      <c r="X737" s="893"/>
      <c r="Y737" s="893"/>
      <c r="Z737" s="893"/>
      <c r="AA737" s="893"/>
      <c r="AB737" s="893"/>
      <c r="AC737" s="1"/>
      <c r="AD737" s="1"/>
      <c r="AE737" s="1"/>
      <c r="AF737" s="1"/>
      <c r="AG737" s="1"/>
      <c r="AH737" s="1"/>
      <c r="AI737" s="1"/>
      <c r="AJ737" s="1"/>
      <c r="AK737" s="1"/>
      <c r="AL737" s="1"/>
      <c r="AM737" s="117"/>
      <c r="AN737" s="267"/>
      <c r="AO737" s="1"/>
      <c r="AP737" s="100" t="s">
        <v>44</v>
      </c>
      <c r="AQ737" s="117">
        <v>3</v>
      </c>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row>
    <row r="738" spans="1:79" ht="13.5" customHeight="1">
      <c r="A738" s="117"/>
      <c r="B738" s="1"/>
      <c r="C738" s="713"/>
      <c r="D738" s="1"/>
      <c r="E738" s="736"/>
      <c r="F738" s="736"/>
      <c r="G738" s="736"/>
      <c r="H738" s="736"/>
      <c r="I738" s="736"/>
      <c r="J738" s="736"/>
      <c r="K738" s="736"/>
      <c r="L738" s="736"/>
      <c r="M738" s="736"/>
      <c r="N738" s="736"/>
      <c r="O738" s="736"/>
      <c r="P738" s="736"/>
      <c r="Q738" s="736"/>
      <c r="R738" s="736"/>
      <c r="S738" s="736"/>
      <c r="T738" s="736"/>
      <c r="U738" s="736"/>
      <c r="V738" s="736"/>
      <c r="W738" s="736"/>
      <c r="X738" s="736"/>
      <c r="Y738" s="736"/>
      <c r="Z738" s="736"/>
      <c r="AA738" s="736"/>
      <c r="AB738" s="736"/>
      <c r="AC738" s="1"/>
      <c r="AD738" s="1"/>
      <c r="AE738" s="1"/>
      <c r="AF738" s="1"/>
      <c r="AG738" s="1"/>
      <c r="AH738" s="1"/>
      <c r="AI738" s="1"/>
      <c r="AJ738" s="1"/>
      <c r="AK738" s="1"/>
      <c r="AL738" s="1"/>
      <c r="AM738" s="117"/>
      <c r="AN738" s="267"/>
      <c r="AO738" s="1"/>
      <c r="AP738" s="100" t="s">
        <v>51</v>
      </c>
      <c r="AQ738" s="117">
        <v>2</v>
      </c>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row>
    <row r="739" spans="1:79" ht="13.5" customHeight="1">
      <c r="A739" s="117"/>
      <c r="B739" s="1"/>
      <c r="C739" s="713"/>
      <c r="D739" s="1" t="s">
        <v>2378</v>
      </c>
      <c r="E739" s="719"/>
      <c r="F739" s="719"/>
      <c r="G739" s="719"/>
      <c r="H739" s="1379" t="s">
        <v>855</v>
      </c>
      <c r="I739" s="969"/>
      <c r="J739" s="736"/>
      <c r="K739" s="736"/>
      <c r="L739" s="736"/>
      <c r="M739" s="736"/>
      <c r="N739" s="736"/>
      <c r="O739" s="736"/>
      <c r="P739" s="736"/>
      <c r="Q739" s="736"/>
      <c r="R739" s="736"/>
      <c r="S739" s="736"/>
      <c r="T739" s="736"/>
      <c r="U739" s="736"/>
      <c r="V739" s="736"/>
      <c r="W739" s="736"/>
      <c r="X739" s="736"/>
      <c r="Y739" s="736"/>
      <c r="Z739" s="736"/>
      <c r="AA739" s="736"/>
      <c r="AB739" s="736"/>
      <c r="AC739" s="1"/>
      <c r="AD739" s="1"/>
      <c r="AE739" s="1"/>
      <c r="AF739" s="1"/>
      <c r="AG739" s="1"/>
      <c r="AH739" s="1"/>
      <c r="AI739" s="1"/>
      <c r="AJ739" s="1"/>
      <c r="AK739" s="1"/>
      <c r="AL739" s="1"/>
      <c r="AM739" s="117"/>
      <c r="AN739" s="267"/>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row>
    <row r="740" spans="1:79" ht="14.25" customHeight="1">
      <c r="A740" s="117"/>
      <c r="B740" s="1"/>
      <c r="C740" s="713"/>
      <c r="D740" s="1"/>
      <c r="E740" s="736"/>
      <c r="F740" s="736"/>
      <c r="G740" s="736"/>
      <c r="H740" s="736"/>
      <c r="I740" s="736"/>
      <c r="J740" s="736"/>
      <c r="K740" s="736"/>
      <c r="L740" s="736"/>
      <c r="M740" s="736"/>
      <c r="N740" s="736"/>
      <c r="O740" s="736"/>
      <c r="P740" s="736"/>
      <c r="Q740" s="736"/>
      <c r="R740" s="736"/>
      <c r="S740" s="736"/>
      <c r="T740" s="736"/>
      <c r="U740" s="736"/>
      <c r="V740" s="736"/>
      <c r="W740" s="736"/>
      <c r="X740" s="736"/>
      <c r="Y740" s="736"/>
      <c r="Z740" s="736"/>
      <c r="AA740" s="736"/>
      <c r="AB740" s="736"/>
      <c r="AC740" s="1"/>
      <c r="AD740" s="1"/>
      <c r="AE740" s="1"/>
      <c r="AF740" s="1"/>
      <c r="AG740" s="1"/>
      <c r="AH740" s="1"/>
      <c r="AI740" s="1"/>
      <c r="AJ740" s="1"/>
      <c r="AK740" s="1"/>
      <c r="AL740" s="1"/>
      <c r="AM740" s="117"/>
      <c r="AN740" s="267"/>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row>
    <row r="741" spans="1:79" ht="12.75" customHeight="1">
      <c r="A741" s="425"/>
      <c r="B741" s="5"/>
      <c r="C741" s="722"/>
      <c r="D741" s="5"/>
      <c r="E741" s="5"/>
      <c r="F741" s="5"/>
      <c r="G741" s="5"/>
      <c r="H741" s="5"/>
      <c r="I741" s="5"/>
      <c r="J741" s="739"/>
      <c r="K741" s="739"/>
      <c r="L741" s="739"/>
      <c r="M741" s="739"/>
      <c r="N741" s="739"/>
      <c r="O741" s="739"/>
      <c r="P741" s="739"/>
      <c r="Q741" s="739"/>
      <c r="R741" s="739"/>
      <c r="S741" s="739"/>
      <c r="T741" s="739"/>
      <c r="U741" s="561"/>
      <c r="V741" s="561"/>
      <c r="W741" s="561"/>
      <c r="X741" s="561"/>
      <c r="Y741" s="723"/>
      <c r="Z741" s="723"/>
      <c r="AA741" s="723"/>
      <c r="AB741" s="5"/>
      <c r="AC741" s="5"/>
      <c r="AD741" s="5"/>
      <c r="AE741" s="5"/>
      <c r="AF741" s="5"/>
      <c r="AG741" s="5"/>
      <c r="AH741" s="5"/>
      <c r="AI741" s="372" t="s">
        <v>2462</v>
      </c>
      <c r="AJ741" s="945">
        <f>VLOOKUP($H$739,$AP$736:$AQ$738,2,FALSE)</f>
        <v>0</v>
      </c>
      <c r="AK741" s="943"/>
      <c r="AL741" s="7"/>
      <c r="AM741" s="117"/>
      <c r="AN741" s="267"/>
      <c r="AO741" s="1"/>
      <c r="AP741" s="945"/>
      <c r="AQ741" s="943"/>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row>
    <row r="742" spans="1:79" ht="12.75" customHeight="1">
      <c r="A742" s="117"/>
      <c r="B742" s="33"/>
      <c r="C742" s="194"/>
      <c r="D742" s="322"/>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
      <c r="AD742" s="1"/>
      <c r="AE742" s="1"/>
      <c r="AF742" s="1"/>
      <c r="AG742" s="1"/>
      <c r="AH742" s="1"/>
      <c r="AI742" s="1"/>
      <c r="AJ742" s="1"/>
      <c r="AK742" s="1"/>
      <c r="AL742" s="1"/>
      <c r="AM742" s="117"/>
      <c r="AN742" s="267"/>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row>
    <row r="743" spans="1:79" ht="12.75" customHeight="1">
      <c r="A743" s="117"/>
      <c r="B743" s="1"/>
      <c r="C743" s="8" t="s">
        <v>2463</v>
      </c>
      <c r="D743" s="745"/>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
      <c r="AD743" s="1"/>
      <c r="AE743" s="1"/>
      <c r="AF743" s="1"/>
      <c r="AG743" s="1"/>
      <c r="AH743" s="1"/>
      <c r="AI743" s="1"/>
      <c r="AJ743" s="1"/>
      <c r="AK743" s="1"/>
      <c r="AL743" s="1"/>
      <c r="AM743" s="117"/>
      <c r="AN743" s="267"/>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row>
    <row r="744" spans="1:79" ht="12.75" customHeight="1">
      <c r="A744" s="117"/>
      <c r="B744" s="33"/>
      <c r="C744" s="194"/>
      <c r="D744" s="322"/>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
      <c r="AD744" s="1"/>
      <c r="AE744" s="1"/>
      <c r="AF744" s="1"/>
      <c r="AG744" s="1"/>
      <c r="AH744" s="1"/>
      <c r="AI744" s="1"/>
      <c r="AJ744" s="1"/>
      <c r="AK744" s="1"/>
      <c r="AL744" s="1"/>
      <c r="AM744" s="117"/>
      <c r="AN744" s="267"/>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row>
    <row r="745" spans="1:79" ht="12.75" customHeight="1">
      <c r="A745" s="117"/>
      <c r="B745" s="1"/>
      <c r="C745" s="194"/>
      <c r="D745" s="41" t="s">
        <v>44</v>
      </c>
      <c r="E745" s="895" t="s">
        <v>2464</v>
      </c>
      <c r="F745" s="893"/>
      <c r="G745" s="893"/>
      <c r="H745" s="893"/>
      <c r="I745" s="893"/>
      <c r="J745" s="893"/>
      <c r="K745" s="893"/>
      <c r="L745" s="893"/>
      <c r="M745" s="893"/>
      <c r="N745" s="893"/>
      <c r="O745" s="893"/>
      <c r="P745" s="893"/>
      <c r="Q745" s="893"/>
      <c r="R745" s="893"/>
      <c r="S745" s="893"/>
      <c r="T745" s="893"/>
      <c r="U745" s="893"/>
      <c r="V745" s="893"/>
      <c r="W745" s="893"/>
      <c r="X745" s="893"/>
      <c r="Y745" s="893"/>
      <c r="Z745" s="893"/>
      <c r="AA745" s="893"/>
      <c r="AB745" s="893"/>
      <c r="AC745" s="1"/>
      <c r="AD745" s="1"/>
      <c r="AE745" s="1"/>
      <c r="AF745" s="1376" t="s">
        <v>1959</v>
      </c>
      <c r="AG745" s="893"/>
      <c r="AH745" s="893"/>
      <c r="AI745" s="893"/>
      <c r="AJ745" s="893"/>
      <c r="AK745" s="893"/>
      <c r="AL745" s="893"/>
      <c r="AM745" s="117"/>
      <c r="AN745" s="267"/>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row>
    <row r="746" spans="1:79" ht="12.75" customHeight="1">
      <c r="A746" s="117"/>
      <c r="B746" s="1"/>
      <c r="C746" s="713"/>
      <c r="D746" s="41"/>
      <c r="E746" s="893"/>
      <c r="F746" s="893"/>
      <c r="G746" s="893"/>
      <c r="H746" s="893"/>
      <c r="I746" s="893"/>
      <c r="J746" s="893"/>
      <c r="K746" s="893"/>
      <c r="L746" s="893"/>
      <c r="M746" s="893"/>
      <c r="N746" s="893"/>
      <c r="O746" s="893"/>
      <c r="P746" s="893"/>
      <c r="Q746" s="893"/>
      <c r="R746" s="893"/>
      <c r="S746" s="893"/>
      <c r="T746" s="893"/>
      <c r="U746" s="893"/>
      <c r="V746" s="893"/>
      <c r="W746" s="893"/>
      <c r="X746" s="893"/>
      <c r="Y746" s="893"/>
      <c r="Z746" s="893"/>
      <c r="AA746" s="893"/>
      <c r="AB746" s="893"/>
      <c r="AC746" s="1"/>
      <c r="AD746" s="1"/>
      <c r="AE746" s="1"/>
      <c r="AF746" s="1"/>
      <c r="AG746" s="1"/>
      <c r="AH746" s="1"/>
      <c r="AI746" s="1"/>
      <c r="AJ746" s="1"/>
      <c r="AK746" s="1"/>
      <c r="AL746" s="1"/>
      <c r="AM746" s="117"/>
      <c r="AN746" s="267"/>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row>
    <row r="747" spans="1:79" ht="12.75" customHeight="1">
      <c r="A747" s="117"/>
      <c r="B747" s="33"/>
      <c r="C747" s="194"/>
      <c r="D747" s="41"/>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
      <c r="AD747" s="1"/>
      <c r="AE747" s="1"/>
      <c r="AF747" s="1"/>
      <c r="AG747" s="1"/>
      <c r="AH747" s="1"/>
      <c r="AI747" s="1"/>
      <c r="AJ747" s="1"/>
      <c r="AK747" s="1"/>
      <c r="AL747" s="1"/>
      <c r="AM747" s="117"/>
      <c r="AN747" s="267"/>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row>
    <row r="748" spans="1:79" ht="12.75" customHeight="1">
      <c r="A748" s="117"/>
      <c r="B748" s="1"/>
      <c r="C748" s="194"/>
      <c r="D748" s="41" t="s">
        <v>51</v>
      </c>
      <c r="E748" s="895" t="s">
        <v>2465</v>
      </c>
      <c r="F748" s="893"/>
      <c r="G748" s="893"/>
      <c r="H748" s="893"/>
      <c r="I748" s="893"/>
      <c r="J748" s="893"/>
      <c r="K748" s="893"/>
      <c r="L748" s="893"/>
      <c r="M748" s="893"/>
      <c r="N748" s="893"/>
      <c r="O748" s="893"/>
      <c r="P748" s="893"/>
      <c r="Q748" s="893"/>
      <c r="R748" s="893"/>
      <c r="S748" s="893"/>
      <c r="T748" s="893"/>
      <c r="U748" s="893"/>
      <c r="V748" s="893"/>
      <c r="W748" s="893"/>
      <c r="X748" s="893"/>
      <c r="Y748" s="893"/>
      <c r="Z748" s="893"/>
      <c r="AA748" s="893"/>
      <c r="AB748" s="893"/>
      <c r="AC748" s="1"/>
      <c r="AD748" s="1"/>
      <c r="AE748" s="1"/>
      <c r="AF748" s="1376" t="s">
        <v>2402</v>
      </c>
      <c r="AG748" s="893"/>
      <c r="AH748" s="893"/>
      <c r="AI748" s="893"/>
      <c r="AJ748" s="893"/>
      <c r="AK748" s="893"/>
      <c r="AL748" s="893"/>
      <c r="AM748" s="117"/>
      <c r="AN748" s="267"/>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row>
    <row r="749" spans="1:79" ht="12.75" customHeight="1">
      <c r="A749" s="117"/>
      <c r="B749" s="1"/>
      <c r="C749" s="713"/>
      <c r="D749" s="1"/>
      <c r="E749" s="893"/>
      <c r="F749" s="893"/>
      <c r="G749" s="893"/>
      <c r="H749" s="893"/>
      <c r="I749" s="893"/>
      <c r="J749" s="893"/>
      <c r="K749" s="893"/>
      <c r="L749" s="893"/>
      <c r="M749" s="893"/>
      <c r="N749" s="893"/>
      <c r="O749" s="893"/>
      <c r="P749" s="893"/>
      <c r="Q749" s="893"/>
      <c r="R749" s="893"/>
      <c r="S749" s="893"/>
      <c r="T749" s="893"/>
      <c r="U749" s="893"/>
      <c r="V749" s="893"/>
      <c r="W749" s="893"/>
      <c r="X749" s="893"/>
      <c r="Y749" s="893"/>
      <c r="Z749" s="893"/>
      <c r="AA749" s="893"/>
      <c r="AB749" s="893"/>
      <c r="AC749" s="1"/>
      <c r="AD749" s="1"/>
      <c r="AE749" s="1"/>
      <c r="AF749" s="1"/>
      <c r="AG749" s="1"/>
      <c r="AH749" s="1"/>
      <c r="AI749" s="1"/>
      <c r="AJ749" s="1"/>
      <c r="AK749" s="1"/>
      <c r="AL749" s="1"/>
      <c r="AM749" s="117"/>
      <c r="AN749" s="267"/>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row>
    <row r="750" spans="1:79" ht="12.75" customHeight="1">
      <c r="A750" s="117"/>
      <c r="B750" s="1"/>
      <c r="C750" s="713"/>
      <c r="D750" s="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
      <c r="AD750" s="1"/>
      <c r="AE750" s="1"/>
      <c r="AF750" s="1"/>
      <c r="AG750" s="1"/>
      <c r="AH750" s="1"/>
      <c r="AI750" s="1"/>
      <c r="AJ750" s="1"/>
      <c r="AK750" s="1"/>
      <c r="AL750" s="1"/>
      <c r="AM750" s="117"/>
      <c r="AN750" s="267"/>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row>
    <row r="751" spans="1:79" ht="12.75" customHeight="1">
      <c r="A751" s="117"/>
      <c r="B751" s="1"/>
      <c r="C751" s="713"/>
      <c r="D751" s="1" t="s">
        <v>2378</v>
      </c>
      <c r="E751" s="719"/>
      <c r="F751" s="719"/>
      <c r="G751" s="719"/>
      <c r="H751" s="1379" t="s">
        <v>855</v>
      </c>
      <c r="I751" s="969"/>
      <c r="J751" s="11"/>
      <c r="K751" s="11"/>
      <c r="L751" s="11"/>
      <c r="M751" s="11"/>
      <c r="N751" s="11"/>
      <c r="O751" s="11"/>
      <c r="P751" s="11"/>
      <c r="Q751" s="11"/>
      <c r="R751" s="11"/>
      <c r="S751" s="11"/>
      <c r="T751" s="11"/>
      <c r="U751" s="11"/>
      <c r="V751" s="11"/>
      <c r="W751" s="11"/>
      <c r="X751" s="11"/>
      <c r="Y751" s="11"/>
      <c r="Z751" s="11"/>
      <c r="AA751" s="11"/>
      <c r="AB751" s="11"/>
      <c r="AC751" s="1"/>
      <c r="AD751" s="1"/>
      <c r="AE751" s="1"/>
      <c r="AF751" s="1"/>
      <c r="AG751" s="1"/>
      <c r="AH751" s="1"/>
      <c r="AI751" s="1"/>
      <c r="AJ751" s="1"/>
      <c r="AK751" s="1"/>
      <c r="AL751" s="1"/>
      <c r="AM751" s="117"/>
      <c r="AN751" s="267"/>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row>
    <row r="752" spans="1:79" ht="12.75" customHeight="1">
      <c r="A752" s="117"/>
      <c r="B752" s="1"/>
      <c r="C752" s="713"/>
      <c r="D752" s="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
      <c r="AD752" s="1"/>
      <c r="AE752" s="1"/>
      <c r="AF752" s="1"/>
      <c r="AG752" s="1"/>
      <c r="AH752" s="1"/>
      <c r="AI752" s="1"/>
      <c r="AJ752" s="1"/>
      <c r="AK752" s="1"/>
      <c r="AL752" s="1"/>
      <c r="AM752" s="117"/>
      <c r="AN752" s="267"/>
      <c r="AO752" s="1"/>
      <c r="AP752" s="1"/>
      <c r="AQ752" s="1"/>
      <c r="AR752" s="1"/>
      <c r="AS752" s="1"/>
      <c r="AT752" s="1"/>
      <c r="AU752" s="1"/>
      <c r="AV752" s="1"/>
      <c r="AW752" s="1"/>
      <c r="AX752" s="1"/>
      <c r="AY752" s="1"/>
      <c r="AZ752" s="1"/>
      <c r="BA752" s="1"/>
      <c r="BB752" s="1"/>
      <c r="BC752" s="1"/>
      <c r="BD752" s="126"/>
      <c r="BE752" s="126"/>
      <c r="BF752" s="126"/>
      <c r="BG752" s="126"/>
      <c r="BH752" s="126"/>
      <c r="BI752" s="1"/>
      <c r="BJ752" s="1"/>
      <c r="BK752" s="1"/>
      <c r="BL752" s="1"/>
      <c r="BM752" s="1"/>
      <c r="BN752" s="1"/>
      <c r="BO752" s="1"/>
      <c r="BP752" s="1"/>
      <c r="BQ752" s="1"/>
      <c r="BR752" s="1"/>
      <c r="BS752" s="1"/>
      <c r="BT752" s="1"/>
      <c r="BU752" s="1"/>
      <c r="BV752" s="1"/>
      <c r="BW752" s="1"/>
      <c r="BX752" s="1"/>
      <c r="BY752" s="1"/>
      <c r="BZ752" s="1"/>
      <c r="CA752" s="1"/>
    </row>
    <row r="753" spans="1:79" ht="12.75" customHeight="1">
      <c r="A753" s="425"/>
      <c r="B753" s="5"/>
      <c r="C753" s="722"/>
      <c r="D753" s="5"/>
      <c r="E753" s="735"/>
      <c r="F753" s="735"/>
      <c r="G753" s="735"/>
      <c r="H753" s="735"/>
      <c r="I753" s="735"/>
      <c r="J753" s="735"/>
      <c r="K753" s="735"/>
      <c r="L753" s="735"/>
      <c r="M753" s="735"/>
      <c r="N753" s="735"/>
      <c r="O753" s="735"/>
      <c r="P753" s="735"/>
      <c r="Q753" s="735"/>
      <c r="R753" s="735"/>
      <c r="S753" s="735"/>
      <c r="T753" s="735"/>
      <c r="U753" s="735"/>
      <c r="V753" s="561"/>
      <c r="W753" s="561"/>
      <c r="X753" s="561"/>
      <c r="Y753" s="723"/>
      <c r="Z753" s="723"/>
      <c r="AA753" s="723"/>
      <c r="AB753" s="5"/>
      <c r="AC753" s="5"/>
      <c r="AD753" s="5"/>
      <c r="AE753" s="5"/>
      <c r="AF753" s="5"/>
      <c r="AG753" s="5"/>
      <c r="AH753" s="5"/>
      <c r="AI753" s="372" t="s">
        <v>2485</v>
      </c>
      <c r="AJ753" s="945">
        <f>VLOOKUP($H$751,$AO$679:$AP$681,2,FALSE)</f>
        <v>0</v>
      </c>
      <c r="AK753" s="943"/>
      <c r="AL753" s="7"/>
      <c r="AM753" s="117"/>
      <c r="AN753" s="267"/>
      <c r="AO753" s="1"/>
      <c r="AP753" s="1"/>
      <c r="AQ753" s="1"/>
      <c r="AR753" s="1"/>
      <c r="AS753" s="1"/>
      <c r="AT753" s="1"/>
      <c r="AU753" s="1"/>
      <c r="AV753" s="1"/>
      <c r="AW753" s="1"/>
      <c r="AX753" s="1"/>
      <c r="AY753" s="1"/>
      <c r="AZ753" s="1"/>
      <c r="BA753" s="1"/>
      <c r="BB753" s="1"/>
      <c r="BC753" s="1"/>
      <c r="BD753" s="126"/>
      <c r="BE753" s="126"/>
      <c r="BF753" s="126"/>
      <c r="BG753" s="126"/>
      <c r="BH753" s="126"/>
      <c r="BI753" s="1"/>
      <c r="BJ753" s="1"/>
      <c r="BK753" s="1"/>
      <c r="BL753" s="1"/>
      <c r="BM753" s="1"/>
      <c r="BN753" s="1"/>
      <c r="BO753" s="1"/>
      <c r="BP753" s="1"/>
      <c r="BQ753" s="1"/>
      <c r="BR753" s="1"/>
      <c r="BS753" s="1"/>
      <c r="BT753" s="1"/>
      <c r="BU753" s="1"/>
      <c r="BV753" s="1"/>
      <c r="BW753" s="1"/>
      <c r="BX753" s="1"/>
      <c r="BY753" s="1"/>
      <c r="BZ753" s="1"/>
      <c r="CA753" s="1"/>
    </row>
    <row r="754" spans="1:79" ht="12.75" customHeight="1">
      <c r="A754" s="117"/>
      <c r="B754" s="1"/>
      <c r="C754" s="713"/>
      <c r="D754" s="1"/>
      <c r="E754" s="1"/>
      <c r="F754" s="1"/>
      <c r="G754" s="1"/>
      <c r="H754" s="1"/>
      <c r="I754" s="1"/>
      <c r="J754" s="11"/>
      <c r="K754" s="11"/>
      <c r="L754" s="11"/>
      <c r="M754" s="1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17"/>
      <c r="AN754" s="267"/>
      <c r="AO754" s="1"/>
      <c r="AP754" s="1"/>
      <c r="AQ754" s="1"/>
      <c r="AR754" s="1"/>
      <c r="AS754" s="1"/>
      <c r="AT754" s="1"/>
      <c r="AU754" s="1"/>
      <c r="AV754" s="1"/>
      <c r="AW754" s="1"/>
      <c r="AX754" s="1"/>
      <c r="AY754" s="1"/>
      <c r="AZ754" s="1"/>
      <c r="BA754" s="1"/>
      <c r="BB754" s="1"/>
      <c r="BC754" s="1"/>
      <c r="BD754" s="126"/>
      <c r="BE754" s="126"/>
      <c r="BF754" s="126"/>
      <c r="BG754" s="126"/>
      <c r="BH754" s="126"/>
      <c r="BI754" s="1"/>
      <c r="BJ754" s="1"/>
      <c r="BK754" s="1"/>
      <c r="BL754" s="1"/>
      <c r="BM754" s="1"/>
      <c r="BN754" s="1"/>
      <c r="BO754" s="1"/>
      <c r="BP754" s="1"/>
      <c r="BQ754" s="1"/>
      <c r="BR754" s="1"/>
      <c r="BS754" s="1"/>
      <c r="BT754" s="1"/>
      <c r="BU754" s="1"/>
      <c r="BV754" s="1"/>
      <c r="BW754" s="1"/>
      <c r="BX754" s="1"/>
      <c r="BY754" s="1"/>
      <c r="BZ754" s="1"/>
      <c r="CA754" s="1"/>
    </row>
    <row r="755" spans="1:79" ht="12.75" customHeight="1">
      <c r="A755" s="117"/>
      <c r="B755" s="1"/>
      <c r="C755" s="8" t="s">
        <v>2486</v>
      </c>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17"/>
      <c r="AN755" s="267"/>
      <c r="AO755" s="1"/>
      <c r="AP755" s="1"/>
      <c r="AQ755" s="1"/>
      <c r="AR755" s="1"/>
      <c r="AS755" s="1"/>
      <c r="AT755" s="1"/>
      <c r="AU755" s="1"/>
      <c r="AV755" s="1"/>
      <c r="AW755" s="1"/>
      <c r="AX755" s="1"/>
      <c r="AY755" s="1"/>
      <c r="AZ755" s="1"/>
      <c r="BA755" s="1"/>
      <c r="BB755" s="1"/>
      <c r="BC755" s="1"/>
      <c r="BD755" s="126"/>
      <c r="BE755" s="126"/>
      <c r="BF755" s="126"/>
      <c r="BG755" s="126"/>
      <c r="BH755" s="126"/>
      <c r="BI755" s="1"/>
      <c r="BJ755" s="1"/>
      <c r="BK755" s="1"/>
      <c r="BL755" s="1"/>
      <c r="BM755" s="1"/>
      <c r="BN755" s="1"/>
      <c r="BO755" s="1"/>
      <c r="BP755" s="1"/>
      <c r="BQ755" s="1"/>
      <c r="BR755" s="1"/>
      <c r="BS755" s="1"/>
      <c r="BT755" s="1"/>
      <c r="BU755" s="1"/>
      <c r="BV755" s="1"/>
      <c r="BW755" s="1"/>
      <c r="BX755" s="1"/>
      <c r="BY755" s="1"/>
      <c r="BZ755" s="1"/>
      <c r="CA755" s="1"/>
    </row>
    <row r="756" spans="1:79" ht="12.75" customHeight="1">
      <c r="A756" s="117"/>
      <c r="B756" s="33"/>
      <c r="C756" s="757"/>
      <c r="D756" s="33"/>
      <c r="E756" s="33"/>
      <c r="F756" s="1"/>
      <c r="G756" s="1"/>
      <c r="H756" s="33"/>
      <c r="I756" s="33"/>
      <c r="J756" s="33"/>
      <c r="K756" s="33"/>
      <c r="L756" s="33"/>
      <c r="M756" s="33"/>
      <c r="N756" s="33"/>
      <c r="O756" s="33"/>
      <c r="P756" s="33"/>
      <c r="Q756" s="33"/>
      <c r="R756" s="33"/>
      <c r="S756" s="33"/>
      <c r="T756" s="1"/>
      <c r="U756" s="1"/>
      <c r="V756" s="1"/>
      <c r="W756" s="1"/>
      <c r="X756" s="7"/>
      <c r="Y756" s="7"/>
      <c r="Z756" s="7"/>
      <c r="AA756" s="7"/>
      <c r="AB756" s="7"/>
      <c r="AC756" s="1"/>
      <c r="AD756" s="1"/>
      <c r="AE756" s="1"/>
      <c r="AF756" s="1"/>
      <c r="AG756" s="1"/>
      <c r="AH756" s="1"/>
      <c r="AI756" s="1"/>
      <c r="AJ756" s="1"/>
      <c r="AK756" s="1"/>
      <c r="AL756" s="1"/>
      <c r="AM756" s="117"/>
      <c r="AN756" s="267"/>
      <c r="AO756" s="1"/>
      <c r="AP756" s="1"/>
      <c r="AQ756" s="1"/>
      <c r="AR756" s="1"/>
      <c r="AS756" s="1"/>
      <c r="AT756" s="1"/>
      <c r="AU756" s="1"/>
      <c r="AV756" s="1"/>
      <c r="AW756" s="1"/>
      <c r="AX756" s="1"/>
      <c r="AY756" s="1"/>
      <c r="AZ756" s="1"/>
      <c r="BA756" s="1"/>
      <c r="BB756" s="1"/>
      <c r="BC756" s="1"/>
      <c r="BD756" s="126"/>
      <c r="BE756" s="126"/>
      <c r="BF756" s="126"/>
      <c r="BG756" s="126"/>
      <c r="BH756" s="126"/>
      <c r="BI756" s="1"/>
      <c r="BJ756" s="1"/>
      <c r="BK756" s="1"/>
      <c r="BL756" s="1"/>
      <c r="BM756" s="1"/>
      <c r="BN756" s="1"/>
      <c r="BO756" s="1"/>
      <c r="BP756" s="1"/>
      <c r="BQ756" s="1"/>
      <c r="BR756" s="1"/>
      <c r="BS756" s="1"/>
      <c r="BT756" s="1"/>
      <c r="BU756" s="1"/>
      <c r="BV756" s="1"/>
      <c r="BW756" s="1"/>
      <c r="BX756" s="1"/>
      <c r="BY756" s="1"/>
      <c r="BZ756" s="1"/>
      <c r="CA756" s="1"/>
    </row>
    <row r="757" spans="1:79" ht="12.75" customHeight="1">
      <c r="A757" s="117"/>
      <c r="B757" s="1"/>
      <c r="C757" s="194"/>
      <c r="D757" s="41" t="s">
        <v>44</v>
      </c>
      <c r="E757" s="895" t="s">
        <v>2487</v>
      </c>
      <c r="F757" s="893"/>
      <c r="G757" s="893"/>
      <c r="H757" s="893"/>
      <c r="I757" s="893"/>
      <c r="J757" s="893"/>
      <c r="K757" s="893"/>
      <c r="L757" s="893"/>
      <c r="M757" s="893"/>
      <c r="N757" s="893"/>
      <c r="O757" s="893"/>
      <c r="P757" s="893"/>
      <c r="Q757" s="893"/>
      <c r="R757" s="893"/>
      <c r="S757" s="893"/>
      <c r="T757" s="893"/>
      <c r="U757" s="893"/>
      <c r="V757" s="893"/>
      <c r="W757" s="893"/>
      <c r="X757" s="893"/>
      <c r="Y757" s="893"/>
      <c r="Z757" s="893"/>
      <c r="AA757" s="893"/>
      <c r="AB757" s="893"/>
      <c r="AC757" s="1"/>
      <c r="AD757" s="1"/>
      <c r="AE757" s="1"/>
      <c r="AF757" s="1376" t="s">
        <v>1959</v>
      </c>
      <c r="AG757" s="893"/>
      <c r="AH757" s="893"/>
      <c r="AI757" s="893"/>
      <c r="AJ757" s="893"/>
      <c r="AK757" s="893"/>
      <c r="AL757" s="893"/>
      <c r="AM757" s="117"/>
      <c r="AN757" s="267"/>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row>
    <row r="758" spans="1:79" ht="12.75" customHeight="1">
      <c r="A758" s="117"/>
      <c r="B758" s="1"/>
      <c r="C758" s="194"/>
      <c r="D758" s="41"/>
      <c r="E758" s="893"/>
      <c r="F758" s="893"/>
      <c r="G758" s="893"/>
      <c r="H758" s="893"/>
      <c r="I758" s="893"/>
      <c r="J758" s="893"/>
      <c r="K758" s="893"/>
      <c r="L758" s="893"/>
      <c r="M758" s="893"/>
      <c r="N758" s="893"/>
      <c r="O758" s="893"/>
      <c r="P758" s="893"/>
      <c r="Q758" s="893"/>
      <c r="R758" s="893"/>
      <c r="S758" s="893"/>
      <c r="T758" s="893"/>
      <c r="U758" s="893"/>
      <c r="V758" s="893"/>
      <c r="W758" s="893"/>
      <c r="X758" s="893"/>
      <c r="Y758" s="893"/>
      <c r="Z758" s="893"/>
      <c r="AA758" s="893"/>
      <c r="AB758" s="893"/>
      <c r="AC758" s="1"/>
      <c r="AD758" s="1"/>
      <c r="AE758" s="1"/>
      <c r="AF758" s="422"/>
      <c r="AG758" s="422"/>
      <c r="AH758" s="422"/>
      <c r="AI758" s="422"/>
      <c r="AJ758" s="422"/>
      <c r="AK758" s="422"/>
      <c r="AL758" s="422"/>
      <c r="AM758" s="117"/>
      <c r="AN758" s="267"/>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row>
    <row r="759" spans="1:79" ht="12.75" customHeight="1">
      <c r="A759" s="117"/>
      <c r="B759" s="1"/>
      <c r="C759" s="713"/>
      <c r="D759" s="41"/>
      <c r="E759" s="893"/>
      <c r="F759" s="893"/>
      <c r="G759" s="893"/>
      <c r="H759" s="893"/>
      <c r="I759" s="893"/>
      <c r="J759" s="893"/>
      <c r="K759" s="893"/>
      <c r="L759" s="893"/>
      <c r="M759" s="893"/>
      <c r="N759" s="893"/>
      <c r="O759" s="893"/>
      <c r="P759" s="893"/>
      <c r="Q759" s="893"/>
      <c r="R759" s="893"/>
      <c r="S759" s="893"/>
      <c r="T759" s="893"/>
      <c r="U759" s="893"/>
      <c r="V759" s="893"/>
      <c r="W759" s="893"/>
      <c r="X759" s="893"/>
      <c r="Y759" s="893"/>
      <c r="Z759" s="893"/>
      <c r="AA759" s="893"/>
      <c r="AB759" s="893"/>
      <c r="AC759" s="1"/>
      <c r="AD759" s="1"/>
      <c r="AE759" s="1"/>
      <c r="AF759" s="1"/>
      <c r="AG759" s="1"/>
      <c r="AH759" s="1"/>
      <c r="AI759" s="1"/>
      <c r="AJ759" s="1"/>
      <c r="AK759" s="1"/>
      <c r="AL759" s="1"/>
      <c r="AM759" s="117"/>
      <c r="AN759" s="267"/>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row>
    <row r="760" spans="1:79" ht="12.75" customHeight="1">
      <c r="A760" s="117"/>
      <c r="B760" s="1"/>
      <c r="C760" s="713"/>
      <c r="D760" s="41"/>
      <c r="E760" s="893"/>
      <c r="F760" s="893"/>
      <c r="G760" s="893"/>
      <c r="H760" s="893"/>
      <c r="I760" s="893"/>
      <c r="J760" s="893"/>
      <c r="K760" s="893"/>
      <c r="L760" s="893"/>
      <c r="M760" s="893"/>
      <c r="N760" s="893"/>
      <c r="O760" s="893"/>
      <c r="P760" s="893"/>
      <c r="Q760" s="893"/>
      <c r="R760" s="893"/>
      <c r="S760" s="893"/>
      <c r="T760" s="893"/>
      <c r="U760" s="893"/>
      <c r="V760" s="893"/>
      <c r="W760" s="893"/>
      <c r="X760" s="893"/>
      <c r="Y760" s="893"/>
      <c r="Z760" s="893"/>
      <c r="AA760" s="893"/>
      <c r="AB760" s="893"/>
      <c r="AC760" s="1"/>
      <c r="AD760" s="1"/>
      <c r="AE760" s="1"/>
      <c r="AF760" s="1"/>
      <c r="AG760" s="1"/>
      <c r="AH760" s="1"/>
      <c r="AI760" s="1"/>
      <c r="AJ760" s="1"/>
      <c r="AK760" s="1"/>
      <c r="AL760" s="1"/>
      <c r="AM760" s="117"/>
      <c r="AN760" s="345"/>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row>
    <row r="761" spans="1:79" ht="12.75" customHeight="1">
      <c r="A761" s="63"/>
      <c r="B761" s="7"/>
      <c r="C761" s="194"/>
      <c r="D761" s="41"/>
      <c r="E761" s="52"/>
      <c r="F761" s="52"/>
      <c r="G761" s="52"/>
      <c r="H761" s="52"/>
      <c r="I761" s="52"/>
      <c r="J761" s="52"/>
      <c r="K761" s="52"/>
      <c r="L761" s="52"/>
      <c r="M761" s="52"/>
      <c r="N761" s="52"/>
      <c r="O761" s="52"/>
      <c r="P761" s="52"/>
      <c r="Q761" s="52"/>
      <c r="R761" s="52"/>
      <c r="S761" s="52"/>
      <c r="T761" s="52"/>
      <c r="U761" s="52"/>
      <c r="V761" s="52"/>
      <c r="W761" s="52"/>
      <c r="X761" s="52"/>
      <c r="Y761" s="52"/>
      <c r="Z761" s="52"/>
      <c r="AA761" s="52"/>
      <c r="AB761" s="52"/>
      <c r="AC761" s="1"/>
      <c r="AD761" s="1"/>
      <c r="AE761" s="1"/>
      <c r="AF761" s="1"/>
      <c r="AG761" s="1"/>
      <c r="AH761" s="1"/>
      <c r="AI761" s="1"/>
      <c r="AJ761" s="1"/>
      <c r="AK761" s="1"/>
      <c r="AL761" s="1"/>
      <c r="AM761" s="117"/>
      <c r="AN761" s="267"/>
      <c r="AO761" s="203"/>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row>
    <row r="762" spans="1:79" ht="12.75" customHeight="1">
      <c r="A762" s="117"/>
      <c r="B762" s="1"/>
      <c r="C762" s="194"/>
      <c r="D762" s="41" t="s">
        <v>51</v>
      </c>
      <c r="E762" s="895" t="s">
        <v>2491</v>
      </c>
      <c r="F762" s="893"/>
      <c r="G762" s="893"/>
      <c r="H762" s="893"/>
      <c r="I762" s="893"/>
      <c r="J762" s="893"/>
      <c r="K762" s="893"/>
      <c r="L762" s="893"/>
      <c r="M762" s="893"/>
      <c r="N762" s="893"/>
      <c r="O762" s="893"/>
      <c r="P762" s="893"/>
      <c r="Q762" s="893"/>
      <c r="R762" s="893"/>
      <c r="S762" s="893"/>
      <c r="T762" s="893"/>
      <c r="U762" s="893"/>
      <c r="V762" s="893"/>
      <c r="W762" s="893"/>
      <c r="X762" s="893"/>
      <c r="Y762" s="893"/>
      <c r="Z762" s="893"/>
      <c r="AA762" s="893"/>
      <c r="AB762" s="221"/>
      <c r="AC762" s="1"/>
      <c r="AD762" s="1"/>
      <c r="AE762" s="1"/>
      <c r="AF762" s="1376" t="s">
        <v>2402</v>
      </c>
      <c r="AG762" s="893"/>
      <c r="AH762" s="893"/>
      <c r="AI762" s="893"/>
      <c r="AJ762" s="893"/>
      <c r="AK762" s="893"/>
      <c r="AL762" s="893"/>
      <c r="AM762" s="117"/>
      <c r="AN762" s="267"/>
      <c r="AO762" s="203"/>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row>
    <row r="763" spans="1:79" ht="12.75" customHeight="1">
      <c r="A763" s="117"/>
      <c r="B763" s="1"/>
      <c r="C763" s="194"/>
      <c r="D763" s="41"/>
      <c r="E763" s="893"/>
      <c r="F763" s="893"/>
      <c r="G763" s="893"/>
      <c r="H763" s="893"/>
      <c r="I763" s="893"/>
      <c r="J763" s="893"/>
      <c r="K763" s="893"/>
      <c r="L763" s="893"/>
      <c r="M763" s="893"/>
      <c r="N763" s="893"/>
      <c r="O763" s="893"/>
      <c r="P763" s="893"/>
      <c r="Q763" s="893"/>
      <c r="R763" s="893"/>
      <c r="S763" s="893"/>
      <c r="T763" s="893"/>
      <c r="U763" s="893"/>
      <c r="V763" s="893"/>
      <c r="W763" s="893"/>
      <c r="X763" s="893"/>
      <c r="Y763" s="893"/>
      <c r="Z763" s="893"/>
      <c r="AA763" s="893"/>
      <c r="AB763" s="221"/>
      <c r="AC763" s="1"/>
      <c r="AD763" s="1"/>
      <c r="AE763" s="1"/>
      <c r="AF763" s="422"/>
      <c r="AG763" s="422"/>
      <c r="AH763" s="422"/>
      <c r="AI763" s="422"/>
      <c r="AJ763" s="422"/>
      <c r="AK763" s="422"/>
      <c r="AL763" s="422"/>
      <c r="AM763" s="117"/>
      <c r="AN763" s="267"/>
      <c r="AO763" s="203"/>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row>
    <row r="764" spans="1:79" ht="12.75" customHeight="1">
      <c r="A764" s="117"/>
      <c r="B764" s="1"/>
      <c r="C764" s="194"/>
      <c r="D764" s="1"/>
      <c r="E764" s="893"/>
      <c r="F764" s="893"/>
      <c r="G764" s="893"/>
      <c r="H764" s="893"/>
      <c r="I764" s="893"/>
      <c r="J764" s="893"/>
      <c r="K764" s="893"/>
      <c r="L764" s="893"/>
      <c r="M764" s="893"/>
      <c r="N764" s="893"/>
      <c r="O764" s="893"/>
      <c r="P764" s="893"/>
      <c r="Q764" s="893"/>
      <c r="R764" s="893"/>
      <c r="S764" s="893"/>
      <c r="T764" s="893"/>
      <c r="U764" s="893"/>
      <c r="V764" s="893"/>
      <c r="W764" s="893"/>
      <c r="X764" s="893"/>
      <c r="Y764" s="893"/>
      <c r="Z764" s="893"/>
      <c r="AA764" s="893"/>
      <c r="AB764" s="221"/>
      <c r="AC764" s="422"/>
      <c r="AD764" s="422"/>
      <c r="AE764" s="422"/>
      <c r="AF764" s="422"/>
      <c r="AG764" s="422"/>
      <c r="AH764" s="422"/>
      <c r="AI764" s="422"/>
      <c r="AJ764" s="1"/>
      <c r="AK764" s="1"/>
      <c r="AL764" s="1"/>
      <c r="AM764" s="117"/>
      <c r="AN764" s="267"/>
      <c r="AO764" s="203"/>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row>
    <row r="765" spans="1:79" ht="12.75" customHeight="1">
      <c r="A765" s="117"/>
      <c r="B765" s="1"/>
      <c r="C765" s="194"/>
      <c r="D765" s="1"/>
      <c r="E765" s="893"/>
      <c r="F765" s="893"/>
      <c r="G765" s="893"/>
      <c r="H765" s="893"/>
      <c r="I765" s="893"/>
      <c r="J765" s="893"/>
      <c r="K765" s="893"/>
      <c r="L765" s="893"/>
      <c r="M765" s="893"/>
      <c r="N765" s="893"/>
      <c r="O765" s="893"/>
      <c r="P765" s="893"/>
      <c r="Q765" s="893"/>
      <c r="R765" s="893"/>
      <c r="S765" s="893"/>
      <c r="T765" s="893"/>
      <c r="U765" s="893"/>
      <c r="V765" s="893"/>
      <c r="W765" s="893"/>
      <c r="X765" s="893"/>
      <c r="Y765" s="893"/>
      <c r="Z765" s="893"/>
      <c r="AA765" s="893"/>
      <c r="AB765" s="221"/>
      <c r="AC765" s="422"/>
      <c r="AD765" s="422"/>
      <c r="AE765" s="422"/>
      <c r="AF765" s="422"/>
      <c r="AG765" s="422"/>
      <c r="AH765" s="422"/>
      <c r="AI765" s="422"/>
      <c r="AJ765" s="1"/>
      <c r="AK765" s="1"/>
      <c r="AL765" s="1"/>
      <c r="AM765" s="117"/>
      <c r="AN765" s="267"/>
      <c r="AO765" s="203"/>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row>
    <row r="766" spans="1:79" ht="12.75" customHeight="1">
      <c r="A766" s="117"/>
      <c r="B766" s="1"/>
      <c r="C766" s="194"/>
      <c r="D766" s="1"/>
      <c r="E766" s="4"/>
      <c r="F766" s="4"/>
      <c r="G766" s="4"/>
      <c r="H766" s="4"/>
      <c r="I766" s="4"/>
      <c r="J766" s="4"/>
      <c r="K766" s="4"/>
      <c r="L766" s="4"/>
      <c r="M766" s="4"/>
      <c r="N766" s="4"/>
      <c r="O766" s="4"/>
      <c r="P766" s="4"/>
      <c r="Q766" s="4"/>
      <c r="R766" s="4"/>
      <c r="S766" s="4"/>
      <c r="T766" s="4"/>
      <c r="U766" s="4"/>
      <c r="V766" s="4"/>
      <c r="W766" s="4"/>
      <c r="X766" s="4"/>
      <c r="Y766" s="4"/>
      <c r="Z766" s="4"/>
      <c r="AA766" s="4"/>
      <c r="AB766" s="4"/>
      <c r="AC766" s="422"/>
      <c r="AD766" s="422"/>
      <c r="AE766" s="422"/>
      <c r="AF766" s="422"/>
      <c r="AG766" s="422"/>
      <c r="AH766" s="422"/>
      <c r="AI766" s="422"/>
      <c r="AJ766" s="1"/>
      <c r="AK766" s="1"/>
      <c r="AL766" s="1"/>
      <c r="AM766" s="117"/>
      <c r="AN766" s="267"/>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row>
    <row r="767" spans="1:79" ht="12.75" customHeight="1">
      <c r="A767" s="117"/>
      <c r="B767" s="1"/>
      <c r="C767" s="194"/>
      <c r="D767" s="1" t="s">
        <v>2378</v>
      </c>
      <c r="E767" s="719"/>
      <c r="F767" s="719"/>
      <c r="G767" s="719"/>
      <c r="H767" s="1379" t="s">
        <v>51</v>
      </c>
      <c r="I767" s="969"/>
      <c r="J767" s="4"/>
      <c r="K767" s="4"/>
      <c r="L767" s="4"/>
      <c r="M767" s="4"/>
      <c r="N767" s="4"/>
      <c r="O767" s="4"/>
      <c r="P767" s="4"/>
      <c r="Q767" s="4"/>
      <c r="R767" s="4"/>
      <c r="S767" s="4"/>
      <c r="T767" s="4"/>
      <c r="U767" s="4"/>
      <c r="V767" s="4"/>
      <c r="W767" s="4"/>
      <c r="X767" s="4"/>
      <c r="Y767" s="4"/>
      <c r="Z767" s="4"/>
      <c r="AA767" s="4"/>
      <c r="AB767" s="4"/>
      <c r="AC767" s="422"/>
      <c r="AD767" s="422"/>
      <c r="AE767" s="422"/>
      <c r="AF767" s="422"/>
      <c r="AG767" s="422"/>
      <c r="AH767" s="422"/>
      <c r="AI767" s="422"/>
      <c r="AJ767" s="1"/>
      <c r="AK767" s="1"/>
      <c r="AL767" s="1"/>
      <c r="AM767" s="117"/>
      <c r="AN767" s="267"/>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row>
    <row r="768" spans="1:79" ht="12.75" customHeight="1">
      <c r="A768" s="117"/>
      <c r="B768" s="1"/>
      <c r="C768" s="194"/>
      <c r="D768" s="1"/>
      <c r="E768" s="4"/>
      <c r="F768" s="4"/>
      <c r="G768" s="4"/>
      <c r="H768" s="4"/>
      <c r="I768" s="4"/>
      <c r="J768" s="4"/>
      <c r="K768" s="4"/>
      <c r="L768" s="4"/>
      <c r="M768" s="4"/>
      <c r="N768" s="4"/>
      <c r="O768" s="4"/>
      <c r="P768" s="4"/>
      <c r="Q768" s="4"/>
      <c r="R768" s="4"/>
      <c r="S768" s="4"/>
      <c r="T768" s="4"/>
      <c r="U768" s="4"/>
      <c r="V768" s="4"/>
      <c r="W768" s="4"/>
      <c r="X768" s="4"/>
      <c r="Y768" s="4"/>
      <c r="Z768" s="4"/>
      <c r="AA768" s="4"/>
      <c r="AB768" s="4"/>
      <c r="AC768" s="422"/>
      <c r="AD768" s="422"/>
      <c r="AE768" s="422"/>
      <c r="AF768" s="422"/>
      <c r="AG768" s="422"/>
      <c r="AH768" s="422"/>
      <c r="AI768" s="422"/>
      <c r="AJ768" s="1"/>
      <c r="AK768" s="1"/>
      <c r="AL768" s="1"/>
      <c r="AM768" s="117"/>
      <c r="AN768" s="345"/>
      <c r="AO768" s="203"/>
      <c r="AP768" s="1"/>
      <c r="AQ768" s="1"/>
      <c r="AR768" s="1"/>
      <c r="AS768" s="1"/>
      <c r="AT768" s="1"/>
      <c r="AU768" s="1"/>
      <c r="AV768" s="1"/>
      <c r="AW768" s="1"/>
      <c r="AX768" s="1"/>
      <c r="AY768" s="1"/>
      <c r="AZ768" s="1"/>
      <c r="BA768" s="1"/>
      <c r="BB768" s="1"/>
      <c r="BC768" s="1"/>
      <c r="BD768" s="126"/>
      <c r="BE768" s="126"/>
      <c r="BF768" s="126"/>
      <c r="BG768" s="126"/>
      <c r="BH768" s="126"/>
      <c r="BI768" s="1"/>
      <c r="BJ768" s="1"/>
      <c r="BK768" s="1"/>
      <c r="BL768" s="1"/>
      <c r="BM768" s="1"/>
      <c r="BN768" s="1"/>
      <c r="BO768" s="1"/>
      <c r="BP768" s="1"/>
      <c r="BQ768" s="1"/>
      <c r="BR768" s="1"/>
      <c r="BS768" s="1"/>
      <c r="BT768" s="1"/>
      <c r="BU768" s="1"/>
      <c r="BV768" s="1"/>
      <c r="BW768" s="1"/>
      <c r="BX768" s="1"/>
      <c r="BY768" s="1"/>
      <c r="BZ768" s="1"/>
      <c r="CA768" s="1"/>
    </row>
    <row r="769" spans="1:79" ht="12.75" customHeight="1">
      <c r="A769" s="425"/>
      <c r="B769" s="5"/>
      <c r="C769" s="728"/>
      <c r="D769" s="5"/>
      <c r="E769" s="759"/>
      <c r="F769" s="759"/>
      <c r="G769" s="759"/>
      <c r="H769" s="759"/>
      <c r="I769" s="759"/>
      <c r="J769" s="759"/>
      <c r="K769" s="759"/>
      <c r="L769" s="759"/>
      <c r="M769" s="759"/>
      <c r="N769" s="759"/>
      <c r="O769" s="759"/>
      <c r="P769" s="759"/>
      <c r="Q769" s="759"/>
      <c r="R769" s="759"/>
      <c r="S769" s="759"/>
      <c r="T769" s="759"/>
      <c r="U769" s="759"/>
      <c r="V769" s="759"/>
      <c r="W769" s="759"/>
      <c r="X769" s="759"/>
      <c r="Y769" s="759"/>
      <c r="Z769" s="759"/>
      <c r="AA769" s="759"/>
      <c r="AB769" s="760"/>
      <c r="AC769" s="760"/>
      <c r="AD769" s="760"/>
      <c r="AE769" s="760"/>
      <c r="AF769" s="760"/>
      <c r="AG769" s="760"/>
      <c r="AH769" s="5"/>
      <c r="AI769" s="372" t="s">
        <v>2495</v>
      </c>
      <c r="AJ769" s="945">
        <f>VLOOKUP($H$767,$AO$693:$AP$695,2,FALSE)</f>
        <v>2</v>
      </c>
      <c r="AK769" s="943"/>
      <c r="AL769" s="7"/>
      <c r="AM769" s="117"/>
      <c r="AN769" s="345"/>
      <c r="AO769" s="203"/>
      <c r="AP769" s="1"/>
      <c r="AQ769" s="1"/>
      <c r="AR769" s="1"/>
      <c r="AS769" s="1"/>
      <c r="AT769" s="1"/>
      <c r="AU769" s="1"/>
      <c r="AV769" s="1"/>
      <c r="AW769" s="1"/>
      <c r="AX769" s="1"/>
      <c r="AY769" s="1"/>
      <c r="AZ769" s="1"/>
      <c r="BA769" s="1"/>
      <c r="BB769" s="1"/>
      <c r="BC769" s="1"/>
      <c r="BD769" s="126"/>
      <c r="BE769" s="126"/>
      <c r="BF769" s="126"/>
      <c r="BG769" s="126"/>
      <c r="BH769" s="126"/>
      <c r="BI769" s="1"/>
      <c r="BJ769" s="1"/>
      <c r="BK769" s="1"/>
      <c r="BL769" s="1"/>
      <c r="BM769" s="1"/>
      <c r="BN769" s="1"/>
      <c r="BO769" s="1"/>
      <c r="BP769" s="1"/>
      <c r="BQ769" s="1"/>
      <c r="BR769" s="1"/>
      <c r="BS769" s="1"/>
      <c r="BT769" s="1"/>
      <c r="BU769" s="1"/>
      <c r="BV769" s="1"/>
      <c r="BW769" s="1"/>
      <c r="BX769" s="1"/>
      <c r="BY769" s="1"/>
      <c r="BZ769" s="1"/>
      <c r="CA769" s="1"/>
    </row>
    <row r="770" spans="1:79" ht="12.75" customHeight="1">
      <c r="A770" s="521"/>
      <c r="B770" s="1"/>
      <c r="C770" s="713"/>
      <c r="D770" s="1"/>
      <c r="E770" s="1"/>
      <c r="F770" s="1"/>
      <c r="G770" s="1"/>
      <c r="H770" s="1"/>
      <c r="I770" s="1"/>
      <c r="J770" s="4"/>
      <c r="K770" s="4"/>
      <c r="L770" s="11"/>
      <c r="M770" s="11"/>
      <c r="N770" s="11"/>
      <c r="O770" s="11"/>
      <c r="P770" s="11"/>
      <c r="Q770" s="11"/>
      <c r="R770" s="11"/>
      <c r="S770" s="11"/>
      <c r="T770" s="11"/>
      <c r="U770" s="11"/>
      <c r="V770" s="14"/>
      <c r="W770" s="14"/>
      <c r="X770" s="14"/>
      <c r="Y770" s="14"/>
      <c r="Z770" s="719"/>
      <c r="AA770" s="719"/>
      <c r="AB770" s="719"/>
      <c r="AC770" s="1"/>
      <c r="AD770" s="1"/>
      <c r="AE770" s="1"/>
      <c r="AF770" s="1"/>
      <c r="AG770" s="1"/>
      <c r="AH770" s="1"/>
      <c r="AI770" s="1"/>
      <c r="AJ770" s="1"/>
      <c r="AK770" s="1"/>
      <c r="AL770" s="1"/>
      <c r="AM770" s="117"/>
      <c r="AN770" s="345"/>
      <c r="AO770" s="203"/>
      <c r="AP770" s="1"/>
      <c r="AQ770" s="1"/>
      <c r="AR770" s="1"/>
      <c r="AS770" s="1"/>
      <c r="AT770" s="1"/>
      <c r="AU770" s="1"/>
      <c r="AV770" s="1"/>
      <c r="AW770" s="1"/>
      <c r="AX770" s="1"/>
      <c r="AY770" s="1"/>
      <c r="AZ770" s="1"/>
      <c r="BA770" s="1"/>
      <c r="BB770" s="1"/>
      <c r="BC770" s="1"/>
      <c r="BD770" s="126"/>
      <c r="BE770" s="126"/>
      <c r="BF770" s="126"/>
      <c r="BG770" s="126"/>
      <c r="BH770" s="126"/>
      <c r="BI770" s="1"/>
      <c r="BJ770" s="1"/>
      <c r="BK770" s="1"/>
      <c r="BL770" s="1"/>
      <c r="BM770" s="1"/>
      <c r="BN770" s="1"/>
      <c r="BO770" s="1"/>
      <c r="BP770" s="1"/>
      <c r="BQ770" s="1"/>
      <c r="BR770" s="1"/>
      <c r="BS770" s="1"/>
      <c r="BT770" s="1"/>
      <c r="BU770" s="1"/>
      <c r="BV770" s="1"/>
      <c r="BW770" s="1"/>
      <c r="BX770" s="1"/>
      <c r="BY770" s="1"/>
      <c r="BZ770" s="1"/>
      <c r="CA770" s="1"/>
    </row>
    <row r="771" spans="1:79" ht="12.75" customHeight="1">
      <c r="A771" s="117"/>
      <c r="B771" s="1"/>
      <c r="C771" s="8" t="s">
        <v>2287</v>
      </c>
      <c r="D771" s="14"/>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17"/>
      <c r="AN771" s="345"/>
      <c r="AO771" s="203"/>
      <c r="AP771" s="1"/>
      <c r="AQ771" s="1"/>
      <c r="AR771" s="1"/>
      <c r="AS771" s="1"/>
      <c r="AT771" s="1"/>
      <c r="AU771" s="1"/>
      <c r="AV771" s="1"/>
      <c r="AW771" s="1"/>
      <c r="AX771" s="1"/>
      <c r="AY771" s="1"/>
      <c r="AZ771" s="1"/>
      <c r="BA771" s="1"/>
      <c r="BB771" s="1"/>
      <c r="BC771" s="1"/>
      <c r="BD771" s="126"/>
      <c r="BE771" s="126"/>
      <c r="BF771" s="126"/>
      <c r="BG771" s="126"/>
      <c r="BH771" s="126"/>
      <c r="BI771" s="1"/>
      <c r="BJ771" s="1"/>
      <c r="BK771" s="1"/>
      <c r="BL771" s="1"/>
      <c r="BM771" s="1"/>
      <c r="BN771" s="1"/>
      <c r="BO771" s="1"/>
      <c r="BP771" s="1"/>
      <c r="BQ771" s="1"/>
      <c r="BR771" s="1"/>
      <c r="BS771" s="1"/>
      <c r="BT771" s="1"/>
      <c r="BU771" s="1"/>
      <c r="BV771" s="1"/>
      <c r="BW771" s="1"/>
      <c r="BX771" s="1"/>
      <c r="BY771" s="1"/>
      <c r="BZ771" s="1"/>
      <c r="CA771" s="1"/>
    </row>
    <row r="772" spans="1:79" ht="12.75" customHeight="1">
      <c r="A772" s="117"/>
      <c r="B772" s="14"/>
      <c r="C772" s="1"/>
      <c r="D772" s="1"/>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
      <c r="AJ772" s="1"/>
      <c r="AK772" s="1"/>
      <c r="AL772" s="1"/>
      <c r="AM772" s="117"/>
      <c r="AN772" s="345"/>
      <c r="AO772" s="203"/>
      <c r="AP772" s="1"/>
      <c r="AQ772" s="1"/>
      <c r="AR772" s="1"/>
      <c r="AS772" s="1"/>
      <c r="AT772" s="1"/>
      <c r="AU772" s="1"/>
      <c r="AV772" s="1"/>
      <c r="AW772" s="1"/>
      <c r="AX772" s="1"/>
      <c r="AY772" s="1"/>
      <c r="AZ772" s="1"/>
      <c r="BA772" s="1"/>
      <c r="BB772" s="1"/>
      <c r="BC772" s="1"/>
      <c r="BD772" s="126"/>
      <c r="BE772" s="126"/>
      <c r="BF772" s="126"/>
      <c r="BG772" s="126"/>
      <c r="BH772" s="126"/>
      <c r="BI772" s="1"/>
      <c r="BJ772" s="1"/>
      <c r="BK772" s="1"/>
      <c r="BL772" s="1"/>
      <c r="BM772" s="1"/>
      <c r="BN772" s="1"/>
      <c r="BO772" s="1"/>
      <c r="BP772" s="1"/>
      <c r="BQ772" s="1"/>
      <c r="BR772" s="1"/>
      <c r="BS772" s="1"/>
      <c r="BT772" s="1"/>
      <c r="BU772" s="1"/>
      <c r="BV772" s="1"/>
      <c r="BW772" s="1"/>
      <c r="BX772" s="1"/>
      <c r="BY772" s="1"/>
      <c r="BZ772" s="1"/>
      <c r="CA772" s="1"/>
    </row>
    <row r="773" spans="1:79" ht="12.75" customHeight="1">
      <c r="A773" s="117"/>
      <c r="B773" s="1"/>
      <c r="C773" s="194"/>
      <c r="D773" s="41" t="s">
        <v>44</v>
      </c>
      <c r="E773" s="895" t="s">
        <v>2501</v>
      </c>
      <c r="F773" s="893"/>
      <c r="G773" s="893"/>
      <c r="H773" s="893"/>
      <c r="I773" s="893"/>
      <c r="J773" s="893"/>
      <c r="K773" s="893"/>
      <c r="L773" s="893"/>
      <c r="M773" s="893"/>
      <c r="N773" s="893"/>
      <c r="O773" s="893"/>
      <c r="P773" s="893"/>
      <c r="Q773" s="893"/>
      <c r="R773" s="893"/>
      <c r="S773" s="893"/>
      <c r="T773" s="893"/>
      <c r="U773" s="893"/>
      <c r="V773" s="893"/>
      <c r="W773" s="893"/>
      <c r="X773" s="893"/>
      <c r="Y773" s="893"/>
      <c r="Z773" s="893"/>
      <c r="AA773" s="893"/>
      <c r="AB773" s="893"/>
      <c r="AC773" s="1"/>
      <c r="AD773" s="1"/>
      <c r="AE773" s="1"/>
      <c r="AF773" s="1376" t="s">
        <v>2402</v>
      </c>
      <c r="AG773" s="893"/>
      <c r="AH773" s="893"/>
      <c r="AI773" s="893"/>
      <c r="AJ773" s="893"/>
      <c r="AK773" s="893"/>
      <c r="AL773" s="893"/>
      <c r="AM773" s="117"/>
      <c r="AN773" s="345"/>
      <c r="AO773" s="203"/>
      <c r="AP773" s="1"/>
      <c r="AQ773" s="1"/>
      <c r="AR773" s="1"/>
      <c r="AS773" s="1"/>
      <c r="AT773" s="1"/>
      <c r="AU773" s="1"/>
      <c r="AV773" s="1"/>
      <c r="AW773" s="1"/>
      <c r="AX773" s="1"/>
      <c r="AY773" s="1"/>
      <c r="AZ773" s="1"/>
      <c r="BA773" s="1"/>
      <c r="BB773" s="1"/>
      <c r="BC773" s="1"/>
      <c r="BD773" s="126"/>
      <c r="BE773" s="126"/>
      <c r="BF773" s="126"/>
      <c r="BG773" s="126"/>
      <c r="BH773" s="126"/>
      <c r="BI773" s="1"/>
      <c r="BJ773" s="1"/>
      <c r="BK773" s="1"/>
      <c r="BL773" s="1"/>
      <c r="BM773" s="1"/>
      <c r="BN773" s="1"/>
      <c r="BO773" s="1"/>
      <c r="BP773" s="1"/>
      <c r="BQ773" s="1"/>
      <c r="BR773" s="1"/>
      <c r="BS773" s="1"/>
      <c r="BT773" s="1"/>
      <c r="BU773" s="1"/>
      <c r="BV773" s="1"/>
      <c r="BW773" s="1"/>
      <c r="BX773" s="1"/>
      <c r="BY773" s="1"/>
      <c r="BZ773" s="1"/>
      <c r="CA773" s="1"/>
    </row>
    <row r="774" spans="1:79" ht="12.75" customHeight="1">
      <c r="A774" s="117"/>
      <c r="B774" s="1"/>
      <c r="C774" s="713"/>
      <c r="D774" s="41"/>
      <c r="E774" s="893"/>
      <c r="F774" s="893"/>
      <c r="G774" s="893"/>
      <c r="H774" s="893"/>
      <c r="I774" s="893"/>
      <c r="J774" s="893"/>
      <c r="K774" s="893"/>
      <c r="L774" s="893"/>
      <c r="M774" s="893"/>
      <c r="N774" s="893"/>
      <c r="O774" s="893"/>
      <c r="P774" s="893"/>
      <c r="Q774" s="893"/>
      <c r="R774" s="893"/>
      <c r="S774" s="893"/>
      <c r="T774" s="893"/>
      <c r="U774" s="893"/>
      <c r="V774" s="893"/>
      <c r="W774" s="893"/>
      <c r="X774" s="893"/>
      <c r="Y774" s="893"/>
      <c r="Z774" s="893"/>
      <c r="AA774" s="893"/>
      <c r="AB774" s="893"/>
      <c r="AC774" s="1"/>
      <c r="AD774" s="1"/>
      <c r="AE774" s="1"/>
      <c r="AF774" s="1"/>
      <c r="AG774" s="1"/>
      <c r="AH774" s="1"/>
      <c r="AI774" s="1"/>
      <c r="AJ774" s="1"/>
      <c r="AK774" s="1"/>
      <c r="AL774" s="1"/>
      <c r="AM774" s="117"/>
      <c r="AN774" s="345"/>
      <c r="AO774" s="203"/>
      <c r="AP774" s="1"/>
      <c r="AQ774" s="1"/>
      <c r="AR774" s="1"/>
      <c r="AS774" s="1"/>
      <c r="AT774" s="1"/>
      <c r="AU774" s="1"/>
      <c r="AV774" s="1"/>
      <c r="AW774" s="1"/>
      <c r="AX774" s="1"/>
      <c r="AY774" s="1"/>
      <c r="AZ774" s="1"/>
      <c r="BA774" s="1"/>
      <c r="BB774" s="1"/>
      <c r="BC774" s="1"/>
      <c r="BD774" s="126"/>
      <c r="BE774" s="126"/>
      <c r="BF774" s="126"/>
      <c r="BG774" s="126"/>
      <c r="BH774" s="126"/>
      <c r="BI774" s="1"/>
      <c r="BJ774" s="1"/>
      <c r="BK774" s="1"/>
      <c r="BL774" s="1"/>
      <c r="BM774" s="1"/>
      <c r="BN774" s="1"/>
      <c r="BO774" s="1"/>
      <c r="BP774" s="1"/>
      <c r="BQ774" s="1"/>
      <c r="BR774" s="1"/>
      <c r="BS774" s="1"/>
      <c r="BT774" s="1"/>
      <c r="BU774" s="1"/>
      <c r="BV774" s="1"/>
      <c r="BW774" s="1"/>
      <c r="BX774" s="1"/>
      <c r="BY774" s="1"/>
      <c r="BZ774" s="1"/>
      <c r="CA774" s="1"/>
    </row>
    <row r="775" spans="1:79" ht="12.75" customHeight="1">
      <c r="A775" s="117"/>
      <c r="B775" s="14"/>
      <c r="C775" s="726"/>
      <c r="D775" s="41"/>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
      <c r="AD775" s="1"/>
      <c r="AE775" s="14"/>
      <c r="AF775" s="14"/>
      <c r="AG775" s="14"/>
      <c r="AH775" s="14"/>
      <c r="AI775" s="14"/>
      <c r="AJ775" s="14"/>
      <c r="AK775" s="1"/>
      <c r="AL775" s="1"/>
      <c r="AM775" s="117"/>
      <c r="AN775" s="345"/>
      <c r="AO775" s="203"/>
      <c r="AP775" s="1"/>
      <c r="AQ775" s="1"/>
      <c r="AR775" s="1"/>
      <c r="AS775" s="1"/>
      <c r="AT775" s="1"/>
      <c r="AU775" s="1"/>
      <c r="AV775" s="1"/>
      <c r="AW775" s="1"/>
      <c r="AX775" s="1"/>
      <c r="AY775" s="1"/>
      <c r="AZ775" s="1"/>
      <c r="BA775" s="1"/>
      <c r="BB775" s="1"/>
      <c r="BC775" s="1"/>
      <c r="BD775" s="126"/>
      <c r="BE775" s="126"/>
      <c r="BF775" s="126"/>
      <c r="BG775" s="126"/>
      <c r="BH775" s="126"/>
      <c r="BI775" s="1"/>
      <c r="BJ775" s="1"/>
      <c r="BK775" s="1"/>
      <c r="BL775" s="1"/>
      <c r="BM775" s="1"/>
      <c r="BN775" s="1"/>
      <c r="BO775" s="1"/>
      <c r="BP775" s="1"/>
      <c r="BQ775" s="1"/>
      <c r="BR775" s="1"/>
      <c r="BS775" s="1"/>
      <c r="BT775" s="1"/>
      <c r="BU775" s="1"/>
      <c r="BV775" s="1"/>
      <c r="BW775" s="1"/>
      <c r="BX775" s="1"/>
      <c r="BY775" s="1"/>
      <c r="BZ775" s="1"/>
      <c r="CA775" s="1"/>
    </row>
    <row r="776" spans="1:79" ht="12.75" customHeight="1">
      <c r="A776" s="521"/>
      <c r="B776" s="1"/>
      <c r="C776" s="194"/>
      <c r="D776" s="41" t="s">
        <v>51</v>
      </c>
      <c r="E776" s="895" t="s">
        <v>2505</v>
      </c>
      <c r="F776" s="893"/>
      <c r="G776" s="893"/>
      <c r="H776" s="893"/>
      <c r="I776" s="893"/>
      <c r="J776" s="893"/>
      <c r="K776" s="893"/>
      <c r="L776" s="893"/>
      <c r="M776" s="893"/>
      <c r="N776" s="893"/>
      <c r="O776" s="893"/>
      <c r="P776" s="893"/>
      <c r="Q776" s="893"/>
      <c r="R776" s="893"/>
      <c r="S776" s="893"/>
      <c r="T776" s="893"/>
      <c r="U776" s="893"/>
      <c r="V776" s="893"/>
      <c r="W776" s="893"/>
      <c r="X776" s="893"/>
      <c r="Y776" s="893"/>
      <c r="Z776" s="893"/>
      <c r="AA776" s="893"/>
      <c r="AB776" s="893"/>
      <c r="AC776" s="1"/>
      <c r="AD776" s="1"/>
      <c r="AE776" s="1"/>
      <c r="AF776" s="1376" t="s">
        <v>2426</v>
      </c>
      <c r="AG776" s="893"/>
      <c r="AH776" s="893"/>
      <c r="AI776" s="893"/>
      <c r="AJ776" s="893"/>
      <c r="AK776" s="893"/>
      <c r="AL776" s="893"/>
      <c r="AM776" s="117"/>
      <c r="AN776" s="345"/>
      <c r="AO776" s="203"/>
      <c r="AP776" s="1"/>
      <c r="AQ776" s="1"/>
      <c r="AR776" s="1"/>
      <c r="AS776" s="1"/>
      <c r="AT776" s="1"/>
      <c r="AU776" s="1"/>
      <c r="AV776" s="1"/>
      <c r="AW776" s="1"/>
      <c r="AX776" s="1"/>
      <c r="AY776" s="1"/>
      <c r="AZ776" s="1"/>
      <c r="BA776" s="1"/>
      <c r="BB776" s="1"/>
      <c r="BC776" s="1"/>
      <c r="BD776" s="126"/>
      <c r="BE776" s="126"/>
      <c r="BF776" s="126"/>
      <c r="BG776" s="126"/>
      <c r="BH776" s="126"/>
      <c r="BI776" s="1"/>
      <c r="BJ776" s="1"/>
      <c r="BK776" s="1"/>
      <c r="BL776" s="1"/>
      <c r="BM776" s="1"/>
      <c r="BN776" s="1"/>
      <c r="BO776" s="1"/>
      <c r="BP776" s="1"/>
      <c r="BQ776" s="1"/>
      <c r="BR776" s="1"/>
      <c r="BS776" s="1"/>
      <c r="BT776" s="1"/>
      <c r="BU776" s="1"/>
      <c r="BV776" s="1"/>
      <c r="BW776" s="1"/>
      <c r="BX776" s="1"/>
      <c r="BY776" s="1"/>
      <c r="BZ776" s="1"/>
      <c r="CA776" s="1"/>
    </row>
    <row r="777" spans="1:79" ht="12.75" customHeight="1">
      <c r="A777" s="521"/>
      <c r="B777" s="1"/>
      <c r="C777" s="194"/>
      <c r="D777" s="41"/>
      <c r="E777" s="893"/>
      <c r="F777" s="893"/>
      <c r="G777" s="893"/>
      <c r="H777" s="893"/>
      <c r="I777" s="893"/>
      <c r="J777" s="893"/>
      <c r="K777" s="893"/>
      <c r="L777" s="893"/>
      <c r="M777" s="893"/>
      <c r="N777" s="893"/>
      <c r="O777" s="893"/>
      <c r="P777" s="893"/>
      <c r="Q777" s="893"/>
      <c r="R777" s="893"/>
      <c r="S777" s="893"/>
      <c r="T777" s="893"/>
      <c r="U777" s="893"/>
      <c r="V777" s="893"/>
      <c r="W777" s="893"/>
      <c r="X777" s="893"/>
      <c r="Y777" s="893"/>
      <c r="Z777" s="893"/>
      <c r="AA777" s="893"/>
      <c r="AB777" s="893"/>
      <c r="AC777" s="1"/>
      <c r="AD777" s="1"/>
      <c r="AE777" s="422"/>
      <c r="AF777" s="1"/>
      <c r="AG777" s="1"/>
      <c r="AH777" s="1"/>
      <c r="AI777" s="1"/>
      <c r="AJ777" s="1"/>
      <c r="AK777" s="1"/>
      <c r="AL777" s="1"/>
      <c r="AM777" s="117"/>
      <c r="AN777" s="345"/>
      <c r="AO777" s="203"/>
      <c r="AP777" s="1"/>
      <c r="AQ777" s="1"/>
      <c r="AR777" s="1"/>
      <c r="AS777" s="1"/>
      <c r="AT777" s="1"/>
      <c r="AU777" s="1"/>
      <c r="AV777" s="1"/>
      <c r="AW777" s="1"/>
      <c r="AX777" s="1"/>
      <c r="AY777" s="1"/>
      <c r="AZ777" s="1"/>
      <c r="BA777" s="1"/>
      <c r="BB777" s="1"/>
      <c r="BC777" s="1"/>
      <c r="BD777" s="126"/>
      <c r="BE777" s="126"/>
      <c r="BF777" s="126"/>
      <c r="BG777" s="126"/>
      <c r="BH777" s="126"/>
      <c r="BI777" s="1"/>
      <c r="BJ777" s="1"/>
      <c r="BK777" s="1"/>
      <c r="BL777" s="1"/>
      <c r="BM777" s="1"/>
      <c r="BN777" s="1"/>
      <c r="BO777" s="1"/>
      <c r="BP777" s="1"/>
      <c r="BQ777" s="1"/>
      <c r="BR777" s="1"/>
      <c r="BS777" s="1"/>
      <c r="BT777" s="1"/>
      <c r="BU777" s="1"/>
      <c r="BV777" s="1"/>
      <c r="BW777" s="1"/>
      <c r="BX777" s="1"/>
      <c r="BY777" s="1"/>
      <c r="BZ777" s="1"/>
      <c r="CA777" s="1"/>
    </row>
    <row r="778" spans="1:79" ht="12.75" customHeight="1">
      <c r="A778" s="117"/>
      <c r="B778" s="1"/>
      <c r="C778" s="713"/>
      <c r="D778" s="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
      <c r="AD778" s="1"/>
      <c r="AE778" s="14"/>
      <c r="AF778" s="14"/>
      <c r="AG778" s="14"/>
      <c r="AH778" s="14"/>
      <c r="AI778" s="1"/>
      <c r="AJ778" s="1"/>
      <c r="AK778" s="1"/>
      <c r="AL778" s="1"/>
      <c r="AM778" s="117"/>
      <c r="AN778" s="345"/>
      <c r="AO778" s="203"/>
      <c r="AP778" s="1"/>
      <c r="AQ778" s="1"/>
      <c r="AR778" s="1"/>
      <c r="AS778" s="1"/>
      <c r="AT778" s="1"/>
      <c r="AU778" s="1"/>
      <c r="AV778" s="1"/>
      <c r="AW778" s="1"/>
      <c r="AX778" s="1"/>
      <c r="AY778" s="1"/>
      <c r="AZ778" s="1"/>
      <c r="BA778" s="1"/>
      <c r="BB778" s="1"/>
      <c r="BC778" s="1"/>
      <c r="BD778" s="126"/>
      <c r="BE778" s="126"/>
      <c r="BF778" s="126"/>
      <c r="BG778" s="126"/>
      <c r="BH778" s="126"/>
      <c r="BI778" s="1"/>
      <c r="BJ778" s="1"/>
      <c r="BK778" s="1"/>
      <c r="BL778" s="1"/>
      <c r="BM778" s="1"/>
      <c r="BN778" s="1"/>
      <c r="BO778" s="1"/>
      <c r="BP778" s="1"/>
      <c r="BQ778" s="1"/>
      <c r="BR778" s="1"/>
      <c r="BS778" s="1"/>
      <c r="BT778" s="1"/>
      <c r="BU778" s="1"/>
      <c r="BV778" s="1"/>
      <c r="BW778" s="1"/>
      <c r="BX778" s="1"/>
      <c r="BY778" s="1"/>
      <c r="BZ778" s="1"/>
      <c r="CA778" s="1"/>
    </row>
    <row r="779" spans="1:79" ht="12.75" customHeight="1">
      <c r="A779" s="117"/>
      <c r="B779" s="1"/>
      <c r="C779" s="1"/>
      <c r="D779" s="1" t="s">
        <v>2378</v>
      </c>
      <c r="E779" s="719"/>
      <c r="F779" s="719"/>
      <c r="G779" s="719"/>
      <c r="H779" s="1379" t="s">
        <v>44</v>
      </c>
      <c r="I779" s="969"/>
      <c r="J779" s="11"/>
      <c r="K779" s="11"/>
      <c r="L779" s="11"/>
      <c r="M779" s="11"/>
      <c r="N779" s="11"/>
      <c r="O779" s="11"/>
      <c r="P779" s="11"/>
      <c r="Q779" s="1"/>
      <c r="R779" s="1"/>
      <c r="S779" s="1"/>
      <c r="T779" s="1"/>
      <c r="U779" s="1"/>
      <c r="V779" s="1"/>
      <c r="W779" s="11"/>
      <c r="X779" s="11"/>
      <c r="Y779" s="11"/>
      <c r="Z779" s="11"/>
      <c r="AA779" s="11"/>
      <c r="AB779" s="11"/>
      <c r="AC779" s="1"/>
      <c r="AD779" s="1"/>
      <c r="AE779" s="14"/>
      <c r="AF779" s="14"/>
      <c r="AG779" s="14"/>
      <c r="AH779" s="14"/>
      <c r="AI779" s="1"/>
      <c r="AJ779" s="1"/>
      <c r="AK779" s="1"/>
      <c r="AL779" s="1"/>
      <c r="AM779" s="117"/>
      <c r="AN779" s="345"/>
      <c r="AO779" s="203"/>
      <c r="AP779" s="1"/>
      <c r="AQ779" s="1"/>
      <c r="AR779" s="1"/>
      <c r="AS779" s="1"/>
      <c r="AT779" s="1"/>
      <c r="AU779" s="1"/>
      <c r="AV779" s="1"/>
      <c r="AW779" s="1"/>
      <c r="AX779" s="1"/>
      <c r="AY779" s="1"/>
      <c r="AZ779" s="1"/>
      <c r="BA779" s="1"/>
      <c r="BB779" s="1"/>
      <c r="BC779" s="1"/>
      <c r="BD779" s="126"/>
      <c r="BE779" s="126"/>
      <c r="BF779" s="126"/>
      <c r="BG779" s="126"/>
      <c r="BH779" s="126"/>
      <c r="BI779" s="1"/>
      <c r="BJ779" s="1"/>
      <c r="BK779" s="1"/>
      <c r="BL779" s="1"/>
      <c r="BM779" s="1"/>
      <c r="BN779" s="1"/>
      <c r="BO779" s="1"/>
      <c r="BP779" s="1"/>
      <c r="BQ779" s="1"/>
      <c r="BR779" s="1"/>
      <c r="BS779" s="1"/>
      <c r="BT779" s="1"/>
      <c r="BU779" s="1"/>
      <c r="BV779" s="1"/>
      <c r="BW779" s="1"/>
      <c r="BX779" s="1"/>
      <c r="BY779" s="1"/>
      <c r="BZ779" s="1"/>
      <c r="CA779" s="1"/>
    </row>
    <row r="780" spans="1:79" ht="12.75" customHeight="1">
      <c r="A780" s="117"/>
      <c r="B780" s="14"/>
      <c r="C780" s="726"/>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
      <c r="AJ780" s="1"/>
      <c r="AK780" s="1"/>
      <c r="AL780" s="1"/>
      <c r="AM780" s="117"/>
      <c r="AN780" s="345"/>
      <c r="AO780" s="203"/>
      <c r="AP780" s="1"/>
      <c r="AQ780" s="1"/>
      <c r="AR780" s="1"/>
      <c r="AS780" s="1"/>
      <c r="AT780" s="1"/>
      <c r="AU780" s="1"/>
      <c r="AV780" s="1"/>
      <c r="AW780" s="1"/>
      <c r="AX780" s="1"/>
      <c r="AY780" s="1"/>
      <c r="AZ780" s="1"/>
      <c r="BA780" s="1"/>
      <c r="BB780" s="1"/>
      <c r="BC780" s="1"/>
      <c r="BD780" s="126"/>
      <c r="BE780" s="126"/>
      <c r="BF780" s="126"/>
      <c r="BG780" s="126"/>
      <c r="BH780" s="126"/>
      <c r="BI780" s="1"/>
      <c r="BJ780" s="1"/>
      <c r="BK780" s="1"/>
      <c r="BL780" s="1"/>
      <c r="BM780" s="1"/>
      <c r="BN780" s="1"/>
      <c r="BO780" s="1"/>
      <c r="BP780" s="1"/>
      <c r="BQ780" s="1"/>
      <c r="BR780" s="1"/>
      <c r="BS780" s="1"/>
      <c r="BT780" s="1"/>
      <c r="BU780" s="1"/>
      <c r="BV780" s="1"/>
      <c r="BW780" s="1"/>
      <c r="BX780" s="1"/>
      <c r="BY780" s="1"/>
      <c r="BZ780" s="1"/>
      <c r="CA780" s="1"/>
    </row>
    <row r="781" spans="1:79" ht="13.5" customHeight="1">
      <c r="A781" s="425"/>
      <c r="B781" s="561"/>
      <c r="C781" s="768"/>
      <c r="D781" s="561"/>
      <c r="E781" s="561"/>
      <c r="F781" s="561"/>
      <c r="G781" s="561"/>
      <c r="H781" s="561"/>
      <c r="I781" s="561"/>
      <c r="J781" s="561"/>
      <c r="K781" s="561"/>
      <c r="L781" s="561"/>
      <c r="M781" s="561"/>
      <c r="N781" s="561"/>
      <c r="O781" s="561"/>
      <c r="P781" s="561"/>
      <c r="Q781" s="561"/>
      <c r="R781" s="561"/>
      <c r="S781" s="561"/>
      <c r="T781" s="561"/>
      <c r="U781" s="561"/>
      <c r="V781" s="561"/>
      <c r="W781" s="561"/>
      <c r="X781" s="561"/>
      <c r="Y781" s="561"/>
      <c r="Z781" s="561"/>
      <c r="AA781" s="561"/>
      <c r="AB781" s="561"/>
      <c r="AC781" s="561"/>
      <c r="AD781" s="561"/>
      <c r="AE781" s="561"/>
      <c r="AF781" s="561"/>
      <c r="AG781" s="561"/>
      <c r="AH781" s="5"/>
      <c r="AI781" s="372" t="s">
        <v>2511</v>
      </c>
      <c r="AJ781" s="945">
        <f>VLOOKUP($H$779,$AO$710:$AP$712,2,FALSE)</f>
        <v>2</v>
      </c>
      <c r="AK781" s="943"/>
      <c r="AL781" s="7"/>
      <c r="AM781" s="117"/>
      <c r="AN781" s="345"/>
      <c r="AO781" s="203"/>
      <c r="AP781" s="1"/>
      <c r="AQ781" s="1"/>
      <c r="AR781" s="1"/>
      <c r="AS781" s="1"/>
      <c r="AT781" s="1"/>
      <c r="AU781" s="1"/>
      <c r="AV781" s="1"/>
      <c r="AW781" s="1"/>
      <c r="AX781" s="1"/>
      <c r="AY781" s="1"/>
      <c r="AZ781" s="1"/>
      <c r="BA781" s="1"/>
      <c r="BB781" s="1"/>
      <c r="BC781" s="1"/>
      <c r="BD781" s="126"/>
      <c r="BE781" s="126"/>
      <c r="BF781" s="126"/>
      <c r="BG781" s="126"/>
      <c r="BH781" s="126"/>
      <c r="BI781" s="1"/>
      <c r="BJ781" s="1"/>
      <c r="BK781" s="1"/>
      <c r="BL781" s="1"/>
      <c r="BM781" s="1"/>
      <c r="BN781" s="1"/>
      <c r="BO781" s="1"/>
      <c r="BP781" s="1"/>
      <c r="BQ781" s="1"/>
      <c r="BR781" s="1"/>
      <c r="BS781" s="1"/>
      <c r="BT781" s="1"/>
      <c r="BU781" s="1"/>
      <c r="BV781" s="1"/>
      <c r="BW781" s="1"/>
      <c r="BX781" s="1"/>
      <c r="BY781" s="1"/>
      <c r="BZ781" s="1"/>
      <c r="CA781" s="1"/>
    </row>
    <row r="782" spans="1:79" ht="12.75" customHeight="1">
      <c r="A782" s="117"/>
      <c r="B782" s="14"/>
      <c r="C782" s="726"/>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
      <c r="AI782" s="237"/>
      <c r="AJ782" s="7"/>
      <c r="AK782" s="7"/>
      <c r="AL782" s="7"/>
      <c r="AM782" s="117"/>
      <c r="AN782" s="345"/>
      <c r="AO782" s="203"/>
      <c r="AP782" s="1"/>
      <c r="AQ782" s="1"/>
      <c r="AR782" s="1"/>
      <c r="AS782" s="1"/>
      <c r="AT782" s="1"/>
      <c r="AU782" s="1"/>
      <c r="AV782" s="1"/>
      <c r="AW782" s="1"/>
      <c r="AX782" s="1"/>
      <c r="AY782" s="1"/>
      <c r="AZ782" s="1"/>
      <c r="BA782" s="1"/>
      <c r="BB782" s="1"/>
      <c r="BC782" s="1"/>
      <c r="BD782" s="126"/>
      <c r="BE782" s="126"/>
      <c r="BF782" s="126"/>
      <c r="BG782" s="126"/>
      <c r="BH782" s="126"/>
      <c r="BI782" s="1"/>
      <c r="BJ782" s="1"/>
      <c r="BK782" s="1"/>
      <c r="BL782" s="1"/>
      <c r="BM782" s="1"/>
      <c r="BN782" s="1"/>
      <c r="BO782" s="1"/>
      <c r="BP782" s="1"/>
      <c r="BQ782" s="1"/>
      <c r="BR782" s="1"/>
      <c r="BS782" s="1"/>
      <c r="BT782" s="1"/>
      <c r="BU782" s="1"/>
      <c r="BV782" s="1"/>
      <c r="BW782" s="1"/>
      <c r="BX782" s="1"/>
      <c r="BY782" s="1"/>
      <c r="BZ782" s="1"/>
      <c r="CA782" s="1"/>
    </row>
    <row r="783" spans="1:79" ht="12.75" customHeight="1">
      <c r="A783" s="117"/>
      <c r="B783" s="14"/>
      <c r="C783" s="8" t="s">
        <v>2451</v>
      </c>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
      <c r="AI783" s="237"/>
      <c r="AJ783" s="7"/>
      <c r="AK783" s="7"/>
      <c r="AL783" s="7"/>
      <c r="AM783" s="117"/>
      <c r="AN783" s="345"/>
      <c r="AO783" s="203"/>
      <c r="AP783" s="1"/>
      <c r="AQ783" s="1"/>
      <c r="AR783" s="1"/>
      <c r="AS783" s="1"/>
      <c r="AT783" s="1"/>
      <c r="AU783" s="1"/>
      <c r="AV783" s="1"/>
      <c r="AW783" s="1"/>
      <c r="AX783" s="1"/>
      <c r="AY783" s="1"/>
      <c r="AZ783" s="1"/>
      <c r="BA783" s="1"/>
      <c r="BB783" s="1"/>
      <c r="BC783" s="1"/>
      <c r="BD783" s="126"/>
      <c r="BE783" s="126"/>
      <c r="BF783" s="126"/>
      <c r="BG783" s="126"/>
      <c r="BH783" s="126"/>
      <c r="BI783" s="1"/>
      <c r="BJ783" s="1"/>
      <c r="BK783" s="1"/>
      <c r="BL783" s="1"/>
      <c r="BM783" s="1"/>
      <c r="BN783" s="1"/>
      <c r="BO783" s="1"/>
      <c r="BP783" s="1"/>
      <c r="BQ783" s="1"/>
      <c r="BR783" s="1"/>
      <c r="BS783" s="1"/>
      <c r="BT783" s="1"/>
      <c r="BU783" s="1"/>
      <c r="BV783" s="1"/>
      <c r="BW783" s="1"/>
      <c r="BX783" s="1"/>
      <c r="BY783" s="1"/>
      <c r="BZ783" s="1"/>
      <c r="CA783" s="1"/>
    </row>
    <row r="784" spans="1:79" ht="12.75" customHeight="1">
      <c r="A784" s="117"/>
      <c r="B784" s="14"/>
      <c r="C784" s="726"/>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
      <c r="AI784" s="237"/>
      <c r="AJ784" s="7"/>
      <c r="AK784" s="7"/>
      <c r="AL784" s="7"/>
      <c r="AM784" s="117"/>
      <c r="AN784" s="267"/>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row>
    <row r="785" spans="1:79" ht="13.5" customHeight="1">
      <c r="A785" s="117"/>
      <c r="B785" s="14"/>
      <c r="C785" s="726"/>
      <c r="D785" s="41" t="s">
        <v>44</v>
      </c>
      <c r="E785" s="895" t="s">
        <v>2515</v>
      </c>
      <c r="F785" s="893"/>
      <c r="G785" s="893"/>
      <c r="H785" s="893"/>
      <c r="I785" s="893"/>
      <c r="J785" s="893"/>
      <c r="K785" s="893"/>
      <c r="L785" s="893"/>
      <c r="M785" s="893"/>
      <c r="N785" s="893"/>
      <c r="O785" s="893"/>
      <c r="P785" s="893"/>
      <c r="Q785" s="893"/>
      <c r="R785" s="893"/>
      <c r="S785" s="893"/>
      <c r="T785" s="893"/>
      <c r="U785" s="893"/>
      <c r="V785" s="893"/>
      <c r="W785" s="893"/>
      <c r="X785" s="893"/>
      <c r="Y785" s="893"/>
      <c r="Z785" s="893"/>
      <c r="AA785" s="893"/>
      <c r="AB785" s="893"/>
      <c r="AC785" s="893"/>
      <c r="AD785" s="893"/>
      <c r="AE785" s="1"/>
      <c r="AF785" s="1376" t="s">
        <v>2402</v>
      </c>
      <c r="AG785" s="893"/>
      <c r="AH785" s="893"/>
      <c r="AI785" s="893"/>
      <c r="AJ785" s="893"/>
      <c r="AK785" s="893"/>
      <c r="AL785" s="893"/>
      <c r="AM785" s="18"/>
      <c r="AN785" s="267"/>
      <c r="AO785" s="117" t="s">
        <v>855</v>
      </c>
      <c r="AP785" s="521">
        <v>0</v>
      </c>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row>
    <row r="786" spans="1:79" ht="13.5" customHeight="1">
      <c r="A786" s="117"/>
      <c r="B786" s="14"/>
      <c r="C786" s="726"/>
      <c r="D786" s="41"/>
      <c r="E786" s="893"/>
      <c r="F786" s="893"/>
      <c r="G786" s="893"/>
      <c r="H786" s="893"/>
      <c r="I786" s="893"/>
      <c r="J786" s="893"/>
      <c r="K786" s="893"/>
      <c r="L786" s="893"/>
      <c r="M786" s="893"/>
      <c r="N786" s="893"/>
      <c r="O786" s="893"/>
      <c r="P786" s="893"/>
      <c r="Q786" s="893"/>
      <c r="R786" s="893"/>
      <c r="S786" s="893"/>
      <c r="T786" s="893"/>
      <c r="U786" s="893"/>
      <c r="V786" s="893"/>
      <c r="W786" s="893"/>
      <c r="X786" s="893"/>
      <c r="Y786" s="893"/>
      <c r="Z786" s="893"/>
      <c r="AA786" s="893"/>
      <c r="AB786" s="893"/>
      <c r="AC786" s="893"/>
      <c r="AD786" s="893"/>
      <c r="AE786" s="1"/>
      <c r="AF786" s="422"/>
      <c r="AG786" s="422"/>
      <c r="AH786" s="422"/>
      <c r="AI786" s="422"/>
      <c r="AJ786" s="422"/>
      <c r="AK786" s="422"/>
      <c r="AL786" s="422"/>
      <c r="AM786" s="18"/>
      <c r="AN786" s="267"/>
      <c r="AO786" s="100" t="s">
        <v>44</v>
      </c>
      <c r="AP786" s="117">
        <v>2</v>
      </c>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row>
    <row r="787" spans="1:79" ht="12.75" customHeight="1">
      <c r="A787" s="117"/>
      <c r="B787" s="14"/>
      <c r="C787" s="726"/>
      <c r="D787" s="41"/>
      <c r="E787" s="893"/>
      <c r="F787" s="893"/>
      <c r="G787" s="893"/>
      <c r="H787" s="893"/>
      <c r="I787" s="893"/>
      <c r="J787" s="893"/>
      <c r="K787" s="893"/>
      <c r="L787" s="893"/>
      <c r="M787" s="893"/>
      <c r="N787" s="893"/>
      <c r="O787" s="893"/>
      <c r="P787" s="893"/>
      <c r="Q787" s="893"/>
      <c r="R787" s="893"/>
      <c r="S787" s="893"/>
      <c r="T787" s="893"/>
      <c r="U787" s="893"/>
      <c r="V787" s="893"/>
      <c r="W787" s="893"/>
      <c r="X787" s="893"/>
      <c r="Y787" s="893"/>
      <c r="Z787" s="893"/>
      <c r="AA787" s="893"/>
      <c r="AB787" s="893"/>
      <c r="AC787" s="893"/>
      <c r="AD787" s="893"/>
      <c r="AE787" s="1"/>
      <c r="AF787" s="1"/>
      <c r="AG787" s="1"/>
      <c r="AH787" s="1"/>
      <c r="AI787" s="1"/>
      <c r="AJ787" s="1"/>
      <c r="AK787" s="1"/>
      <c r="AL787" s="422"/>
      <c r="AM787" s="18"/>
      <c r="AN787" s="345"/>
      <c r="AO787" s="100" t="s">
        <v>51</v>
      </c>
      <c r="AP787" s="117">
        <v>3</v>
      </c>
      <c r="AQ787" s="1"/>
      <c r="AR787" s="1"/>
      <c r="AS787" s="1"/>
      <c r="AT787" s="1"/>
      <c r="AU787" s="1"/>
      <c r="AV787" s="1"/>
      <c r="AW787" s="1"/>
      <c r="AX787" s="1"/>
      <c r="AY787" s="1"/>
      <c r="AZ787" s="1"/>
      <c r="BA787" s="1"/>
      <c r="BB787" s="1"/>
      <c r="BC787" s="1"/>
      <c r="BD787" s="126"/>
      <c r="BE787" s="126"/>
      <c r="BF787" s="126"/>
      <c r="BG787" s="126"/>
      <c r="BH787" s="126"/>
      <c r="BI787" s="1"/>
      <c r="BJ787" s="1"/>
      <c r="BK787" s="1"/>
      <c r="BL787" s="1"/>
      <c r="BM787" s="1"/>
      <c r="BN787" s="1"/>
      <c r="BO787" s="1"/>
      <c r="BP787" s="1"/>
      <c r="BQ787" s="1"/>
      <c r="BR787" s="1"/>
      <c r="BS787" s="1"/>
      <c r="BT787" s="1"/>
      <c r="BU787" s="1"/>
      <c r="BV787" s="1"/>
      <c r="BW787" s="1"/>
      <c r="BX787" s="1"/>
      <c r="BY787" s="1"/>
      <c r="BZ787" s="1"/>
      <c r="CA787" s="1"/>
    </row>
    <row r="788" spans="1:79" ht="18" customHeight="1">
      <c r="A788" s="117"/>
      <c r="B788" s="14"/>
      <c r="C788" s="726"/>
      <c r="D788" s="41"/>
      <c r="E788" s="893"/>
      <c r="F788" s="893"/>
      <c r="G788" s="893"/>
      <c r="H788" s="893"/>
      <c r="I788" s="893"/>
      <c r="J788" s="893"/>
      <c r="K788" s="893"/>
      <c r="L788" s="893"/>
      <c r="M788" s="893"/>
      <c r="N788" s="893"/>
      <c r="O788" s="893"/>
      <c r="P788" s="893"/>
      <c r="Q788" s="893"/>
      <c r="R788" s="893"/>
      <c r="S788" s="893"/>
      <c r="T788" s="893"/>
      <c r="U788" s="893"/>
      <c r="V788" s="893"/>
      <c r="W788" s="893"/>
      <c r="X788" s="893"/>
      <c r="Y788" s="893"/>
      <c r="Z788" s="893"/>
      <c r="AA788" s="893"/>
      <c r="AB788" s="893"/>
      <c r="AC788" s="893"/>
      <c r="AD788" s="893"/>
      <c r="AE788" s="422"/>
      <c r="AF788" s="422"/>
      <c r="AG788" s="422"/>
      <c r="AH788" s="422"/>
      <c r="AI788" s="422"/>
      <c r="AJ788" s="422"/>
      <c r="AK788" s="422"/>
      <c r="AL788" s="422"/>
      <c r="AM788" s="18"/>
      <c r="AN788" s="345"/>
      <c r="AO788" s="203"/>
      <c r="AP788" s="1"/>
      <c r="AQ788" s="1"/>
      <c r="AR788" s="1"/>
      <c r="AS788" s="1"/>
      <c r="AT788" s="1"/>
      <c r="AU788" s="1"/>
      <c r="AV788" s="1"/>
      <c r="AW788" s="1"/>
      <c r="AX788" s="1"/>
      <c r="AY788" s="1"/>
      <c r="AZ788" s="1"/>
      <c r="BA788" s="1"/>
      <c r="BB788" s="1"/>
      <c r="BC788" s="1"/>
      <c r="BD788" s="126"/>
      <c r="BE788" s="126"/>
      <c r="BF788" s="126"/>
      <c r="BG788" s="126"/>
      <c r="BH788" s="126"/>
      <c r="BI788" s="1"/>
      <c r="BJ788" s="1"/>
      <c r="BK788" s="1"/>
      <c r="BL788" s="1"/>
      <c r="BM788" s="1"/>
      <c r="BN788" s="1"/>
      <c r="BO788" s="1"/>
      <c r="BP788" s="1"/>
      <c r="BQ788" s="1"/>
      <c r="BR788" s="1"/>
      <c r="BS788" s="1"/>
      <c r="BT788" s="1"/>
      <c r="BU788" s="1"/>
      <c r="BV788" s="1"/>
      <c r="BW788" s="1"/>
      <c r="BX788" s="1"/>
      <c r="BY788" s="1"/>
      <c r="BZ788" s="1"/>
      <c r="CA788" s="1"/>
    </row>
    <row r="789" spans="1:79" ht="12.75" customHeight="1">
      <c r="A789" s="117"/>
      <c r="B789" s="14"/>
      <c r="C789" s="726"/>
      <c r="D789" s="41"/>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422"/>
      <c r="AF789" s="1"/>
      <c r="AG789" s="1"/>
      <c r="AH789" s="1"/>
      <c r="AI789" s="1"/>
      <c r="AJ789" s="1"/>
      <c r="AK789" s="1"/>
      <c r="AL789" s="1"/>
      <c r="AM789" s="18"/>
      <c r="AN789" s="424"/>
      <c r="AO789" s="117"/>
      <c r="AP789" s="117"/>
      <c r="AQ789" s="117"/>
      <c r="AR789" s="117"/>
      <c r="AS789" s="117"/>
      <c r="AT789" s="117"/>
      <c r="AU789" s="117"/>
      <c r="AV789" s="117"/>
      <c r="AW789" s="117"/>
      <c r="AX789" s="117"/>
      <c r="AY789" s="117"/>
      <c r="AZ789" s="117"/>
      <c r="BA789" s="117"/>
      <c r="BB789" s="117"/>
      <c r="BC789" s="117"/>
      <c r="BD789" s="117"/>
      <c r="BE789" s="117"/>
      <c r="BF789" s="117"/>
      <c r="BG789" s="117"/>
      <c r="BH789" s="117"/>
      <c r="BI789" s="117"/>
      <c r="BJ789" s="117"/>
      <c r="BK789" s="117"/>
      <c r="BL789" s="117"/>
      <c r="BM789" s="117"/>
      <c r="BN789" s="117"/>
      <c r="BO789" s="117"/>
      <c r="BP789" s="117"/>
      <c r="BQ789" s="117"/>
      <c r="BR789" s="117"/>
      <c r="BS789" s="117"/>
      <c r="BT789" s="117"/>
      <c r="BU789" s="117"/>
      <c r="BV789" s="117"/>
      <c r="BW789" s="117"/>
      <c r="BX789" s="117"/>
      <c r="BY789" s="117"/>
      <c r="BZ789" s="117"/>
      <c r="CA789" s="117"/>
    </row>
    <row r="790" spans="1:79" ht="12.75" customHeight="1">
      <c r="A790" s="117"/>
      <c r="B790" s="14"/>
      <c r="C790" s="726"/>
      <c r="D790" s="41" t="s">
        <v>51</v>
      </c>
      <c r="E790" s="896" t="s">
        <v>2520</v>
      </c>
      <c r="F790" s="893"/>
      <c r="G790" s="893"/>
      <c r="H790" s="893"/>
      <c r="I790" s="893"/>
      <c r="J790" s="893"/>
      <c r="K790" s="893"/>
      <c r="L790" s="893"/>
      <c r="M790" s="893"/>
      <c r="N790" s="893"/>
      <c r="O790" s="893"/>
      <c r="P790" s="893"/>
      <c r="Q790" s="893"/>
      <c r="R790" s="893"/>
      <c r="S790" s="893"/>
      <c r="T790" s="893"/>
      <c r="U790" s="893"/>
      <c r="V790" s="893"/>
      <c r="W790" s="893"/>
      <c r="X790" s="893"/>
      <c r="Y790" s="893"/>
      <c r="Z790" s="893"/>
      <c r="AA790" s="893"/>
      <c r="AB790" s="893"/>
      <c r="AC790" s="893"/>
      <c r="AD790" s="893"/>
      <c r="AE790" s="1"/>
      <c r="AF790" s="1376" t="s">
        <v>1959</v>
      </c>
      <c r="AG790" s="893"/>
      <c r="AH790" s="893"/>
      <c r="AI790" s="893"/>
      <c r="AJ790" s="893"/>
      <c r="AK790" s="893"/>
      <c r="AL790" s="893"/>
      <c r="AM790" s="18"/>
      <c r="AN790" s="424"/>
      <c r="AO790" s="117"/>
      <c r="AP790" s="117"/>
      <c r="AQ790" s="117"/>
      <c r="AR790" s="117"/>
      <c r="AS790" s="117"/>
      <c r="AT790" s="117"/>
      <c r="AU790" s="117"/>
      <c r="AV790" s="117"/>
      <c r="AW790" s="117"/>
      <c r="AX790" s="117"/>
      <c r="AY790" s="117"/>
      <c r="AZ790" s="117"/>
      <c r="BA790" s="117"/>
      <c r="BB790" s="117"/>
      <c r="BC790" s="117"/>
      <c r="BD790" s="117"/>
      <c r="BE790" s="117"/>
      <c r="BF790" s="117"/>
      <c r="BG790" s="117"/>
      <c r="BH790" s="117"/>
      <c r="BI790" s="117"/>
      <c r="BJ790" s="117"/>
      <c r="BK790" s="117"/>
      <c r="BL790" s="117"/>
      <c r="BM790" s="117"/>
      <c r="BN790" s="117"/>
      <c r="BO790" s="117"/>
      <c r="BP790" s="117"/>
      <c r="BQ790" s="117"/>
      <c r="BR790" s="117"/>
      <c r="BS790" s="117"/>
      <c r="BT790" s="117"/>
      <c r="BU790" s="117"/>
      <c r="BV790" s="117"/>
      <c r="BW790" s="117"/>
      <c r="BX790" s="117"/>
      <c r="BY790" s="117"/>
      <c r="BZ790" s="117"/>
      <c r="CA790" s="117"/>
    </row>
    <row r="791" spans="1:79" ht="12.75" customHeight="1">
      <c r="A791" s="117"/>
      <c r="B791" s="14"/>
      <c r="C791" s="726"/>
      <c r="D791" s="41"/>
      <c r="E791" s="893"/>
      <c r="F791" s="893"/>
      <c r="G791" s="893"/>
      <c r="H791" s="893"/>
      <c r="I791" s="893"/>
      <c r="J791" s="893"/>
      <c r="K791" s="893"/>
      <c r="L791" s="893"/>
      <c r="M791" s="893"/>
      <c r="N791" s="893"/>
      <c r="O791" s="893"/>
      <c r="P791" s="893"/>
      <c r="Q791" s="893"/>
      <c r="R791" s="893"/>
      <c r="S791" s="893"/>
      <c r="T791" s="893"/>
      <c r="U791" s="893"/>
      <c r="V791" s="893"/>
      <c r="W791" s="893"/>
      <c r="X791" s="893"/>
      <c r="Y791" s="893"/>
      <c r="Z791" s="893"/>
      <c r="AA791" s="893"/>
      <c r="AB791" s="893"/>
      <c r="AC791" s="893"/>
      <c r="AD791" s="893"/>
      <c r="AE791" s="422"/>
      <c r="AF791" s="422"/>
      <c r="AG791" s="422"/>
      <c r="AH791" s="422"/>
      <c r="AI791" s="422"/>
      <c r="AJ791" s="422"/>
      <c r="AK791" s="422"/>
      <c r="AL791" s="422"/>
      <c r="AM791" s="18"/>
      <c r="AN791" s="424"/>
      <c r="AO791" s="117"/>
      <c r="AP791" s="117"/>
      <c r="AQ791" s="117"/>
      <c r="AR791" s="117"/>
      <c r="AS791" s="117"/>
      <c r="AT791" s="117"/>
      <c r="AU791" s="117"/>
      <c r="AV791" s="117"/>
      <c r="AW791" s="117"/>
      <c r="AX791" s="117"/>
      <c r="AY791" s="117"/>
      <c r="AZ791" s="117"/>
      <c r="BA791" s="117"/>
      <c r="BB791" s="117"/>
      <c r="BC791" s="117"/>
      <c r="BD791" s="117"/>
      <c r="BE791" s="117"/>
      <c r="BF791" s="117"/>
      <c r="BG791" s="117"/>
      <c r="BH791" s="117"/>
      <c r="BI791" s="117"/>
      <c r="BJ791" s="117"/>
      <c r="BK791" s="117"/>
      <c r="BL791" s="117"/>
      <c r="BM791" s="117"/>
      <c r="BN791" s="117"/>
      <c r="BO791" s="117"/>
      <c r="BP791" s="117"/>
      <c r="BQ791" s="117"/>
      <c r="BR791" s="117"/>
      <c r="BS791" s="117"/>
      <c r="BT791" s="117"/>
      <c r="BU791" s="117"/>
      <c r="BV791" s="117"/>
      <c r="BW791" s="117"/>
      <c r="BX791" s="117"/>
      <c r="BY791" s="117"/>
      <c r="BZ791" s="117"/>
      <c r="CA791" s="117"/>
    </row>
    <row r="792" spans="1:79" ht="12.75" customHeight="1">
      <c r="A792" s="117"/>
      <c r="B792" s="14"/>
      <c r="C792" s="726"/>
      <c r="D792" s="41"/>
      <c r="E792" s="893"/>
      <c r="F792" s="893"/>
      <c r="G792" s="893"/>
      <c r="H792" s="893"/>
      <c r="I792" s="893"/>
      <c r="J792" s="893"/>
      <c r="K792" s="893"/>
      <c r="L792" s="893"/>
      <c r="M792" s="893"/>
      <c r="N792" s="893"/>
      <c r="O792" s="893"/>
      <c r="P792" s="893"/>
      <c r="Q792" s="893"/>
      <c r="R792" s="893"/>
      <c r="S792" s="893"/>
      <c r="T792" s="893"/>
      <c r="U792" s="893"/>
      <c r="V792" s="893"/>
      <c r="W792" s="893"/>
      <c r="X792" s="893"/>
      <c r="Y792" s="893"/>
      <c r="Z792" s="893"/>
      <c r="AA792" s="893"/>
      <c r="AB792" s="893"/>
      <c r="AC792" s="893"/>
      <c r="AD792" s="893"/>
      <c r="AE792" s="422"/>
      <c r="AF792" s="422"/>
      <c r="AG792" s="422"/>
      <c r="AH792" s="422"/>
      <c r="AI792" s="422"/>
      <c r="AJ792" s="422"/>
      <c r="AK792" s="422"/>
      <c r="AL792" s="422"/>
      <c r="AM792" s="18"/>
      <c r="AN792" s="424"/>
      <c r="AO792" s="117"/>
      <c r="AP792" s="117"/>
      <c r="AQ792" s="117"/>
      <c r="AR792" s="117"/>
      <c r="AS792" s="117"/>
      <c r="AT792" s="117"/>
      <c r="AU792" s="117"/>
      <c r="AV792" s="117"/>
      <c r="AW792" s="117"/>
      <c r="AX792" s="117"/>
      <c r="AY792" s="117"/>
      <c r="AZ792" s="117"/>
      <c r="BA792" s="117"/>
      <c r="BB792" s="117"/>
      <c r="BC792" s="117"/>
      <c r="BD792" s="117"/>
      <c r="BE792" s="117"/>
      <c r="BF792" s="117"/>
      <c r="BG792" s="117"/>
      <c r="BH792" s="117"/>
      <c r="BI792" s="117"/>
      <c r="BJ792" s="117"/>
      <c r="BK792" s="117"/>
      <c r="BL792" s="117"/>
      <c r="BM792" s="117"/>
      <c r="BN792" s="117"/>
      <c r="BO792" s="117"/>
      <c r="BP792" s="117"/>
      <c r="BQ792" s="117"/>
      <c r="BR792" s="117"/>
      <c r="BS792" s="117"/>
      <c r="BT792" s="117"/>
      <c r="BU792" s="117"/>
      <c r="BV792" s="117"/>
      <c r="BW792" s="117"/>
      <c r="BX792" s="117"/>
      <c r="BY792" s="117"/>
      <c r="BZ792" s="117"/>
      <c r="CA792" s="117"/>
    </row>
    <row r="793" spans="1:79" ht="12.75" customHeight="1">
      <c r="A793" s="117"/>
      <c r="B793" s="14"/>
      <c r="C793" s="726"/>
      <c r="D793" s="41"/>
      <c r="E793" s="893"/>
      <c r="F793" s="893"/>
      <c r="G793" s="893"/>
      <c r="H793" s="893"/>
      <c r="I793" s="893"/>
      <c r="J793" s="893"/>
      <c r="K793" s="893"/>
      <c r="L793" s="893"/>
      <c r="M793" s="893"/>
      <c r="N793" s="893"/>
      <c r="O793" s="893"/>
      <c r="P793" s="893"/>
      <c r="Q793" s="893"/>
      <c r="R793" s="893"/>
      <c r="S793" s="893"/>
      <c r="T793" s="893"/>
      <c r="U793" s="893"/>
      <c r="V793" s="893"/>
      <c r="W793" s="893"/>
      <c r="X793" s="893"/>
      <c r="Y793" s="893"/>
      <c r="Z793" s="893"/>
      <c r="AA793" s="893"/>
      <c r="AB793" s="893"/>
      <c r="AC793" s="893"/>
      <c r="AD793" s="893"/>
      <c r="AE793" s="422"/>
      <c r="AF793" s="422"/>
      <c r="AG793" s="422"/>
      <c r="AH793" s="422"/>
      <c r="AI793" s="422"/>
      <c r="AJ793" s="422"/>
      <c r="AK793" s="422"/>
      <c r="AL793" s="422"/>
      <c r="AM793" s="18"/>
      <c r="AN793" s="424"/>
      <c r="AO793" s="117"/>
      <c r="AP793" s="117"/>
      <c r="AQ793" s="117"/>
      <c r="AR793" s="117"/>
      <c r="AS793" s="117"/>
      <c r="AT793" s="117"/>
      <c r="AU793" s="117"/>
      <c r="AV793" s="117"/>
      <c r="AW793" s="117"/>
      <c r="AX793" s="117"/>
      <c r="AY793" s="117"/>
      <c r="AZ793" s="117"/>
      <c r="BA793" s="117"/>
      <c r="BB793" s="117"/>
      <c r="BC793" s="117"/>
      <c r="BD793" s="117"/>
      <c r="BE793" s="117"/>
      <c r="BF793" s="117"/>
      <c r="BG793" s="117"/>
      <c r="BH793" s="117"/>
      <c r="BI793" s="117"/>
      <c r="BJ793" s="117"/>
      <c r="BK793" s="117"/>
      <c r="BL793" s="117"/>
      <c r="BM793" s="117"/>
      <c r="BN793" s="117"/>
      <c r="BO793" s="117"/>
      <c r="BP793" s="117"/>
      <c r="BQ793" s="117"/>
      <c r="BR793" s="117"/>
      <c r="BS793" s="117"/>
      <c r="BT793" s="117"/>
      <c r="BU793" s="117"/>
      <c r="BV793" s="117"/>
      <c r="BW793" s="117"/>
      <c r="BX793" s="117"/>
      <c r="BY793" s="117"/>
      <c r="BZ793" s="117"/>
      <c r="CA793" s="117"/>
    </row>
    <row r="794" spans="1:79"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424"/>
      <c r="AO794" s="117"/>
      <c r="AP794" s="117"/>
      <c r="AQ794" s="117"/>
      <c r="AR794" s="117"/>
      <c r="AS794" s="117"/>
      <c r="AT794" s="117"/>
      <c r="AU794" s="117"/>
      <c r="AV794" s="117"/>
      <c r="AW794" s="117"/>
      <c r="AX794" s="117"/>
      <c r="AY794" s="117"/>
      <c r="AZ794" s="117"/>
      <c r="BA794" s="117"/>
      <c r="BB794" s="117"/>
      <c r="BC794" s="117"/>
      <c r="BD794" s="117"/>
      <c r="BE794" s="117"/>
      <c r="BF794" s="117"/>
      <c r="BG794" s="117"/>
      <c r="BH794" s="117"/>
      <c r="BI794" s="117"/>
      <c r="BJ794" s="117"/>
      <c r="BK794" s="117"/>
      <c r="BL794" s="117"/>
      <c r="BM794" s="117"/>
      <c r="BN794" s="117"/>
      <c r="BO794" s="117"/>
      <c r="BP794" s="117"/>
      <c r="BQ794" s="117"/>
      <c r="BR794" s="117"/>
      <c r="BS794" s="117"/>
      <c r="BT794" s="117"/>
      <c r="BU794" s="117"/>
      <c r="BV794" s="117"/>
      <c r="BW794" s="117"/>
      <c r="BX794" s="117"/>
      <c r="BY794" s="117"/>
      <c r="BZ794" s="117"/>
      <c r="CA794" s="117"/>
    </row>
    <row r="795" spans="1:79" ht="12.75" customHeight="1">
      <c r="A795" s="117"/>
      <c r="B795" s="14"/>
      <c r="C795" s="726"/>
      <c r="D795" s="1" t="s">
        <v>2378</v>
      </c>
      <c r="E795" s="719"/>
      <c r="F795" s="719"/>
      <c r="G795" s="719"/>
      <c r="H795" s="1379" t="s">
        <v>855</v>
      </c>
      <c r="I795" s="969"/>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4"/>
      <c r="AH795" s="1"/>
      <c r="AI795" s="237"/>
      <c r="AJ795" s="7"/>
      <c r="AK795" s="7"/>
      <c r="AL795" s="7"/>
      <c r="AM795" s="117"/>
      <c r="AN795" s="424"/>
      <c r="AO795" s="117"/>
      <c r="AP795" s="117"/>
      <c r="AQ795" s="117"/>
      <c r="AR795" s="117"/>
      <c r="AS795" s="117"/>
      <c r="AT795" s="117"/>
      <c r="AU795" s="117"/>
      <c r="AV795" s="117"/>
      <c r="AW795" s="117"/>
      <c r="AX795" s="117"/>
      <c r="AY795" s="117"/>
      <c r="AZ795" s="117"/>
      <c r="BA795" s="117"/>
      <c r="BB795" s="117"/>
      <c r="BC795" s="117"/>
      <c r="BD795" s="117"/>
      <c r="BE795" s="117"/>
      <c r="BF795" s="117"/>
      <c r="BG795" s="117"/>
      <c r="BH795" s="117"/>
      <c r="BI795" s="117"/>
      <c r="BJ795" s="117"/>
      <c r="BK795" s="117"/>
      <c r="BL795" s="117"/>
      <c r="BM795" s="117"/>
      <c r="BN795" s="117"/>
      <c r="BO795" s="117"/>
      <c r="BP795" s="117"/>
      <c r="BQ795" s="117"/>
      <c r="BR795" s="117"/>
      <c r="BS795" s="117"/>
      <c r="BT795" s="117"/>
      <c r="BU795" s="117"/>
      <c r="BV795" s="117"/>
      <c r="BW795" s="117"/>
      <c r="BX795" s="117"/>
      <c r="BY795" s="117"/>
      <c r="BZ795" s="117"/>
      <c r="CA795" s="117"/>
    </row>
    <row r="796" spans="1:79" ht="12.75" customHeight="1">
      <c r="A796" s="117"/>
      <c r="B796" s="14"/>
      <c r="C796" s="726"/>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
      <c r="AI796" s="237"/>
      <c r="AJ796" s="7"/>
      <c r="AK796" s="7"/>
      <c r="AL796" s="7"/>
      <c r="AM796" s="117"/>
      <c r="AN796" s="424"/>
      <c r="AO796" s="117"/>
      <c r="AP796" s="117"/>
      <c r="AQ796" s="117"/>
      <c r="AR796" s="117"/>
      <c r="AS796" s="117"/>
      <c r="AT796" s="117"/>
      <c r="AU796" s="117"/>
      <c r="AV796" s="117"/>
      <c r="AW796" s="117"/>
      <c r="AX796" s="117"/>
      <c r="AY796" s="117"/>
      <c r="AZ796" s="117"/>
      <c r="BA796" s="117"/>
      <c r="BB796" s="117"/>
      <c r="BC796" s="117"/>
      <c r="BD796" s="117"/>
      <c r="BE796" s="117"/>
      <c r="BF796" s="117"/>
      <c r="BG796" s="117"/>
      <c r="BH796" s="117"/>
      <c r="BI796" s="117"/>
      <c r="BJ796" s="117"/>
      <c r="BK796" s="117"/>
      <c r="BL796" s="117"/>
      <c r="BM796" s="117"/>
      <c r="BN796" s="117"/>
      <c r="BO796" s="117"/>
      <c r="BP796" s="117"/>
      <c r="BQ796" s="117"/>
      <c r="BR796" s="117"/>
      <c r="BS796" s="117"/>
      <c r="BT796" s="117"/>
      <c r="BU796" s="117"/>
      <c r="BV796" s="117"/>
      <c r="BW796" s="117"/>
      <c r="BX796" s="117"/>
      <c r="BY796" s="117"/>
      <c r="BZ796" s="117"/>
      <c r="CA796" s="117"/>
    </row>
    <row r="797" spans="1:79" ht="12.75" customHeight="1">
      <c r="A797" s="425"/>
      <c r="B797" s="561"/>
      <c r="C797" s="768"/>
      <c r="D797" s="561"/>
      <c r="E797" s="561"/>
      <c r="F797" s="561"/>
      <c r="G797" s="561"/>
      <c r="H797" s="561"/>
      <c r="I797" s="561"/>
      <c r="J797" s="561"/>
      <c r="K797" s="561"/>
      <c r="L797" s="561"/>
      <c r="M797" s="561"/>
      <c r="N797" s="561"/>
      <c r="O797" s="561"/>
      <c r="P797" s="561"/>
      <c r="Q797" s="561"/>
      <c r="R797" s="561"/>
      <c r="S797" s="561"/>
      <c r="T797" s="561"/>
      <c r="U797" s="561"/>
      <c r="V797" s="561"/>
      <c r="W797" s="561"/>
      <c r="X797" s="561"/>
      <c r="Y797" s="561"/>
      <c r="Z797" s="561"/>
      <c r="AA797" s="561"/>
      <c r="AB797" s="561"/>
      <c r="AC797" s="561"/>
      <c r="AD797" s="561"/>
      <c r="AE797" s="561"/>
      <c r="AF797" s="561"/>
      <c r="AG797" s="561"/>
      <c r="AH797" s="5"/>
      <c r="AI797" s="372" t="s">
        <v>2524</v>
      </c>
      <c r="AJ797" s="945">
        <f>VLOOKUP($H$795,$AO$785:$AP$787,2,FALSE)</f>
        <v>0</v>
      </c>
      <c r="AK797" s="943"/>
      <c r="AL797" s="7"/>
      <c r="AM797" s="117"/>
      <c r="AN797" s="424"/>
      <c r="AO797" s="117"/>
      <c r="AP797" s="117"/>
      <c r="AQ797" s="117"/>
      <c r="AR797" s="117"/>
      <c r="AS797" s="117"/>
      <c r="AT797" s="117"/>
      <c r="AU797" s="117"/>
      <c r="AV797" s="117"/>
      <c r="AW797" s="117"/>
      <c r="AX797" s="117"/>
      <c r="AY797" s="117"/>
      <c r="AZ797" s="117"/>
      <c r="BA797" s="117"/>
      <c r="BB797" s="117"/>
      <c r="BC797" s="117"/>
      <c r="BD797" s="117"/>
      <c r="BE797" s="117"/>
      <c r="BF797" s="117"/>
      <c r="BG797" s="117"/>
      <c r="BH797" s="117"/>
      <c r="BI797" s="117"/>
      <c r="BJ797" s="117"/>
      <c r="BK797" s="117"/>
      <c r="BL797" s="117"/>
      <c r="BM797" s="117"/>
      <c r="BN797" s="117"/>
      <c r="BO797" s="117"/>
      <c r="BP797" s="117"/>
      <c r="BQ797" s="117"/>
      <c r="BR797" s="117"/>
      <c r="BS797" s="117"/>
      <c r="BT797" s="117"/>
      <c r="BU797" s="117"/>
      <c r="BV797" s="117"/>
      <c r="BW797" s="117"/>
      <c r="BX797" s="117"/>
      <c r="BY797" s="117"/>
      <c r="BZ797" s="117"/>
      <c r="CA797" s="117"/>
    </row>
    <row r="798" spans="1:79" ht="12.75" customHeight="1">
      <c r="A798" s="117"/>
      <c r="B798" s="14"/>
      <c r="C798" s="726"/>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
      <c r="AI798" s="237"/>
      <c r="AJ798" s="7"/>
      <c r="AK798" s="7"/>
      <c r="AL798" s="7"/>
      <c r="AM798" s="117"/>
      <c r="AN798" s="267"/>
      <c r="AO798" s="1"/>
      <c r="AP798" s="1"/>
      <c r="AQ798" s="1"/>
      <c r="AR798" s="1"/>
      <c r="AS798" s="1"/>
      <c r="AT798" s="1"/>
      <c r="AU798" s="1"/>
      <c r="AV798" s="1"/>
      <c r="AW798" s="1"/>
      <c r="AX798" s="1"/>
      <c r="AY798" s="1"/>
      <c r="AZ798" s="1"/>
      <c r="BA798" s="1"/>
      <c r="BB798" s="1"/>
      <c r="BC798" s="1"/>
      <c r="BD798" s="126"/>
      <c r="BE798" s="126"/>
      <c r="BF798" s="126"/>
      <c r="BG798" s="126"/>
      <c r="BH798" s="126"/>
      <c r="BI798" s="1"/>
      <c r="BJ798" s="1"/>
      <c r="BK798" s="1"/>
      <c r="BL798" s="1"/>
      <c r="BM798" s="1"/>
      <c r="BN798" s="1"/>
      <c r="BO798" s="1"/>
      <c r="BP798" s="1"/>
      <c r="BQ798" s="1"/>
      <c r="BR798" s="1"/>
      <c r="BS798" s="1"/>
      <c r="BT798" s="1"/>
      <c r="BU798" s="1"/>
      <c r="BV798" s="1"/>
      <c r="BW798" s="1"/>
      <c r="BX798" s="1"/>
      <c r="BY798" s="1"/>
      <c r="BZ798" s="1"/>
      <c r="CA798" s="1"/>
    </row>
    <row r="799" spans="1:79" ht="12.75" customHeight="1">
      <c r="A799" s="117"/>
      <c r="B799" s="14"/>
      <c r="C799" s="8" t="s">
        <v>2526</v>
      </c>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
      <c r="AI799" s="237"/>
      <c r="AJ799" s="7"/>
      <c r="AK799" s="7"/>
      <c r="AL799" s="7"/>
      <c r="AM799" s="117"/>
      <c r="AN799" s="267"/>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row>
    <row r="800" spans="1:79" ht="12.75" customHeight="1">
      <c r="A800" s="117"/>
      <c r="B800" s="14"/>
      <c r="C800" s="726"/>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
      <c r="AF800" s="1"/>
      <c r="AG800" s="1"/>
      <c r="AH800" s="1"/>
      <c r="AI800" s="1"/>
      <c r="AJ800" s="1"/>
      <c r="AK800" s="1"/>
      <c r="AL800" s="7"/>
      <c r="AM800" s="117"/>
      <c r="AN800" s="267"/>
      <c r="AO800" s="117" t="s">
        <v>855</v>
      </c>
      <c r="AP800" s="117">
        <v>0</v>
      </c>
      <c r="AQ800" s="1"/>
      <c r="AR800" s="1"/>
      <c r="AS800" s="1"/>
      <c r="AT800" s="1"/>
      <c r="AU800" s="1"/>
      <c r="AV800" s="1"/>
      <c r="AW800" s="1"/>
      <c r="AX800" s="1"/>
      <c r="AY800" s="1"/>
      <c r="AZ800" s="1"/>
      <c r="BA800" s="1"/>
      <c r="BB800" s="1"/>
      <c r="BC800" s="1"/>
      <c r="BD800" s="126"/>
      <c r="BE800" s="126"/>
      <c r="BF800" s="126"/>
      <c r="BG800" s="126"/>
      <c r="BH800" s="126"/>
      <c r="BI800" s="1"/>
      <c r="BJ800" s="1"/>
      <c r="BK800" s="1"/>
      <c r="BL800" s="1"/>
      <c r="BM800" s="1"/>
      <c r="BN800" s="1"/>
      <c r="BO800" s="1"/>
      <c r="BP800" s="1"/>
      <c r="BQ800" s="1"/>
      <c r="BR800" s="1"/>
      <c r="BS800" s="1"/>
      <c r="BT800" s="1"/>
      <c r="BU800" s="1"/>
      <c r="BV800" s="1"/>
      <c r="BW800" s="1"/>
      <c r="BX800" s="1"/>
      <c r="BY800" s="1"/>
      <c r="BZ800" s="1"/>
      <c r="CA800" s="1"/>
    </row>
    <row r="801" spans="1:79" ht="13.5" customHeight="1">
      <c r="A801" s="117"/>
      <c r="B801" s="14"/>
      <c r="C801" s="726"/>
      <c r="D801" s="41" t="s">
        <v>44</v>
      </c>
      <c r="E801" s="895" t="s">
        <v>2529</v>
      </c>
      <c r="F801" s="893"/>
      <c r="G801" s="893"/>
      <c r="H801" s="893"/>
      <c r="I801" s="893"/>
      <c r="J801" s="893"/>
      <c r="K801" s="893"/>
      <c r="L801" s="893"/>
      <c r="M801" s="893"/>
      <c r="N801" s="893"/>
      <c r="O801" s="893"/>
      <c r="P801" s="893"/>
      <c r="Q801" s="893"/>
      <c r="R801" s="893"/>
      <c r="S801" s="893"/>
      <c r="T801" s="893"/>
      <c r="U801" s="893"/>
      <c r="V801" s="893"/>
      <c r="W801" s="893"/>
      <c r="X801" s="893"/>
      <c r="Y801" s="893"/>
      <c r="Z801" s="893"/>
      <c r="AA801" s="893"/>
      <c r="AB801" s="893"/>
      <c r="AC801" s="893"/>
      <c r="AD801" s="893"/>
      <c r="AE801" s="1"/>
      <c r="AF801" s="1376" t="s">
        <v>1959</v>
      </c>
      <c r="AG801" s="893"/>
      <c r="AH801" s="893"/>
      <c r="AI801" s="893"/>
      <c r="AJ801" s="893"/>
      <c r="AK801" s="893"/>
      <c r="AL801" s="893"/>
      <c r="AM801" s="18"/>
      <c r="AN801" s="267"/>
      <c r="AO801" s="100" t="s">
        <v>901</v>
      </c>
      <c r="AP801" s="117">
        <v>3</v>
      </c>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row>
    <row r="802" spans="1:79" ht="13.5" customHeight="1">
      <c r="A802" s="117"/>
      <c r="B802" s="14"/>
      <c r="C802" s="726"/>
      <c r="D802" s="41"/>
      <c r="E802" s="893"/>
      <c r="F802" s="893"/>
      <c r="G802" s="893"/>
      <c r="H802" s="893"/>
      <c r="I802" s="893"/>
      <c r="J802" s="893"/>
      <c r="K802" s="893"/>
      <c r="L802" s="893"/>
      <c r="M802" s="893"/>
      <c r="N802" s="893"/>
      <c r="O802" s="893"/>
      <c r="P802" s="893"/>
      <c r="Q802" s="893"/>
      <c r="R802" s="893"/>
      <c r="S802" s="893"/>
      <c r="T802" s="893"/>
      <c r="U802" s="893"/>
      <c r="V802" s="893"/>
      <c r="W802" s="893"/>
      <c r="X802" s="893"/>
      <c r="Y802" s="893"/>
      <c r="Z802" s="893"/>
      <c r="AA802" s="893"/>
      <c r="AB802" s="893"/>
      <c r="AC802" s="893"/>
      <c r="AD802" s="893"/>
      <c r="AE802" s="1"/>
      <c r="AF802" s="422"/>
      <c r="AG802" s="422"/>
      <c r="AH802" s="422"/>
      <c r="AI802" s="422"/>
      <c r="AJ802" s="422"/>
      <c r="AK802" s="422"/>
      <c r="AL802" s="422"/>
      <c r="AM802" s="18"/>
      <c r="AN802" s="267"/>
      <c r="AO802" s="100"/>
      <c r="AP802" s="117"/>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row>
    <row r="803" spans="1:79" ht="12.75" customHeight="1">
      <c r="A803" s="117"/>
      <c r="B803" s="14"/>
      <c r="C803" s="726"/>
      <c r="D803" s="41"/>
      <c r="E803" s="893"/>
      <c r="F803" s="893"/>
      <c r="G803" s="893"/>
      <c r="H803" s="893"/>
      <c r="I803" s="893"/>
      <c r="J803" s="893"/>
      <c r="K803" s="893"/>
      <c r="L803" s="893"/>
      <c r="M803" s="893"/>
      <c r="N803" s="893"/>
      <c r="O803" s="893"/>
      <c r="P803" s="893"/>
      <c r="Q803" s="893"/>
      <c r="R803" s="893"/>
      <c r="S803" s="893"/>
      <c r="T803" s="893"/>
      <c r="U803" s="893"/>
      <c r="V803" s="893"/>
      <c r="W803" s="893"/>
      <c r="X803" s="893"/>
      <c r="Y803" s="893"/>
      <c r="Z803" s="893"/>
      <c r="AA803" s="893"/>
      <c r="AB803" s="893"/>
      <c r="AC803" s="893"/>
      <c r="AD803" s="893"/>
      <c r="AE803" s="422"/>
      <c r="AF803" s="422"/>
      <c r="AG803" s="422"/>
      <c r="AH803" s="422"/>
      <c r="AI803" s="422"/>
      <c r="AJ803" s="422"/>
      <c r="AK803" s="422"/>
      <c r="AL803" s="422"/>
      <c r="AM803" s="18"/>
      <c r="AN803" s="267"/>
      <c r="AO803" s="100"/>
      <c r="AP803" s="117"/>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row>
    <row r="804" spans="1:79" ht="12.75" customHeight="1">
      <c r="A804" s="117"/>
      <c r="B804" s="14"/>
      <c r="C804" s="726"/>
      <c r="D804" s="41"/>
      <c r="E804" s="893"/>
      <c r="F804" s="893"/>
      <c r="G804" s="893"/>
      <c r="H804" s="893"/>
      <c r="I804" s="893"/>
      <c r="J804" s="893"/>
      <c r="K804" s="893"/>
      <c r="L804" s="893"/>
      <c r="M804" s="893"/>
      <c r="N804" s="893"/>
      <c r="O804" s="893"/>
      <c r="P804" s="893"/>
      <c r="Q804" s="893"/>
      <c r="R804" s="893"/>
      <c r="S804" s="893"/>
      <c r="T804" s="893"/>
      <c r="U804" s="893"/>
      <c r="V804" s="893"/>
      <c r="W804" s="893"/>
      <c r="X804" s="893"/>
      <c r="Y804" s="893"/>
      <c r="Z804" s="893"/>
      <c r="AA804" s="893"/>
      <c r="AB804" s="893"/>
      <c r="AC804" s="893"/>
      <c r="AD804" s="893"/>
      <c r="AE804" s="422"/>
      <c r="AF804" s="422"/>
      <c r="AG804" s="422"/>
      <c r="AH804" s="422"/>
      <c r="AI804" s="422"/>
      <c r="AJ804" s="422"/>
      <c r="AK804" s="422"/>
      <c r="AL804" s="422"/>
      <c r="AM804" s="18"/>
      <c r="AN804" s="267"/>
      <c r="AO804" s="598"/>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row>
    <row r="805" spans="1:79" ht="12.75" customHeight="1">
      <c r="A805" s="117"/>
      <c r="B805" s="14"/>
      <c r="C805" s="726"/>
      <c r="D805" s="4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422"/>
      <c r="AF805" s="422"/>
      <c r="AG805" s="422"/>
      <c r="AH805" s="422"/>
      <c r="AI805" s="422"/>
      <c r="AJ805" s="422"/>
      <c r="AK805" s="422"/>
      <c r="AL805" s="422"/>
      <c r="AM805" s="18"/>
      <c r="AN805" s="267"/>
      <c r="AO805" s="598"/>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row>
    <row r="806" spans="1:79" ht="12.75" customHeight="1">
      <c r="A806" s="117"/>
      <c r="B806" s="14"/>
      <c r="C806" s="726"/>
      <c r="D806" s="1" t="s">
        <v>2378</v>
      </c>
      <c r="E806" s="719"/>
      <c r="F806" s="719"/>
      <c r="G806" s="719"/>
      <c r="H806" s="1379" t="s">
        <v>855</v>
      </c>
      <c r="I806" s="969"/>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
      <c r="AI806" s="237"/>
      <c r="AJ806" s="7"/>
      <c r="AK806" s="7"/>
      <c r="AL806" s="7"/>
      <c r="AM806" s="117"/>
      <c r="AN806" s="267"/>
      <c r="AO806" s="1"/>
      <c r="AP806" s="1"/>
      <c r="AQ806" s="1"/>
      <c r="AR806" s="1"/>
      <c r="AS806" s="1"/>
      <c r="AT806" s="1"/>
      <c r="AU806" s="1"/>
      <c r="AV806" s="1"/>
      <c r="AW806" s="1"/>
      <c r="AX806" s="1"/>
      <c r="AY806" s="1"/>
      <c r="AZ806" s="1"/>
      <c r="BA806" s="1"/>
      <c r="BB806" s="1"/>
      <c r="BC806" s="1"/>
      <c r="BD806" s="126"/>
      <c r="BE806" s="126"/>
      <c r="BF806" s="126"/>
      <c r="BG806" s="126"/>
      <c r="BH806" s="126"/>
      <c r="BI806" s="1"/>
      <c r="BJ806" s="1"/>
      <c r="BK806" s="1"/>
      <c r="BL806" s="1"/>
      <c r="BM806" s="1"/>
      <c r="BN806" s="1"/>
      <c r="BO806" s="1"/>
      <c r="BP806" s="1"/>
      <c r="BQ806" s="1"/>
      <c r="BR806" s="1"/>
      <c r="BS806" s="1"/>
      <c r="BT806" s="1"/>
      <c r="BU806" s="1"/>
      <c r="BV806" s="1"/>
      <c r="BW806" s="1"/>
      <c r="BX806" s="1"/>
      <c r="BY806" s="1"/>
      <c r="BZ806" s="1"/>
      <c r="CA806" s="1"/>
    </row>
    <row r="807" spans="1:79" ht="12.75" customHeight="1">
      <c r="A807" s="117"/>
      <c r="B807" s="14"/>
      <c r="C807" s="771"/>
      <c r="D807" s="76"/>
      <c r="E807" s="76"/>
      <c r="F807" s="76"/>
      <c r="G807" s="76"/>
      <c r="H807" s="76"/>
      <c r="I807" s="76"/>
      <c r="J807" s="76"/>
      <c r="K807" s="76"/>
      <c r="L807" s="76"/>
      <c r="M807" s="76"/>
      <c r="N807" s="76"/>
      <c r="O807" s="76"/>
      <c r="P807" s="76"/>
      <c r="Q807" s="76"/>
      <c r="R807" s="76"/>
      <c r="S807" s="76"/>
      <c r="T807" s="76"/>
      <c r="U807" s="76"/>
      <c r="V807" s="76"/>
      <c r="W807" s="76"/>
      <c r="X807" s="76"/>
      <c r="Y807" s="76"/>
      <c r="Z807" s="76"/>
      <c r="AA807" s="76"/>
      <c r="AB807" s="76"/>
      <c r="AC807" s="76"/>
      <c r="AD807" s="14"/>
      <c r="AE807" s="76"/>
      <c r="AF807" s="76"/>
      <c r="AG807" s="76"/>
      <c r="AH807" s="76"/>
      <c r="AI807" s="117"/>
      <c r="AJ807" s="117"/>
      <c r="AK807" s="117"/>
      <c r="AL807" s="117"/>
      <c r="AM807" s="117"/>
      <c r="AN807" s="267"/>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row>
    <row r="808" spans="1:79" ht="12.75" customHeight="1">
      <c r="A808" s="425"/>
      <c r="B808" s="561"/>
      <c r="C808" s="772"/>
      <c r="D808" s="560"/>
      <c r="E808" s="560"/>
      <c r="F808" s="560"/>
      <c r="G808" s="560"/>
      <c r="H808" s="560"/>
      <c r="I808" s="560"/>
      <c r="J808" s="560"/>
      <c r="K808" s="560"/>
      <c r="L808" s="560"/>
      <c r="M808" s="560"/>
      <c r="N808" s="560"/>
      <c r="O808" s="560"/>
      <c r="P808" s="560"/>
      <c r="Q808" s="560"/>
      <c r="R808" s="560"/>
      <c r="S808" s="560"/>
      <c r="T808" s="560"/>
      <c r="U808" s="560"/>
      <c r="V808" s="560"/>
      <c r="W808" s="560"/>
      <c r="X808" s="560"/>
      <c r="Y808" s="560"/>
      <c r="Z808" s="560"/>
      <c r="AA808" s="560"/>
      <c r="AB808" s="560"/>
      <c r="AC808" s="561"/>
      <c r="AD808" s="560"/>
      <c r="AE808" s="560"/>
      <c r="AF808" s="560"/>
      <c r="AG808" s="560"/>
      <c r="AH808" s="371"/>
      <c r="AI808" s="372" t="s">
        <v>2535</v>
      </c>
      <c r="AJ808" s="945">
        <f>VLOOKUP($H$806,$AO$800:$AP$801,2,FALSE)</f>
        <v>0</v>
      </c>
      <c r="AK808" s="943"/>
      <c r="AL808" s="7"/>
      <c r="AM808" s="117"/>
      <c r="AN808" s="267"/>
      <c r="AO808" s="1"/>
      <c r="AP808" s="1"/>
      <c r="AQ808" s="1"/>
      <c r="AR808" s="1"/>
      <c r="AS808" s="1"/>
      <c r="AT808" s="1"/>
      <c r="AU808" s="1"/>
      <c r="AV808" s="1"/>
      <c r="AW808" s="1"/>
      <c r="AX808" s="1"/>
      <c r="AY808" s="1"/>
      <c r="AZ808" s="1"/>
      <c r="BA808" s="1"/>
      <c r="BB808" s="1"/>
      <c r="BC808" s="1"/>
      <c r="BD808" s="126"/>
      <c r="BE808" s="126"/>
      <c r="BF808" s="126"/>
      <c r="BG808" s="126"/>
      <c r="BH808" s="126"/>
      <c r="BI808" s="1"/>
      <c r="BJ808" s="1"/>
      <c r="BK808" s="1"/>
      <c r="BL808" s="1"/>
      <c r="BM808" s="1"/>
      <c r="BN808" s="1"/>
      <c r="BO808" s="1"/>
      <c r="BP808" s="1"/>
      <c r="BQ808" s="1"/>
      <c r="BR808" s="1"/>
      <c r="BS808" s="1"/>
      <c r="BT808" s="1"/>
      <c r="BU808" s="1"/>
      <c r="BV808" s="1"/>
      <c r="BW808" s="1"/>
      <c r="BX808" s="1"/>
      <c r="BY808" s="1"/>
      <c r="BZ808" s="1"/>
      <c r="CA808" s="1"/>
    </row>
    <row r="809" spans="1:79" ht="12.75" customHeight="1">
      <c r="A809" s="117"/>
      <c r="B809" s="14"/>
      <c r="C809" s="771"/>
      <c r="D809" s="76"/>
      <c r="E809" s="76"/>
      <c r="F809" s="76"/>
      <c r="G809" s="76"/>
      <c r="H809" s="76"/>
      <c r="I809" s="76"/>
      <c r="J809" s="76"/>
      <c r="K809" s="76"/>
      <c r="L809" s="76"/>
      <c r="M809" s="76"/>
      <c r="N809" s="76"/>
      <c r="O809" s="76"/>
      <c r="P809" s="76"/>
      <c r="Q809" s="76"/>
      <c r="R809" s="76"/>
      <c r="S809" s="76"/>
      <c r="T809" s="76"/>
      <c r="U809" s="76"/>
      <c r="V809" s="76"/>
      <c r="W809" s="76"/>
      <c r="X809" s="76"/>
      <c r="Y809" s="76"/>
      <c r="Z809" s="76"/>
      <c r="AA809" s="76"/>
      <c r="AB809" s="76"/>
      <c r="AC809" s="76"/>
      <c r="AD809" s="14"/>
      <c r="AE809" s="76"/>
      <c r="AF809" s="76"/>
      <c r="AG809" s="76"/>
      <c r="AH809" s="76"/>
      <c r="AI809" s="117"/>
      <c r="AJ809" s="117"/>
      <c r="AK809" s="117"/>
      <c r="AL809" s="117"/>
      <c r="AM809" s="117"/>
      <c r="AN809" s="424"/>
      <c r="AO809" s="117"/>
      <c r="AP809" s="117"/>
      <c r="AQ809" s="117"/>
      <c r="AR809" s="117"/>
      <c r="AS809" s="117"/>
      <c r="AT809" s="117"/>
      <c r="AU809" s="117"/>
      <c r="AV809" s="117"/>
      <c r="AW809" s="117"/>
      <c r="AX809" s="117"/>
      <c r="AY809" s="117"/>
      <c r="AZ809" s="117"/>
      <c r="BA809" s="117"/>
      <c r="BB809" s="117"/>
      <c r="BC809" s="117"/>
      <c r="BD809" s="117"/>
      <c r="BE809" s="117"/>
      <c r="BF809" s="117"/>
      <c r="BG809" s="117"/>
      <c r="BH809" s="117"/>
      <c r="BI809" s="117"/>
      <c r="BJ809" s="117"/>
      <c r="BK809" s="117"/>
      <c r="BL809" s="117"/>
      <c r="BM809" s="117"/>
      <c r="BN809" s="117"/>
      <c r="BO809" s="117"/>
      <c r="BP809" s="117"/>
      <c r="BQ809" s="117"/>
      <c r="BR809" s="117"/>
      <c r="BS809" s="117"/>
      <c r="BT809" s="117"/>
      <c r="BU809" s="117"/>
      <c r="BV809" s="117"/>
      <c r="BW809" s="117"/>
      <c r="BX809" s="117"/>
      <c r="BY809" s="117"/>
      <c r="BZ809" s="117"/>
      <c r="CA809" s="117"/>
    </row>
    <row r="810" spans="1:79" ht="12.75" customHeight="1">
      <c r="A810" s="117"/>
      <c r="B810" s="14"/>
      <c r="C810" s="8" t="s">
        <v>2537</v>
      </c>
      <c r="D810" s="76"/>
      <c r="E810" s="76"/>
      <c r="F810" s="76"/>
      <c r="G810" s="76"/>
      <c r="H810" s="76"/>
      <c r="I810" s="76"/>
      <c r="J810" s="76"/>
      <c r="K810" s="76"/>
      <c r="L810" s="76"/>
      <c r="M810" s="76"/>
      <c r="N810" s="76"/>
      <c r="O810" s="76"/>
      <c r="P810" s="76"/>
      <c r="Q810" s="76"/>
      <c r="R810" s="76"/>
      <c r="S810" s="76"/>
      <c r="T810" s="76"/>
      <c r="U810" s="76"/>
      <c r="V810" s="76"/>
      <c r="W810" s="76"/>
      <c r="X810" s="76"/>
      <c r="Y810" s="76"/>
      <c r="Z810" s="76"/>
      <c r="AA810" s="76"/>
      <c r="AB810" s="76"/>
      <c r="AC810" s="76"/>
      <c r="AD810" s="14"/>
      <c r="AE810" s="76"/>
      <c r="AF810" s="76"/>
      <c r="AG810" s="76"/>
      <c r="AH810" s="76"/>
      <c r="AI810" s="117"/>
      <c r="AJ810" s="117"/>
      <c r="AK810" s="117"/>
      <c r="AL810" s="117"/>
      <c r="AM810" s="117"/>
      <c r="AN810" s="424"/>
      <c r="AO810" s="117"/>
      <c r="AP810" s="117"/>
      <c r="AQ810" s="117"/>
      <c r="AR810" s="117"/>
      <c r="AS810" s="117"/>
      <c r="AT810" s="117"/>
      <c r="AU810" s="117"/>
      <c r="AV810" s="117"/>
      <c r="AW810" s="117"/>
      <c r="AX810" s="117"/>
      <c r="AY810" s="117"/>
      <c r="AZ810" s="117"/>
      <c r="BA810" s="117"/>
      <c r="BB810" s="117"/>
      <c r="BC810" s="117"/>
      <c r="BD810" s="117"/>
      <c r="BE810" s="117"/>
      <c r="BF810" s="117"/>
      <c r="BG810" s="117"/>
      <c r="BH810" s="117"/>
      <c r="BI810" s="117"/>
      <c r="BJ810" s="117"/>
      <c r="BK810" s="117"/>
      <c r="BL810" s="117"/>
      <c r="BM810" s="117"/>
      <c r="BN810" s="117"/>
      <c r="BO810" s="117"/>
      <c r="BP810" s="117"/>
      <c r="BQ810" s="117"/>
      <c r="BR810" s="117"/>
      <c r="BS810" s="117"/>
      <c r="BT810" s="117"/>
      <c r="BU810" s="117"/>
      <c r="BV810" s="117"/>
      <c r="BW810" s="117"/>
      <c r="BX810" s="117"/>
      <c r="BY810" s="117"/>
      <c r="BZ810" s="117"/>
      <c r="CA810" s="117"/>
    </row>
    <row r="811" spans="1:79" ht="12.75" customHeight="1">
      <c r="A811" s="117"/>
      <c r="B811" s="14"/>
      <c r="C811" s="771"/>
      <c r="D811" s="76"/>
      <c r="E811" s="76"/>
      <c r="F811" s="76"/>
      <c r="G811" s="76"/>
      <c r="H811" s="76"/>
      <c r="I811" s="76"/>
      <c r="J811" s="76"/>
      <c r="K811" s="76"/>
      <c r="L811" s="76"/>
      <c r="M811" s="76"/>
      <c r="N811" s="76"/>
      <c r="O811" s="76"/>
      <c r="P811" s="76"/>
      <c r="Q811" s="76"/>
      <c r="R811" s="76"/>
      <c r="S811" s="76"/>
      <c r="T811" s="76"/>
      <c r="U811" s="76"/>
      <c r="V811" s="76"/>
      <c r="W811" s="76"/>
      <c r="X811" s="76"/>
      <c r="Y811" s="76"/>
      <c r="Z811" s="76"/>
      <c r="AA811" s="76"/>
      <c r="AB811" s="76"/>
      <c r="AC811" s="76"/>
      <c r="AD811" s="14"/>
      <c r="AE811" s="76"/>
      <c r="AF811" s="76"/>
      <c r="AG811" s="76"/>
      <c r="AH811" s="76"/>
      <c r="AI811" s="117"/>
      <c r="AJ811" s="117"/>
      <c r="AK811" s="117"/>
      <c r="AL811" s="117"/>
      <c r="AM811" s="117"/>
      <c r="AN811" s="424"/>
      <c r="AO811" s="117"/>
      <c r="AP811" s="117"/>
      <c r="AQ811" s="117"/>
      <c r="AR811" s="117"/>
      <c r="AS811" s="117"/>
      <c r="AT811" s="117"/>
      <c r="AU811" s="117"/>
      <c r="AV811" s="117"/>
      <c r="AW811" s="117"/>
      <c r="AX811" s="117"/>
      <c r="AY811" s="117"/>
      <c r="AZ811" s="117"/>
      <c r="BA811" s="117"/>
      <c r="BB811" s="117"/>
      <c r="BC811" s="117"/>
      <c r="BD811" s="117"/>
      <c r="BE811" s="117"/>
      <c r="BF811" s="117"/>
      <c r="BG811" s="117"/>
      <c r="BH811" s="117"/>
      <c r="BI811" s="117"/>
      <c r="BJ811" s="117"/>
      <c r="BK811" s="117"/>
      <c r="BL811" s="117"/>
      <c r="BM811" s="117"/>
      <c r="BN811" s="117"/>
      <c r="BO811" s="117"/>
      <c r="BP811" s="117"/>
      <c r="BQ811" s="117"/>
      <c r="BR811" s="117"/>
      <c r="BS811" s="117"/>
      <c r="BT811" s="117"/>
      <c r="BU811" s="117"/>
      <c r="BV811" s="117"/>
      <c r="BW811" s="117"/>
      <c r="BX811" s="117"/>
      <c r="BY811" s="117"/>
      <c r="BZ811" s="117"/>
      <c r="CA811" s="117"/>
    </row>
    <row r="812" spans="1:79" ht="12.75" customHeight="1">
      <c r="A812" s="117"/>
      <c r="B812" s="14"/>
      <c r="C812" s="771"/>
      <c r="D812" s="41" t="s">
        <v>44</v>
      </c>
      <c r="E812" s="895" t="s">
        <v>2538</v>
      </c>
      <c r="F812" s="893"/>
      <c r="G812" s="893"/>
      <c r="H812" s="893"/>
      <c r="I812" s="893"/>
      <c r="J812" s="893"/>
      <c r="K812" s="893"/>
      <c r="L812" s="893"/>
      <c r="M812" s="893"/>
      <c r="N812" s="893"/>
      <c r="O812" s="893"/>
      <c r="P812" s="893"/>
      <c r="Q812" s="893"/>
      <c r="R812" s="893"/>
      <c r="S812" s="893"/>
      <c r="T812" s="893"/>
      <c r="U812" s="893"/>
      <c r="V812" s="893"/>
      <c r="W812" s="893"/>
      <c r="X812" s="893"/>
      <c r="Y812" s="893"/>
      <c r="Z812" s="893"/>
      <c r="AA812" s="893"/>
      <c r="AB812" s="893"/>
      <c r="AC812" s="893"/>
      <c r="AD812" s="893"/>
      <c r="AE812" s="76"/>
      <c r="AF812" s="1376" t="s">
        <v>2361</v>
      </c>
      <c r="AG812" s="893"/>
      <c r="AH812" s="893"/>
      <c r="AI812" s="893"/>
      <c r="AJ812" s="893"/>
      <c r="AK812" s="893"/>
      <c r="AL812" s="893"/>
      <c r="AM812" s="117"/>
      <c r="AN812" s="424"/>
      <c r="AO812" s="117"/>
      <c r="AP812" s="117"/>
      <c r="AQ812" s="117"/>
      <c r="AR812" s="117"/>
      <c r="AS812" s="117"/>
      <c r="AT812" s="117"/>
      <c r="AU812" s="117"/>
      <c r="AV812" s="117"/>
      <c r="AW812" s="117"/>
      <c r="AX812" s="117"/>
      <c r="AY812" s="117"/>
      <c r="AZ812" s="117"/>
      <c r="BA812" s="117"/>
      <c r="BB812" s="117"/>
      <c r="BC812" s="117"/>
      <c r="BD812" s="117"/>
      <c r="BE812" s="117"/>
      <c r="BF812" s="117"/>
      <c r="BG812" s="117"/>
      <c r="BH812" s="117"/>
      <c r="BI812" s="117"/>
      <c r="BJ812" s="117"/>
      <c r="BK812" s="117"/>
      <c r="BL812" s="117"/>
      <c r="BM812" s="117"/>
      <c r="BN812" s="117"/>
      <c r="BO812" s="117"/>
      <c r="BP812" s="117"/>
      <c r="BQ812" s="117"/>
      <c r="BR812" s="117"/>
      <c r="BS812" s="117"/>
      <c r="BT812" s="117"/>
      <c r="BU812" s="117"/>
      <c r="BV812" s="117"/>
      <c r="BW812" s="117"/>
      <c r="BX812" s="117"/>
      <c r="BY812" s="117"/>
      <c r="BZ812" s="117"/>
      <c r="CA812" s="117"/>
    </row>
    <row r="813" spans="1:79" ht="12.75" customHeight="1">
      <c r="A813" s="117"/>
      <c r="B813" s="14"/>
      <c r="C813" s="771"/>
      <c r="D813" s="41"/>
      <c r="E813" s="893"/>
      <c r="F813" s="893"/>
      <c r="G813" s="893"/>
      <c r="H813" s="893"/>
      <c r="I813" s="893"/>
      <c r="J813" s="893"/>
      <c r="K813" s="893"/>
      <c r="L813" s="893"/>
      <c r="M813" s="893"/>
      <c r="N813" s="893"/>
      <c r="O813" s="893"/>
      <c r="P813" s="893"/>
      <c r="Q813" s="893"/>
      <c r="R813" s="893"/>
      <c r="S813" s="893"/>
      <c r="T813" s="893"/>
      <c r="U813" s="893"/>
      <c r="V813" s="893"/>
      <c r="W813" s="893"/>
      <c r="X813" s="893"/>
      <c r="Y813" s="893"/>
      <c r="Z813" s="893"/>
      <c r="AA813" s="893"/>
      <c r="AB813" s="893"/>
      <c r="AC813" s="893"/>
      <c r="AD813" s="893"/>
      <c r="AE813" s="76"/>
      <c r="AF813" s="76"/>
      <c r="AG813" s="76"/>
      <c r="AH813" s="76"/>
      <c r="AI813" s="117"/>
      <c r="AJ813" s="117"/>
      <c r="AK813" s="117"/>
      <c r="AL813" s="117"/>
      <c r="AM813" s="117"/>
      <c r="AN813" s="424"/>
      <c r="AO813" s="117"/>
      <c r="AP813" s="117"/>
      <c r="AQ813" s="117"/>
      <c r="AR813" s="117"/>
      <c r="AS813" s="117"/>
      <c r="AT813" s="117"/>
      <c r="AU813" s="117"/>
      <c r="AV813" s="117"/>
      <c r="AW813" s="117"/>
      <c r="AX813" s="117"/>
      <c r="AY813" s="117"/>
      <c r="AZ813" s="117"/>
      <c r="BA813" s="117"/>
      <c r="BB813" s="117"/>
      <c r="BC813" s="117"/>
      <c r="BD813" s="117"/>
      <c r="BE813" s="117"/>
      <c r="BF813" s="117"/>
      <c r="BG813" s="117"/>
      <c r="BH813" s="117"/>
      <c r="BI813" s="117"/>
      <c r="BJ813" s="117"/>
      <c r="BK813" s="117"/>
      <c r="BL813" s="117"/>
      <c r="BM813" s="117"/>
      <c r="BN813" s="117"/>
      <c r="BO813" s="117"/>
      <c r="BP813" s="117"/>
      <c r="BQ813" s="117"/>
      <c r="BR813" s="117"/>
      <c r="BS813" s="117"/>
      <c r="BT813" s="117"/>
      <c r="BU813" s="117"/>
      <c r="BV813" s="117"/>
      <c r="BW813" s="117"/>
      <c r="BX813" s="117"/>
      <c r="BY813" s="117"/>
      <c r="BZ813" s="117"/>
      <c r="CA813" s="117"/>
    </row>
    <row r="814" spans="1:79" ht="12.75" customHeight="1">
      <c r="A814" s="117"/>
      <c r="B814" s="14"/>
      <c r="C814" s="771"/>
      <c r="D814" s="76"/>
      <c r="E814" s="76"/>
      <c r="F814" s="76"/>
      <c r="G814" s="76"/>
      <c r="H814" s="76"/>
      <c r="I814" s="76"/>
      <c r="J814" s="76"/>
      <c r="K814" s="76"/>
      <c r="L814" s="76"/>
      <c r="M814" s="76"/>
      <c r="N814" s="76"/>
      <c r="O814" s="76"/>
      <c r="P814" s="76"/>
      <c r="Q814" s="76"/>
      <c r="R814" s="76"/>
      <c r="S814" s="76"/>
      <c r="T814" s="76"/>
      <c r="U814" s="76"/>
      <c r="V814" s="76"/>
      <c r="W814" s="76"/>
      <c r="X814" s="76"/>
      <c r="Y814" s="76"/>
      <c r="Z814" s="76"/>
      <c r="AA814" s="76"/>
      <c r="AB814" s="76"/>
      <c r="AC814" s="76"/>
      <c r="AD814" s="14"/>
      <c r="AE814" s="76"/>
      <c r="AF814" s="76"/>
      <c r="AG814" s="76"/>
      <c r="AH814" s="76"/>
      <c r="AI814" s="117"/>
      <c r="AJ814" s="117"/>
      <c r="AK814" s="117"/>
      <c r="AL814" s="117"/>
      <c r="AM814" s="117"/>
      <c r="AN814" s="424"/>
      <c r="AO814" s="117"/>
      <c r="AP814" s="117"/>
      <c r="AQ814" s="117"/>
      <c r="AR814" s="117"/>
      <c r="AS814" s="117"/>
      <c r="AT814" s="117"/>
      <c r="AU814" s="117"/>
      <c r="AV814" s="117"/>
      <c r="AW814" s="117"/>
      <c r="AX814" s="117"/>
      <c r="AY814" s="117"/>
      <c r="AZ814" s="117"/>
      <c r="BA814" s="117"/>
      <c r="BB814" s="117"/>
      <c r="BC814" s="117"/>
      <c r="BD814" s="117"/>
      <c r="BE814" s="117"/>
      <c r="BF814" s="117"/>
      <c r="BG814" s="117"/>
      <c r="BH814" s="117"/>
      <c r="BI814" s="117"/>
      <c r="BJ814" s="117"/>
      <c r="BK814" s="117"/>
      <c r="BL814" s="117"/>
      <c r="BM814" s="117"/>
      <c r="BN814" s="117"/>
      <c r="BO814" s="117"/>
      <c r="BP814" s="117"/>
      <c r="BQ814" s="117"/>
      <c r="BR814" s="117"/>
      <c r="BS814" s="117"/>
      <c r="BT814" s="117"/>
      <c r="BU814" s="117"/>
      <c r="BV814" s="117"/>
      <c r="BW814" s="117"/>
      <c r="BX814" s="117"/>
      <c r="BY814" s="117"/>
      <c r="BZ814" s="117"/>
      <c r="CA814" s="117"/>
    </row>
    <row r="815" spans="1:79" ht="12.75" customHeight="1">
      <c r="A815" s="117"/>
      <c r="B815" s="14"/>
      <c r="C815" s="726"/>
      <c r="D815" s="1" t="s">
        <v>2378</v>
      </c>
      <c r="E815" s="719"/>
      <c r="F815" s="719"/>
      <c r="G815" s="719"/>
      <c r="H815" s="1379" t="s">
        <v>855</v>
      </c>
      <c r="I815" s="969"/>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
      <c r="AI815" s="237"/>
      <c r="AJ815" s="7"/>
      <c r="AK815" s="7"/>
      <c r="AL815" s="7"/>
      <c r="AM815" s="117"/>
      <c r="AN815" s="267"/>
      <c r="AO815" s="1"/>
      <c r="AP815" s="1"/>
      <c r="AQ815" s="1"/>
      <c r="AR815" s="1"/>
      <c r="AS815" s="1"/>
      <c r="AT815" s="1"/>
      <c r="AU815" s="1"/>
      <c r="AV815" s="1"/>
      <c r="AW815" s="1"/>
      <c r="AX815" s="1"/>
      <c r="AY815" s="1"/>
      <c r="AZ815" s="1"/>
      <c r="BA815" s="1"/>
      <c r="BB815" s="1"/>
      <c r="BC815" s="1"/>
      <c r="BD815" s="126"/>
      <c r="BE815" s="126"/>
      <c r="BF815" s="126"/>
      <c r="BG815" s="126"/>
      <c r="BH815" s="126"/>
      <c r="BI815" s="1"/>
      <c r="BJ815" s="1"/>
      <c r="BK815" s="1"/>
      <c r="BL815" s="1"/>
      <c r="BM815" s="1"/>
      <c r="BN815" s="1"/>
      <c r="BO815" s="1"/>
      <c r="BP815" s="1"/>
      <c r="BQ815" s="1"/>
      <c r="BR815" s="1"/>
      <c r="BS815" s="1"/>
      <c r="BT815" s="1"/>
      <c r="BU815" s="1"/>
      <c r="BV815" s="1"/>
      <c r="BW815" s="1"/>
      <c r="BX815" s="1"/>
      <c r="BY815" s="1"/>
      <c r="BZ815" s="1"/>
      <c r="CA815" s="1"/>
    </row>
    <row r="816" spans="1:79" ht="12.75" customHeight="1">
      <c r="A816" s="117"/>
      <c r="B816" s="14"/>
      <c r="C816" s="771"/>
      <c r="D816" s="76"/>
      <c r="E816" s="76"/>
      <c r="F816" s="76"/>
      <c r="G816" s="76"/>
      <c r="H816" s="76"/>
      <c r="I816" s="76"/>
      <c r="J816" s="76"/>
      <c r="K816" s="76"/>
      <c r="L816" s="76"/>
      <c r="M816" s="76"/>
      <c r="N816" s="76"/>
      <c r="O816" s="76"/>
      <c r="P816" s="76"/>
      <c r="Q816" s="76"/>
      <c r="R816" s="76"/>
      <c r="S816" s="76"/>
      <c r="T816" s="76"/>
      <c r="U816" s="76"/>
      <c r="V816" s="76"/>
      <c r="W816" s="76"/>
      <c r="X816" s="76"/>
      <c r="Y816" s="76"/>
      <c r="Z816" s="76"/>
      <c r="AA816" s="76"/>
      <c r="AB816" s="76"/>
      <c r="AC816" s="76"/>
      <c r="AD816" s="14"/>
      <c r="AE816" s="76"/>
      <c r="AF816" s="76"/>
      <c r="AG816" s="76"/>
      <c r="AH816" s="76"/>
      <c r="AI816" s="117"/>
      <c r="AJ816" s="117"/>
      <c r="AK816" s="117"/>
      <c r="AL816" s="117"/>
      <c r="AM816" s="117"/>
      <c r="AN816" s="267"/>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row>
    <row r="817" spans="1:79" ht="12.75" customHeight="1">
      <c r="A817" s="425"/>
      <c r="B817" s="561"/>
      <c r="C817" s="772"/>
      <c r="D817" s="560"/>
      <c r="E817" s="560"/>
      <c r="F817" s="560"/>
      <c r="G817" s="560"/>
      <c r="H817" s="560"/>
      <c r="I817" s="560"/>
      <c r="J817" s="560"/>
      <c r="K817" s="560"/>
      <c r="L817" s="560"/>
      <c r="M817" s="560"/>
      <c r="N817" s="560"/>
      <c r="O817" s="560"/>
      <c r="P817" s="560"/>
      <c r="Q817" s="560"/>
      <c r="R817" s="560"/>
      <c r="S817" s="560"/>
      <c r="T817" s="560"/>
      <c r="U817" s="560"/>
      <c r="V817" s="560"/>
      <c r="W817" s="560"/>
      <c r="X817" s="560"/>
      <c r="Y817" s="560"/>
      <c r="Z817" s="560"/>
      <c r="AA817" s="560"/>
      <c r="AB817" s="560"/>
      <c r="AC817" s="561"/>
      <c r="AD817" s="560"/>
      <c r="AE817" s="560"/>
      <c r="AF817" s="560"/>
      <c r="AG817" s="560"/>
      <c r="AH817" s="371"/>
      <c r="AI817" s="372" t="s">
        <v>2540</v>
      </c>
      <c r="AJ817" s="945">
        <f>IF(H815="Yes",5,0)</f>
        <v>0</v>
      </c>
      <c r="AK817" s="943"/>
      <c r="AL817" s="7"/>
      <c r="AM817" s="117"/>
      <c r="AN817" s="267"/>
      <c r="AO817" s="1"/>
      <c r="AP817" s="1"/>
      <c r="AQ817" s="1"/>
      <c r="AR817" s="1"/>
      <c r="AS817" s="1"/>
      <c r="AT817" s="1"/>
      <c r="AU817" s="1"/>
      <c r="AV817" s="1"/>
      <c r="AW817" s="1"/>
      <c r="AX817" s="1"/>
      <c r="AY817" s="1"/>
      <c r="AZ817" s="1"/>
      <c r="BA817" s="1"/>
      <c r="BB817" s="1"/>
      <c r="BC817" s="1"/>
      <c r="BD817" s="126"/>
      <c r="BE817" s="126"/>
      <c r="BF817" s="126"/>
      <c r="BG817" s="126"/>
      <c r="BH817" s="126"/>
      <c r="BI817" s="1"/>
      <c r="BJ817" s="1"/>
      <c r="BK817" s="1"/>
      <c r="BL817" s="1"/>
      <c r="BM817" s="1"/>
      <c r="BN817" s="1"/>
      <c r="BO817" s="1"/>
      <c r="BP817" s="1"/>
      <c r="BQ817" s="1"/>
      <c r="BR817" s="1"/>
      <c r="BS817" s="1"/>
      <c r="BT817" s="1"/>
      <c r="BU817" s="1"/>
      <c r="BV817" s="1"/>
      <c r="BW817" s="1"/>
      <c r="BX817" s="1"/>
      <c r="BY817" s="1"/>
      <c r="BZ817" s="1"/>
      <c r="CA817" s="1"/>
    </row>
    <row r="818" spans="1:79" ht="12.75" customHeight="1">
      <c r="A818" s="117"/>
      <c r="B818" s="14"/>
      <c r="C818" s="771"/>
      <c r="D818" s="76"/>
      <c r="E818" s="76"/>
      <c r="F818" s="76"/>
      <c r="G818" s="76"/>
      <c r="H818" s="76"/>
      <c r="I818" s="76"/>
      <c r="J818" s="76"/>
      <c r="K818" s="76"/>
      <c r="L818" s="76"/>
      <c r="M818" s="76"/>
      <c r="N818" s="76"/>
      <c r="O818" s="76"/>
      <c r="P818" s="76"/>
      <c r="Q818" s="76"/>
      <c r="R818" s="76"/>
      <c r="S818" s="76"/>
      <c r="T818" s="76"/>
      <c r="U818" s="76"/>
      <c r="V818" s="76"/>
      <c r="W818" s="76"/>
      <c r="X818" s="76"/>
      <c r="Y818" s="76"/>
      <c r="Z818" s="76"/>
      <c r="AA818" s="76"/>
      <c r="AB818" s="76"/>
      <c r="AC818" s="76"/>
      <c r="AD818" s="14"/>
      <c r="AE818" s="76"/>
      <c r="AF818" s="76"/>
      <c r="AG818" s="76"/>
      <c r="AH818" s="76"/>
      <c r="AI818" s="117"/>
      <c r="AJ818" s="117"/>
      <c r="AK818" s="117"/>
      <c r="AL818" s="117"/>
      <c r="AM818" s="117"/>
      <c r="AN818" s="424"/>
      <c r="AO818" s="117"/>
      <c r="AP818" s="117"/>
      <c r="AQ818" s="117"/>
      <c r="AR818" s="117"/>
      <c r="AS818" s="117"/>
      <c r="AT818" s="117"/>
      <c r="AU818" s="117"/>
      <c r="AV818" s="117"/>
      <c r="AW818" s="117"/>
      <c r="AX818" s="117"/>
      <c r="AY818" s="117"/>
      <c r="AZ818" s="117"/>
      <c r="BA818" s="117"/>
      <c r="BB818" s="117"/>
      <c r="BC818" s="117"/>
      <c r="BD818" s="117"/>
      <c r="BE818" s="117"/>
      <c r="BF818" s="117"/>
      <c r="BG818" s="117"/>
      <c r="BH818" s="117"/>
      <c r="BI818" s="117"/>
      <c r="BJ818" s="117"/>
      <c r="BK818" s="117"/>
      <c r="BL818" s="117"/>
      <c r="BM818" s="117"/>
      <c r="BN818" s="117"/>
      <c r="BO818" s="117"/>
      <c r="BP818" s="117"/>
      <c r="BQ818" s="117"/>
      <c r="BR818" s="117"/>
      <c r="BS818" s="117"/>
      <c r="BT818" s="117"/>
      <c r="BU818" s="117"/>
      <c r="BV818" s="117"/>
      <c r="BW818" s="117"/>
      <c r="BX818" s="117"/>
      <c r="BY818" s="117"/>
      <c r="BZ818" s="117"/>
      <c r="CA818" s="117"/>
    </row>
    <row r="819" spans="1:79" ht="12.75" customHeight="1">
      <c r="A819" s="425"/>
      <c r="B819" s="560"/>
      <c r="C819" s="560"/>
      <c r="D819" s="560"/>
      <c r="E819" s="560"/>
      <c r="F819" s="560"/>
      <c r="G819" s="560"/>
      <c r="H819" s="560"/>
      <c r="I819" s="560"/>
      <c r="J819" s="560"/>
      <c r="K819" s="560"/>
      <c r="L819" s="560"/>
      <c r="M819" s="560"/>
      <c r="N819" s="560"/>
      <c r="O819" s="560"/>
      <c r="P819" s="560"/>
      <c r="Q819" s="560"/>
      <c r="R819" s="560"/>
      <c r="S819" s="560"/>
      <c r="T819" s="560"/>
      <c r="U819" s="560"/>
      <c r="V819" s="560"/>
      <c r="W819" s="560"/>
      <c r="X819" s="560"/>
      <c r="Y819" s="560"/>
      <c r="Z819" s="560"/>
      <c r="AA819" s="560"/>
      <c r="AB819" s="560"/>
      <c r="AC819" s="561"/>
      <c r="AD819" s="560"/>
      <c r="AE819" s="371"/>
      <c r="AF819" s="371"/>
      <c r="AG819" s="371"/>
      <c r="AH819" s="371"/>
      <c r="AI819" s="372"/>
      <c r="AJ819" s="372" t="s">
        <v>2542</v>
      </c>
      <c r="AK819" s="945">
        <f>IF(($AJ$634+$AJ$653+$AJ$665+$AJ$700+$AJ$727+$AJ$741+$AJ$753+$AJ$769+$AJ$781+$AJ$797+AJ808+AJ817)&gt;10,10,($AJ$634+$AJ$653+$AJ$665+$AJ$700+$AJ$727+$AJ$741+$AJ$753+$AJ$769+$AJ$781+$AJ$797+AJ808+AJ817))</f>
        <v>10</v>
      </c>
      <c r="AL819" s="921"/>
      <c r="AM819" s="943"/>
      <c r="AN819" s="424"/>
      <c r="AO819" s="117"/>
      <c r="AP819" s="117"/>
      <c r="AQ819" s="117"/>
      <c r="AR819" s="117"/>
      <c r="AS819" s="117"/>
      <c r="AT819" s="117"/>
      <c r="AU819" s="117"/>
      <c r="AV819" s="117"/>
      <c r="AW819" s="117"/>
      <c r="AX819" s="117"/>
      <c r="AY819" s="117"/>
      <c r="AZ819" s="117"/>
      <c r="BA819" s="117"/>
      <c r="BB819" s="117"/>
      <c r="BC819" s="117"/>
      <c r="BD819" s="117"/>
      <c r="BE819" s="117"/>
      <c r="BF819" s="117"/>
      <c r="BG819" s="117"/>
      <c r="BH819" s="117"/>
      <c r="BI819" s="117"/>
      <c r="BJ819" s="117"/>
      <c r="BK819" s="117"/>
      <c r="BL819" s="117"/>
      <c r="BM819" s="117"/>
      <c r="BN819" s="117"/>
      <c r="BO819" s="117"/>
      <c r="BP819" s="117"/>
      <c r="BQ819" s="117"/>
      <c r="BR819" s="117"/>
      <c r="BS819" s="117"/>
      <c r="BT819" s="117"/>
      <c r="BU819" s="117"/>
      <c r="BV819" s="117"/>
      <c r="BW819" s="117"/>
      <c r="BX819" s="117"/>
      <c r="BY819" s="117"/>
      <c r="BZ819" s="117"/>
      <c r="CA819" s="117"/>
    </row>
    <row r="820" spans="1:79" ht="12.75" customHeight="1">
      <c r="A820" s="117"/>
      <c r="B820" s="76"/>
      <c r="C820" s="76"/>
      <c r="D820" s="76"/>
      <c r="E820" s="76"/>
      <c r="F820" s="76"/>
      <c r="G820" s="76"/>
      <c r="H820" s="76"/>
      <c r="I820" s="76"/>
      <c r="J820" s="76"/>
      <c r="K820" s="76"/>
      <c r="L820" s="76"/>
      <c r="M820" s="76"/>
      <c r="N820" s="76"/>
      <c r="O820" s="76"/>
      <c r="P820" s="76"/>
      <c r="Q820" s="76"/>
      <c r="R820" s="76"/>
      <c r="S820" s="76"/>
      <c r="T820" s="76"/>
      <c r="U820" s="76"/>
      <c r="V820" s="76"/>
      <c r="W820" s="76"/>
      <c r="X820" s="76"/>
      <c r="Y820" s="76"/>
      <c r="Z820" s="76"/>
      <c r="AA820" s="76"/>
      <c r="AB820" s="76"/>
      <c r="AC820" s="14"/>
      <c r="AD820" s="76"/>
      <c r="AE820" s="117"/>
      <c r="AF820" s="117"/>
      <c r="AG820" s="117"/>
      <c r="AH820" s="117"/>
      <c r="AI820" s="237"/>
      <c r="AJ820" s="237"/>
      <c r="AK820" s="7"/>
      <c r="AL820" s="7"/>
      <c r="AM820" s="7"/>
      <c r="AN820" s="424"/>
      <c r="AO820" s="117"/>
      <c r="AP820" s="117"/>
      <c r="AQ820" s="117"/>
      <c r="AR820" s="117"/>
      <c r="AS820" s="117"/>
      <c r="AT820" s="117"/>
      <c r="AU820" s="117"/>
      <c r="AV820" s="117"/>
      <c r="AW820" s="117"/>
      <c r="AX820" s="117"/>
      <c r="AY820" s="117"/>
      <c r="AZ820" s="117"/>
      <c r="BA820" s="117"/>
      <c r="BB820" s="117"/>
      <c r="BC820" s="117"/>
      <c r="BD820" s="117"/>
      <c r="BE820" s="117"/>
      <c r="BF820" s="117"/>
      <c r="BG820" s="117"/>
      <c r="BH820" s="117"/>
      <c r="BI820" s="117"/>
      <c r="BJ820" s="117"/>
      <c r="BK820" s="117"/>
      <c r="BL820" s="117"/>
      <c r="BM820" s="117"/>
      <c r="BN820" s="117"/>
      <c r="BO820" s="117"/>
      <c r="BP820" s="117"/>
      <c r="BQ820" s="117"/>
      <c r="BR820" s="117"/>
      <c r="BS820" s="117"/>
      <c r="BT820" s="117"/>
      <c r="BU820" s="117"/>
      <c r="BV820" s="117"/>
      <c r="BW820" s="117"/>
      <c r="BX820" s="117"/>
      <c r="BY820" s="117"/>
      <c r="BZ820" s="117"/>
      <c r="CA820" s="117"/>
    </row>
    <row r="821" spans="1:79" ht="12.75" customHeight="1">
      <c r="A821" s="775"/>
      <c r="B821" s="776" t="s">
        <v>2550</v>
      </c>
      <c r="C821" s="777"/>
      <c r="D821" s="777"/>
      <c r="E821" s="777"/>
      <c r="F821" s="777"/>
      <c r="G821" s="777"/>
      <c r="H821" s="777"/>
      <c r="I821" s="777"/>
      <c r="J821" s="777"/>
      <c r="K821" s="777"/>
      <c r="L821" s="777"/>
      <c r="M821" s="777"/>
      <c r="N821" s="777"/>
      <c r="O821" s="777"/>
      <c r="P821" s="777"/>
      <c r="Q821" s="777"/>
      <c r="R821" s="777"/>
      <c r="S821" s="777"/>
      <c r="T821" s="777"/>
      <c r="U821" s="777"/>
      <c r="V821" s="777"/>
      <c r="W821" s="777"/>
      <c r="X821" s="777"/>
      <c r="Y821" s="777"/>
      <c r="Z821" s="777"/>
      <c r="AA821" s="777"/>
      <c r="AB821" s="777"/>
      <c r="AC821" s="778"/>
      <c r="AD821" s="777"/>
      <c r="AE821" s="775"/>
      <c r="AF821" s="775"/>
      <c r="AG821" s="775"/>
      <c r="AH821" s="775"/>
      <c r="AI821" s="779"/>
      <c r="AJ821" s="780"/>
      <c r="AK821" s="780"/>
      <c r="AL821" s="780"/>
      <c r="AM821" s="775"/>
      <c r="AN821" s="424"/>
      <c r="AO821" s="117"/>
      <c r="AP821" s="117"/>
      <c r="AQ821" s="117"/>
      <c r="AR821" s="117"/>
      <c r="AS821" s="117"/>
      <c r="AT821" s="117"/>
      <c r="AU821" s="117"/>
      <c r="AV821" s="117"/>
      <c r="AW821" s="117"/>
      <c r="AX821" s="117"/>
      <c r="AY821" s="117"/>
      <c r="AZ821" s="117"/>
      <c r="BA821" s="117"/>
      <c r="BB821" s="117"/>
      <c r="BC821" s="117"/>
      <c r="BD821" s="117"/>
      <c r="BE821" s="117"/>
      <c r="BF821" s="117"/>
      <c r="BG821" s="117"/>
      <c r="BH821" s="117"/>
      <c r="BI821" s="117"/>
      <c r="BJ821" s="117"/>
      <c r="BK821" s="117"/>
      <c r="BL821" s="117"/>
      <c r="BM821" s="117"/>
      <c r="BN821" s="117"/>
      <c r="BO821" s="117"/>
      <c r="BP821" s="117"/>
      <c r="BQ821" s="117"/>
      <c r="BR821" s="117"/>
      <c r="BS821" s="117"/>
      <c r="BT821" s="117"/>
      <c r="BU821" s="117"/>
      <c r="BV821" s="117"/>
      <c r="BW821" s="117"/>
      <c r="BX821" s="117"/>
      <c r="BY821" s="117"/>
      <c r="BZ821" s="117"/>
      <c r="CA821" s="117"/>
    </row>
    <row r="822" spans="1:79" ht="12.75" customHeight="1">
      <c r="A822" s="117"/>
      <c r="B822" s="76"/>
      <c r="C822" s="76"/>
      <c r="D822" s="76"/>
      <c r="E822" s="76"/>
      <c r="F822" s="76"/>
      <c r="G822" s="76"/>
      <c r="H822" s="76"/>
      <c r="I822" s="76"/>
      <c r="J822" s="76"/>
      <c r="K822" s="76"/>
      <c r="L822" s="76"/>
      <c r="M822" s="76"/>
      <c r="N822" s="76"/>
      <c r="O822" s="76"/>
      <c r="P822" s="76"/>
      <c r="Q822" s="76"/>
      <c r="R822" s="76"/>
      <c r="S822" s="76"/>
      <c r="T822" s="76"/>
      <c r="U822" s="76"/>
      <c r="V822" s="76"/>
      <c r="W822" s="76"/>
      <c r="X822" s="76"/>
      <c r="Y822" s="76"/>
      <c r="Z822" s="76"/>
      <c r="AA822" s="76"/>
      <c r="AB822" s="76"/>
      <c r="AC822" s="14"/>
      <c r="AD822" s="76"/>
      <c r="AE822" s="117"/>
      <c r="AF822" s="117"/>
      <c r="AG822" s="117"/>
      <c r="AH822" s="117"/>
      <c r="AI822" s="237"/>
      <c r="AJ822" s="7"/>
      <c r="AK822" s="7"/>
      <c r="AL822" s="7"/>
      <c r="AM822" s="117"/>
      <c r="AN822" s="424"/>
      <c r="AO822" s="117"/>
      <c r="AP822" s="117"/>
      <c r="AQ822" s="117"/>
      <c r="AR822" s="117"/>
      <c r="AS822" s="117"/>
      <c r="AT822" s="117"/>
      <c r="AU822" s="117"/>
      <c r="AV822" s="117"/>
      <c r="AW822" s="117"/>
      <c r="AX822" s="117"/>
      <c r="AY822" s="117"/>
      <c r="AZ822" s="117"/>
      <c r="BA822" s="117"/>
      <c r="BB822" s="117"/>
      <c r="BC822" s="117"/>
      <c r="BD822" s="117"/>
      <c r="BE822" s="117"/>
      <c r="BF822" s="117"/>
      <c r="BG822" s="117"/>
      <c r="BH822" s="117"/>
      <c r="BI822" s="117"/>
      <c r="BJ822" s="117"/>
      <c r="BK822" s="117"/>
      <c r="BL822" s="117"/>
      <c r="BM822" s="117"/>
      <c r="BN822" s="117"/>
      <c r="BO822" s="117"/>
      <c r="BP822" s="117"/>
      <c r="BQ822" s="117"/>
      <c r="BR822" s="117"/>
      <c r="BS822" s="117"/>
      <c r="BT822" s="117"/>
      <c r="BU822" s="117"/>
      <c r="BV822" s="117"/>
      <c r="BW822" s="117"/>
      <c r="BX822" s="117"/>
      <c r="BY822" s="117"/>
      <c r="BZ822" s="117"/>
      <c r="CA822" s="117"/>
    </row>
    <row r="823" spans="1:79" ht="12.75" customHeight="1">
      <c r="A823" s="117"/>
      <c r="B823" s="1" t="s">
        <v>2552</v>
      </c>
      <c r="C823" s="1"/>
      <c r="D823" s="1"/>
      <c r="E823" s="1"/>
      <c r="F823" s="1"/>
      <c r="H823" s="967" t="s">
        <v>2823</v>
      </c>
      <c r="I823" s="968"/>
      <c r="J823" s="968"/>
      <c r="K823" s="968"/>
      <c r="L823" s="968"/>
      <c r="M823" s="968"/>
      <c r="N823" s="968"/>
      <c r="O823" s="968"/>
      <c r="P823" s="968"/>
      <c r="Q823" s="968"/>
      <c r="R823" s="969"/>
      <c r="T823" s="1" t="s">
        <v>2552</v>
      </c>
      <c r="V823" s="1"/>
      <c r="W823" s="1"/>
      <c r="X823" s="1"/>
      <c r="Y823" s="1"/>
      <c r="AA823" s="967"/>
      <c r="AB823" s="968"/>
      <c r="AC823" s="968"/>
      <c r="AD823" s="968"/>
      <c r="AE823" s="968"/>
      <c r="AF823" s="968"/>
      <c r="AG823" s="968"/>
      <c r="AH823" s="968"/>
      <c r="AI823" s="968"/>
      <c r="AJ823" s="968"/>
      <c r="AK823" s="969"/>
      <c r="AL823" s="7"/>
      <c r="AM823" s="117"/>
      <c r="AN823" s="424"/>
      <c r="AO823" s="117"/>
      <c r="AP823" s="32" t="s">
        <v>2443</v>
      </c>
      <c r="AQ823" s="117"/>
      <c r="AR823" s="117"/>
      <c r="AS823" s="117"/>
      <c r="AT823" s="117"/>
      <c r="AU823" s="117"/>
      <c r="AV823" s="117"/>
      <c r="AW823" s="117"/>
      <c r="AX823" s="117"/>
      <c r="AY823" s="117"/>
      <c r="AZ823" s="117"/>
      <c r="BA823" s="117"/>
      <c r="BB823" s="117"/>
      <c r="BC823" s="117"/>
      <c r="BD823" s="117"/>
      <c r="BE823" s="117"/>
      <c r="BF823" s="117"/>
      <c r="BG823" s="117"/>
      <c r="BH823" s="117"/>
      <c r="BI823" s="117"/>
      <c r="BJ823" s="117"/>
      <c r="BK823" s="117"/>
      <c r="BL823" s="117"/>
      <c r="BM823" s="117"/>
      <c r="BN823" s="117"/>
      <c r="BO823" s="117"/>
      <c r="BP823" s="117"/>
      <c r="BQ823" s="117"/>
      <c r="BR823" s="117"/>
      <c r="BS823" s="117"/>
      <c r="BT823" s="117"/>
      <c r="BU823" s="117"/>
      <c r="BV823" s="117"/>
      <c r="BW823" s="117"/>
      <c r="BX823" s="117"/>
      <c r="BY823" s="117"/>
      <c r="BZ823" s="117"/>
      <c r="CA823" s="117"/>
    </row>
    <row r="824" spans="1:79" ht="12.75" customHeight="1">
      <c r="A824" s="117"/>
      <c r="B824" s="1" t="s">
        <v>1347</v>
      </c>
      <c r="C824" s="1"/>
      <c r="D824" s="1"/>
      <c r="E824" s="1"/>
      <c r="F824" s="1"/>
      <c r="H824" s="970"/>
      <c r="I824" s="921"/>
      <c r="J824" s="921"/>
      <c r="K824" s="921"/>
      <c r="L824" s="921"/>
      <c r="M824" s="921"/>
      <c r="N824" s="921"/>
      <c r="O824" s="921"/>
      <c r="P824" s="921"/>
      <c r="Q824" s="921"/>
      <c r="R824" s="971"/>
      <c r="T824" s="1" t="s">
        <v>1347</v>
      </c>
      <c r="V824" s="1"/>
      <c r="W824" s="1"/>
      <c r="X824" s="1"/>
      <c r="Y824" s="1"/>
      <c r="AA824" s="970"/>
      <c r="AB824" s="921"/>
      <c r="AC824" s="921"/>
      <c r="AD824" s="921"/>
      <c r="AE824" s="921"/>
      <c r="AF824" s="921"/>
      <c r="AG824" s="921"/>
      <c r="AH824" s="921"/>
      <c r="AI824" s="921"/>
      <c r="AJ824" s="921"/>
      <c r="AK824" s="971"/>
      <c r="AL824" s="7"/>
      <c r="AM824" s="117"/>
      <c r="AN824" s="424"/>
      <c r="AO824" s="117"/>
      <c r="AP824" s="32" t="s">
        <v>2273</v>
      </c>
      <c r="AQ824" s="117"/>
      <c r="AR824" s="117"/>
      <c r="AS824" s="117"/>
      <c r="AT824" s="117"/>
      <c r="AU824" s="117"/>
      <c r="AV824" s="117"/>
      <c r="AW824" s="117"/>
      <c r="AX824" s="117"/>
      <c r="AY824" s="117"/>
      <c r="AZ824" s="117"/>
      <c r="BA824" s="117"/>
      <c r="BB824" s="117"/>
      <c r="BC824" s="117"/>
      <c r="BD824" s="117"/>
      <c r="BE824" s="117"/>
      <c r="BF824" s="117"/>
      <c r="BG824" s="117"/>
      <c r="BH824" s="117"/>
      <c r="BI824" s="117"/>
      <c r="BJ824" s="117"/>
      <c r="BK824" s="117"/>
      <c r="BL824" s="117"/>
      <c r="BM824" s="117"/>
      <c r="BN824" s="117"/>
      <c r="BO824" s="117"/>
      <c r="BP824" s="117"/>
      <c r="BQ824" s="117"/>
      <c r="BR824" s="117"/>
      <c r="BS824" s="117"/>
      <c r="BT824" s="117"/>
      <c r="BU824" s="117"/>
      <c r="BV824" s="117"/>
      <c r="BW824" s="117"/>
      <c r="BX824" s="117"/>
      <c r="BY824" s="117"/>
      <c r="BZ824" s="117"/>
      <c r="CA824" s="117"/>
    </row>
    <row r="825" spans="1:79" ht="12.75" customHeight="1">
      <c r="A825" s="117"/>
      <c r="B825" s="1" t="s">
        <v>2553</v>
      </c>
      <c r="C825" s="1"/>
      <c r="D825" s="1"/>
      <c r="E825" s="1"/>
      <c r="F825" s="1"/>
      <c r="H825" s="970"/>
      <c r="I825" s="921"/>
      <c r="J825" s="921"/>
      <c r="K825" s="921"/>
      <c r="L825" s="921"/>
      <c r="M825" s="921"/>
      <c r="N825" s="921"/>
      <c r="O825" s="921"/>
      <c r="P825" s="921"/>
      <c r="Q825" s="921"/>
      <c r="R825" s="971"/>
      <c r="T825" s="1" t="s">
        <v>2553</v>
      </c>
      <c r="V825" s="1"/>
      <c r="W825" s="1"/>
      <c r="X825" s="1"/>
      <c r="Y825" s="1"/>
      <c r="AA825" s="970"/>
      <c r="AB825" s="921"/>
      <c r="AC825" s="921"/>
      <c r="AD825" s="921"/>
      <c r="AE825" s="921"/>
      <c r="AF825" s="921"/>
      <c r="AG825" s="921"/>
      <c r="AH825" s="921"/>
      <c r="AI825" s="921"/>
      <c r="AJ825" s="921"/>
      <c r="AK825" s="971"/>
      <c r="AL825" s="7"/>
      <c r="AM825" s="117"/>
      <c r="AN825" s="424"/>
      <c r="AO825" s="782"/>
      <c r="AP825" s="32" t="s">
        <v>2407</v>
      </c>
      <c r="AQ825" s="117"/>
      <c r="AR825" s="117"/>
      <c r="AS825" s="117"/>
      <c r="AT825" s="117"/>
      <c r="AU825" s="117"/>
      <c r="AV825" s="117"/>
      <c r="AW825" s="117"/>
      <c r="AX825" s="117"/>
      <c r="AY825" s="117"/>
      <c r="AZ825" s="117"/>
      <c r="BA825" s="117"/>
      <c r="BB825" s="117"/>
      <c r="BC825" s="117"/>
      <c r="BD825" s="117"/>
      <c r="BE825" s="117"/>
      <c r="BF825" s="117"/>
      <c r="BG825" s="117"/>
      <c r="BH825" s="117"/>
      <c r="BI825" s="117"/>
      <c r="BJ825" s="117"/>
      <c r="BK825" s="117"/>
      <c r="BL825" s="117"/>
      <c r="BM825" s="117"/>
      <c r="BN825" s="117"/>
      <c r="BO825" s="117"/>
      <c r="BP825" s="117"/>
      <c r="BQ825" s="117"/>
      <c r="BR825" s="117"/>
      <c r="BS825" s="117"/>
      <c r="BT825" s="117"/>
      <c r="BU825" s="117"/>
      <c r="BV825" s="117"/>
      <c r="BW825" s="117"/>
      <c r="BX825" s="117"/>
      <c r="BY825" s="117"/>
      <c r="BZ825" s="117"/>
      <c r="CA825" s="117"/>
    </row>
    <row r="826" spans="1:79" ht="12.75" customHeight="1">
      <c r="A826" s="117"/>
      <c r="B826" s="1" t="s">
        <v>1259</v>
      </c>
      <c r="C826" s="1"/>
      <c r="D826" s="1"/>
      <c r="E826" s="1"/>
      <c r="F826" s="1"/>
      <c r="H826" s="970"/>
      <c r="I826" s="921"/>
      <c r="J826" s="921"/>
      <c r="K826" s="921"/>
      <c r="L826" s="921"/>
      <c r="M826" s="921"/>
      <c r="N826" s="921"/>
      <c r="O826" s="921"/>
      <c r="P826" s="921"/>
      <c r="Q826" s="921"/>
      <c r="R826" s="971"/>
      <c r="T826" s="1" t="s">
        <v>1259</v>
      </c>
      <c r="V826" s="1"/>
      <c r="W826" s="1"/>
      <c r="X826" s="1"/>
      <c r="Y826" s="1"/>
      <c r="AA826" s="970"/>
      <c r="AB826" s="921"/>
      <c r="AC826" s="921"/>
      <c r="AD826" s="921"/>
      <c r="AE826" s="921"/>
      <c r="AF826" s="921"/>
      <c r="AG826" s="921"/>
      <c r="AH826" s="921"/>
      <c r="AI826" s="921"/>
      <c r="AJ826" s="921"/>
      <c r="AK826" s="971"/>
      <c r="AL826" s="7"/>
      <c r="AM826" s="117"/>
      <c r="AN826" s="424"/>
      <c r="AO826" s="782"/>
      <c r="AP826" s="32" t="s">
        <v>2445</v>
      </c>
      <c r="AQ826" s="117"/>
      <c r="AR826" s="117"/>
      <c r="AS826" s="117"/>
      <c r="AT826" s="117"/>
      <c r="AU826" s="117"/>
      <c r="AV826" s="117"/>
      <c r="AW826" s="117"/>
      <c r="AX826" s="117"/>
      <c r="AY826" s="117"/>
      <c r="AZ826" s="117"/>
      <c r="BA826" s="117"/>
      <c r="BB826" s="117"/>
      <c r="BC826" s="117"/>
      <c r="BD826" s="117"/>
      <c r="BE826" s="117"/>
      <c r="BF826" s="117"/>
      <c r="BG826" s="117"/>
      <c r="BH826" s="117"/>
      <c r="BI826" s="117"/>
      <c r="BJ826" s="117"/>
      <c r="BK826" s="117"/>
      <c r="BL826" s="117"/>
      <c r="BM826" s="117"/>
      <c r="BN826" s="117"/>
      <c r="BO826" s="117"/>
      <c r="BP826" s="117"/>
      <c r="BQ826" s="117"/>
      <c r="BR826" s="117"/>
      <c r="BS826" s="117"/>
      <c r="BT826" s="117"/>
      <c r="BU826" s="117"/>
      <c r="BV826" s="117"/>
      <c r="BW826" s="117"/>
      <c r="BX826" s="117"/>
      <c r="BY826" s="117"/>
      <c r="BZ826" s="117"/>
      <c r="CA826" s="117"/>
    </row>
    <row r="827" spans="1:79" ht="12.75" customHeight="1">
      <c r="A827" s="117"/>
      <c r="B827" s="1" t="s">
        <v>1261</v>
      </c>
      <c r="C827" s="1"/>
      <c r="D827" s="1"/>
      <c r="E827" s="1"/>
      <c r="F827" s="1"/>
      <c r="G827" s="1"/>
      <c r="H827" s="1105"/>
      <c r="I827" s="968"/>
      <c r="J827" s="968"/>
      <c r="K827" s="968"/>
      <c r="L827" s="968"/>
      <c r="M827" s="969"/>
      <c r="N827" s="1" t="s">
        <v>1263</v>
      </c>
      <c r="O827" s="1"/>
      <c r="P827" s="967"/>
      <c r="Q827" s="968"/>
      <c r="R827" s="969"/>
      <c r="S827" s="1"/>
      <c r="T827" s="1" t="s">
        <v>1261</v>
      </c>
      <c r="V827" s="1"/>
      <c r="W827" s="1"/>
      <c r="X827" s="1"/>
      <c r="Y827" s="1"/>
      <c r="AA827" s="1105"/>
      <c r="AB827" s="968"/>
      <c r="AC827" s="968"/>
      <c r="AD827" s="968"/>
      <c r="AE827" s="968"/>
      <c r="AF827" s="969"/>
      <c r="AG827" s="1" t="s">
        <v>1263</v>
      </c>
      <c r="AH827" s="1"/>
      <c r="AI827" s="967"/>
      <c r="AJ827" s="968"/>
      <c r="AK827" s="969"/>
      <c r="AL827" s="7"/>
      <c r="AM827" s="117"/>
      <c r="AN827" s="424"/>
      <c r="AO827" s="782"/>
      <c r="AP827" s="32" t="s">
        <v>2555</v>
      </c>
      <c r="AQ827" s="117"/>
      <c r="AR827" s="117"/>
      <c r="AS827" s="117"/>
      <c r="AT827" s="117"/>
      <c r="AU827" s="117"/>
      <c r="AV827" s="117"/>
      <c r="AW827" s="117"/>
      <c r="AX827" s="117"/>
      <c r="AY827" s="117"/>
      <c r="AZ827" s="117"/>
      <c r="BA827" s="117"/>
      <c r="BB827" s="117"/>
      <c r="BC827" s="117"/>
      <c r="BD827" s="117"/>
      <c r="BE827" s="117"/>
      <c r="BF827" s="117"/>
      <c r="BG827" s="117"/>
      <c r="BH827" s="117"/>
      <c r="BI827" s="117"/>
      <c r="BJ827" s="117"/>
      <c r="BK827" s="117"/>
      <c r="BL827" s="117"/>
      <c r="BM827" s="117"/>
      <c r="BN827" s="117"/>
      <c r="BO827" s="117"/>
      <c r="BP827" s="117"/>
      <c r="BQ827" s="117"/>
      <c r="BR827" s="117"/>
      <c r="BS827" s="117"/>
      <c r="BT827" s="117"/>
      <c r="BU827" s="117"/>
      <c r="BV827" s="117"/>
      <c r="BW827" s="117"/>
      <c r="BX827" s="117"/>
      <c r="BY827" s="117"/>
      <c r="BZ827" s="117"/>
      <c r="CA827" s="117"/>
    </row>
    <row r="828" spans="1:79" ht="12.75" customHeight="1">
      <c r="A828" s="117"/>
      <c r="B828" s="1" t="s">
        <v>2556</v>
      </c>
      <c r="C828" s="1"/>
      <c r="D828" s="1"/>
      <c r="E828" s="1"/>
      <c r="F828" s="1"/>
      <c r="G828" s="1"/>
      <c r="H828" s="970"/>
      <c r="I828" s="921"/>
      <c r="J828" s="921"/>
      <c r="K828" s="921"/>
      <c r="L828" s="921"/>
      <c r="M828" s="921"/>
      <c r="N828" s="921"/>
      <c r="O828" s="921"/>
      <c r="P828" s="921"/>
      <c r="Q828" s="921"/>
      <c r="R828" s="971"/>
      <c r="S828" s="1"/>
      <c r="T828" s="1" t="s">
        <v>2556</v>
      </c>
      <c r="V828" s="1"/>
      <c r="W828" s="1"/>
      <c r="X828" s="1"/>
      <c r="Y828" s="1"/>
      <c r="AA828" s="970"/>
      <c r="AB828" s="921"/>
      <c r="AC828" s="921"/>
      <c r="AD828" s="921"/>
      <c r="AE828" s="921"/>
      <c r="AF828" s="921"/>
      <c r="AG828" s="921"/>
      <c r="AH828" s="921"/>
      <c r="AI828" s="921"/>
      <c r="AJ828" s="921"/>
      <c r="AK828" s="971"/>
      <c r="AL828" s="7"/>
      <c r="AM828" s="117"/>
      <c r="AN828" s="424"/>
      <c r="AO828" s="782"/>
      <c r="AP828" s="32" t="s">
        <v>2447</v>
      </c>
      <c r="AQ828" s="117"/>
      <c r="AR828" s="117"/>
      <c r="AS828" s="117"/>
      <c r="AT828" s="117"/>
      <c r="AU828" s="117"/>
      <c r="AV828" s="117"/>
      <c r="AW828" s="117"/>
      <c r="AX828" s="117"/>
      <c r="AY828" s="117"/>
      <c r="AZ828" s="117"/>
      <c r="BA828" s="117"/>
      <c r="BB828" s="117"/>
      <c r="BC828" s="117"/>
      <c r="BD828" s="117"/>
      <c r="BE828" s="117"/>
      <c r="BF828" s="117"/>
      <c r="BG828" s="117"/>
      <c r="BH828" s="117"/>
      <c r="BI828" s="117"/>
      <c r="BJ828" s="117"/>
      <c r="BK828" s="117"/>
      <c r="BL828" s="117"/>
      <c r="BM828" s="117"/>
      <c r="BN828" s="117"/>
      <c r="BO828" s="117"/>
      <c r="BP828" s="117"/>
      <c r="BQ828" s="117"/>
      <c r="BR828" s="117"/>
      <c r="BS828" s="117"/>
      <c r="BT828" s="117"/>
      <c r="BU828" s="117"/>
      <c r="BV828" s="117"/>
      <c r="BW828" s="117"/>
      <c r="BX828" s="117"/>
      <c r="BY828" s="117"/>
      <c r="BZ828" s="117"/>
      <c r="CA828" s="117"/>
    </row>
    <row r="829" spans="1:79" ht="12.75" customHeight="1">
      <c r="A829" s="117"/>
      <c r="B829" s="1" t="s">
        <v>2558</v>
      </c>
      <c r="C829" s="1"/>
      <c r="D829" s="1"/>
      <c r="E829" s="1"/>
      <c r="F829" s="1"/>
      <c r="G829" s="1"/>
      <c r="H829" s="970"/>
      <c r="I829" s="921"/>
      <c r="J829" s="921"/>
      <c r="K829" s="921"/>
      <c r="L829" s="921"/>
      <c r="M829" s="921"/>
      <c r="N829" s="921"/>
      <c r="O829" s="921"/>
      <c r="P829" s="921"/>
      <c r="Q829" s="921"/>
      <c r="R829" s="971"/>
      <c r="S829" s="1"/>
      <c r="T829" s="1" t="s">
        <v>2558</v>
      </c>
      <c r="V829" s="1"/>
      <c r="W829" s="1"/>
      <c r="X829" s="1"/>
      <c r="Y829" s="1"/>
      <c r="AA829" s="970"/>
      <c r="AB829" s="921"/>
      <c r="AC829" s="921"/>
      <c r="AD829" s="921"/>
      <c r="AE829" s="921"/>
      <c r="AF829" s="921"/>
      <c r="AG829" s="921"/>
      <c r="AH829" s="921"/>
      <c r="AI829" s="921"/>
      <c r="AJ829" s="921"/>
      <c r="AK829" s="971"/>
      <c r="AL829" s="7"/>
      <c r="AM829" s="117"/>
      <c r="AN829" s="424"/>
      <c r="AO829" s="117"/>
      <c r="AP829" s="32" t="s">
        <v>2280</v>
      </c>
      <c r="AQ829" s="117"/>
      <c r="AR829" s="117"/>
      <c r="AS829" s="117"/>
      <c r="AT829" s="117"/>
      <c r="AU829" s="117"/>
      <c r="AV829" s="117"/>
      <c r="AW829" s="117"/>
      <c r="AX829" s="117"/>
      <c r="AY829" s="117"/>
      <c r="AZ829" s="117"/>
      <c r="BA829" s="117"/>
      <c r="BB829" s="117"/>
      <c r="BC829" s="117"/>
      <c r="BD829" s="117"/>
      <c r="BE829" s="117"/>
      <c r="BF829" s="117"/>
      <c r="BG829" s="117"/>
      <c r="BH829" s="117"/>
      <c r="BI829" s="117"/>
      <c r="BJ829" s="117"/>
      <c r="BK829" s="117"/>
      <c r="BL829" s="117"/>
      <c r="BM829" s="117"/>
      <c r="BN829" s="117"/>
      <c r="BO829" s="117"/>
      <c r="BP829" s="117"/>
      <c r="BQ829" s="117"/>
      <c r="BR829" s="117"/>
      <c r="BS829" s="117"/>
      <c r="BT829" s="117"/>
      <c r="BU829" s="117"/>
      <c r="BV829" s="117"/>
      <c r="BW829" s="117"/>
      <c r="BX829" s="117"/>
      <c r="BY829" s="117"/>
      <c r="BZ829" s="117"/>
      <c r="CA829" s="117"/>
    </row>
    <row r="830" spans="1:79" ht="12.75" customHeight="1">
      <c r="A830" s="117"/>
      <c r="B830" s="1" t="s">
        <v>2560</v>
      </c>
      <c r="C830" s="1"/>
      <c r="D830" s="1"/>
      <c r="E830" s="1"/>
      <c r="F830" s="1"/>
      <c r="G830" s="1"/>
      <c r="H830" s="1115"/>
      <c r="I830" s="921"/>
      <c r="J830" s="921"/>
      <c r="K830" s="921"/>
      <c r="L830" s="921"/>
      <c r="M830" s="921"/>
      <c r="N830" s="921"/>
      <c r="O830" s="921"/>
      <c r="P830" s="921"/>
      <c r="Q830" s="921"/>
      <c r="R830" s="971"/>
      <c r="S830" s="1"/>
      <c r="T830" s="1" t="s">
        <v>2560</v>
      </c>
      <c r="U830" s="1"/>
      <c r="V830" s="1"/>
      <c r="W830" s="1"/>
      <c r="X830" s="1"/>
      <c r="Y830" s="1"/>
      <c r="Z830" s="17"/>
      <c r="AA830" s="1115"/>
      <c r="AB830" s="921"/>
      <c r="AC830" s="921"/>
      <c r="AD830" s="921"/>
      <c r="AE830" s="921"/>
      <c r="AF830" s="921"/>
      <c r="AG830" s="921"/>
      <c r="AH830" s="921"/>
      <c r="AI830" s="921"/>
      <c r="AJ830" s="921"/>
      <c r="AK830" s="971"/>
      <c r="AL830" s="7"/>
      <c r="AM830" s="117"/>
      <c r="AN830" s="424"/>
      <c r="AO830" s="117"/>
      <c r="AP830" s="32" t="s">
        <v>2449</v>
      </c>
      <c r="AQ830" s="117"/>
      <c r="AR830" s="117"/>
      <c r="AS830" s="117"/>
      <c r="AT830" s="117"/>
      <c r="AU830" s="117"/>
      <c r="AV830" s="117"/>
      <c r="AW830" s="117"/>
      <c r="AX830" s="117"/>
      <c r="AY830" s="117"/>
      <c r="AZ830" s="117"/>
      <c r="BA830" s="117"/>
      <c r="BB830" s="117"/>
      <c r="BC830" s="117"/>
      <c r="BD830" s="117"/>
      <c r="BE830" s="117"/>
      <c r="BF830" s="117"/>
      <c r="BG830" s="117"/>
      <c r="BH830" s="117"/>
      <c r="BI830" s="117"/>
      <c r="BJ830" s="117"/>
      <c r="BK830" s="117"/>
      <c r="BL830" s="117"/>
      <c r="BM830" s="117"/>
      <c r="BN830" s="117"/>
      <c r="BO830" s="117"/>
      <c r="BP830" s="117"/>
      <c r="BQ830" s="117"/>
      <c r="BR830" s="117"/>
      <c r="BS830" s="117"/>
      <c r="BT830" s="117"/>
      <c r="BU830" s="117"/>
      <c r="BV830" s="117"/>
      <c r="BW830" s="117"/>
      <c r="BX830" s="117"/>
      <c r="BY830" s="117"/>
      <c r="BZ830" s="117"/>
      <c r="CA830" s="117"/>
    </row>
    <row r="831" spans="1:79" ht="12.75" customHeight="1">
      <c r="A831" s="117"/>
      <c r="B831" s="1"/>
      <c r="C831" s="1"/>
      <c r="D831" s="1"/>
      <c r="E831" s="1"/>
      <c r="F831" s="1"/>
      <c r="G831" s="1"/>
      <c r="H831" s="783"/>
      <c r="I831" s="783"/>
      <c r="J831" s="783"/>
      <c r="K831" s="783"/>
      <c r="L831" s="783"/>
      <c r="M831" s="783"/>
      <c r="N831" s="783"/>
      <c r="O831" s="783"/>
      <c r="P831" s="245"/>
      <c r="Q831" s="245"/>
      <c r="R831" s="245"/>
      <c r="S831" s="1"/>
      <c r="T831" s="1"/>
      <c r="U831" s="1"/>
      <c r="V831" s="1"/>
      <c r="W831" s="1"/>
      <c r="X831" s="1"/>
      <c r="Y831" s="1"/>
      <c r="Z831" s="785"/>
      <c r="AA831" s="785"/>
      <c r="AB831" s="785"/>
      <c r="AC831" s="785"/>
      <c r="AD831" s="785"/>
      <c r="AE831" s="785"/>
      <c r="AF831" s="785"/>
      <c r="AG831" s="785"/>
      <c r="AH831" s="17"/>
      <c r="AI831" s="17"/>
      <c r="AJ831" s="17"/>
      <c r="AK831" s="1"/>
      <c r="AL831" s="7"/>
      <c r="AM831" s="117"/>
      <c r="AN831" s="424"/>
      <c r="AO831" s="117"/>
      <c r="AP831" s="32" t="s">
        <v>2450</v>
      </c>
      <c r="AQ831" s="117"/>
      <c r="AR831" s="117"/>
      <c r="AS831" s="117"/>
      <c r="AT831" s="117"/>
      <c r="AU831" s="117"/>
      <c r="AV831" s="117"/>
      <c r="AW831" s="117"/>
      <c r="AX831" s="117"/>
      <c r="AY831" s="117"/>
      <c r="AZ831" s="117"/>
      <c r="BA831" s="117"/>
      <c r="BB831" s="117"/>
      <c r="BC831" s="117"/>
      <c r="BD831" s="117"/>
      <c r="BE831" s="117"/>
      <c r="BF831" s="117"/>
      <c r="BG831" s="117"/>
      <c r="BH831" s="117"/>
      <c r="BI831" s="117"/>
      <c r="BJ831" s="117"/>
      <c r="BK831" s="117"/>
      <c r="BL831" s="117"/>
      <c r="BM831" s="117"/>
      <c r="BN831" s="117"/>
      <c r="BO831" s="117"/>
      <c r="BP831" s="117"/>
      <c r="BQ831" s="117"/>
      <c r="BR831" s="117"/>
      <c r="BS831" s="117"/>
      <c r="BT831" s="117"/>
      <c r="BU831" s="117"/>
      <c r="BV831" s="117"/>
      <c r="BW831" s="117"/>
      <c r="BX831" s="117"/>
      <c r="BY831" s="117"/>
      <c r="BZ831" s="117"/>
      <c r="CA831" s="117"/>
    </row>
    <row r="832" spans="1:79" ht="12.75" customHeight="1">
      <c r="A832" s="117"/>
      <c r="B832" s="1" t="s">
        <v>2552</v>
      </c>
      <c r="C832" s="1"/>
      <c r="D832" s="1"/>
      <c r="E832" s="1"/>
      <c r="F832" s="1"/>
      <c r="H832" s="967"/>
      <c r="I832" s="968"/>
      <c r="J832" s="968"/>
      <c r="K832" s="968"/>
      <c r="L832" s="968"/>
      <c r="M832" s="968"/>
      <c r="N832" s="968"/>
      <c r="O832" s="968"/>
      <c r="P832" s="968"/>
      <c r="Q832" s="968"/>
      <c r="R832" s="969"/>
      <c r="T832" s="1" t="s">
        <v>2552</v>
      </c>
      <c r="V832" s="1"/>
      <c r="W832" s="1"/>
      <c r="X832" s="1"/>
      <c r="Y832" s="1"/>
      <c r="AA832" s="967"/>
      <c r="AB832" s="968"/>
      <c r="AC832" s="968"/>
      <c r="AD832" s="968"/>
      <c r="AE832" s="968"/>
      <c r="AF832" s="968"/>
      <c r="AG832" s="968"/>
      <c r="AH832" s="968"/>
      <c r="AI832" s="968"/>
      <c r="AJ832" s="968"/>
      <c r="AK832" s="969"/>
      <c r="AL832" s="7"/>
      <c r="AM832" s="117"/>
      <c r="AN832" s="424"/>
      <c r="AO832" s="117"/>
      <c r="AP832" s="32" t="s">
        <v>2287</v>
      </c>
      <c r="AQ832" s="117"/>
      <c r="AR832" s="117"/>
      <c r="AS832" s="117"/>
      <c r="AT832" s="117"/>
      <c r="AU832" s="117"/>
      <c r="AV832" s="117"/>
      <c r="AW832" s="117"/>
      <c r="AX832" s="117"/>
      <c r="AY832" s="117"/>
      <c r="AZ832" s="117"/>
      <c r="BA832" s="117"/>
      <c r="BB832" s="117"/>
      <c r="BC832" s="117"/>
      <c r="BD832" s="117"/>
      <c r="BE832" s="117"/>
      <c r="BF832" s="117"/>
      <c r="BG832" s="117"/>
      <c r="BH832" s="117"/>
      <c r="BI832" s="117"/>
      <c r="BJ832" s="117"/>
      <c r="BK832" s="117"/>
      <c r="BL832" s="117"/>
      <c r="BM832" s="117"/>
      <c r="BN832" s="117"/>
      <c r="BO832" s="117"/>
      <c r="BP832" s="117"/>
      <c r="BQ832" s="117"/>
      <c r="BR832" s="117"/>
      <c r="BS832" s="117"/>
      <c r="BT832" s="117"/>
      <c r="BU832" s="117"/>
      <c r="BV832" s="117"/>
      <c r="BW832" s="117"/>
      <c r="BX832" s="117"/>
      <c r="BY832" s="117"/>
      <c r="BZ832" s="117"/>
      <c r="CA832" s="117"/>
    </row>
    <row r="833" spans="1:79" ht="12.75" customHeight="1">
      <c r="A833" s="117"/>
      <c r="B833" s="1" t="s">
        <v>1347</v>
      </c>
      <c r="C833" s="1"/>
      <c r="D833" s="1"/>
      <c r="E833" s="1"/>
      <c r="F833" s="1"/>
      <c r="H833" s="970"/>
      <c r="I833" s="921"/>
      <c r="J833" s="921"/>
      <c r="K833" s="921"/>
      <c r="L833" s="921"/>
      <c r="M833" s="921"/>
      <c r="N833" s="921"/>
      <c r="O833" s="921"/>
      <c r="P833" s="921"/>
      <c r="Q833" s="921"/>
      <c r="R833" s="971"/>
      <c r="T833" s="1" t="s">
        <v>1347</v>
      </c>
      <c r="V833" s="1"/>
      <c r="W833" s="1"/>
      <c r="X833" s="1"/>
      <c r="Y833" s="1"/>
      <c r="AA833" s="970"/>
      <c r="AB833" s="921"/>
      <c r="AC833" s="921"/>
      <c r="AD833" s="921"/>
      <c r="AE833" s="921"/>
      <c r="AF833" s="921"/>
      <c r="AG833" s="921"/>
      <c r="AH833" s="921"/>
      <c r="AI833" s="921"/>
      <c r="AJ833" s="921"/>
      <c r="AK833" s="971"/>
      <c r="AL833" s="7"/>
      <c r="AM833" s="117"/>
      <c r="AN833" s="424"/>
      <c r="AO833" s="117"/>
      <c r="AP833" s="41" t="s">
        <v>2451</v>
      </c>
      <c r="AQ833" s="514"/>
      <c r="AR833" s="514"/>
      <c r="AS833" s="514"/>
      <c r="AT833" s="514"/>
      <c r="AU833" s="514"/>
      <c r="AV833" s="514"/>
      <c r="AW833" s="514"/>
      <c r="AX833" s="514"/>
      <c r="AY833" s="514"/>
      <c r="AZ833" s="514"/>
      <c r="BA833" s="514"/>
      <c r="BB833" s="514"/>
      <c r="BC833" s="514"/>
      <c r="BD833" s="514"/>
      <c r="BE833" s="514"/>
      <c r="BF833" s="514"/>
      <c r="BG833" s="514"/>
      <c r="BH833" s="514"/>
      <c r="BI833" s="514"/>
      <c r="BJ833" s="514"/>
      <c r="BK833" s="514"/>
      <c r="BL833" s="514"/>
      <c r="BM833" s="514"/>
      <c r="BN833" s="514"/>
      <c r="BO833" s="514"/>
      <c r="BP833" s="514"/>
      <c r="BQ833" s="514"/>
      <c r="BR833" s="514"/>
      <c r="BS833" s="514"/>
      <c r="BT833" s="514"/>
      <c r="BU833" s="514"/>
      <c r="BV833" s="514"/>
      <c r="BW833" s="514"/>
      <c r="BX833" s="514"/>
      <c r="BY833" s="514"/>
      <c r="BZ833" s="514"/>
      <c r="CA833" s="514"/>
    </row>
    <row r="834" spans="1:79" ht="12.75" customHeight="1">
      <c r="A834" s="117"/>
      <c r="B834" s="1" t="s">
        <v>2553</v>
      </c>
      <c r="C834" s="1"/>
      <c r="D834" s="1"/>
      <c r="E834" s="1"/>
      <c r="F834" s="1"/>
      <c r="H834" s="970"/>
      <c r="I834" s="921"/>
      <c r="J834" s="921"/>
      <c r="K834" s="921"/>
      <c r="L834" s="921"/>
      <c r="M834" s="921"/>
      <c r="N834" s="921"/>
      <c r="O834" s="921"/>
      <c r="P834" s="921"/>
      <c r="Q834" s="921"/>
      <c r="R834" s="971"/>
      <c r="T834" s="1" t="s">
        <v>2553</v>
      </c>
      <c r="V834" s="1"/>
      <c r="W834" s="1"/>
      <c r="X834" s="1"/>
      <c r="Y834" s="1"/>
      <c r="AA834" s="970"/>
      <c r="AB834" s="921"/>
      <c r="AC834" s="921"/>
      <c r="AD834" s="921"/>
      <c r="AE834" s="921"/>
      <c r="AF834" s="921"/>
      <c r="AG834" s="921"/>
      <c r="AH834" s="921"/>
      <c r="AI834" s="921"/>
      <c r="AJ834" s="921"/>
      <c r="AK834" s="971"/>
      <c r="AL834" s="7"/>
      <c r="AM834" s="117"/>
      <c r="AN834" s="424"/>
      <c r="AO834" s="117"/>
      <c r="AP834" s="514"/>
      <c r="AQ834" s="514"/>
      <c r="AR834" s="514"/>
      <c r="AS834" s="514"/>
      <c r="AT834" s="514"/>
      <c r="AU834" s="514"/>
      <c r="AV834" s="514"/>
      <c r="AW834" s="514"/>
      <c r="AX834" s="514"/>
      <c r="AY834" s="514"/>
      <c r="AZ834" s="514"/>
      <c r="BA834" s="514"/>
      <c r="BB834" s="514"/>
      <c r="BC834" s="514"/>
      <c r="BD834" s="514"/>
      <c r="BE834" s="514"/>
      <c r="BF834" s="514"/>
      <c r="BG834" s="514"/>
      <c r="BH834" s="514"/>
      <c r="BI834" s="514"/>
      <c r="BJ834" s="514"/>
      <c r="BK834" s="514"/>
      <c r="BL834" s="514"/>
      <c r="BM834" s="514"/>
      <c r="BN834" s="514"/>
      <c r="BO834" s="514"/>
      <c r="BP834" s="514"/>
      <c r="BQ834" s="514"/>
      <c r="BR834" s="514"/>
      <c r="BS834" s="514"/>
      <c r="BT834" s="514"/>
      <c r="BU834" s="514"/>
      <c r="BV834" s="514"/>
      <c r="BW834" s="514"/>
      <c r="BX834" s="514"/>
      <c r="BY834" s="514"/>
      <c r="BZ834" s="514"/>
      <c r="CA834" s="514"/>
    </row>
    <row r="835" spans="1:79" ht="12.75" customHeight="1">
      <c r="A835" s="117"/>
      <c r="B835" s="1" t="s">
        <v>1259</v>
      </c>
      <c r="C835" s="1"/>
      <c r="D835" s="1"/>
      <c r="E835" s="1"/>
      <c r="F835" s="1"/>
      <c r="H835" s="970"/>
      <c r="I835" s="921"/>
      <c r="J835" s="921"/>
      <c r="K835" s="921"/>
      <c r="L835" s="921"/>
      <c r="M835" s="921"/>
      <c r="N835" s="921"/>
      <c r="O835" s="921"/>
      <c r="P835" s="921"/>
      <c r="Q835" s="921"/>
      <c r="R835" s="971"/>
      <c r="T835" s="1" t="s">
        <v>1259</v>
      </c>
      <c r="V835" s="1"/>
      <c r="W835" s="1"/>
      <c r="X835" s="1"/>
      <c r="Y835" s="1"/>
      <c r="AA835" s="970"/>
      <c r="AB835" s="921"/>
      <c r="AC835" s="921"/>
      <c r="AD835" s="921"/>
      <c r="AE835" s="921"/>
      <c r="AF835" s="921"/>
      <c r="AG835" s="921"/>
      <c r="AH835" s="921"/>
      <c r="AI835" s="921"/>
      <c r="AJ835" s="921"/>
      <c r="AK835" s="971"/>
      <c r="AL835" s="7"/>
      <c r="AM835" s="117"/>
      <c r="AN835" s="424"/>
      <c r="AO835" s="117"/>
      <c r="AP835" s="117"/>
      <c r="AQ835" s="117"/>
      <c r="AR835" s="117"/>
      <c r="AS835" s="117"/>
      <c r="AT835" s="117"/>
      <c r="AU835" s="117"/>
      <c r="AV835" s="117"/>
      <c r="AW835" s="117"/>
      <c r="AX835" s="117"/>
      <c r="AY835" s="117"/>
      <c r="AZ835" s="117"/>
      <c r="BA835" s="117"/>
      <c r="BB835" s="117"/>
      <c r="BC835" s="117"/>
      <c r="BD835" s="117"/>
      <c r="BE835" s="117"/>
      <c r="BF835" s="117"/>
      <c r="BG835" s="117"/>
      <c r="BH835" s="117"/>
      <c r="BI835" s="117"/>
      <c r="BJ835" s="117"/>
      <c r="BK835" s="117"/>
      <c r="BL835" s="117"/>
      <c r="BM835" s="117"/>
      <c r="BN835" s="117"/>
      <c r="BO835" s="117"/>
      <c r="BP835" s="117"/>
      <c r="BQ835" s="117"/>
      <c r="BR835" s="117"/>
      <c r="BS835" s="117"/>
      <c r="BT835" s="117"/>
      <c r="BU835" s="117"/>
      <c r="BV835" s="117"/>
      <c r="BW835" s="117"/>
      <c r="BX835" s="117"/>
      <c r="BY835" s="117"/>
      <c r="BZ835" s="117"/>
      <c r="CA835" s="117"/>
    </row>
    <row r="836" spans="1:79" ht="12.75" customHeight="1">
      <c r="A836" s="117"/>
      <c r="B836" s="1" t="s">
        <v>1261</v>
      </c>
      <c r="C836" s="1"/>
      <c r="D836" s="1"/>
      <c r="E836" s="1"/>
      <c r="F836" s="1"/>
      <c r="G836" s="1"/>
      <c r="H836" s="1105"/>
      <c r="I836" s="968"/>
      <c r="J836" s="968"/>
      <c r="K836" s="968"/>
      <c r="L836" s="968"/>
      <c r="M836" s="969"/>
      <c r="N836" s="1" t="s">
        <v>1263</v>
      </c>
      <c r="O836" s="1"/>
      <c r="P836" s="967"/>
      <c r="Q836" s="968"/>
      <c r="R836" s="969"/>
      <c r="S836" s="1"/>
      <c r="T836" s="1" t="s">
        <v>1261</v>
      </c>
      <c r="V836" s="1"/>
      <c r="W836" s="1"/>
      <c r="X836" s="1"/>
      <c r="Y836" s="1"/>
      <c r="AA836" s="1105"/>
      <c r="AB836" s="968"/>
      <c r="AC836" s="968"/>
      <c r="AD836" s="968"/>
      <c r="AE836" s="968"/>
      <c r="AF836" s="969"/>
      <c r="AG836" s="1" t="s">
        <v>1263</v>
      </c>
      <c r="AH836" s="1"/>
      <c r="AI836" s="967"/>
      <c r="AJ836" s="968"/>
      <c r="AK836" s="969"/>
      <c r="AL836" s="7"/>
      <c r="AM836" s="117"/>
      <c r="AN836" s="424"/>
      <c r="AO836" s="117"/>
      <c r="AP836" s="117"/>
      <c r="AQ836" s="117"/>
      <c r="AR836" s="117"/>
      <c r="AS836" s="117"/>
      <c r="AT836" s="117"/>
      <c r="AU836" s="117"/>
      <c r="AV836" s="117"/>
      <c r="AW836" s="117"/>
      <c r="AX836" s="117"/>
      <c r="AY836" s="117"/>
      <c r="AZ836" s="117"/>
      <c r="BA836" s="117"/>
      <c r="BB836" s="117"/>
      <c r="BC836" s="117"/>
      <c r="BD836" s="117"/>
      <c r="BE836" s="117"/>
      <c r="BF836" s="117"/>
      <c r="BG836" s="117"/>
      <c r="BH836" s="117"/>
      <c r="BI836" s="117"/>
      <c r="BJ836" s="117"/>
      <c r="BK836" s="117"/>
      <c r="BL836" s="117"/>
      <c r="BM836" s="117"/>
      <c r="BN836" s="117"/>
      <c r="BO836" s="117"/>
      <c r="BP836" s="117"/>
      <c r="BQ836" s="117"/>
      <c r="BR836" s="117"/>
      <c r="BS836" s="117"/>
      <c r="BT836" s="117"/>
      <c r="BU836" s="117"/>
      <c r="BV836" s="117"/>
      <c r="BW836" s="117"/>
      <c r="BX836" s="117"/>
      <c r="BY836" s="117"/>
      <c r="BZ836" s="117"/>
      <c r="CA836" s="117"/>
    </row>
    <row r="837" spans="1:79" ht="12.75" customHeight="1">
      <c r="A837" s="117"/>
      <c r="B837" s="1" t="s">
        <v>2556</v>
      </c>
      <c r="C837" s="1"/>
      <c r="D837" s="1"/>
      <c r="E837" s="1"/>
      <c r="F837" s="1"/>
      <c r="G837" s="1"/>
      <c r="H837" s="970"/>
      <c r="I837" s="921"/>
      <c r="J837" s="921"/>
      <c r="K837" s="921"/>
      <c r="L837" s="921"/>
      <c r="M837" s="921"/>
      <c r="N837" s="921"/>
      <c r="O837" s="921"/>
      <c r="P837" s="921"/>
      <c r="Q837" s="921"/>
      <c r="R837" s="971"/>
      <c r="S837" s="1"/>
      <c r="T837" s="1" t="s">
        <v>2556</v>
      </c>
      <c r="V837" s="1"/>
      <c r="W837" s="1"/>
      <c r="X837" s="1"/>
      <c r="Y837" s="1"/>
      <c r="AA837" s="970"/>
      <c r="AB837" s="921"/>
      <c r="AC837" s="921"/>
      <c r="AD837" s="921"/>
      <c r="AE837" s="921"/>
      <c r="AF837" s="921"/>
      <c r="AG837" s="921"/>
      <c r="AH837" s="921"/>
      <c r="AI837" s="921"/>
      <c r="AJ837" s="921"/>
      <c r="AK837" s="971"/>
      <c r="AL837" s="7"/>
      <c r="AM837" s="117"/>
      <c r="AN837" s="424"/>
      <c r="AO837" s="117"/>
      <c r="AP837" s="117"/>
      <c r="AQ837" s="117"/>
      <c r="AR837" s="117"/>
      <c r="AS837" s="117"/>
      <c r="AT837" s="117"/>
      <c r="AU837" s="117"/>
      <c r="AV837" s="117"/>
      <c r="AW837" s="117"/>
      <c r="AX837" s="117"/>
      <c r="AY837" s="117"/>
      <c r="AZ837" s="117"/>
      <c r="BA837" s="117"/>
      <c r="BB837" s="117"/>
      <c r="BC837" s="117"/>
      <c r="BD837" s="117"/>
      <c r="BE837" s="117"/>
      <c r="BF837" s="117"/>
      <c r="BG837" s="117"/>
      <c r="BH837" s="117"/>
      <c r="BI837" s="117"/>
      <c r="BJ837" s="117"/>
      <c r="BK837" s="117"/>
      <c r="BL837" s="117"/>
      <c r="BM837" s="117"/>
      <c r="BN837" s="117"/>
      <c r="BO837" s="117"/>
      <c r="BP837" s="117"/>
      <c r="BQ837" s="117"/>
      <c r="BR837" s="117"/>
      <c r="BS837" s="117"/>
      <c r="BT837" s="117"/>
      <c r="BU837" s="117"/>
      <c r="BV837" s="117"/>
      <c r="BW837" s="117"/>
      <c r="BX837" s="117"/>
      <c r="BY837" s="117"/>
      <c r="BZ837" s="117"/>
      <c r="CA837" s="117"/>
    </row>
    <row r="838" spans="1:79" ht="12.75" customHeight="1">
      <c r="A838" s="117"/>
      <c r="B838" s="1" t="s">
        <v>2558</v>
      </c>
      <c r="C838" s="1"/>
      <c r="D838" s="1"/>
      <c r="E838" s="1"/>
      <c r="F838" s="1"/>
      <c r="G838" s="1"/>
      <c r="H838" s="970"/>
      <c r="I838" s="921"/>
      <c r="J838" s="921"/>
      <c r="K838" s="921"/>
      <c r="L838" s="921"/>
      <c r="M838" s="921"/>
      <c r="N838" s="921"/>
      <c r="O838" s="921"/>
      <c r="P838" s="921"/>
      <c r="Q838" s="921"/>
      <c r="R838" s="971"/>
      <c r="S838" s="1"/>
      <c r="T838" s="1" t="s">
        <v>2558</v>
      </c>
      <c r="V838" s="1"/>
      <c r="W838" s="1"/>
      <c r="X838" s="1"/>
      <c r="Y838" s="1"/>
      <c r="AA838" s="970"/>
      <c r="AB838" s="921"/>
      <c r="AC838" s="921"/>
      <c r="AD838" s="921"/>
      <c r="AE838" s="921"/>
      <c r="AF838" s="921"/>
      <c r="AG838" s="921"/>
      <c r="AH838" s="921"/>
      <c r="AI838" s="921"/>
      <c r="AJ838" s="921"/>
      <c r="AK838" s="971"/>
      <c r="AL838" s="7"/>
      <c r="AM838" s="117"/>
      <c r="AN838" s="424"/>
      <c r="AO838" s="117"/>
      <c r="AP838" s="117"/>
      <c r="AQ838" s="117"/>
      <c r="AR838" s="117"/>
      <c r="AS838" s="117"/>
      <c r="AT838" s="117"/>
      <c r="AU838" s="117"/>
      <c r="AV838" s="117"/>
      <c r="AW838" s="117"/>
      <c r="AX838" s="117"/>
      <c r="AY838" s="117"/>
      <c r="AZ838" s="117"/>
      <c r="BA838" s="117"/>
      <c r="BB838" s="117"/>
      <c r="BC838" s="117"/>
      <c r="BD838" s="117"/>
      <c r="BE838" s="117"/>
      <c r="BF838" s="117"/>
      <c r="BG838" s="117"/>
      <c r="BH838" s="117"/>
      <c r="BI838" s="117"/>
      <c r="BJ838" s="117"/>
      <c r="BK838" s="117"/>
      <c r="BL838" s="117"/>
      <c r="BM838" s="117"/>
      <c r="BN838" s="117"/>
      <c r="BO838" s="117"/>
      <c r="BP838" s="117"/>
      <c r="BQ838" s="117"/>
      <c r="BR838" s="117"/>
      <c r="BS838" s="117"/>
      <c r="BT838" s="117"/>
      <c r="BU838" s="117"/>
      <c r="BV838" s="117"/>
      <c r="BW838" s="117"/>
      <c r="BX838" s="117"/>
      <c r="BY838" s="117"/>
      <c r="BZ838" s="117"/>
      <c r="CA838" s="117"/>
    </row>
    <row r="839" spans="1:79" ht="12.75" customHeight="1">
      <c r="A839" s="117"/>
      <c r="B839" s="1" t="s">
        <v>2560</v>
      </c>
      <c r="C839" s="1"/>
      <c r="D839" s="1"/>
      <c r="E839" s="1"/>
      <c r="F839" s="1"/>
      <c r="G839" s="1"/>
      <c r="H839" s="1115"/>
      <c r="I839" s="921"/>
      <c r="J839" s="921"/>
      <c r="K839" s="921"/>
      <c r="L839" s="921"/>
      <c r="M839" s="921"/>
      <c r="N839" s="921"/>
      <c r="O839" s="921"/>
      <c r="P839" s="921"/>
      <c r="Q839" s="921"/>
      <c r="R839" s="971"/>
      <c r="S839" s="1"/>
      <c r="T839" s="1" t="s">
        <v>2560</v>
      </c>
      <c r="U839" s="1"/>
      <c r="V839" s="1"/>
      <c r="W839" s="1"/>
      <c r="X839" s="1"/>
      <c r="Y839" s="1"/>
      <c r="Z839" s="17"/>
      <c r="AA839" s="1115"/>
      <c r="AB839" s="921"/>
      <c r="AC839" s="921"/>
      <c r="AD839" s="921"/>
      <c r="AE839" s="921"/>
      <c r="AF839" s="921"/>
      <c r="AG839" s="921"/>
      <c r="AH839" s="921"/>
      <c r="AI839" s="921"/>
      <c r="AJ839" s="921"/>
      <c r="AK839" s="971"/>
      <c r="AL839" s="7"/>
      <c r="AM839" s="117"/>
      <c r="AN839" s="424"/>
      <c r="AO839" s="117"/>
      <c r="AP839" s="117"/>
      <c r="AQ839" s="117"/>
      <c r="AR839" s="117"/>
      <c r="AS839" s="117"/>
      <c r="AT839" s="117"/>
      <c r="AU839" s="117"/>
      <c r="AV839" s="117"/>
      <c r="AW839" s="117"/>
      <c r="AX839" s="117"/>
      <c r="AY839" s="117"/>
      <c r="AZ839" s="117"/>
      <c r="BA839" s="117"/>
      <c r="BB839" s="117"/>
      <c r="BC839" s="117"/>
      <c r="BD839" s="117"/>
      <c r="BE839" s="117"/>
      <c r="BF839" s="117"/>
      <c r="BG839" s="117"/>
      <c r="BH839" s="117"/>
      <c r="BI839" s="117"/>
      <c r="BJ839" s="117"/>
      <c r="BK839" s="117"/>
      <c r="BL839" s="117"/>
      <c r="BM839" s="117"/>
      <c r="BN839" s="117"/>
      <c r="BO839" s="117"/>
      <c r="BP839" s="117"/>
      <c r="BQ839" s="117"/>
      <c r="BR839" s="117"/>
      <c r="BS839" s="117"/>
      <c r="BT839" s="117"/>
      <c r="BU839" s="117"/>
      <c r="BV839" s="117"/>
      <c r="BW839" s="117"/>
      <c r="BX839" s="117"/>
      <c r="BY839" s="117"/>
      <c r="BZ839" s="117"/>
      <c r="CA839" s="117"/>
    </row>
    <row r="840" spans="1:79" ht="12.75" customHeight="1">
      <c r="A840" s="117"/>
      <c r="B840" s="1"/>
      <c r="C840" s="1"/>
      <c r="D840" s="1"/>
      <c r="E840" s="1"/>
      <c r="F840" s="1"/>
      <c r="G840" s="1"/>
      <c r="H840" s="783"/>
      <c r="I840" s="783"/>
      <c r="J840" s="783"/>
      <c r="K840" s="783"/>
      <c r="L840" s="783"/>
      <c r="M840" s="783"/>
      <c r="N840" s="783"/>
      <c r="O840" s="783"/>
      <c r="P840" s="245"/>
      <c r="Q840" s="245"/>
      <c r="R840" s="245"/>
      <c r="S840" s="1"/>
      <c r="T840" s="1"/>
      <c r="U840" s="1"/>
      <c r="V840" s="1"/>
      <c r="W840" s="1"/>
      <c r="X840" s="1"/>
      <c r="Y840" s="1"/>
      <c r="Z840" s="785"/>
      <c r="AA840" s="785"/>
      <c r="AB840" s="785"/>
      <c r="AC840" s="785"/>
      <c r="AD840" s="785"/>
      <c r="AE840" s="785"/>
      <c r="AF840" s="785"/>
      <c r="AG840" s="785"/>
      <c r="AH840" s="17"/>
      <c r="AI840" s="17"/>
      <c r="AJ840" s="17"/>
      <c r="AK840" s="1"/>
      <c r="AL840" s="7"/>
      <c r="AM840" s="117"/>
      <c r="AN840" s="424"/>
      <c r="AO840" s="117"/>
      <c r="AP840" s="117"/>
      <c r="AQ840" s="117"/>
      <c r="AR840" s="117"/>
      <c r="AS840" s="117"/>
      <c r="AT840" s="117"/>
      <c r="AU840" s="117"/>
      <c r="AV840" s="117"/>
      <c r="AW840" s="117"/>
      <c r="AX840" s="117"/>
      <c r="AY840" s="117"/>
      <c r="AZ840" s="117"/>
      <c r="BA840" s="117"/>
      <c r="BB840" s="117"/>
      <c r="BC840" s="117"/>
      <c r="BD840" s="117"/>
      <c r="BE840" s="117"/>
      <c r="BF840" s="117"/>
      <c r="BG840" s="117"/>
      <c r="BH840" s="117"/>
      <c r="BI840" s="117"/>
      <c r="BJ840" s="117"/>
      <c r="BK840" s="117"/>
      <c r="BL840" s="117"/>
      <c r="BM840" s="117"/>
      <c r="BN840" s="117"/>
      <c r="BO840" s="117"/>
      <c r="BP840" s="117"/>
      <c r="BQ840" s="117"/>
      <c r="BR840" s="117"/>
      <c r="BS840" s="117"/>
      <c r="BT840" s="117"/>
      <c r="BU840" s="117"/>
      <c r="BV840" s="117"/>
      <c r="BW840" s="117"/>
      <c r="BX840" s="117"/>
      <c r="BY840" s="117"/>
      <c r="BZ840" s="117"/>
      <c r="CA840" s="117"/>
    </row>
    <row r="841" spans="1:79" ht="12.75" customHeight="1">
      <c r="A841" s="117"/>
      <c r="B841" s="1" t="s">
        <v>2552</v>
      </c>
      <c r="C841" s="1"/>
      <c r="D841" s="1"/>
      <c r="E841" s="1"/>
      <c r="F841" s="1"/>
      <c r="H841" s="967"/>
      <c r="I841" s="968"/>
      <c r="J841" s="968"/>
      <c r="K841" s="968"/>
      <c r="L841" s="968"/>
      <c r="M841" s="968"/>
      <c r="N841" s="968"/>
      <c r="O841" s="968"/>
      <c r="P841" s="968"/>
      <c r="Q841" s="968"/>
      <c r="R841" s="969"/>
      <c r="T841" s="1" t="s">
        <v>2552</v>
      </c>
      <c r="V841" s="1"/>
      <c r="W841" s="1"/>
      <c r="X841" s="1"/>
      <c r="Y841" s="1"/>
      <c r="AA841" s="967"/>
      <c r="AB841" s="968"/>
      <c r="AC841" s="968"/>
      <c r="AD841" s="968"/>
      <c r="AE841" s="968"/>
      <c r="AF841" s="968"/>
      <c r="AG841" s="968"/>
      <c r="AH841" s="968"/>
      <c r="AI841" s="968"/>
      <c r="AJ841" s="968"/>
      <c r="AK841" s="969"/>
      <c r="AL841" s="7"/>
      <c r="AM841" s="117"/>
      <c r="AN841" s="424"/>
      <c r="AO841" s="117"/>
      <c r="AP841" s="117"/>
      <c r="AQ841" s="117"/>
      <c r="AR841" s="117"/>
      <c r="AS841" s="117"/>
      <c r="AT841" s="117"/>
      <c r="AU841" s="117"/>
      <c r="AV841" s="117"/>
      <c r="AW841" s="117"/>
      <c r="AX841" s="117"/>
      <c r="AY841" s="117"/>
      <c r="AZ841" s="117"/>
      <c r="BA841" s="117"/>
      <c r="BB841" s="117"/>
      <c r="BC841" s="117"/>
      <c r="BD841" s="117"/>
      <c r="BE841" s="117"/>
      <c r="BF841" s="117"/>
      <c r="BG841" s="117"/>
      <c r="BH841" s="117"/>
      <c r="BI841" s="117"/>
      <c r="BJ841" s="117"/>
      <c r="BK841" s="117"/>
      <c r="BL841" s="117"/>
      <c r="BM841" s="117"/>
      <c r="BN841" s="117"/>
      <c r="BO841" s="117"/>
      <c r="BP841" s="117"/>
      <c r="BQ841" s="117"/>
      <c r="BR841" s="117"/>
      <c r="BS841" s="117"/>
      <c r="BT841" s="117"/>
      <c r="BU841" s="117"/>
      <c r="BV841" s="117"/>
      <c r="BW841" s="117"/>
      <c r="BX841" s="117"/>
      <c r="BY841" s="117"/>
      <c r="BZ841" s="117"/>
      <c r="CA841" s="117"/>
    </row>
    <row r="842" spans="1:79" ht="12.75" customHeight="1">
      <c r="A842" s="117"/>
      <c r="B842" s="1" t="s">
        <v>1347</v>
      </c>
      <c r="C842" s="1"/>
      <c r="D842" s="1"/>
      <c r="E842" s="1"/>
      <c r="F842" s="1"/>
      <c r="H842" s="970"/>
      <c r="I842" s="921"/>
      <c r="J842" s="921"/>
      <c r="K842" s="921"/>
      <c r="L842" s="921"/>
      <c r="M842" s="921"/>
      <c r="N842" s="921"/>
      <c r="O842" s="921"/>
      <c r="P842" s="921"/>
      <c r="Q842" s="921"/>
      <c r="R842" s="971"/>
      <c r="T842" s="1" t="s">
        <v>1347</v>
      </c>
      <c r="V842" s="1"/>
      <c r="W842" s="1"/>
      <c r="X842" s="1"/>
      <c r="Y842" s="1"/>
      <c r="AA842" s="970"/>
      <c r="AB842" s="921"/>
      <c r="AC842" s="921"/>
      <c r="AD842" s="921"/>
      <c r="AE842" s="921"/>
      <c r="AF842" s="921"/>
      <c r="AG842" s="921"/>
      <c r="AH842" s="921"/>
      <c r="AI842" s="921"/>
      <c r="AJ842" s="921"/>
      <c r="AK842" s="971"/>
      <c r="AL842" s="7"/>
      <c r="AM842" s="117"/>
      <c r="AN842" s="424"/>
      <c r="AO842" s="117"/>
      <c r="AP842" s="117"/>
      <c r="AQ842" s="117"/>
      <c r="AR842" s="117"/>
      <c r="AS842" s="117"/>
      <c r="AT842" s="117"/>
      <c r="AU842" s="117"/>
      <c r="AV842" s="117"/>
      <c r="AW842" s="117"/>
      <c r="AX842" s="117"/>
      <c r="AY842" s="117"/>
      <c r="AZ842" s="117"/>
      <c r="BA842" s="117"/>
      <c r="BB842" s="117"/>
      <c r="BC842" s="117"/>
      <c r="BD842" s="117"/>
      <c r="BE842" s="117"/>
      <c r="BF842" s="117"/>
      <c r="BG842" s="117"/>
      <c r="BH842" s="117"/>
      <c r="BI842" s="117"/>
      <c r="BJ842" s="117"/>
      <c r="BK842" s="117"/>
      <c r="BL842" s="117"/>
      <c r="BM842" s="117"/>
      <c r="BN842" s="117"/>
      <c r="BO842" s="117"/>
      <c r="BP842" s="117"/>
      <c r="BQ842" s="117"/>
      <c r="BR842" s="117"/>
      <c r="BS842" s="117"/>
      <c r="BT842" s="117"/>
      <c r="BU842" s="117"/>
      <c r="BV842" s="117"/>
      <c r="BW842" s="117"/>
      <c r="BX842" s="117"/>
      <c r="BY842" s="117"/>
      <c r="BZ842" s="117"/>
      <c r="CA842" s="117"/>
    </row>
    <row r="843" spans="1:79" ht="12.75" customHeight="1">
      <c r="A843" s="117"/>
      <c r="B843" s="1" t="s">
        <v>2553</v>
      </c>
      <c r="C843" s="1"/>
      <c r="D843" s="1"/>
      <c r="E843" s="1"/>
      <c r="F843" s="1"/>
      <c r="H843" s="970"/>
      <c r="I843" s="921"/>
      <c r="J843" s="921"/>
      <c r="K843" s="921"/>
      <c r="L843" s="921"/>
      <c r="M843" s="921"/>
      <c r="N843" s="921"/>
      <c r="O843" s="921"/>
      <c r="P843" s="921"/>
      <c r="Q843" s="921"/>
      <c r="R843" s="971"/>
      <c r="T843" s="1" t="s">
        <v>2553</v>
      </c>
      <c r="V843" s="1"/>
      <c r="W843" s="1"/>
      <c r="X843" s="1"/>
      <c r="Y843" s="1"/>
      <c r="AA843" s="970"/>
      <c r="AB843" s="921"/>
      <c r="AC843" s="921"/>
      <c r="AD843" s="921"/>
      <c r="AE843" s="921"/>
      <c r="AF843" s="921"/>
      <c r="AG843" s="921"/>
      <c r="AH843" s="921"/>
      <c r="AI843" s="921"/>
      <c r="AJ843" s="921"/>
      <c r="AK843" s="971"/>
      <c r="AL843" s="7"/>
      <c r="AM843" s="117"/>
      <c r="AN843" s="424"/>
      <c r="AO843" s="117"/>
      <c r="AP843" s="117"/>
      <c r="AQ843" s="117"/>
      <c r="AR843" s="117"/>
      <c r="AS843" s="117"/>
      <c r="AT843" s="117"/>
      <c r="AU843" s="117"/>
      <c r="AV843" s="117"/>
      <c r="AW843" s="117"/>
      <c r="AX843" s="117"/>
      <c r="AY843" s="117"/>
      <c r="AZ843" s="117"/>
      <c r="BA843" s="117"/>
      <c r="BB843" s="117"/>
      <c r="BC843" s="117"/>
      <c r="BD843" s="117"/>
      <c r="BE843" s="117"/>
      <c r="BF843" s="117"/>
      <c r="BG843" s="117"/>
      <c r="BH843" s="117"/>
      <c r="BI843" s="117"/>
      <c r="BJ843" s="117"/>
      <c r="BK843" s="117"/>
      <c r="BL843" s="117"/>
      <c r="BM843" s="117"/>
      <c r="BN843" s="117"/>
      <c r="BO843" s="117"/>
      <c r="BP843" s="117"/>
      <c r="BQ843" s="117"/>
      <c r="BR843" s="117"/>
      <c r="BS843" s="117"/>
      <c r="BT843" s="117"/>
      <c r="BU843" s="117"/>
      <c r="BV843" s="117"/>
      <c r="BW843" s="117"/>
      <c r="BX843" s="117"/>
      <c r="BY843" s="117"/>
      <c r="BZ843" s="117"/>
      <c r="CA843" s="117"/>
    </row>
    <row r="844" spans="1:79" ht="12.75" customHeight="1">
      <c r="A844" s="117"/>
      <c r="B844" s="1" t="s">
        <v>1259</v>
      </c>
      <c r="C844" s="1"/>
      <c r="D844" s="1"/>
      <c r="E844" s="1"/>
      <c r="F844" s="1"/>
      <c r="H844" s="970"/>
      <c r="I844" s="921"/>
      <c r="J844" s="921"/>
      <c r="K844" s="921"/>
      <c r="L844" s="921"/>
      <c r="M844" s="921"/>
      <c r="N844" s="921"/>
      <c r="O844" s="921"/>
      <c r="P844" s="921"/>
      <c r="Q844" s="921"/>
      <c r="R844" s="971"/>
      <c r="T844" s="1" t="s">
        <v>1259</v>
      </c>
      <c r="V844" s="1"/>
      <c r="W844" s="1"/>
      <c r="X844" s="1"/>
      <c r="Y844" s="1"/>
      <c r="AA844" s="970"/>
      <c r="AB844" s="921"/>
      <c r="AC844" s="921"/>
      <c r="AD844" s="921"/>
      <c r="AE844" s="921"/>
      <c r="AF844" s="921"/>
      <c r="AG844" s="921"/>
      <c r="AH844" s="921"/>
      <c r="AI844" s="921"/>
      <c r="AJ844" s="921"/>
      <c r="AK844" s="971"/>
      <c r="AL844" s="7"/>
      <c r="AM844" s="117"/>
      <c r="AN844" s="424"/>
      <c r="AO844" s="117"/>
      <c r="AP844" s="117"/>
      <c r="AQ844" s="117"/>
      <c r="AR844" s="117"/>
      <c r="AS844" s="117"/>
      <c r="AT844" s="117"/>
      <c r="AU844" s="117"/>
      <c r="AV844" s="117"/>
      <c r="AW844" s="117"/>
      <c r="AX844" s="117"/>
      <c r="AY844" s="117"/>
      <c r="AZ844" s="117"/>
      <c r="BA844" s="117"/>
      <c r="BB844" s="117"/>
      <c r="BC844" s="117"/>
      <c r="BD844" s="117"/>
      <c r="BE844" s="117"/>
      <c r="BF844" s="117"/>
      <c r="BG844" s="117"/>
      <c r="BH844" s="117"/>
      <c r="BI844" s="117"/>
      <c r="BJ844" s="117"/>
      <c r="BK844" s="117"/>
      <c r="BL844" s="117"/>
      <c r="BM844" s="117"/>
      <c r="BN844" s="117"/>
      <c r="BO844" s="117"/>
      <c r="BP844" s="117"/>
      <c r="BQ844" s="117"/>
      <c r="BR844" s="117"/>
      <c r="BS844" s="117"/>
      <c r="BT844" s="117"/>
      <c r="BU844" s="117"/>
      <c r="BV844" s="117"/>
      <c r="BW844" s="117"/>
      <c r="BX844" s="117"/>
      <c r="BY844" s="117"/>
      <c r="BZ844" s="117"/>
      <c r="CA844" s="117"/>
    </row>
    <row r="845" spans="1:79" ht="12.75" customHeight="1">
      <c r="A845" s="117"/>
      <c r="B845" s="1" t="s">
        <v>1261</v>
      </c>
      <c r="C845" s="1"/>
      <c r="D845" s="1"/>
      <c r="E845" s="1"/>
      <c r="F845" s="1"/>
      <c r="G845" s="1"/>
      <c r="H845" s="1105"/>
      <c r="I845" s="968"/>
      <c r="J845" s="968"/>
      <c r="K845" s="968"/>
      <c r="L845" s="968"/>
      <c r="M845" s="969"/>
      <c r="N845" s="1" t="s">
        <v>1263</v>
      </c>
      <c r="O845" s="1"/>
      <c r="P845" s="967"/>
      <c r="Q845" s="968"/>
      <c r="R845" s="969"/>
      <c r="S845" s="1"/>
      <c r="T845" s="1" t="s">
        <v>1261</v>
      </c>
      <c r="V845" s="1"/>
      <c r="W845" s="1"/>
      <c r="X845" s="1"/>
      <c r="Y845" s="1"/>
      <c r="AA845" s="1105"/>
      <c r="AB845" s="968"/>
      <c r="AC845" s="968"/>
      <c r="AD845" s="968"/>
      <c r="AE845" s="968"/>
      <c r="AF845" s="969"/>
      <c r="AG845" s="1" t="s">
        <v>1263</v>
      </c>
      <c r="AH845" s="1"/>
      <c r="AI845" s="967"/>
      <c r="AJ845" s="968"/>
      <c r="AK845" s="969"/>
      <c r="AL845" s="7"/>
      <c r="AM845" s="117"/>
      <c r="AN845" s="424"/>
      <c r="AO845" s="117"/>
      <c r="AP845" s="117"/>
      <c r="AQ845" s="117"/>
      <c r="AR845" s="117"/>
      <c r="AS845" s="117"/>
      <c r="AT845" s="117"/>
      <c r="AU845" s="117"/>
      <c r="AV845" s="117"/>
      <c r="AW845" s="117"/>
      <c r="AX845" s="117"/>
      <c r="AY845" s="117"/>
      <c r="AZ845" s="117"/>
      <c r="BA845" s="117"/>
      <c r="BB845" s="117"/>
      <c r="BC845" s="117"/>
      <c r="BD845" s="117"/>
      <c r="BE845" s="117"/>
      <c r="BF845" s="117"/>
      <c r="BG845" s="117"/>
      <c r="BH845" s="117"/>
      <c r="BI845" s="117"/>
      <c r="BJ845" s="117"/>
      <c r="BK845" s="117"/>
      <c r="BL845" s="117"/>
      <c r="BM845" s="117"/>
      <c r="BN845" s="117"/>
      <c r="BO845" s="117"/>
      <c r="BP845" s="117"/>
      <c r="BQ845" s="117"/>
      <c r="BR845" s="117"/>
      <c r="BS845" s="117"/>
      <c r="BT845" s="117"/>
      <c r="BU845" s="117"/>
      <c r="BV845" s="117"/>
      <c r="BW845" s="117"/>
      <c r="BX845" s="117"/>
      <c r="BY845" s="117"/>
      <c r="BZ845" s="117"/>
      <c r="CA845" s="117"/>
    </row>
    <row r="846" spans="1:79" ht="12.75" customHeight="1">
      <c r="A846" s="117"/>
      <c r="B846" s="1" t="s">
        <v>2556</v>
      </c>
      <c r="C846" s="1"/>
      <c r="D846" s="1"/>
      <c r="E846" s="1"/>
      <c r="F846" s="1"/>
      <c r="G846" s="1"/>
      <c r="H846" s="970"/>
      <c r="I846" s="921"/>
      <c r="J846" s="921"/>
      <c r="K846" s="921"/>
      <c r="L846" s="921"/>
      <c r="M846" s="921"/>
      <c r="N846" s="921"/>
      <c r="O846" s="921"/>
      <c r="P846" s="921"/>
      <c r="Q846" s="921"/>
      <c r="R846" s="971"/>
      <c r="S846" s="1"/>
      <c r="T846" s="1" t="s">
        <v>2556</v>
      </c>
      <c r="V846" s="1"/>
      <c r="W846" s="1"/>
      <c r="X846" s="1"/>
      <c r="Y846" s="1"/>
      <c r="AA846" s="970"/>
      <c r="AB846" s="921"/>
      <c r="AC846" s="921"/>
      <c r="AD846" s="921"/>
      <c r="AE846" s="921"/>
      <c r="AF846" s="921"/>
      <c r="AG846" s="921"/>
      <c r="AH846" s="921"/>
      <c r="AI846" s="921"/>
      <c r="AJ846" s="921"/>
      <c r="AK846" s="971"/>
      <c r="AL846" s="7"/>
      <c r="AM846" s="117"/>
      <c r="AN846" s="424"/>
      <c r="AO846" s="117"/>
      <c r="AP846" s="117"/>
      <c r="AQ846" s="117"/>
      <c r="AR846" s="117"/>
      <c r="AS846" s="117"/>
      <c r="AT846" s="117"/>
      <c r="AU846" s="117"/>
      <c r="AV846" s="117"/>
      <c r="AW846" s="117"/>
      <c r="AX846" s="117"/>
      <c r="AY846" s="117"/>
      <c r="AZ846" s="117"/>
      <c r="BA846" s="117"/>
      <c r="BB846" s="117"/>
      <c r="BC846" s="117"/>
      <c r="BD846" s="117"/>
      <c r="BE846" s="117"/>
      <c r="BF846" s="117"/>
      <c r="BG846" s="117"/>
      <c r="BH846" s="117"/>
      <c r="BI846" s="117"/>
      <c r="BJ846" s="117"/>
      <c r="BK846" s="117"/>
      <c r="BL846" s="117"/>
      <c r="BM846" s="117"/>
      <c r="BN846" s="117"/>
      <c r="BO846" s="117"/>
      <c r="BP846" s="117"/>
      <c r="BQ846" s="117"/>
      <c r="BR846" s="117"/>
      <c r="BS846" s="117"/>
      <c r="BT846" s="117"/>
      <c r="BU846" s="117"/>
      <c r="BV846" s="117"/>
      <c r="BW846" s="117"/>
      <c r="BX846" s="117"/>
      <c r="BY846" s="117"/>
      <c r="BZ846" s="117"/>
      <c r="CA846" s="117"/>
    </row>
    <row r="847" spans="1:79" ht="12.75" customHeight="1">
      <c r="A847" s="117"/>
      <c r="B847" s="1" t="s">
        <v>2558</v>
      </c>
      <c r="C847" s="1"/>
      <c r="D847" s="1"/>
      <c r="E847" s="1"/>
      <c r="F847" s="1"/>
      <c r="G847" s="1"/>
      <c r="H847" s="970"/>
      <c r="I847" s="921"/>
      <c r="J847" s="921"/>
      <c r="K847" s="921"/>
      <c r="L847" s="921"/>
      <c r="M847" s="921"/>
      <c r="N847" s="921"/>
      <c r="O847" s="921"/>
      <c r="P847" s="921"/>
      <c r="Q847" s="921"/>
      <c r="R847" s="971"/>
      <c r="S847" s="1"/>
      <c r="T847" s="1" t="s">
        <v>2558</v>
      </c>
      <c r="V847" s="1"/>
      <c r="W847" s="1"/>
      <c r="X847" s="1"/>
      <c r="Y847" s="1"/>
      <c r="AA847" s="970"/>
      <c r="AB847" s="921"/>
      <c r="AC847" s="921"/>
      <c r="AD847" s="921"/>
      <c r="AE847" s="921"/>
      <c r="AF847" s="921"/>
      <c r="AG847" s="921"/>
      <c r="AH847" s="921"/>
      <c r="AI847" s="921"/>
      <c r="AJ847" s="921"/>
      <c r="AK847" s="971"/>
      <c r="AL847" s="7"/>
      <c r="AM847" s="117"/>
      <c r="AN847" s="424"/>
      <c r="AO847" s="117"/>
      <c r="AP847" s="117"/>
      <c r="AQ847" s="117"/>
      <c r="AR847" s="117"/>
      <c r="AS847" s="117"/>
      <c r="AT847" s="117"/>
      <c r="AU847" s="117"/>
      <c r="AV847" s="117"/>
      <c r="AW847" s="117"/>
      <c r="AX847" s="117"/>
      <c r="AY847" s="117"/>
      <c r="AZ847" s="117"/>
      <c r="BA847" s="117"/>
      <c r="BB847" s="117"/>
      <c r="BC847" s="117"/>
      <c r="BD847" s="117"/>
      <c r="BE847" s="117"/>
      <c r="BF847" s="117"/>
      <c r="BG847" s="117"/>
      <c r="BH847" s="117"/>
      <c r="BI847" s="117"/>
      <c r="BJ847" s="117"/>
      <c r="BK847" s="117"/>
      <c r="BL847" s="117"/>
      <c r="BM847" s="117"/>
      <c r="BN847" s="117"/>
      <c r="BO847" s="117"/>
      <c r="BP847" s="117"/>
      <c r="BQ847" s="117"/>
      <c r="BR847" s="117"/>
      <c r="BS847" s="117"/>
      <c r="BT847" s="117"/>
      <c r="BU847" s="117"/>
      <c r="BV847" s="117"/>
      <c r="BW847" s="117"/>
      <c r="BX847" s="117"/>
      <c r="BY847" s="117"/>
      <c r="BZ847" s="117"/>
      <c r="CA847" s="117"/>
    </row>
    <row r="848" spans="1:79" ht="12.75" customHeight="1">
      <c r="A848" s="117"/>
      <c r="B848" s="1" t="s">
        <v>2560</v>
      </c>
      <c r="C848" s="1"/>
      <c r="D848" s="1"/>
      <c r="E848" s="1"/>
      <c r="F848" s="1"/>
      <c r="G848" s="1"/>
      <c r="H848" s="1115"/>
      <c r="I848" s="921"/>
      <c r="J848" s="921"/>
      <c r="K848" s="921"/>
      <c r="L848" s="921"/>
      <c r="M848" s="921"/>
      <c r="N848" s="921"/>
      <c r="O848" s="921"/>
      <c r="P848" s="921"/>
      <c r="Q848" s="921"/>
      <c r="R848" s="971"/>
      <c r="S848" s="1"/>
      <c r="T848" s="1" t="s">
        <v>2560</v>
      </c>
      <c r="U848" s="1"/>
      <c r="V848" s="1"/>
      <c r="W848" s="1"/>
      <c r="X848" s="1"/>
      <c r="Y848" s="1"/>
      <c r="Z848" s="17"/>
      <c r="AA848" s="1115"/>
      <c r="AB848" s="921"/>
      <c r="AC848" s="921"/>
      <c r="AD848" s="921"/>
      <c r="AE848" s="921"/>
      <c r="AF848" s="921"/>
      <c r="AG848" s="921"/>
      <c r="AH848" s="921"/>
      <c r="AI848" s="921"/>
      <c r="AJ848" s="921"/>
      <c r="AK848" s="971"/>
      <c r="AL848" s="7"/>
      <c r="AM848" s="117"/>
      <c r="AN848" s="424"/>
      <c r="AO848" s="117"/>
      <c r="AP848" s="117"/>
      <c r="AQ848" s="117"/>
      <c r="AR848" s="117"/>
      <c r="AS848" s="117"/>
      <c r="AT848" s="117"/>
      <c r="AU848" s="117"/>
      <c r="AV848" s="117"/>
      <c r="AW848" s="117"/>
      <c r="AX848" s="117"/>
      <c r="AY848" s="117"/>
      <c r="AZ848" s="117"/>
      <c r="BA848" s="117"/>
      <c r="BB848" s="117"/>
      <c r="BC848" s="117"/>
      <c r="BD848" s="117"/>
      <c r="BE848" s="117"/>
      <c r="BF848" s="117"/>
      <c r="BG848" s="117"/>
      <c r="BH848" s="117"/>
      <c r="BI848" s="117"/>
      <c r="BJ848" s="117"/>
      <c r="BK848" s="117"/>
      <c r="BL848" s="117"/>
      <c r="BM848" s="117"/>
      <c r="BN848" s="117"/>
      <c r="BO848" s="117"/>
      <c r="BP848" s="117"/>
      <c r="BQ848" s="117"/>
      <c r="BR848" s="117"/>
      <c r="BS848" s="117"/>
      <c r="BT848" s="117"/>
      <c r="BU848" s="117"/>
      <c r="BV848" s="117"/>
      <c r="BW848" s="117"/>
      <c r="BX848" s="117"/>
      <c r="BY848" s="117"/>
      <c r="BZ848" s="117"/>
      <c r="CA848" s="117"/>
    </row>
    <row r="849" spans="1:79" ht="12.75" customHeight="1">
      <c r="A849" s="117"/>
      <c r="B849" s="1"/>
      <c r="C849" s="1"/>
      <c r="D849" s="1"/>
      <c r="E849" s="1"/>
      <c r="F849" s="1"/>
      <c r="G849" s="1"/>
      <c r="H849" s="783"/>
      <c r="I849" s="783"/>
      <c r="J849" s="783"/>
      <c r="K849" s="783"/>
      <c r="L849" s="783"/>
      <c r="M849" s="783"/>
      <c r="N849" s="783"/>
      <c r="O849" s="783"/>
      <c r="P849" s="245"/>
      <c r="Q849" s="245"/>
      <c r="R849" s="245"/>
      <c r="S849" s="1"/>
      <c r="T849" s="1"/>
      <c r="U849" s="1"/>
      <c r="V849" s="1"/>
      <c r="W849" s="1"/>
      <c r="X849" s="1"/>
      <c r="Y849" s="1"/>
      <c r="Z849" s="785"/>
      <c r="AA849" s="785"/>
      <c r="AB849" s="785"/>
      <c r="AC849" s="785"/>
      <c r="AD849" s="785"/>
      <c r="AE849" s="785"/>
      <c r="AF849" s="785"/>
      <c r="AG849" s="785"/>
      <c r="AH849" s="17"/>
      <c r="AI849" s="17"/>
      <c r="AJ849" s="17"/>
      <c r="AK849" s="1"/>
      <c r="AL849" s="7"/>
      <c r="AM849" s="117"/>
      <c r="AN849" s="424"/>
      <c r="AO849" s="117"/>
      <c r="AP849" s="117"/>
      <c r="AQ849" s="117"/>
      <c r="AR849" s="117"/>
      <c r="AS849" s="117"/>
      <c r="AT849" s="117"/>
      <c r="AU849" s="117"/>
      <c r="AV849" s="117"/>
      <c r="AW849" s="117"/>
      <c r="AX849" s="117"/>
      <c r="AY849" s="117"/>
      <c r="AZ849" s="117"/>
      <c r="BA849" s="117"/>
      <c r="BB849" s="117"/>
      <c r="BC849" s="117"/>
      <c r="BD849" s="117"/>
      <c r="BE849" s="117"/>
      <c r="BF849" s="117"/>
      <c r="BG849" s="117"/>
      <c r="BH849" s="117"/>
      <c r="BI849" s="117"/>
      <c r="BJ849" s="117"/>
      <c r="BK849" s="117"/>
      <c r="BL849" s="117"/>
      <c r="BM849" s="117"/>
      <c r="BN849" s="117"/>
      <c r="BO849" s="117"/>
      <c r="BP849" s="117"/>
      <c r="BQ849" s="117"/>
      <c r="BR849" s="117"/>
      <c r="BS849" s="117"/>
      <c r="BT849" s="117"/>
      <c r="BU849" s="117"/>
      <c r="BV849" s="117"/>
      <c r="BW849" s="117"/>
      <c r="BX849" s="117"/>
      <c r="BY849" s="117"/>
      <c r="BZ849" s="117"/>
      <c r="CA849" s="117"/>
    </row>
    <row r="850" spans="1:79" ht="12.75" customHeight="1">
      <c r="A850" s="117"/>
      <c r="B850" s="1" t="s">
        <v>2552</v>
      </c>
      <c r="C850" s="1"/>
      <c r="D850" s="1"/>
      <c r="E850" s="1"/>
      <c r="F850" s="1"/>
      <c r="H850" s="967"/>
      <c r="I850" s="968"/>
      <c r="J850" s="968"/>
      <c r="K850" s="968"/>
      <c r="L850" s="968"/>
      <c r="M850" s="968"/>
      <c r="N850" s="968"/>
      <c r="O850" s="968"/>
      <c r="P850" s="968"/>
      <c r="Q850" s="968"/>
      <c r="R850" s="969"/>
      <c r="T850" s="1" t="s">
        <v>2552</v>
      </c>
      <c r="V850" s="1"/>
      <c r="W850" s="1"/>
      <c r="X850" s="1"/>
      <c r="Y850" s="1"/>
      <c r="AA850" s="967"/>
      <c r="AB850" s="968"/>
      <c r="AC850" s="968"/>
      <c r="AD850" s="968"/>
      <c r="AE850" s="968"/>
      <c r="AF850" s="968"/>
      <c r="AG850" s="968"/>
      <c r="AH850" s="968"/>
      <c r="AI850" s="968"/>
      <c r="AJ850" s="968"/>
      <c r="AK850" s="969"/>
      <c r="AL850" s="7"/>
      <c r="AM850" s="117"/>
      <c r="AN850" s="424"/>
      <c r="AO850" s="117"/>
      <c r="AP850" s="117"/>
      <c r="AQ850" s="117"/>
      <c r="AR850" s="117"/>
      <c r="AS850" s="117"/>
      <c r="AT850" s="117"/>
      <c r="AU850" s="117"/>
      <c r="AV850" s="117"/>
      <c r="AW850" s="117"/>
      <c r="AX850" s="117"/>
      <c r="AY850" s="117"/>
      <c r="AZ850" s="117"/>
      <c r="BA850" s="117"/>
      <c r="BB850" s="117"/>
      <c r="BC850" s="117"/>
      <c r="BD850" s="117"/>
      <c r="BE850" s="117"/>
      <c r="BF850" s="117"/>
      <c r="BG850" s="117"/>
      <c r="BH850" s="117"/>
      <c r="BI850" s="117"/>
      <c r="BJ850" s="117"/>
      <c r="BK850" s="117"/>
      <c r="BL850" s="117"/>
      <c r="BM850" s="117"/>
      <c r="BN850" s="117"/>
      <c r="BO850" s="117"/>
      <c r="BP850" s="117"/>
      <c r="BQ850" s="117"/>
      <c r="BR850" s="117"/>
      <c r="BS850" s="117"/>
      <c r="BT850" s="117"/>
      <c r="BU850" s="117"/>
      <c r="BV850" s="117"/>
      <c r="BW850" s="117"/>
      <c r="BX850" s="117"/>
      <c r="BY850" s="117"/>
      <c r="BZ850" s="117"/>
      <c r="CA850" s="117"/>
    </row>
    <row r="851" spans="1:79" ht="12.75" customHeight="1">
      <c r="A851" s="117"/>
      <c r="B851" s="1" t="s">
        <v>1347</v>
      </c>
      <c r="C851" s="1"/>
      <c r="D851" s="1"/>
      <c r="E851" s="1"/>
      <c r="F851" s="1"/>
      <c r="H851" s="970"/>
      <c r="I851" s="921"/>
      <c r="J851" s="921"/>
      <c r="K851" s="921"/>
      <c r="L851" s="921"/>
      <c r="M851" s="921"/>
      <c r="N851" s="921"/>
      <c r="O851" s="921"/>
      <c r="P851" s="921"/>
      <c r="Q851" s="921"/>
      <c r="R851" s="971"/>
      <c r="T851" s="1" t="s">
        <v>1347</v>
      </c>
      <c r="V851" s="1"/>
      <c r="W851" s="1"/>
      <c r="X851" s="1"/>
      <c r="Y851" s="1"/>
      <c r="AA851" s="970"/>
      <c r="AB851" s="921"/>
      <c r="AC851" s="921"/>
      <c r="AD851" s="921"/>
      <c r="AE851" s="921"/>
      <c r="AF851" s="921"/>
      <c r="AG851" s="921"/>
      <c r="AH851" s="921"/>
      <c r="AI851" s="921"/>
      <c r="AJ851" s="921"/>
      <c r="AK851" s="971"/>
      <c r="AL851" s="7"/>
      <c r="AM851" s="117"/>
      <c r="AN851" s="424"/>
      <c r="AO851" s="117"/>
      <c r="AP851" s="117"/>
      <c r="AQ851" s="117"/>
      <c r="AR851" s="117"/>
      <c r="AS851" s="117"/>
      <c r="AT851" s="117"/>
      <c r="AU851" s="117"/>
      <c r="AV851" s="117"/>
      <c r="AW851" s="117"/>
      <c r="AX851" s="117"/>
      <c r="AY851" s="117"/>
      <c r="AZ851" s="117"/>
      <c r="BA851" s="117"/>
      <c r="BB851" s="117"/>
      <c r="BC851" s="117"/>
      <c r="BD851" s="117"/>
      <c r="BE851" s="117"/>
      <c r="BF851" s="117"/>
      <c r="BG851" s="117"/>
      <c r="BH851" s="117"/>
      <c r="BI851" s="117"/>
      <c r="BJ851" s="117"/>
      <c r="BK851" s="117"/>
      <c r="BL851" s="117"/>
      <c r="BM851" s="117"/>
      <c r="BN851" s="117"/>
      <c r="BO851" s="117"/>
      <c r="BP851" s="117"/>
      <c r="BQ851" s="117"/>
      <c r="BR851" s="117"/>
      <c r="BS851" s="117"/>
      <c r="BT851" s="117"/>
      <c r="BU851" s="117"/>
      <c r="BV851" s="117"/>
      <c r="BW851" s="117"/>
      <c r="BX851" s="117"/>
      <c r="BY851" s="117"/>
      <c r="BZ851" s="117"/>
      <c r="CA851" s="117"/>
    </row>
    <row r="852" spans="1:79" ht="12.75" customHeight="1">
      <c r="A852" s="117"/>
      <c r="B852" s="1" t="s">
        <v>2553</v>
      </c>
      <c r="C852" s="1"/>
      <c r="D852" s="1"/>
      <c r="E852" s="1"/>
      <c r="F852" s="1"/>
      <c r="H852" s="970"/>
      <c r="I852" s="921"/>
      <c r="J852" s="921"/>
      <c r="K852" s="921"/>
      <c r="L852" s="921"/>
      <c r="M852" s="921"/>
      <c r="N852" s="921"/>
      <c r="O852" s="921"/>
      <c r="P852" s="921"/>
      <c r="Q852" s="921"/>
      <c r="R852" s="971"/>
      <c r="T852" s="1" t="s">
        <v>2553</v>
      </c>
      <c r="V852" s="1"/>
      <c r="W852" s="1"/>
      <c r="X852" s="1"/>
      <c r="Y852" s="1"/>
      <c r="AA852" s="970"/>
      <c r="AB852" s="921"/>
      <c r="AC852" s="921"/>
      <c r="AD852" s="921"/>
      <c r="AE852" s="921"/>
      <c r="AF852" s="921"/>
      <c r="AG852" s="921"/>
      <c r="AH852" s="921"/>
      <c r="AI852" s="921"/>
      <c r="AJ852" s="921"/>
      <c r="AK852" s="971"/>
      <c r="AL852" s="7"/>
      <c r="AM852" s="117"/>
      <c r="AN852" s="424"/>
      <c r="AO852" s="117"/>
      <c r="AP852" s="117"/>
      <c r="AQ852" s="117"/>
      <c r="AR852" s="117"/>
      <c r="AS852" s="117"/>
      <c r="AT852" s="117"/>
      <c r="AU852" s="117"/>
      <c r="AV852" s="117"/>
      <c r="AW852" s="117"/>
      <c r="AX852" s="117"/>
      <c r="AY852" s="117"/>
      <c r="AZ852" s="117"/>
      <c r="BA852" s="117"/>
      <c r="BB852" s="117"/>
      <c r="BC852" s="117"/>
      <c r="BD852" s="117"/>
      <c r="BE852" s="117"/>
      <c r="BF852" s="117"/>
      <c r="BG852" s="117"/>
      <c r="BH852" s="117"/>
      <c r="BI852" s="117"/>
      <c r="BJ852" s="117"/>
      <c r="BK852" s="117"/>
      <c r="BL852" s="117"/>
      <c r="BM852" s="117"/>
      <c r="BN852" s="117"/>
      <c r="BO852" s="117"/>
      <c r="BP852" s="117"/>
      <c r="BQ852" s="117"/>
      <c r="BR852" s="117"/>
      <c r="BS852" s="117"/>
      <c r="BT852" s="117"/>
      <c r="BU852" s="117"/>
      <c r="BV852" s="117"/>
      <c r="BW852" s="117"/>
      <c r="BX852" s="117"/>
      <c r="BY852" s="117"/>
      <c r="BZ852" s="117"/>
      <c r="CA852" s="117"/>
    </row>
    <row r="853" spans="1:79" ht="12.75" customHeight="1">
      <c r="A853" s="117"/>
      <c r="B853" s="1" t="s">
        <v>1259</v>
      </c>
      <c r="C853" s="1"/>
      <c r="D853" s="1"/>
      <c r="E853" s="1"/>
      <c r="F853" s="1"/>
      <c r="H853" s="970"/>
      <c r="I853" s="921"/>
      <c r="J853" s="921"/>
      <c r="K853" s="921"/>
      <c r="L853" s="921"/>
      <c r="M853" s="921"/>
      <c r="N853" s="921"/>
      <c r="O853" s="921"/>
      <c r="P853" s="921"/>
      <c r="Q853" s="921"/>
      <c r="R853" s="971"/>
      <c r="T853" s="1" t="s">
        <v>1259</v>
      </c>
      <c r="V853" s="1"/>
      <c r="W853" s="1"/>
      <c r="X853" s="1"/>
      <c r="Y853" s="1"/>
      <c r="AA853" s="970"/>
      <c r="AB853" s="921"/>
      <c r="AC853" s="921"/>
      <c r="AD853" s="921"/>
      <c r="AE853" s="921"/>
      <c r="AF853" s="921"/>
      <c r="AG853" s="921"/>
      <c r="AH853" s="921"/>
      <c r="AI853" s="921"/>
      <c r="AJ853" s="921"/>
      <c r="AK853" s="971"/>
      <c r="AL853" s="7"/>
      <c r="AM853" s="117"/>
      <c r="AN853" s="424"/>
      <c r="AO853" s="117"/>
      <c r="AP853" s="117"/>
      <c r="AQ853" s="117"/>
      <c r="AR853" s="117"/>
      <c r="AS853" s="117"/>
      <c r="AT853" s="117"/>
      <c r="AU853" s="117"/>
      <c r="AV853" s="117"/>
      <c r="AW853" s="117"/>
      <c r="AX853" s="117"/>
      <c r="AY853" s="117"/>
      <c r="AZ853" s="117"/>
      <c r="BA853" s="117"/>
      <c r="BB853" s="117"/>
      <c r="BC853" s="117"/>
      <c r="BD853" s="117"/>
      <c r="BE853" s="117"/>
      <c r="BF853" s="117"/>
      <c r="BG853" s="117"/>
      <c r="BH853" s="117"/>
      <c r="BI853" s="117"/>
      <c r="BJ853" s="117"/>
      <c r="BK853" s="117"/>
      <c r="BL853" s="117"/>
      <c r="BM853" s="117"/>
      <c r="BN853" s="117"/>
      <c r="BO853" s="117"/>
      <c r="BP853" s="117"/>
      <c r="BQ853" s="117"/>
      <c r="BR853" s="117"/>
      <c r="BS853" s="117"/>
      <c r="BT853" s="117"/>
      <c r="BU853" s="117"/>
      <c r="BV853" s="117"/>
      <c r="BW853" s="117"/>
      <c r="BX853" s="117"/>
      <c r="BY853" s="117"/>
      <c r="BZ853" s="117"/>
      <c r="CA853" s="117"/>
    </row>
    <row r="854" spans="1:79" ht="12.75" customHeight="1">
      <c r="A854" s="117"/>
      <c r="B854" s="1" t="s">
        <v>1261</v>
      </c>
      <c r="C854" s="1"/>
      <c r="D854" s="1"/>
      <c r="E854" s="1"/>
      <c r="F854" s="1"/>
      <c r="G854" s="1"/>
      <c r="H854" s="1105"/>
      <c r="I854" s="968"/>
      <c r="J854" s="968"/>
      <c r="K854" s="968"/>
      <c r="L854" s="968"/>
      <c r="M854" s="969"/>
      <c r="N854" s="1" t="s">
        <v>1263</v>
      </c>
      <c r="O854" s="1"/>
      <c r="P854" s="967"/>
      <c r="Q854" s="968"/>
      <c r="R854" s="969"/>
      <c r="S854" s="1"/>
      <c r="T854" s="1" t="s">
        <v>1261</v>
      </c>
      <c r="V854" s="1"/>
      <c r="W854" s="1"/>
      <c r="X854" s="1"/>
      <c r="Y854" s="1"/>
      <c r="AA854" s="1105"/>
      <c r="AB854" s="968"/>
      <c r="AC854" s="968"/>
      <c r="AD854" s="968"/>
      <c r="AE854" s="968"/>
      <c r="AF854" s="969"/>
      <c r="AG854" s="1" t="s">
        <v>1263</v>
      </c>
      <c r="AH854" s="1"/>
      <c r="AI854" s="967"/>
      <c r="AJ854" s="968"/>
      <c r="AK854" s="969"/>
      <c r="AL854" s="7"/>
      <c r="AM854" s="117"/>
      <c r="AN854" s="424"/>
      <c r="AO854" s="117"/>
      <c r="AP854" s="117"/>
      <c r="AQ854" s="117"/>
      <c r="AR854" s="117"/>
      <c r="AS854" s="117"/>
      <c r="AT854" s="117"/>
      <c r="AU854" s="117"/>
      <c r="AV854" s="117"/>
      <c r="AW854" s="117"/>
      <c r="AX854" s="117"/>
      <c r="AY854" s="117"/>
      <c r="AZ854" s="117"/>
      <c r="BA854" s="117"/>
      <c r="BB854" s="117"/>
      <c r="BC854" s="117"/>
      <c r="BD854" s="117"/>
      <c r="BE854" s="117"/>
      <c r="BF854" s="117"/>
      <c r="BG854" s="117"/>
      <c r="BH854" s="117"/>
      <c r="BI854" s="117"/>
      <c r="BJ854" s="117"/>
      <c r="BK854" s="117"/>
      <c r="BL854" s="117"/>
      <c r="BM854" s="117"/>
      <c r="BN854" s="117"/>
      <c r="BO854" s="117"/>
      <c r="BP854" s="117"/>
      <c r="BQ854" s="117"/>
      <c r="BR854" s="117"/>
      <c r="BS854" s="117"/>
      <c r="BT854" s="117"/>
      <c r="BU854" s="117"/>
      <c r="BV854" s="117"/>
      <c r="BW854" s="117"/>
      <c r="BX854" s="117"/>
      <c r="BY854" s="117"/>
      <c r="BZ854" s="117"/>
      <c r="CA854" s="117"/>
    </row>
    <row r="855" spans="1:79" ht="12.75" customHeight="1">
      <c r="A855" s="117"/>
      <c r="B855" s="1" t="s">
        <v>2556</v>
      </c>
      <c r="C855" s="1"/>
      <c r="D855" s="1"/>
      <c r="E855" s="1"/>
      <c r="F855" s="1"/>
      <c r="G855" s="1"/>
      <c r="H855" s="970"/>
      <c r="I855" s="921"/>
      <c r="J855" s="921"/>
      <c r="K855" s="921"/>
      <c r="L855" s="921"/>
      <c r="M855" s="921"/>
      <c r="N855" s="921"/>
      <c r="O855" s="921"/>
      <c r="P855" s="921"/>
      <c r="Q855" s="921"/>
      <c r="R855" s="971"/>
      <c r="S855" s="1"/>
      <c r="T855" s="1" t="s">
        <v>2556</v>
      </c>
      <c r="V855" s="1"/>
      <c r="W855" s="1"/>
      <c r="X855" s="1"/>
      <c r="Y855" s="1"/>
      <c r="AA855" s="970"/>
      <c r="AB855" s="921"/>
      <c r="AC855" s="921"/>
      <c r="AD855" s="921"/>
      <c r="AE855" s="921"/>
      <c r="AF855" s="921"/>
      <c r="AG855" s="921"/>
      <c r="AH855" s="921"/>
      <c r="AI855" s="921"/>
      <c r="AJ855" s="921"/>
      <c r="AK855" s="971"/>
      <c r="AL855" s="7"/>
      <c r="AM855" s="117"/>
      <c r="AN855" s="424"/>
      <c r="AO855" s="117"/>
      <c r="AP855" s="117"/>
      <c r="AQ855" s="117"/>
      <c r="AR855" s="117"/>
      <c r="AS855" s="117"/>
      <c r="AT855" s="117"/>
      <c r="AU855" s="117"/>
      <c r="AV855" s="117"/>
      <c r="AW855" s="117"/>
      <c r="AX855" s="117"/>
      <c r="AY855" s="117"/>
      <c r="AZ855" s="117"/>
      <c r="BA855" s="117"/>
      <c r="BB855" s="117"/>
      <c r="BC855" s="117"/>
      <c r="BD855" s="117"/>
      <c r="BE855" s="117"/>
      <c r="BF855" s="117"/>
      <c r="BG855" s="117"/>
      <c r="BH855" s="117"/>
      <c r="BI855" s="117"/>
      <c r="BJ855" s="117"/>
      <c r="BK855" s="117"/>
      <c r="BL855" s="117"/>
      <c r="BM855" s="117"/>
      <c r="BN855" s="117"/>
      <c r="BO855" s="117"/>
      <c r="BP855" s="117"/>
      <c r="BQ855" s="117"/>
      <c r="BR855" s="117"/>
      <c r="BS855" s="117"/>
      <c r="BT855" s="117"/>
      <c r="BU855" s="117"/>
      <c r="BV855" s="117"/>
      <c r="BW855" s="117"/>
      <c r="BX855" s="117"/>
      <c r="BY855" s="117"/>
      <c r="BZ855" s="117"/>
      <c r="CA855" s="117"/>
    </row>
    <row r="856" spans="1:79" ht="12.75" customHeight="1">
      <c r="A856" s="117"/>
      <c r="B856" s="1" t="s">
        <v>2558</v>
      </c>
      <c r="C856" s="1"/>
      <c r="D856" s="1"/>
      <c r="E856" s="1"/>
      <c r="F856" s="1"/>
      <c r="G856" s="1"/>
      <c r="H856" s="970"/>
      <c r="I856" s="921"/>
      <c r="J856" s="921"/>
      <c r="K856" s="921"/>
      <c r="L856" s="921"/>
      <c r="M856" s="921"/>
      <c r="N856" s="921"/>
      <c r="O856" s="921"/>
      <c r="P856" s="921"/>
      <c r="Q856" s="921"/>
      <c r="R856" s="971"/>
      <c r="S856" s="1"/>
      <c r="T856" s="1" t="s">
        <v>2558</v>
      </c>
      <c r="V856" s="1"/>
      <c r="W856" s="1"/>
      <c r="X856" s="1"/>
      <c r="Y856" s="1"/>
      <c r="AA856" s="970"/>
      <c r="AB856" s="921"/>
      <c r="AC856" s="921"/>
      <c r="AD856" s="921"/>
      <c r="AE856" s="921"/>
      <c r="AF856" s="921"/>
      <c r="AG856" s="921"/>
      <c r="AH856" s="921"/>
      <c r="AI856" s="921"/>
      <c r="AJ856" s="921"/>
      <c r="AK856" s="971"/>
      <c r="AL856" s="7"/>
      <c r="AM856" s="117"/>
      <c r="AN856" s="424"/>
      <c r="AO856" s="117"/>
      <c r="AP856" s="117"/>
      <c r="AQ856" s="117"/>
      <c r="AR856" s="117"/>
      <c r="AS856" s="117"/>
      <c r="AT856" s="117"/>
      <c r="AU856" s="117"/>
      <c r="AV856" s="117"/>
      <c r="AW856" s="117"/>
      <c r="AX856" s="117"/>
      <c r="AY856" s="117"/>
      <c r="AZ856" s="117"/>
      <c r="BA856" s="117"/>
      <c r="BB856" s="117"/>
      <c r="BC856" s="117"/>
      <c r="BD856" s="117"/>
      <c r="BE856" s="117"/>
      <c r="BF856" s="117"/>
      <c r="BG856" s="117"/>
      <c r="BH856" s="117"/>
      <c r="BI856" s="117"/>
      <c r="BJ856" s="117"/>
      <c r="BK856" s="117"/>
      <c r="BL856" s="117"/>
      <c r="BM856" s="117"/>
      <c r="BN856" s="117"/>
      <c r="BO856" s="117"/>
      <c r="BP856" s="117"/>
      <c r="BQ856" s="117"/>
      <c r="BR856" s="117"/>
      <c r="BS856" s="117"/>
      <c r="BT856" s="117"/>
      <c r="BU856" s="117"/>
      <c r="BV856" s="117"/>
      <c r="BW856" s="117"/>
      <c r="BX856" s="117"/>
      <c r="BY856" s="117"/>
      <c r="BZ856" s="117"/>
      <c r="CA856" s="117"/>
    </row>
    <row r="857" spans="1:79" ht="12.75" customHeight="1">
      <c r="A857" s="117"/>
      <c r="B857" s="1" t="s">
        <v>2560</v>
      </c>
      <c r="C857" s="1"/>
      <c r="D857" s="1"/>
      <c r="E857" s="1"/>
      <c r="F857" s="1"/>
      <c r="G857" s="1"/>
      <c r="H857" s="1115"/>
      <c r="I857" s="921"/>
      <c r="J857" s="921"/>
      <c r="K857" s="921"/>
      <c r="L857" s="921"/>
      <c r="M857" s="921"/>
      <c r="N857" s="921"/>
      <c r="O857" s="921"/>
      <c r="P857" s="921"/>
      <c r="Q857" s="921"/>
      <c r="R857" s="971"/>
      <c r="S857" s="1"/>
      <c r="T857" s="1" t="s">
        <v>2560</v>
      </c>
      <c r="U857" s="1"/>
      <c r="V857" s="1"/>
      <c r="W857" s="1"/>
      <c r="X857" s="1"/>
      <c r="Y857" s="1"/>
      <c r="Z857" s="17"/>
      <c r="AA857" s="1115"/>
      <c r="AB857" s="921"/>
      <c r="AC857" s="921"/>
      <c r="AD857" s="921"/>
      <c r="AE857" s="921"/>
      <c r="AF857" s="921"/>
      <c r="AG857" s="921"/>
      <c r="AH857" s="921"/>
      <c r="AI857" s="921"/>
      <c r="AJ857" s="921"/>
      <c r="AK857" s="971"/>
      <c r="AL857" s="7"/>
      <c r="AM857" s="117"/>
      <c r="AN857" s="424"/>
      <c r="AO857" s="117"/>
      <c r="AP857" s="117"/>
      <c r="AQ857" s="117"/>
      <c r="AR857" s="117"/>
      <c r="AS857" s="117"/>
      <c r="AT857" s="117"/>
      <c r="AU857" s="117"/>
      <c r="AV857" s="117"/>
      <c r="AW857" s="117"/>
      <c r="AX857" s="117"/>
      <c r="AY857" s="117"/>
      <c r="AZ857" s="117"/>
      <c r="BA857" s="117"/>
      <c r="BB857" s="117"/>
      <c r="BC857" s="117"/>
      <c r="BD857" s="117"/>
      <c r="BE857" s="117"/>
      <c r="BF857" s="117"/>
      <c r="BG857" s="117"/>
      <c r="BH857" s="117"/>
      <c r="BI857" s="117"/>
      <c r="BJ857" s="117"/>
      <c r="BK857" s="117"/>
      <c r="BL857" s="117"/>
      <c r="BM857" s="117"/>
      <c r="BN857" s="117"/>
      <c r="BO857" s="117"/>
      <c r="BP857" s="117"/>
      <c r="BQ857" s="117"/>
      <c r="BR857" s="117"/>
      <c r="BS857" s="117"/>
      <c r="BT857" s="117"/>
      <c r="BU857" s="117"/>
      <c r="BV857" s="117"/>
      <c r="BW857" s="117"/>
      <c r="BX857" s="117"/>
      <c r="BY857" s="117"/>
      <c r="BZ857" s="117"/>
      <c r="CA857" s="117"/>
    </row>
    <row r="858" spans="1:79" ht="12.75" customHeight="1">
      <c r="A858" s="117"/>
      <c r="B858" s="1"/>
      <c r="C858" s="1"/>
      <c r="D858" s="1"/>
      <c r="E858" s="1"/>
      <c r="F858" s="1"/>
      <c r="G858" s="1"/>
      <c r="H858" s="783"/>
      <c r="I858" s="783"/>
      <c r="J858" s="783"/>
      <c r="K858" s="783"/>
      <c r="L858" s="783"/>
      <c r="M858" s="783"/>
      <c r="N858" s="783"/>
      <c r="O858" s="783"/>
      <c r="P858" s="245"/>
      <c r="Q858" s="245"/>
      <c r="R858" s="245"/>
      <c r="S858" s="1"/>
      <c r="T858" s="1"/>
      <c r="U858" s="1"/>
      <c r="V858" s="1"/>
      <c r="W858" s="1"/>
      <c r="X858" s="1"/>
      <c r="Y858" s="1"/>
      <c r="Z858" s="785"/>
      <c r="AA858" s="785"/>
      <c r="AB858" s="785"/>
      <c r="AC858" s="785"/>
      <c r="AD858" s="785"/>
      <c r="AE858" s="785"/>
      <c r="AF858" s="785"/>
      <c r="AG858" s="785"/>
      <c r="AH858" s="17"/>
      <c r="AI858" s="17"/>
      <c r="AJ858" s="17"/>
      <c r="AK858" s="1"/>
      <c r="AL858" s="1"/>
      <c r="AM858" s="117"/>
      <c r="AN858" s="424"/>
      <c r="AO858" s="117"/>
      <c r="AP858" s="117"/>
      <c r="AQ858" s="117"/>
      <c r="AR858" s="117"/>
      <c r="AS858" s="117"/>
      <c r="AT858" s="117"/>
      <c r="AU858" s="117"/>
      <c r="AV858" s="117"/>
      <c r="AW858" s="117"/>
      <c r="AX858" s="117"/>
      <c r="AY858" s="117"/>
      <c r="AZ858" s="117"/>
      <c r="BA858" s="117"/>
      <c r="BB858" s="117"/>
      <c r="BC858" s="117"/>
      <c r="BD858" s="117"/>
      <c r="BE858" s="117"/>
      <c r="BF858" s="117"/>
      <c r="BG858" s="117"/>
      <c r="BH858" s="117"/>
      <c r="BI858" s="117"/>
      <c r="BJ858" s="117"/>
      <c r="BK858" s="117"/>
      <c r="BL858" s="117"/>
      <c r="BM858" s="117"/>
      <c r="BN858" s="117"/>
      <c r="BO858" s="117"/>
      <c r="BP858" s="117"/>
      <c r="BQ858" s="117"/>
      <c r="BR858" s="117"/>
      <c r="BS858" s="117"/>
      <c r="BT858" s="117"/>
      <c r="BU858" s="117"/>
      <c r="BV858" s="117"/>
      <c r="BW858" s="117"/>
      <c r="BX858" s="117"/>
      <c r="BY858" s="117"/>
      <c r="BZ858" s="117"/>
      <c r="CA858" s="117"/>
    </row>
    <row r="859" spans="1:79" ht="12.75" customHeight="1">
      <c r="A859" s="117"/>
      <c r="B859" s="1" t="s">
        <v>2552</v>
      </c>
      <c r="C859" s="1"/>
      <c r="D859" s="1"/>
      <c r="E859" s="1"/>
      <c r="F859" s="1"/>
      <c r="H859" s="967"/>
      <c r="I859" s="968"/>
      <c r="J859" s="968"/>
      <c r="K859" s="968"/>
      <c r="L859" s="968"/>
      <c r="M859" s="968"/>
      <c r="N859" s="968"/>
      <c r="O859" s="968"/>
      <c r="P859" s="968"/>
      <c r="Q859" s="968"/>
      <c r="R859" s="969"/>
      <c r="T859" s="1" t="s">
        <v>2552</v>
      </c>
      <c r="V859" s="1"/>
      <c r="W859" s="1"/>
      <c r="X859" s="1"/>
      <c r="Y859" s="1"/>
      <c r="AA859" s="967"/>
      <c r="AB859" s="968"/>
      <c r="AC859" s="968"/>
      <c r="AD859" s="968"/>
      <c r="AE859" s="968"/>
      <c r="AF859" s="968"/>
      <c r="AG859" s="968"/>
      <c r="AH859" s="968"/>
      <c r="AI859" s="968"/>
      <c r="AJ859" s="968"/>
      <c r="AK859" s="969"/>
      <c r="AL859" s="1"/>
      <c r="AM859" s="117"/>
      <c r="AN859" s="424"/>
      <c r="AO859" s="117"/>
      <c r="AP859" s="117"/>
      <c r="AQ859" s="117"/>
      <c r="AR859" s="117"/>
      <c r="AS859" s="117"/>
      <c r="AT859" s="117"/>
      <c r="AU859" s="117"/>
      <c r="AV859" s="117"/>
      <c r="AW859" s="117"/>
      <c r="AX859" s="117"/>
      <c r="AY859" s="117"/>
      <c r="AZ859" s="117"/>
      <c r="BA859" s="117"/>
      <c r="BB859" s="117"/>
      <c r="BC859" s="117"/>
      <c r="BD859" s="117"/>
      <c r="BE859" s="117"/>
      <c r="BF859" s="117"/>
      <c r="BG859" s="117"/>
      <c r="BH859" s="117"/>
      <c r="BI859" s="117"/>
      <c r="BJ859" s="117"/>
      <c r="BK859" s="117"/>
      <c r="BL859" s="117"/>
      <c r="BM859" s="117"/>
      <c r="BN859" s="117"/>
      <c r="BO859" s="117"/>
      <c r="BP859" s="117"/>
      <c r="BQ859" s="117"/>
      <c r="BR859" s="117"/>
      <c r="BS859" s="117"/>
      <c r="BT859" s="117"/>
      <c r="BU859" s="117"/>
      <c r="BV859" s="117"/>
      <c r="BW859" s="117"/>
      <c r="BX859" s="117"/>
      <c r="BY859" s="117"/>
      <c r="BZ859" s="117"/>
      <c r="CA859" s="117"/>
    </row>
    <row r="860" spans="1:79" ht="12.75" customHeight="1">
      <c r="A860" s="117"/>
      <c r="B860" s="1" t="s">
        <v>1347</v>
      </c>
      <c r="C860" s="1"/>
      <c r="D860" s="1"/>
      <c r="E860" s="1"/>
      <c r="F860" s="1"/>
      <c r="H860" s="970"/>
      <c r="I860" s="921"/>
      <c r="J860" s="921"/>
      <c r="K860" s="921"/>
      <c r="L860" s="921"/>
      <c r="M860" s="921"/>
      <c r="N860" s="921"/>
      <c r="O860" s="921"/>
      <c r="P860" s="921"/>
      <c r="Q860" s="921"/>
      <c r="R860" s="971"/>
      <c r="T860" s="1" t="s">
        <v>1347</v>
      </c>
      <c r="V860" s="1"/>
      <c r="W860" s="1"/>
      <c r="X860" s="1"/>
      <c r="Y860" s="1"/>
      <c r="AA860" s="970"/>
      <c r="AB860" s="921"/>
      <c r="AC860" s="921"/>
      <c r="AD860" s="921"/>
      <c r="AE860" s="921"/>
      <c r="AF860" s="921"/>
      <c r="AG860" s="921"/>
      <c r="AH860" s="921"/>
      <c r="AI860" s="921"/>
      <c r="AJ860" s="921"/>
      <c r="AK860" s="971"/>
      <c r="AL860" s="1"/>
      <c r="AM860" s="117"/>
      <c r="AN860" s="424"/>
      <c r="AO860" s="117"/>
      <c r="AP860" s="117"/>
      <c r="AQ860" s="117"/>
      <c r="AR860" s="117"/>
      <c r="AS860" s="117"/>
      <c r="AT860" s="117"/>
      <c r="AU860" s="117"/>
      <c r="AV860" s="117"/>
      <c r="AW860" s="117"/>
      <c r="AX860" s="117"/>
      <c r="AY860" s="117"/>
      <c r="AZ860" s="117"/>
      <c r="BA860" s="117"/>
      <c r="BB860" s="117"/>
      <c r="BC860" s="117"/>
      <c r="BD860" s="117"/>
      <c r="BE860" s="117"/>
      <c r="BF860" s="117"/>
      <c r="BG860" s="117"/>
      <c r="BH860" s="117"/>
      <c r="BI860" s="117"/>
      <c r="BJ860" s="117"/>
      <c r="BK860" s="117"/>
      <c r="BL860" s="117"/>
      <c r="BM860" s="117"/>
      <c r="BN860" s="117"/>
      <c r="BO860" s="117"/>
      <c r="BP860" s="117"/>
      <c r="BQ860" s="117"/>
      <c r="BR860" s="117"/>
      <c r="BS860" s="117"/>
      <c r="BT860" s="117"/>
      <c r="BU860" s="117"/>
      <c r="BV860" s="117"/>
      <c r="BW860" s="117"/>
      <c r="BX860" s="117"/>
      <c r="BY860" s="117"/>
      <c r="BZ860" s="117"/>
      <c r="CA860" s="117"/>
    </row>
    <row r="861" spans="1:79" ht="18" customHeight="1">
      <c r="A861" s="117"/>
      <c r="B861" s="1" t="s">
        <v>2553</v>
      </c>
      <c r="C861" s="1"/>
      <c r="D861" s="1"/>
      <c r="E861" s="1"/>
      <c r="F861" s="1"/>
      <c r="H861" s="970"/>
      <c r="I861" s="921"/>
      <c r="J861" s="921"/>
      <c r="K861" s="921"/>
      <c r="L861" s="921"/>
      <c r="M861" s="921"/>
      <c r="N861" s="921"/>
      <c r="O861" s="921"/>
      <c r="P861" s="921"/>
      <c r="Q861" s="921"/>
      <c r="R861" s="971"/>
      <c r="T861" s="1" t="s">
        <v>2553</v>
      </c>
      <c r="V861" s="1"/>
      <c r="W861" s="1"/>
      <c r="X861" s="1"/>
      <c r="Y861" s="1"/>
      <c r="AA861" s="970"/>
      <c r="AB861" s="921"/>
      <c r="AC861" s="921"/>
      <c r="AD861" s="921"/>
      <c r="AE861" s="921"/>
      <c r="AF861" s="921"/>
      <c r="AG861" s="921"/>
      <c r="AH861" s="921"/>
      <c r="AI861" s="921"/>
      <c r="AJ861" s="921"/>
      <c r="AK861" s="971"/>
      <c r="AL861" s="1"/>
      <c r="AM861" s="117"/>
      <c r="AN861" s="424"/>
      <c r="AO861" s="117"/>
      <c r="AP861" s="117"/>
      <c r="AQ861" s="117"/>
      <c r="AR861" s="117"/>
      <c r="AS861" s="117"/>
      <c r="AT861" s="117"/>
      <c r="AU861" s="117"/>
      <c r="AV861" s="117"/>
      <c r="AW861" s="117"/>
      <c r="AX861" s="117"/>
      <c r="AY861" s="117"/>
      <c r="AZ861" s="117"/>
      <c r="BA861" s="117"/>
      <c r="BB861" s="117"/>
      <c r="BC861" s="117"/>
      <c r="BD861" s="117"/>
      <c r="BE861" s="117"/>
      <c r="BF861" s="117"/>
      <c r="BG861" s="117"/>
      <c r="BH861" s="117"/>
      <c r="BI861" s="117"/>
      <c r="BJ861" s="117"/>
      <c r="BK861" s="117"/>
      <c r="BL861" s="117"/>
      <c r="BM861" s="117"/>
      <c r="BN861" s="117"/>
      <c r="BO861" s="117"/>
      <c r="BP861" s="117"/>
      <c r="BQ861" s="117"/>
      <c r="BR861" s="117"/>
      <c r="BS861" s="117"/>
      <c r="BT861" s="117"/>
      <c r="BU861" s="117"/>
      <c r="BV861" s="117"/>
      <c r="BW861" s="117"/>
      <c r="BX861" s="117"/>
      <c r="BY861" s="117"/>
      <c r="BZ861" s="117"/>
      <c r="CA861" s="117"/>
    </row>
    <row r="862" spans="1:79" ht="12.75" customHeight="1">
      <c r="A862" s="117"/>
      <c r="B862" s="1" t="s">
        <v>1259</v>
      </c>
      <c r="C862" s="1"/>
      <c r="D862" s="1"/>
      <c r="E862" s="1"/>
      <c r="F862" s="1"/>
      <c r="H862" s="970"/>
      <c r="I862" s="921"/>
      <c r="J862" s="921"/>
      <c r="K862" s="921"/>
      <c r="L862" s="921"/>
      <c r="M862" s="921"/>
      <c r="N862" s="921"/>
      <c r="O862" s="921"/>
      <c r="P862" s="921"/>
      <c r="Q862" s="921"/>
      <c r="R862" s="971"/>
      <c r="T862" s="1" t="s">
        <v>1259</v>
      </c>
      <c r="V862" s="1"/>
      <c r="W862" s="1"/>
      <c r="X862" s="1"/>
      <c r="Y862" s="1"/>
      <c r="AA862" s="970"/>
      <c r="AB862" s="921"/>
      <c r="AC862" s="921"/>
      <c r="AD862" s="921"/>
      <c r="AE862" s="921"/>
      <c r="AF862" s="921"/>
      <c r="AG862" s="921"/>
      <c r="AH862" s="921"/>
      <c r="AI862" s="921"/>
      <c r="AJ862" s="921"/>
      <c r="AK862" s="971"/>
      <c r="AL862" s="1"/>
      <c r="AM862" s="117"/>
      <c r="AN862" s="424"/>
      <c r="AO862" s="117"/>
      <c r="AP862" s="117"/>
      <c r="AQ862" s="117"/>
      <c r="AR862" s="117"/>
      <c r="AS862" s="117"/>
      <c r="AT862" s="117"/>
      <c r="AU862" s="117"/>
      <c r="AV862" s="117"/>
      <c r="AW862" s="117"/>
      <c r="AX862" s="117"/>
      <c r="AY862" s="117"/>
      <c r="AZ862" s="117"/>
      <c r="BA862" s="117"/>
      <c r="BB862" s="117"/>
      <c r="BC862" s="117"/>
      <c r="BD862" s="117"/>
      <c r="BE862" s="117"/>
      <c r="BF862" s="117"/>
      <c r="BG862" s="117"/>
      <c r="BH862" s="117"/>
      <c r="BI862" s="117"/>
      <c r="BJ862" s="117"/>
      <c r="BK862" s="117"/>
      <c r="BL862" s="117"/>
      <c r="BM862" s="117"/>
      <c r="BN862" s="117"/>
      <c r="BO862" s="117"/>
      <c r="BP862" s="117"/>
      <c r="BQ862" s="117"/>
      <c r="BR862" s="117"/>
      <c r="BS862" s="117"/>
      <c r="BT862" s="117"/>
      <c r="BU862" s="117"/>
      <c r="BV862" s="117"/>
      <c r="BW862" s="117"/>
      <c r="BX862" s="117"/>
      <c r="BY862" s="117"/>
      <c r="BZ862" s="117"/>
      <c r="CA862" s="117"/>
    </row>
    <row r="863" spans="1:79" ht="12.75" customHeight="1">
      <c r="A863" s="117"/>
      <c r="B863" s="1" t="s">
        <v>1261</v>
      </c>
      <c r="C863" s="1"/>
      <c r="D863" s="1"/>
      <c r="E863" s="1"/>
      <c r="F863" s="1"/>
      <c r="G863" s="1"/>
      <c r="H863" s="1105"/>
      <c r="I863" s="968"/>
      <c r="J863" s="968"/>
      <c r="K863" s="968"/>
      <c r="L863" s="968"/>
      <c r="M863" s="969"/>
      <c r="N863" s="1" t="s">
        <v>1263</v>
      </c>
      <c r="O863" s="1"/>
      <c r="P863" s="967"/>
      <c r="Q863" s="968"/>
      <c r="R863" s="969"/>
      <c r="S863" s="1"/>
      <c r="T863" s="1" t="s">
        <v>1261</v>
      </c>
      <c r="V863" s="1"/>
      <c r="W863" s="1"/>
      <c r="X863" s="1"/>
      <c r="Y863" s="1"/>
      <c r="AA863" s="1105"/>
      <c r="AB863" s="968"/>
      <c r="AC863" s="968"/>
      <c r="AD863" s="968"/>
      <c r="AE863" s="968"/>
      <c r="AF863" s="969"/>
      <c r="AG863" s="1" t="s">
        <v>1263</v>
      </c>
      <c r="AH863" s="1"/>
      <c r="AI863" s="967"/>
      <c r="AJ863" s="968"/>
      <c r="AK863" s="969"/>
      <c r="AL863" s="1"/>
      <c r="AM863" s="117"/>
      <c r="AN863" s="424"/>
      <c r="AO863" s="117"/>
      <c r="AP863" s="117"/>
      <c r="AQ863" s="117"/>
      <c r="AR863" s="117"/>
      <c r="AS863" s="117"/>
      <c r="AT863" s="117"/>
      <c r="AU863" s="117"/>
      <c r="AV863" s="117"/>
      <c r="AW863" s="117"/>
      <c r="AX863" s="117"/>
      <c r="AY863" s="117"/>
      <c r="AZ863" s="117"/>
      <c r="BA863" s="117"/>
      <c r="BB863" s="117"/>
      <c r="BC863" s="117"/>
      <c r="BD863" s="117"/>
      <c r="BE863" s="117"/>
      <c r="BF863" s="117"/>
      <c r="BG863" s="117"/>
      <c r="BH863" s="117"/>
      <c r="BI863" s="117"/>
      <c r="BJ863" s="117"/>
      <c r="BK863" s="117"/>
      <c r="BL863" s="117"/>
      <c r="BM863" s="117"/>
      <c r="BN863" s="117"/>
      <c r="BO863" s="117"/>
      <c r="BP863" s="117"/>
      <c r="BQ863" s="117"/>
      <c r="BR863" s="117"/>
      <c r="BS863" s="117"/>
      <c r="BT863" s="117"/>
      <c r="BU863" s="117"/>
      <c r="BV863" s="117"/>
      <c r="BW863" s="117"/>
      <c r="BX863" s="117"/>
      <c r="BY863" s="117"/>
      <c r="BZ863" s="117"/>
      <c r="CA863" s="117"/>
    </row>
    <row r="864" spans="1:79" ht="12.75" customHeight="1">
      <c r="A864" s="117"/>
      <c r="B864" s="1" t="s">
        <v>2556</v>
      </c>
      <c r="C864" s="1"/>
      <c r="D864" s="1"/>
      <c r="E864" s="1"/>
      <c r="F864" s="1"/>
      <c r="G864" s="1"/>
      <c r="H864" s="970"/>
      <c r="I864" s="921"/>
      <c r="J864" s="921"/>
      <c r="K864" s="921"/>
      <c r="L864" s="921"/>
      <c r="M864" s="921"/>
      <c r="N864" s="921"/>
      <c r="O864" s="921"/>
      <c r="P864" s="921"/>
      <c r="Q864" s="921"/>
      <c r="R864" s="971"/>
      <c r="S864" s="1"/>
      <c r="T864" s="1" t="s">
        <v>2556</v>
      </c>
      <c r="V864" s="1"/>
      <c r="W864" s="1"/>
      <c r="X864" s="1"/>
      <c r="Y864" s="1"/>
      <c r="AA864" s="970"/>
      <c r="AB864" s="921"/>
      <c r="AC864" s="921"/>
      <c r="AD864" s="921"/>
      <c r="AE864" s="921"/>
      <c r="AF864" s="921"/>
      <c r="AG864" s="921"/>
      <c r="AH864" s="921"/>
      <c r="AI864" s="921"/>
      <c r="AJ864" s="921"/>
      <c r="AK864" s="971"/>
      <c r="AL864" s="1"/>
      <c r="AM864" s="117"/>
      <c r="AN864" s="424"/>
      <c r="AO864" s="117"/>
      <c r="AP864" s="117"/>
      <c r="AQ864" s="117"/>
      <c r="AR864" s="117"/>
      <c r="AS864" s="117"/>
      <c r="AT864" s="117"/>
      <c r="AU864" s="117"/>
      <c r="AV864" s="117"/>
      <c r="AW864" s="117"/>
      <c r="AX864" s="117"/>
      <c r="AY864" s="117"/>
      <c r="AZ864" s="117"/>
      <c r="BA864" s="117"/>
      <c r="BB864" s="117"/>
      <c r="BC864" s="117"/>
      <c r="BD864" s="117"/>
      <c r="BE864" s="117"/>
      <c r="BF864" s="117"/>
      <c r="BG864" s="117"/>
      <c r="BH864" s="117"/>
      <c r="BI864" s="117"/>
      <c r="BJ864" s="117"/>
      <c r="BK864" s="117"/>
      <c r="BL864" s="117"/>
      <c r="BM864" s="117"/>
      <c r="BN864" s="117"/>
      <c r="BO864" s="117"/>
      <c r="BP864" s="117"/>
      <c r="BQ864" s="117"/>
      <c r="BR864" s="117"/>
      <c r="BS864" s="117"/>
      <c r="BT864" s="117"/>
      <c r="BU864" s="117"/>
      <c r="BV864" s="117"/>
      <c r="BW864" s="117"/>
      <c r="BX864" s="117"/>
      <c r="BY864" s="117"/>
      <c r="BZ864" s="117"/>
      <c r="CA864" s="117"/>
    </row>
    <row r="865" spans="1:79" ht="12.75" customHeight="1">
      <c r="A865" s="117"/>
      <c r="B865" s="1" t="s">
        <v>2558</v>
      </c>
      <c r="C865" s="1"/>
      <c r="D865" s="1"/>
      <c r="E865" s="1"/>
      <c r="F865" s="1"/>
      <c r="G865" s="1"/>
      <c r="H865" s="970"/>
      <c r="I865" s="921"/>
      <c r="J865" s="921"/>
      <c r="K865" s="921"/>
      <c r="L865" s="921"/>
      <c r="M865" s="921"/>
      <c r="N865" s="921"/>
      <c r="O865" s="921"/>
      <c r="P865" s="921"/>
      <c r="Q865" s="921"/>
      <c r="R865" s="971"/>
      <c r="S865" s="1"/>
      <c r="T865" s="1" t="s">
        <v>2558</v>
      </c>
      <c r="V865" s="1"/>
      <c r="W865" s="1"/>
      <c r="X865" s="1"/>
      <c r="Y865" s="1"/>
      <c r="AA865" s="970"/>
      <c r="AB865" s="921"/>
      <c r="AC865" s="921"/>
      <c r="AD865" s="921"/>
      <c r="AE865" s="921"/>
      <c r="AF865" s="921"/>
      <c r="AG865" s="921"/>
      <c r="AH865" s="921"/>
      <c r="AI865" s="921"/>
      <c r="AJ865" s="921"/>
      <c r="AK865" s="971"/>
      <c r="AL865" s="1"/>
      <c r="AM865" s="117"/>
      <c r="AN865" s="424"/>
      <c r="AO865" s="117"/>
      <c r="AP865" s="117"/>
      <c r="AQ865" s="117"/>
      <c r="AR865" s="117"/>
      <c r="AS865" s="117"/>
      <c r="AT865" s="117"/>
      <c r="AU865" s="117"/>
      <c r="AV865" s="117"/>
      <c r="AW865" s="117"/>
      <c r="AX865" s="117"/>
      <c r="AY865" s="117"/>
      <c r="AZ865" s="117"/>
      <c r="BA865" s="117"/>
      <c r="BB865" s="117"/>
      <c r="BC865" s="117"/>
      <c r="BD865" s="117"/>
      <c r="BE865" s="117"/>
      <c r="BF865" s="117"/>
      <c r="BG865" s="117"/>
      <c r="BH865" s="117"/>
      <c r="BI865" s="117"/>
      <c r="BJ865" s="117"/>
      <c r="BK865" s="117"/>
      <c r="BL865" s="117"/>
      <c r="BM865" s="117"/>
      <c r="BN865" s="117"/>
      <c r="BO865" s="117"/>
      <c r="BP865" s="117"/>
      <c r="BQ865" s="117"/>
      <c r="BR865" s="117"/>
      <c r="BS865" s="117"/>
      <c r="BT865" s="117"/>
      <c r="BU865" s="117"/>
      <c r="BV865" s="117"/>
      <c r="BW865" s="117"/>
      <c r="BX865" s="117"/>
      <c r="BY865" s="117"/>
      <c r="BZ865" s="117"/>
      <c r="CA865" s="117"/>
    </row>
    <row r="866" spans="1:79" ht="12.75" customHeight="1">
      <c r="A866" s="117"/>
      <c r="B866" s="1" t="s">
        <v>2560</v>
      </c>
      <c r="C866" s="1"/>
      <c r="D866" s="1"/>
      <c r="E866" s="1"/>
      <c r="F866" s="1"/>
      <c r="G866" s="1"/>
      <c r="H866" s="1115"/>
      <c r="I866" s="921"/>
      <c r="J866" s="921"/>
      <c r="K866" s="921"/>
      <c r="L866" s="921"/>
      <c r="M866" s="921"/>
      <c r="N866" s="921"/>
      <c r="O866" s="921"/>
      <c r="P866" s="921"/>
      <c r="Q866" s="921"/>
      <c r="R866" s="971"/>
      <c r="S866" s="1"/>
      <c r="T866" s="1" t="s">
        <v>2560</v>
      </c>
      <c r="U866" s="1"/>
      <c r="V866" s="1"/>
      <c r="W866" s="1"/>
      <c r="X866" s="1"/>
      <c r="Y866" s="1"/>
      <c r="Z866" s="17"/>
      <c r="AA866" s="1115"/>
      <c r="AB866" s="921"/>
      <c r="AC866" s="921"/>
      <c r="AD866" s="921"/>
      <c r="AE866" s="921"/>
      <c r="AF866" s="921"/>
      <c r="AG866" s="921"/>
      <c r="AH866" s="921"/>
      <c r="AI866" s="921"/>
      <c r="AJ866" s="921"/>
      <c r="AK866" s="971"/>
      <c r="AL866" s="1"/>
      <c r="AM866" s="117"/>
      <c r="AN866" s="424"/>
      <c r="AO866" s="117"/>
      <c r="AP866" s="117"/>
      <c r="AQ866" s="117"/>
      <c r="AR866" s="117"/>
      <c r="AS866" s="117"/>
      <c r="AT866" s="117"/>
      <c r="AU866" s="117"/>
      <c r="AV866" s="117"/>
      <c r="AW866" s="117"/>
      <c r="AX866" s="117"/>
      <c r="AY866" s="117"/>
      <c r="AZ866" s="117"/>
      <c r="BA866" s="117"/>
      <c r="BB866" s="117"/>
      <c r="BC866" s="117"/>
      <c r="BD866" s="117"/>
      <c r="BE866" s="117"/>
      <c r="BF866" s="117"/>
      <c r="BG866" s="117"/>
      <c r="BH866" s="117"/>
      <c r="BI866" s="117"/>
      <c r="BJ866" s="117"/>
      <c r="BK866" s="117"/>
      <c r="BL866" s="117"/>
      <c r="BM866" s="117"/>
      <c r="BN866" s="117"/>
      <c r="BO866" s="117"/>
      <c r="BP866" s="117"/>
      <c r="BQ866" s="117"/>
      <c r="BR866" s="117"/>
      <c r="BS866" s="117"/>
      <c r="BT866" s="117"/>
      <c r="BU866" s="117"/>
      <c r="BV866" s="117"/>
      <c r="BW866" s="117"/>
      <c r="BX866" s="117"/>
      <c r="BY866" s="117"/>
      <c r="BZ866" s="117"/>
      <c r="CA866" s="117"/>
    </row>
    <row r="867" spans="1:79" ht="12.75" customHeight="1">
      <c r="A867" s="798"/>
      <c r="B867" s="798"/>
      <c r="C867" s="432"/>
      <c r="D867" s="799"/>
      <c r="E867" s="799"/>
      <c r="F867" s="799"/>
      <c r="G867" s="799"/>
      <c r="H867" s="799"/>
      <c r="I867" s="799"/>
      <c r="J867" s="799"/>
      <c r="K867" s="799"/>
      <c r="L867" s="799"/>
      <c r="M867" s="799"/>
      <c r="N867" s="799"/>
      <c r="O867" s="799"/>
      <c r="P867" s="799"/>
      <c r="Q867" s="799"/>
      <c r="R867" s="799"/>
      <c r="S867" s="799"/>
      <c r="T867" s="799"/>
      <c r="U867" s="799"/>
      <c r="V867" s="799"/>
      <c r="W867" s="799"/>
      <c r="X867" s="799"/>
      <c r="Y867" s="799"/>
      <c r="Z867" s="799"/>
      <c r="AA867" s="799"/>
      <c r="AB867" s="799"/>
      <c r="AC867" s="799"/>
      <c r="AD867" s="373"/>
      <c r="AE867" s="799"/>
      <c r="AF867" s="799"/>
      <c r="AG867" s="799"/>
      <c r="AH867" s="799"/>
      <c r="AI867" s="432"/>
      <c r="AJ867" s="432"/>
      <c r="AK867" s="432"/>
      <c r="AL867" s="432"/>
      <c r="AM867" s="432"/>
      <c r="AN867" s="424"/>
      <c r="AO867" s="117"/>
      <c r="AP867" s="117"/>
      <c r="AQ867" s="117"/>
      <c r="AR867" s="117"/>
      <c r="AS867" s="117"/>
      <c r="AT867" s="117"/>
      <c r="AU867" s="117"/>
      <c r="AV867" s="117"/>
      <c r="AW867" s="117"/>
      <c r="AX867" s="117"/>
      <c r="AY867" s="117"/>
      <c r="AZ867" s="117"/>
      <c r="BA867" s="117"/>
      <c r="BB867" s="117"/>
      <c r="BC867" s="117"/>
      <c r="BD867" s="117"/>
      <c r="BE867" s="117"/>
      <c r="BF867" s="117"/>
      <c r="BG867" s="117"/>
      <c r="BH867" s="117"/>
      <c r="BI867" s="117"/>
      <c r="BJ867" s="117"/>
      <c r="BK867" s="117"/>
      <c r="BL867" s="117"/>
      <c r="BM867" s="117"/>
      <c r="BN867" s="117"/>
      <c r="BO867" s="117"/>
      <c r="BP867" s="117"/>
      <c r="BQ867" s="117"/>
      <c r="BR867" s="117"/>
      <c r="BS867" s="117"/>
      <c r="BT867" s="117"/>
      <c r="BU867" s="117"/>
      <c r="BV867" s="117"/>
      <c r="BW867" s="117"/>
      <c r="BX867" s="117"/>
      <c r="BY867" s="117"/>
      <c r="BZ867" s="117"/>
      <c r="CA867" s="117"/>
    </row>
    <row r="868" spans="1:79" ht="12.75" customHeight="1">
      <c r="A868" s="1"/>
      <c r="B868" s="117"/>
      <c r="C868" s="117"/>
      <c r="D868" s="117"/>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c r="AA868" s="117"/>
      <c r="AB868" s="117"/>
      <c r="AC868" s="117"/>
      <c r="AD868" s="117"/>
      <c r="AE868" s="117"/>
      <c r="AF868" s="117"/>
      <c r="AG868" s="117"/>
      <c r="AH868" s="117"/>
      <c r="AI868" s="117"/>
      <c r="AJ868" s="117"/>
      <c r="AK868" s="117"/>
      <c r="AL868" s="117"/>
      <c r="AM868" s="117"/>
      <c r="AN868" s="345"/>
      <c r="AO868" s="203"/>
      <c r="AP868" s="1"/>
      <c r="AQ868" s="1"/>
      <c r="AR868" s="1"/>
      <c r="AS868" s="1"/>
      <c r="AT868" s="1"/>
      <c r="AU868" s="1"/>
      <c r="AV868" s="1"/>
      <c r="AW868" s="1"/>
      <c r="AX868" s="1"/>
      <c r="AY868" s="1"/>
      <c r="AZ868" s="1"/>
      <c r="BA868" s="1"/>
      <c r="BB868" s="1"/>
      <c r="BC868" s="1"/>
      <c r="BD868" s="126"/>
      <c r="BE868" s="126"/>
      <c r="BF868" s="126"/>
      <c r="BG868" s="126"/>
      <c r="BH868" s="126"/>
      <c r="BI868" s="1"/>
      <c r="BJ868" s="1"/>
      <c r="BK868" s="1"/>
      <c r="BL868" s="1"/>
      <c r="BM868" s="1"/>
      <c r="BN868" s="1"/>
      <c r="BO868" s="1"/>
      <c r="BP868" s="1"/>
      <c r="BQ868" s="1"/>
      <c r="BR868" s="1"/>
      <c r="BS868" s="1"/>
      <c r="BT868" s="1"/>
      <c r="BU868" s="1"/>
      <c r="BV868" s="1"/>
      <c r="BW868" s="1"/>
      <c r="BX868" s="1"/>
      <c r="BY868" s="1"/>
      <c r="BZ868" s="1"/>
      <c r="CA868" s="1"/>
    </row>
    <row r="869" spans="1:79" ht="12.75" customHeight="1">
      <c r="A869" s="1423" t="s">
        <v>2587</v>
      </c>
      <c r="B869" s="947"/>
      <c r="C869" s="947"/>
      <c r="D869" s="947"/>
      <c r="E869" s="947"/>
      <c r="F869" s="947"/>
      <c r="G869" s="947"/>
      <c r="H869" s="947"/>
      <c r="I869" s="947"/>
      <c r="J869" s="947"/>
      <c r="K869" s="947"/>
      <c r="L869" s="947"/>
      <c r="M869" s="947"/>
      <c r="N869" s="947"/>
      <c r="O869" s="947"/>
      <c r="P869" s="947"/>
      <c r="Q869" s="947"/>
      <c r="R869" s="947"/>
      <c r="S869" s="947"/>
      <c r="T869" s="947"/>
      <c r="U869" s="947"/>
      <c r="V869" s="947"/>
      <c r="W869" s="947"/>
      <c r="X869" s="947"/>
      <c r="Y869" s="947"/>
      <c r="Z869" s="947"/>
      <c r="AA869" s="947"/>
      <c r="AB869" s="947"/>
      <c r="AC869" s="947"/>
      <c r="AD869" s="947"/>
      <c r="AE869" s="947"/>
      <c r="AF869" s="947"/>
      <c r="AG869" s="947"/>
      <c r="AH869" s="947"/>
      <c r="AI869" s="947"/>
      <c r="AJ869" s="947"/>
      <c r="AK869" s="947"/>
      <c r="AL869" s="947"/>
      <c r="AM869" s="1374"/>
      <c r="AN869" s="345"/>
      <c r="AO869" s="203"/>
      <c r="AP869" s="1"/>
      <c r="AQ869" s="1"/>
      <c r="AR869" s="1"/>
      <c r="AS869" s="1"/>
      <c r="AT869" s="1"/>
      <c r="AU869" s="1"/>
      <c r="AV869" s="1"/>
      <c r="AW869" s="1"/>
      <c r="AX869" s="1"/>
      <c r="AY869" s="1"/>
      <c r="AZ869" s="1"/>
      <c r="BA869" s="1"/>
      <c r="BB869" s="1"/>
      <c r="BC869" s="1"/>
      <c r="BD869" s="126"/>
      <c r="BE869" s="126"/>
      <c r="BF869" s="126"/>
      <c r="BG869" s="126"/>
      <c r="BH869" s="126"/>
      <c r="BI869" s="1"/>
      <c r="BJ869" s="1"/>
      <c r="BK869" s="1"/>
      <c r="BL869" s="1"/>
      <c r="BM869" s="1"/>
      <c r="BN869" s="1"/>
      <c r="BO869" s="1"/>
      <c r="BP869" s="1"/>
      <c r="BQ869" s="1"/>
      <c r="BR869" s="1"/>
      <c r="BS869" s="1"/>
      <c r="BT869" s="1"/>
      <c r="BU869" s="1"/>
      <c r="BV869" s="1"/>
      <c r="BW869" s="1"/>
      <c r="BX869" s="1"/>
      <c r="BY869" s="1"/>
      <c r="BZ869" s="1"/>
      <c r="CA869" s="1"/>
    </row>
    <row r="870" spans="1:79" ht="12.75" customHeight="1">
      <c r="A870" s="989"/>
      <c r="B870" s="990"/>
      <c r="C870" s="990"/>
      <c r="D870" s="990"/>
      <c r="E870" s="990"/>
      <c r="F870" s="990"/>
      <c r="G870" s="990"/>
      <c r="H870" s="990"/>
      <c r="I870" s="990"/>
      <c r="J870" s="990"/>
      <c r="K870" s="990"/>
      <c r="L870" s="990"/>
      <c r="M870" s="990"/>
      <c r="N870" s="990"/>
      <c r="O870" s="990"/>
      <c r="P870" s="990"/>
      <c r="Q870" s="990"/>
      <c r="R870" s="990"/>
      <c r="S870" s="990"/>
      <c r="T870" s="990"/>
      <c r="U870" s="990"/>
      <c r="V870" s="990"/>
      <c r="W870" s="990"/>
      <c r="X870" s="990"/>
      <c r="Y870" s="990"/>
      <c r="Z870" s="990"/>
      <c r="AA870" s="990"/>
      <c r="AB870" s="990"/>
      <c r="AC870" s="990"/>
      <c r="AD870" s="990"/>
      <c r="AE870" s="990"/>
      <c r="AF870" s="990"/>
      <c r="AG870" s="990"/>
      <c r="AH870" s="990"/>
      <c r="AI870" s="990"/>
      <c r="AJ870" s="990"/>
      <c r="AK870" s="990"/>
      <c r="AL870" s="990"/>
      <c r="AM870" s="991"/>
      <c r="AN870" s="345"/>
      <c r="AO870" s="406"/>
      <c r="AP870" s="406"/>
      <c r="AQ870" s="406"/>
      <c r="AR870" s="1"/>
      <c r="AS870" s="1"/>
      <c r="AT870" s="1"/>
      <c r="AU870" s="1"/>
      <c r="AV870" s="1"/>
      <c r="AW870" s="1"/>
      <c r="AX870" s="1"/>
      <c r="AY870" s="1"/>
      <c r="AZ870" s="1"/>
      <c r="BA870" s="1"/>
      <c r="BB870" s="1"/>
      <c r="BC870" s="1"/>
      <c r="BD870" s="126"/>
      <c r="BE870" s="126"/>
      <c r="BF870" s="126"/>
      <c r="BG870" s="126"/>
      <c r="BH870" s="126"/>
      <c r="BI870" s="1"/>
      <c r="BJ870" s="1"/>
      <c r="BK870" s="1"/>
      <c r="BL870" s="1"/>
      <c r="BM870" s="1"/>
      <c r="BN870" s="1"/>
      <c r="BO870" s="1"/>
      <c r="BP870" s="1"/>
      <c r="BQ870" s="1"/>
      <c r="BR870" s="1"/>
      <c r="BS870" s="1"/>
      <c r="BT870" s="1"/>
      <c r="BU870" s="1"/>
      <c r="BV870" s="1"/>
      <c r="BW870" s="1"/>
      <c r="BX870" s="1"/>
      <c r="BY870" s="1"/>
      <c r="BZ870" s="1"/>
      <c r="CA870" s="1"/>
    </row>
    <row r="871" spans="1:79" ht="12.75" customHeight="1">
      <c r="A871" s="117"/>
      <c r="B871" s="15"/>
      <c r="C871" s="99"/>
      <c r="D871" s="99"/>
      <c r="E871" s="99"/>
      <c r="F871" s="99"/>
      <c r="G871" s="99"/>
      <c r="H871" s="99"/>
      <c r="I871" s="320"/>
      <c r="J871" s="320"/>
      <c r="K871" s="320"/>
      <c r="L871" s="320"/>
      <c r="M871" s="320"/>
      <c r="N871" s="320"/>
      <c r="O871" s="320"/>
      <c r="P871" s="320"/>
      <c r="Q871" s="320"/>
      <c r="R871" s="1"/>
      <c r="S871" s="8"/>
      <c r="T871" s="8"/>
      <c r="U871" s="8"/>
      <c r="V871" s="8"/>
      <c r="W871" s="8"/>
      <c r="X871" s="8"/>
      <c r="Y871" s="8"/>
      <c r="Z871" s="8"/>
      <c r="AA871" s="8"/>
      <c r="AB871" s="8"/>
      <c r="AC871" s="8"/>
      <c r="AD871" s="8"/>
      <c r="AE871" s="8"/>
      <c r="AF871" s="1"/>
      <c r="AG871" s="8"/>
      <c r="AH871" s="8"/>
      <c r="AI871" s="8"/>
      <c r="AJ871" s="8"/>
      <c r="AK871" s="117"/>
      <c r="AL871" s="117"/>
      <c r="AM871" s="191"/>
      <c r="AN871" s="345"/>
      <c r="AO871" s="406"/>
      <c r="AP871" s="406"/>
      <c r="AQ871" s="406"/>
      <c r="AR871" s="1"/>
      <c r="AS871" s="1"/>
      <c r="AT871" s="1"/>
      <c r="AU871" s="1"/>
      <c r="AV871" s="1"/>
      <c r="AW871" s="1"/>
      <c r="AX871" s="1"/>
      <c r="AY871" s="1"/>
      <c r="AZ871" s="1"/>
      <c r="BA871" s="1"/>
      <c r="BB871" s="1"/>
      <c r="BC871" s="1"/>
      <c r="BD871" s="126"/>
      <c r="BE871" s="126"/>
      <c r="BF871" s="126"/>
      <c r="BG871" s="126"/>
      <c r="BH871" s="126"/>
      <c r="BI871" s="1"/>
      <c r="BJ871" s="1"/>
      <c r="BK871" s="1"/>
      <c r="BL871" s="1"/>
      <c r="BM871" s="1"/>
      <c r="BN871" s="1"/>
      <c r="BO871" s="1"/>
      <c r="BP871" s="1"/>
      <c r="BQ871" s="1"/>
      <c r="BR871" s="1"/>
      <c r="BS871" s="1"/>
      <c r="BT871" s="1"/>
      <c r="BU871" s="1"/>
      <c r="BV871" s="1"/>
      <c r="BW871" s="1"/>
      <c r="BX871" s="1"/>
      <c r="BY871" s="1"/>
      <c r="BZ871" s="1"/>
      <c r="CA871" s="1"/>
    </row>
    <row r="872" spans="1:79" ht="12.75" customHeight="1">
      <c r="A872" s="939"/>
      <c r="B872" s="893"/>
      <c r="C872" s="893"/>
      <c r="D872" s="893"/>
      <c r="E872" s="893"/>
      <c r="F872" s="893"/>
      <c r="G872" s="893"/>
      <c r="H872" s="893"/>
      <c r="I872" s="893"/>
      <c r="J872" s="893"/>
      <c r="K872" s="893"/>
      <c r="L872" s="893"/>
      <c r="M872" s="893"/>
      <c r="N872" s="893"/>
      <c r="O872" s="893"/>
      <c r="P872" s="893"/>
      <c r="Q872" s="893"/>
      <c r="R872" s="893"/>
      <c r="S872" s="893"/>
      <c r="T872" s="893"/>
      <c r="U872" s="893"/>
      <c r="V872" s="893"/>
      <c r="W872" s="893"/>
      <c r="X872" s="893"/>
      <c r="Y872" s="893"/>
      <c r="Z872" s="893"/>
      <c r="AA872" s="893"/>
      <c r="AB872" s="893"/>
      <c r="AC872" s="893"/>
      <c r="AD872" s="893"/>
      <c r="AE872" s="893"/>
      <c r="AF872" s="893"/>
      <c r="AG872" s="893"/>
      <c r="AH872" s="893"/>
      <c r="AI872" s="893"/>
      <c r="AJ872" s="893"/>
      <c r="AK872" s="893"/>
      <c r="AL872" s="893"/>
      <c r="AM872" s="893"/>
      <c r="AN872" s="345"/>
      <c r="AO872" s="203"/>
      <c r="AP872" s="406"/>
      <c r="AQ872" s="406"/>
      <c r="AR872" s="1"/>
      <c r="AS872" s="1"/>
      <c r="AT872" s="1"/>
      <c r="AU872" s="1"/>
      <c r="AV872" s="1"/>
      <c r="AW872" s="1"/>
      <c r="AX872" s="1"/>
      <c r="AY872" s="1"/>
      <c r="AZ872" s="1"/>
      <c r="BA872" s="1"/>
      <c r="BB872" s="1"/>
      <c r="BC872" s="1"/>
      <c r="BD872" s="126"/>
      <c r="BE872" s="126"/>
      <c r="BF872" s="126"/>
      <c r="BG872" s="126"/>
      <c r="BH872" s="126"/>
      <c r="BI872" s="1"/>
      <c r="BJ872" s="1"/>
      <c r="BK872" s="1"/>
      <c r="BL872" s="1"/>
      <c r="BM872" s="1"/>
      <c r="BN872" s="1"/>
      <c r="BO872" s="1"/>
      <c r="BP872" s="1"/>
      <c r="BQ872" s="1"/>
      <c r="BR872" s="1"/>
      <c r="BS872" s="1"/>
      <c r="BT872" s="1"/>
      <c r="BU872" s="1"/>
      <c r="BV872" s="1"/>
      <c r="BW872" s="1"/>
      <c r="BX872" s="1"/>
      <c r="BY872" s="1"/>
      <c r="BZ872" s="1"/>
      <c r="CA872" s="1"/>
    </row>
    <row r="873" spans="1:79" ht="12.75" customHeight="1">
      <c r="A873" s="939"/>
      <c r="B873" s="893"/>
      <c r="C873" s="893"/>
      <c r="D873" s="893"/>
      <c r="E873" s="893"/>
      <c r="F873" s="893"/>
      <c r="G873" s="893"/>
      <c r="H873" s="893"/>
      <c r="I873" s="893"/>
      <c r="J873" s="893"/>
      <c r="K873" s="893"/>
      <c r="L873" s="893"/>
      <c r="M873" s="893"/>
      <c r="N873" s="893"/>
      <c r="O873" s="893"/>
      <c r="P873" s="893"/>
      <c r="Q873" s="893"/>
      <c r="R873" s="893"/>
      <c r="S873" s="893"/>
      <c r="T873" s="893"/>
      <c r="U873" s="893"/>
      <c r="V873" s="893"/>
      <c r="W873" s="893"/>
      <c r="X873" s="893"/>
      <c r="Y873" s="893"/>
      <c r="Z873" s="893"/>
      <c r="AA873" s="893"/>
      <c r="AB873" s="893"/>
      <c r="AC873" s="893"/>
      <c r="AD873" s="893"/>
      <c r="AE873" s="893"/>
      <c r="AF873" s="893"/>
      <c r="AG873" s="893"/>
      <c r="AH873" s="893"/>
      <c r="AI873" s="893"/>
      <c r="AJ873" s="893"/>
      <c r="AK873" s="893"/>
      <c r="AL873" s="893"/>
      <c r="AM873" s="893"/>
      <c r="AN873" s="345"/>
      <c r="AO873" s="406"/>
      <c r="AP873" s="1"/>
      <c r="AQ873" s="406"/>
      <c r="AR873" s="1"/>
      <c r="AS873" s="1"/>
      <c r="AT873" s="1"/>
      <c r="AU873" s="1"/>
      <c r="AV873" s="1"/>
      <c r="AW873" s="1"/>
      <c r="AX873" s="1"/>
      <c r="AY873" s="1"/>
      <c r="AZ873" s="1"/>
      <c r="BA873" s="1"/>
      <c r="BB873" s="1"/>
      <c r="BC873" s="1"/>
      <c r="BD873" s="126"/>
      <c r="BE873" s="126"/>
      <c r="BF873" s="126"/>
      <c r="BG873" s="126"/>
      <c r="BH873" s="126"/>
      <c r="BI873" s="1"/>
      <c r="BJ873" s="1"/>
      <c r="BK873" s="1"/>
      <c r="BL873" s="1"/>
      <c r="BM873" s="1"/>
      <c r="BN873" s="1"/>
      <c r="BO873" s="1"/>
      <c r="BP873" s="1"/>
      <c r="BQ873" s="1"/>
      <c r="BR873" s="1"/>
      <c r="BS873" s="1"/>
      <c r="BT873" s="1"/>
      <c r="BU873" s="1"/>
      <c r="BV873" s="1"/>
      <c r="BW873" s="1"/>
      <c r="BX873" s="1"/>
      <c r="BY873" s="1"/>
      <c r="BZ873" s="1"/>
      <c r="CA873" s="1"/>
    </row>
    <row r="874" spans="1:79" ht="12.75" customHeight="1">
      <c r="A874" s="802"/>
      <c r="B874" s="579"/>
      <c r="C874" s="579"/>
      <c r="D874" s="579"/>
      <c r="E874" s="579"/>
      <c r="F874" s="579"/>
      <c r="G874" s="579"/>
      <c r="H874" s="579"/>
      <c r="I874" s="579"/>
      <c r="J874" s="579"/>
      <c r="K874" s="579"/>
      <c r="L874" s="579"/>
      <c r="M874" s="579"/>
      <c r="N874" s="579"/>
      <c r="O874" s="579"/>
      <c r="P874" s="579"/>
      <c r="Q874" s="579"/>
      <c r="R874" s="579"/>
      <c r="S874" s="708"/>
      <c r="T874" s="993" t="s">
        <v>2593</v>
      </c>
      <c r="U874" s="947"/>
      <c r="V874" s="947"/>
      <c r="W874" s="947"/>
      <c r="X874" s="947"/>
      <c r="Y874" s="948"/>
      <c r="Z874" s="993" t="s">
        <v>2594</v>
      </c>
      <c r="AA874" s="947"/>
      <c r="AB874" s="947"/>
      <c r="AC874" s="947"/>
      <c r="AD874" s="947"/>
      <c r="AE874" s="948"/>
      <c r="AF874" s="993" t="s">
        <v>2595</v>
      </c>
      <c r="AG874" s="947"/>
      <c r="AH874" s="947"/>
      <c r="AI874" s="947"/>
      <c r="AJ874" s="947"/>
      <c r="AK874" s="948"/>
      <c r="AL874" s="804"/>
      <c r="AM874" s="514"/>
      <c r="AN874" s="345"/>
      <c r="AO874" s="406"/>
      <c r="AP874" s="406"/>
      <c r="AQ874" s="406"/>
      <c r="AR874" s="1"/>
      <c r="AS874" s="1"/>
      <c r="AT874" s="1"/>
      <c r="AU874" s="1"/>
      <c r="AV874" s="1"/>
      <c r="AW874" s="1"/>
      <c r="AX874" s="1"/>
      <c r="AY874" s="1"/>
      <c r="AZ874" s="1"/>
      <c r="BA874" s="1"/>
      <c r="BB874" s="1"/>
      <c r="BC874" s="1"/>
      <c r="BD874" s="126"/>
      <c r="BE874" s="126"/>
      <c r="BF874" s="126"/>
      <c r="BG874" s="126"/>
      <c r="BH874" s="126"/>
      <c r="BI874" s="1"/>
      <c r="BJ874" s="1"/>
      <c r="BK874" s="1"/>
      <c r="BL874" s="1"/>
      <c r="BM874" s="1"/>
      <c r="BN874" s="1"/>
      <c r="BO874" s="1"/>
      <c r="BP874" s="1"/>
      <c r="BQ874" s="1"/>
      <c r="BR874" s="1"/>
      <c r="BS874" s="1"/>
      <c r="BT874" s="1"/>
      <c r="BU874" s="1"/>
      <c r="BV874" s="1"/>
      <c r="BW874" s="1"/>
      <c r="BX874" s="1"/>
      <c r="BY874" s="1"/>
      <c r="BZ874" s="1"/>
      <c r="CA874" s="1"/>
    </row>
    <row r="875" spans="1:79" ht="12.75" customHeight="1">
      <c r="A875" s="805"/>
      <c r="B875" s="567"/>
      <c r="C875" s="567"/>
      <c r="D875" s="567"/>
      <c r="E875" s="567"/>
      <c r="F875" s="567"/>
      <c r="G875" s="567"/>
      <c r="H875" s="567"/>
      <c r="I875" s="567"/>
      <c r="J875" s="567"/>
      <c r="K875" s="567"/>
      <c r="L875" s="567"/>
      <c r="M875" s="567"/>
      <c r="N875" s="567"/>
      <c r="O875" s="567"/>
      <c r="P875" s="567"/>
      <c r="Q875" s="567"/>
      <c r="R875" s="567"/>
      <c r="S875" s="584"/>
      <c r="T875" s="960"/>
      <c r="U875" s="961"/>
      <c r="V875" s="961"/>
      <c r="W875" s="961"/>
      <c r="X875" s="961"/>
      <c r="Y875" s="962"/>
      <c r="Z875" s="960"/>
      <c r="AA875" s="961"/>
      <c r="AB875" s="961"/>
      <c r="AC875" s="961"/>
      <c r="AD875" s="961"/>
      <c r="AE875" s="962"/>
      <c r="AF875" s="960"/>
      <c r="AG875" s="961"/>
      <c r="AH875" s="961"/>
      <c r="AI875" s="961"/>
      <c r="AJ875" s="961"/>
      <c r="AK875" s="962"/>
      <c r="AL875" s="804"/>
      <c r="AM875" s="514"/>
      <c r="AN875" s="345"/>
      <c r="AO875" s="406"/>
      <c r="AP875" s="406"/>
      <c r="AQ875" s="406"/>
      <c r="AR875" s="1"/>
      <c r="AS875" s="1"/>
      <c r="AT875" s="1"/>
      <c r="AU875" s="1"/>
      <c r="AV875" s="1"/>
      <c r="AW875" s="1"/>
      <c r="AX875" s="1"/>
      <c r="AY875" s="1"/>
      <c r="AZ875" s="1"/>
      <c r="BA875" s="1"/>
      <c r="BB875" s="1"/>
      <c r="BC875" s="1"/>
      <c r="BD875" s="126"/>
      <c r="BE875" s="126"/>
      <c r="BF875" s="126"/>
      <c r="BG875" s="126"/>
      <c r="BH875" s="126"/>
      <c r="BI875" s="1"/>
      <c r="BJ875" s="1"/>
      <c r="BK875" s="1"/>
      <c r="BL875" s="1"/>
      <c r="BM875" s="1"/>
      <c r="BN875" s="1"/>
      <c r="BO875" s="1"/>
      <c r="BP875" s="1"/>
      <c r="BQ875" s="1"/>
      <c r="BR875" s="1"/>
      <c r="BS875" s="1"/>
      <c r="BT875" s="1"/>
      <c r="BU875" s="1"/>
      <c r="BV875" s="1"/>
      <c r="BW875" s="1"/>
      <c r="BX875" s="1"/>
      <c r="BY875" s="1"/>
      <c r="BZ875" s="1"/>
      <c r="CA875" s="1"/>
    </row>
    <row r="876" spans="1:79" ht="12.75" customHeight="1">
      <c r="A876" s="805" t="s">
        <v>86</v>
      </c>
      <c r="B876" s="920" t="str">
        <f>B7</f>
        <v xml:space="preserve">Acquisition/Rehabilitation Project Priorities </v>
      </c>
      <c r="C876" s="921"/>
      <c r="D876" s="921"/>
      <c r="E876" s="921"/>
      <c r="F876" s="921"/>
      <c r="G876" s="921"/>
      <c r="H876" s="921"/>
      <c r="I876" s="921"/>
      <c r="J876" s="921"/>
      <c r="K876" s="921"/>
      <c r="L876" s="921"/>
      <c r="M876" s="921"/>
      <c r="N876" s="921"/>
      <c r="O876" s="921"/>
      <c r="P876" s="921"/>
      <c r="Q876" s="921"/>
      <c r="R876" s="921"/>
      <c r="S876" s="943"/>
      <c r="T876" s="1421">
        <f>AK61</f>
        <v>20</v>
      </c>
      <c r="U876" s="921"/>
      <c r="V876" s="921"/>
      <c r="W876" s="921"/>
      <c r="X876" s="921"/>
      <c r="Y876" s="943"/>
      <c r="Z876" s="1422">
        <v>20</v>
      </c>
      <c r="AA876" s="921"/>
      <c r="AB876" s="921"/>
      <c r="AC876" s="921"/>
      <c r="AD876" s="921"/>
      <c r="AE876" s="943"/>
      <c r="AF876" s="1420">
        <f t="shared" ref="AF876:AF880" si="2">IF(T876&gt;Z876,Z876,T876)</f>
        <v>20</v>
      </c>
      <c r="AG876" s="921"/>
      <c r="AH876" s="921"/>
      <c r="AI876" s="921"/>
      <c r="AJ876" s="921"/>
      <c r="AK876" s="943"/>
      <c r="AL876" s="804"/>
      <c r="AM876" s="514"/>
      <c r="AN876" s="345"/>
      <c r="AO876" s="406"/>
      <c r="AP876" s="406"/>
      <c r="AQ876" s="406"/>
      <c r="AR876" s="1"/>
      <c r="AS876" s="1"/>
      <c r="AT876" s="1"/>
      <c r="AU876" s="1"/>
      <c r="AV876" s="1"/>
      <c r="AW876" s="1"/>
      <c r="AX876" s="1"/>
      <c r="AY876" s="1"/>
      <c r="AZ876" s="1"/>
      <c r="BA876" s="1"/>
      <c r="BB876" s="1"/>
      <c r="BC876" s="1"/>
      <c r="BD876" s="126"/>
      <c r="BE876" s="126"/>
      <c r="BF876" s="126"/>
      <c r="BG876" s="126"/>
      <c r="BH876" s="126"/>
      <c r="BI876" s="1"/>
      <c r="BJ876" s="1"/>
      <c r="BK876" s="1"/>
      <c r="BL876" s="1"/>
      <c r="BM876" s="1"/>
      <c r="BN876" s="1"/>
      <c r="BO876" s="1"/>
      <c r="BP876" s="1"/>
      <c r="BQ876" s="1"/>
      <c r="BR876" s="1"/>
      <c r="BS876" s="1"/>
      <c r="BT876" s="1"/>
      <c r="BU876" s="1"/>
      <c r="BV876" s="1"/>
      <c r="BW876" s="1"/>
      <c r="BX876" s="1"/>
      <c r="BY876" s="1"/>
      <c r="BZ876" s="1"/>
      <c r="CA876" s="1"/>
    </row>
    <row r="877" spans="1:79" ht="12.75" customHeight="1">
      <c r="A877" s="805" t="s">
        <v>2260</v>
      </c>
      <c r="B877" s="920" t="s">
        <v>1156</v>
      </c>
      <c r="C877" s="921"/>
      <c r="D877" s="921"/>
      <c r="E877" s="921"/>
      <c r="F877" s="921"/>
      <c r="G877" s="921"/>
      <c r="H877" s="921"/>
      <c r="I877" s="921"/>
      <c r="J877" s="921"/>
      <c r="K877" s="921"/>
      <c r="L877" s="921"/>
      <c r="M877" s="921"/>
      <c r="N877" s="921"/>
      <c r="O877" s="921"/>
      <c r="P877" s="921"/>
      <c r="Q877" s="921"/>
      <c r="R877" s="921"/>
      <c r="S877" s="943"/>
      <c r="T877" s="1421">
        <f>AK83</f>
        <v>0</v>
      </c>
      <c r="U877" s="921"/>
      <c r="V877" s="921"/>
      <c r="W877" s="921"/>
      <c r="X877" s="921"/>
      <c r="Y877" s="943"/>
      <c r="Z877" s="1422">
        <v>10</v>
      </c>
      <c r="AA877" s="921"/>
      <c r="AB877" s="921"/>
      <c r="AC877" s="921"/>
      <c r="AD877" s="921"/>
      <c r="AE877" s="943"/>
      <c r="AF877" s="1420">
        <f t="shared" si="2"/>
        <v>0</v>
      </c>
      <c r="AG877" s="921"/>
      <c r="AH877" s="921"/>
      <c r="AI877" s="921"/>
      <c r="AJ877" s="921"/>
      <c r="AK877" s="943"/>
      <c r="AL877" s="804"/>
      <c r="AM877" s="514"/>
      <c r="AN877" s="345"/>
      <c r="AO877" s="406"/>
      <c r="AP877" s="406"/>
      <c r="AQ877" s="406"/>
      <c r="AR877" s="1"/>
      <c r="AS877" s="1"/>
      <c r="AT877" s="1"/>
      <c r="AU877" s="1"/>
      <c r="AV877" s="1"/>
      <c r="AW877" s="1"/>
      <c r="AX877" s="1"/>
      <c r="AY877" s="1"/>
      <c r="AZ877" s="1"/>
      <c r="BA877" s="1"/>
      <c r="BB877" s="1"/>
      <c r="BC877" s="1"/>
      <c r="BD877" s="126"/>
      <c r="BE877" s="126"/>
      <c r="BF877" s="126"/>
      <c r="BG877" s="126"/>
      <c r="BH877" s="126"/>
      <c r="BI877" s="1"/>
      <c r="BJ877" s="1"/>
      <c r="BK877" s="1"/>
      <c r="BL877" s="1"/>
      <c r="BM877" s="1"/>
      <c r="BN877" s="1"/>
      <c r="BO877" s="1"/>
      <c r="BP877" s="1"/>
      <c r="BQ877" s="1"/>
      <c r="BR877" s="1"/>
      <c r="BS877" s="1"/>
      <c r="BT877" s="1"/>
      <c r="BU877" s="1"/>
      <c r="BV877" s="1"/>
      <c r="BW877" s="1"/>
      <c r="BX877" s="1"/>
      <c r="BY877" s="1"/>
      <c r="BZ877" s="1"/>
      <c r="CA877" s="1"/>
    </row>
    <row r="878" spans="1:79" ht="12.75" customHeight="1">
      <c r="A878" s="805" t="s">
        <v>2285</v>
      </c>
      <c r="B878" s="920" t="s">
        <v>1895</v>
      </c>
      <c r="C878" s="921"/>
      <c r="D878" s="921"/>
      <c r="E878" s="921"/>
      <c r="F878" s="921"/>
      <c r="G878" s="921"/>
      <c r="H878" s="921"/>
      <c r="I878" s="921"/>
      <c r="J878" s="921"/>
      <c r="K878" s="921"/>
      <c r="L878" s="921"/>
      <c r="M878" s="921"/>
      <c r="N878" s="921"/>
      <c r="O878" s="921"/>
      <c r="P878" s="921"/>
      <c r="Q878" s="921"/>
      <c r="R878" s="921"/>
      <c r="S878" s="943"/>
      <c r="T878" s="1421">
        <f ca="1">AK108</f>
        <v>20</v>
      </c>
      <c r="U878" s="921"/>
      <c r="V878" s="921"/>
      <c r="W878" s="921"/>
      <c r="X878" s="921"/>
      <c r="Y878" s="943"/>
      <c r="Z878" s="1422">
        <v>20</v>
      </c>
      <c r="AA878" s="921"/>
      <c r="AB878" s="921"/>
      <c r="AC878" s="921"/>
      <c r="AD878" s="921"/>
      <c r="AE878" s="943"/>
      <c r="AF878" s="1420">
        <f t="shared" ca="1" si="2"/>
        <v>20</v>
      </c>
      <c r="AG878" s="921"/>
      <c r="AH878" s="921"/>
      <c r="AI878" s="921"/>
      <c r="AJ878" s="921"/>
      <c r="AK878" s="943"/>
      <c r="AL878" s="804"/>
      <c r="AM878" s="514"/>
      <c r="AN878" s="345"/>
      <c r="AO878" s="406"/>
      <c r="AP878" s="406"/>
      <c r="AQ878" s="406"/>
      <c r="AR878" s="1"/>
      <c r="AS878" s="1"/>
      <c r="AT878" s="1"/>
      <c r="AU878" s="1"/>
      <c r="AV878" s="1"/>
      <c r="AW878" s="1"/>
      <c r="AX878" s="1"/>
      <c r="AY878" s="1"/>
      <c r="AZ878" s="1"/>
      <c r="BA878" s="1"/>
      <c r="BB878" s="1"/>
      <c r="BC878" s="1"/>
      <c r="BD878" s="126"/>
      <c r="BE878" s="126"/>
      <c r="BF878" s="126"/>
      <c r="BG878" s="126"/>
      <c r="BH878" s="126"/>
      <c r="BI878" s="1"/>
      <c r="BJ878" s="1"/>
      <c r="BK878" s="1"/>
      <c r="BL878" s="1"/>
      <c r="BM878" s="1"/>
      <c r="BN878" s="1"/>
      <c r="BO878" s="1"/>
      <c r="BP878" s="1"/>
      <c r="BQ878" s="1"/>
      <c r="BR878" s="1"/>
      <c r="BS878" s="1"/>
      <c r="BT878" s="1"/>
      <c r="BU878" s="1"/>
      <c r="BV878" s="1"/>
      <c r="BW878" s="1"/>
      <c r="BX878" s="1"/>
      <c r="BY878" s="1"/>
      <c r="BZ878" s="1"/>
      <c r="CA878" s="1"/>
    </row>
    <row r="879" spans="1:79" ht="12.75" customHeight="1">
      <c r="A879" s="805" t="s">
        <v>2606</v>
      </c>
      <c r="B879" s="920" t="s">
        <v>1908</v>
      </c>
      <c r="C879" s="921"/>
      <c r="D879" s="921"/>
      <c r="E879" s="921"/>
      <c r="F879" s="921"/>
      <c r="G879" s="921"/>
      <c r="H879" s="921"/>
      <c r="I879" s="921"/>
      <c r="J879" s="921"/>
      <c r="K879" s="921"/>
      <c r="L879" s="921"/>
      <c r="M879" s="921"/>
      <c r="N879" s="921"/>
      <c r="O879" s="921"/>
      <c r="P879" s="921"/>
      <c r="Q879" s="921"/>
      <c r="R879" s="921"/>
      <c r="S879" s="943"/>
      <c r="T879" s="1421">
        <f>AK142</f>
        <v>10</v>
      </c>
      <c r="U879" s="921"/>
      <c r="V879" s="921"/>
      <c r="W879" s="921"/>
      <c r="X879" s="921"/>
      <c r="Y879" s="943"/>
      <c r="Z879" s="1422">
        <v>10</v>
      </c>
      <c r="AA879" s="921"/>
      <c r="AB879" s="921"/>
      <c r="AC879" s="921"/>
      <c r="AD879" s="921"/>
      <c r="AE879" s="943"/>
      <c r="AF879" s="1420">
        <f t="shared" si="2"/>
        <v>10</v>
      </c>
      <c r="AG879" s="921"/>
      <c r="AH879" s="921"/>
      <c r="AI879" s="921"/>
      <c r="AJ879" s="921"/>
      <c r="AK879" s="943"/>
      <c r="AL879" s="804"/>
      <c r="AM879" s="514"/>
      <c r="AN879" s="345"/>
      <c r="AO879" s="406"/>
      <c r="AP879" s="406"/>
      <c r="AQ879" s="406"/>
      <c r="AR879" s="1"/>
      <c r="AS879" s="1"/>
      <c r="AT879" s="1"/>
      <c r="AU879" s="1"/>
      <c r="AV879" s="1"/>
      <c r="AW879" s="1"/>
      <c r="AX879" s="1"/>
      <c r="AY879" s="1"/>
      <c r="AZ879" s="1"/>
      <c r="BA879" s="1"/>
      <c r="BB879" s="1"/>
      <c r="BC879" s="1"/>
      <c r="BD879" s="126"/>
      <c r="BE879" s="126"/>
      <c r="BF879" s="126"/>
      <c r="BG879" s="126"/>
      <c r="BH879" s="126"/>
      <c r="BI879" s="1"/>
      <c r="BJ879" s="1"/>
      <c r="BK879" s="1"/>
      <c r="BL879" s="1"/>
      <c r="BM879" s="1"/>
      <c r="BN879" s="1"/>
      <c r="BO879" s="1"/>
      <c r="BP879" s="1"/>
      <c r="BQ879" s="1"/>
      <c r="BR879" s="1"/>
      <c r="BS879" s="1"/>
      <c r="BT879" s="1"/>
      <c r="BU879" s="1"/>
      <c r="BV879" s="1"/>
      <c r="BW879" s="1"/>
      <c r="BX879" s="1"/>
      <c r="BY879" s="1"/>
      <c r="BZ879" s="1"/>
      <c r="CA879" s="1"/>
    </row>
    <row r="880" spans="1:79" ht="12.75" customHeight="1">
      <c r="A880" s="269" t="s">
        <v>2608</v>
      </c>
      <c r="B880" s="920" t="s">
        <v>2609</v>
      </c>
      <c r="C880" s="921"/>
      <c r="D880" s="921"/>
      <c r="E880" s="921"/>
      <c r="F880" s="921"/>
      <c r="G880" s="921"/>
      <c r="H880" s="921"/>
      <c r="I880" s="921"/>
      <c r="J880" s="921"/>
      <c r="K880" s="921"/>
      <c r="L880" s="921"/>
      <c r="M880" s="921"/>
      <c r="N880" s="921"/>
      <c r="O880" s="921"/>
      <c r="P880" s="921"/>
      <c r="Q880" s="921"/>
      <c r="R880" s="921"/>
      <c r="S880" s="943"/>
      <c r="T880" s="1420">
        <f>SUM(T881:Y882)</f>
        <v>10</v>
      </c>
      <c r="U880" s="921"/>
      <c r="V880" s="921"/>
      <c r="W880" s="921"/>
      <c r="X880" s="921"/>
      <c r="Y880" s="943"/>
      <c r="Z880" s="1082">
        <v>10</v>
      </c>
      <c r="AA880" s="921"/>
      <c r="AB880" s="921"/>
      <c r="AC880" s="921"/>
      <c r="AD880" s="921"/>
      <c r="AE880" s="943"/>
      <c r="AF880" s="1420">
        <f t="shared" si="2"/>
        <v>10</v>
      </c>
      <c r="AG880" s="921"/>
      <c r="AH880" s="921"/>
      <c r="AI880" s="921"/>
      <c r="AJ880" s="921"/>
      <c r="AK880" s="943"/>
      <c r="AL880" s="804"/>
      <c r="AM880" s="514"/>
      <c r="AN880" s="345"/>
      <c r="AO880" s="203"/>
      <c r="AP880" s="1"/>
      <c r="AQ880" s="1"/>
      <c r="AR880" s="1"/>
      <c r="AS880" s="1"/>
      <c r="AT880" s="1"/>
      <c r="AU880" s="1"/>
      <c r="AV880" s="1"/>
      <c r="AW880" s="1"/>
      <c r="AX880" s="1"/>
      <c r="AY880" s="1"/>
      <c r="AZ880" s="1"/>
      <c r="BA880" s="1"/>
      <c r="BB880" s="1"/>
      <c r="BC880" s="1"/>
      <c r="BD880" s="126"/>
      <c r="BE880" s="126"/>
      <c r="BF880" s="126"/>
      <c r="BG880" s="126"/>
      <c r="BH880" s="126"/>
      <c r="BI880" s="1"/>
      <c r="BJ880" s="1"/>
      <c r="BK880" s="1"/>
      <c r="BL880" s="1"/>
      <c r="BM880" s="1"/>
      <c r="BN880" s="1"/>
      <c r="BO880" s="1"/>
      <c r="BP880" s="1"/>
      <c r="BQ880" s="1"/>
      <c r="BR880" s="1"/>
      <c r="BS880" s="1"/>
      <c r="BT880" s="1"/>
      <c r="BU880" s="1"/>
      <c r="BV880" s="1"/>
      <c r="BW880" s="1"/>
      <c r="BX880" s="1"/>
      <c r="BY880" s="1"/>
      <c r="BZ880" s="1"/>
      <c r="CA880" s="1"/>
    </row>
    <row r="881" spans="1:79" ht="12.75" customHeight="1">
      <c r="A881" s="267"/>
      <c r="B881" s="5"/>
      <c r="C881" s="1128" t="s">
        <v>2613</v>
      </c>
      <c r="D881" s="921"/>
      <c r="E881" s="921"/>
      <c r="F881" s="921"/>
      <c r="G881" s="921"/>
      <c r="H881" s="921"/>
      <c r="I881" s="921"/>
      <c r="J881" s="921"/>
      <c r="K881" s="921"/>
      <c r="L881" s="921"/>
      <c r="M881" s="921"/>
      <c r="N881" s="921"/>
      <c r="O881" s="921"/>
      <c r="P881" s="921"/>
      <c r="Q881" s="921"/>
      <c r="R881" s="921"/>
      <c r="S881" s="943"/>
      <c r="T881" s="956">
        <f>AJ165</f>
        <v>7</v>
      </c>
      <c r="U881" s="921"/>
      <c r="V881" s="921"/>
      <c r="W881" s="921"/>
      <c r="X881" s="921"/>
      <c r="Y881" s="943"/>
      <c r="Z881" s="945">
        <v>7</v>
      </c>
      <c r="AA881" s="921"/>
      <c r="AB881" s="921"/>
      <c r="AC881" s="921"/>
      <c r="AD881" s="921"/>
      <c r="AE881" s="943"/>
      <c r="AF881" s="977"/>
      <c r="AG881" s="921"/>
      <c r="AH881" s="921"/>
      <c r="AI881" s="921"/>
      <c r="AJ881" s="921"/>
      <c r="AK881" s="943"/>
      <c r="AL881" s="804"/>
      <c r="AM881" s="514"/>
      <c r="AN881" s="345"/>
      <c r="AO881" s="203"/>
      <c r="AP881" s="1"/>
      <c r="AQ881" s="1"/>
      <c r="AR881" s="1"/>
      <c r="AS881" s="1"/>
      <c r="AT881" s="1"/>
      <c r="AU881" s="1"/>
      <c r="AV881" s="1"/>
      <c r="AW881" s="1"/>
      <c r="AX881" s="1"/>
      <c r="AY881" s="1"/>
      <c r="AZ881" s="1"/>
      <c r="BA881" s="1"/>
      <c r="BB881" s="1"/>
      <c r="BC881" s="1"/>
      <c r="BD881" s="126"/>
      <c r="BE881" s="126"/>
      <c r="BF881" s="126"/>
      <c r="BG881" s="126"/>
      <c r="BH881" s="126"/>
      <c r="BI881" s="1"/>
      <c r="BJ881" s="1"/>
      <c r="BK881" s="1"/>
      <c r="BL881" s="1"/>
      <c r="BM881" s="1"/>
      <c r="BN881" s="1"/>
      <c r="BO881" s="1"/>
      <c r="BP881" s="1"/>
      <c r="BQ881" s="1"/>
      <c r="BR881" s="1"/>
      <c r="BS881" s="1"/>
      <c r="BT881" s="1"/>
      <c r="BU881" s="1"/>
      <c r="BV881" s="1"/>
      <c r="BW881" s="1"/>
      <c r="BX881" s="1"/>
      <c r="BY881" s="1"/>
      <c r="BZ881" s="1"/>
      <c r="CA881" s="1"/>
    </row>
    <row r="882" spans="1:79" ht="12.75" customHeight="1">
      <c r="A882" s="272"/>
      <c r="B882" s="5"/>
      <c r="C882" s="1128" t="s">
        <v>1669</v>
      </c>
      <c r="D882" s="921"/>
      <c r="E882" s="921"/>
      <c r="F882" s="921"/>
      <c r="G882" s="921"/>
      <c r="H882" s="921"/>
      <c r="I882" s="921"/>
      <c r="J882" s="921"/>
      <c r="K882" s="921"/>
      <c r="L882" s="921"/>
      <c r="M882" s="921"/>
      <c r="N882" s="921"/>
      <c r="O882" s="921"/>
      <c r="P882" s="921"/>
      <c r="Q882" s="921"/>
      <c r="R882" s="921"/>
      <c r="S882" s="943"/>
      <c r="T882" s="956">
        <f>AJ179</f>
        <v>3</v>
      </c>
      <c r="U882" s="921"/>
      <c r="V882" s="921"/>
      <c r="W882" s="921"/>
      <c r="X882" s="921"/>
      <c r="Y882" s="943"/>
      <c r="Z882" s="945">
        <v>3</v>
      </c>
      <c r="AA882" s="921"/>
      <c r="AB882" s="921"/>
      <c r="AC882" s="921"/>
      <c r="AD882" s="921"/>
      <c r="AE882" s="943"/>
      <c r="AF882" s="977"/>
      <c r="AG882" s="921"/>
      <c r="AH882" s="921"/>
      <c r="AI882" s="921"/>
      <c r="AJ882" s="921"/>
      <c r="AK882" s="943"/>
      <c r="AL882" s="804"/>
      <c r="AM882" s="514"/>
      <c r="AN882" s="345"/>
      <c r="AO882" s="117"/>
      <c r="AP882" s="1"/>
      <c r="AQ882" s="1"/>
      <c r="AR882" s="1"/>
      <c r="AS882" s="1"/>
      <c r="AT882" s="1"/>
      <c r="AU882" s="1"/>
      <c r="AV882" s="1"/>
      <c r="AW882" s="1"/>
      <c r="AX882" s="1"/>
      <c r="AY882" s="1"/>
      <c r="AZ882" s="1"/>
      <c r="BA882" s="1"/>
      <c r="BB882" s="1"/>
      <c r="BC882" s="1"/>
      <c r="BD882" s="126"/>
      <c r="BE882" s="126"/>
      <c r="BF882" s="126"/>
      <c r="BG882" s="126"/>
      <c r="BH882" s="126"/>
      <c r="BI882" s="1"/>
      <c r="BJ882" s="1"/>
      <c r="BK882" s="1"/>
      <c r="BL882" s="1"/>
      <c r="BM882" s="1"/>
      <c r="BN882" s="1"/>
      <c r="BO882" s="1"/>
      <c r="BP882" s="1"/>
      <c r="BQ882" s="1"/>
      <c r="BR882" s="1"/>
      <c r="BS882" s="1"/>
      <c r="BT882" s="1"/>
      <c r="BU882" s="1"/>
      <c r="BV882" s="1"/>
      <c r="BW882" s="1"/>
      <c r="BX882" s="1"/>
      <c r="BY882" s="1"/>
      <c r="BZ882" s="1"/>
      <c r="CA882" s="1"/>
    </row>
    <row r="883" spans="1:79" ht="12.75" customHeight="1">
      <c r="A883" s="269" t="s">
        <v>1971</v>
      </c>
      <c r="B883" s="920" t="s">
        <v>2618</v>
      </c>
      <c r="C883" s="921"/>
      <c r="D883" s="921"/>
      <c r="E883" s="921"/>
      <c r="F883" s="921"/>
      <c r="G883" s="921"/>
      <c r="H883" s="921"/>
      <c r="I883" s="921"/>
      <c r="J883" s="921"/>
      <c r="K883" s="921"/>
      <c r="L883" s="921"/>
      <c r="M883" s="921"/>
      <c r="N883" s="921"/>
      <c r="O883" s="921"/>
      <c r="P883" s="921"/>
      <c r="Q883" s="921"/>
      <c r="R883" s="921"/>
      <c r="S883" s="943"/>
      <c r="T883" s="1420">
        <f>AK190</f>
        <v>0</v>
      </c>
      <c r="U883" s="921"/>
      <c r="V883" s="921"/>
      <c r="W883" s="921"/>
      <c r="X883" s="921"/>
      <c r="Y883" s="943"/>
      <c r="Z883" s="1082">
        <v>10</v>
      </c>
      <c r="AA883" s="921"/>
      <c r="AB883" s="921"/>
      <c r="AC883" s="921"/>
      <c r="AD883" s="921"/>
      <c r="AE883" s="943"/>
      <c r="AF883" s="1420">
        <f>IF(T883&gt;Z883,Z883,T883)</f>
        <v>0</v>
      </c>
      <c r="AG883" s="921"/>
      <c r="AH883" s="921"/>
      <c r="AI883" s="921"/>
      <c r="AJ883" s="921"/>
      <c r="AK883" s="943"/>
      <c r="AL883" s="804"/>
      <c r="AM883" s="514"/>
      <c r="AN883" s="345"/>
      <c r="AO883" s="203"/>
      <c r="AP883" s="1"/>
      <c r="AQ883" s="1"/>
      <c r="AR883" s="1"/>
      <c r="AS883" s="1"/>
      <c r="AT883" s="1"/>
      <c r="AU883" s="1"/>
      <c r="AV883" s="1"/>
      <c r="AW883" s="1"/>
      <c r="AX883" s="1"/>
      <c r="AY883" s="1"/>
      <c r="AZ883" s="1"/>
      <c r="BA883" s="1"/>
      <c r="BB883" s="1"/>
      <c r="BC883" s="1"/>
      <c r="BD883" s="126"/>
      <c r="BE883" s="126"/>
      <c r="BF883" s="126"/>
      <c r="BG883" s="126"/>
      <c r="BH883" s="126"/>
      <c r="BI883" s="1"/>
      <c r="BJ883" s="1"/>
      <c r="BK883" s="1"/>
      <c r="BL883" s="1"/>
      <c r="BM883" s="1"/>
      <c r="BN883" s="1"/>
      <c r="BO883" s="1"/>
      <c r="BP883" s="1"/>
      <c r="BQ883" s="1"/>
      <c r="BR883" s="1"/>
      <c r="BS883" s="1"/>
      <c r="BT883" s="1"/>
      <c r="BU883" s="1"/>
      <c r="BV883" s="1"/>
      <c r="BW883" s="1"/>
      <c r="BX883" s="1"/>
      <c r="BY883" s="1"/>
      <c r="BZ883" s="1"/>
      <c r="CA883" s="1"/>
    </row>
    <row r="884" spans="1:79" ht="12.75" hidden="1" customHeight="1">
      <c r="A884" s="805" t="s">
        <v>1981</v>
      </c>
      <c r="B884" s="920" t="s">
        <v>1982</v>
      </c>
      <c r="C884" s="921"/>
      <c r="D884" s="921"/>
      <c r="E884" s="921"/>
      <c r="F884" s="921"/>
      <c r="G884" s="921"/>
      <c r="H884" s="921"/>
      <c r="I884" s="921"/>
      <c r="J884" s="921"/>
      <c r="K884" s="921"/>
      <c r="L884" s="921"/>
      <c r="M884" s="921"/>
      <c r="N884" s="921"/>
      <c r="O884" s="921"/>
      <c r="P884" s="921"/>
      <c r="Q884" s="921"/>
      <c r="R884" s="921"/>
      <c r="S884" s="943"/>
      <c r="T884" s="1420">
        <f>AK272</f>
        <v>0</v>
      </c>
      <c r="U884" s="921"/>
      <c r="V884" s="921"/>
      <c r="W884" s="921"/>
      <c r="X884" s="921"/>
      <c r="Y884" s="943"/>
      <c r="Z884" s="1422">
        <v>8</v>
      </c>
      <c r="AA884" s="921"/>
      <c r="AB884" s="921"/>
      <c r="AC884" s="921"/>
      <c r="AD884" s="921"/>
      <c r="AE884" s="943"/>
      <c r="AF884" s="1082"/>
      <c r="AG884" s="921"/>
      <c r="AH884" s="921"/>
      <c r="AI884" s="921"/>
      <c r="AJ884" s="921"/>
      <c r="AK884" s="943"/>
      <c r="AL884" s="804"/>
      <c r="AM884" s="514"/>
      <c r="AN884" s="345"/>
      <c r="AO884" s="203"/>
      <c r="AP884" s="1"/>
      <c r="AQ884" s="1"/>
      <c r="AR884" s="1"/>
      <c r="AS884" s="1"/>
      <c r="AT884" s="1"/>
      <c r="AU884" s="1"/>
      <c r="AV884" s="1"/>
      <c r="AW884" s="1"/>
      <c r="AX884" s="1"/>
      <c r="AY884" s="1"/>
      <c r="AZ884" s="1"/>
      <c r="BA884" s="1"/>
      <c r="BB884" s="1"/>
      <c r="BC884" s="1"/>
      <c r="BD884" s="126"/>
      <c r="BE884" s="126"/>
      <c r="BF884" s="126"/>
      <c r="BG884" s="126"/>
      <c r="BH884" s="126"/>
      <c r="BI884" s="1"/>
      <c r="BJ884" s="1"/>
      <c r="BK884" s="1"/>
      <c r="BL884" s="1"/>
      <c r="BM884" s="1"/>
      <c r="BN884" s="1"/>
      <c r="BO884" s="1"/>
      <c r="BP884" s="1"/>
      <c r="BQ884" s="1"/>
      <c r="BR884" s="1"/>
      <c r="BS884" s="1"/>
      <c r="BT884" s="1"/>
      <c r="BU884" s="1"/>
      <c r="BV884" s="1"/>
      <c r="BW884" s="1"/>
      <c r="BX884" s="1"/>
      <c r="BY884" s="1"/>
      <c r="BZ884" s="1"/>
      <c r="CA884" s="1"/>
    </row>
    <row r="885" spans="1:79" ht="12.75" hidden="1" customHeight="1">
      <c r="A885" s="269" t="s">
        <v>1151</v>
      </c>
      <c r="B885" s="920" t="s">
        <v>2622</v>
      </c>
      <c r="C885" s="921"/>
      <c r="D885" s="921"/>
      <c r="E885" s="921"/>
      <c r="F885" s="921"/>
      <c r="G885" s="921"/>
      <c r="H885" s="921"/>
      <c r="I885" s="921"/>
      <c r="J885" s="921"/>
      <c r="K885" s="921"/>
      <c r="L885" s="921"/>
      <c r="M885" s="921"/>
      <c r="N885" s="921"/>
      <c r="O885" s="921"/>
      <c r="P885" s="921"/>
      <c r="Q885" s="921"/>
      <c r="R885" s="921"/>
      <c r="S885" s="943"/>
      <c r="T885" s="1420">
        <f>IF(AK548&gt;5,5,AK548)</f>
        <v>0</v>
      </c>
      <c r="U885" s="921"/>
      <c r="V885" s="921"/>
      <c r="W885" s="921"/>
      <c r="X885" s="921"/>
      <c r="Y885" s="943"/>
      <c r="Z885" s="1082">
        <v>5</v>
      </c>
      <c r="AA885" s="921"/>
      <c r="AB885" s="921"/>
      <c r="AC885" s="921"/>
      <c r="AD885" s="921"/>
      <c r="AE885" s="943"/>
      <c r="AF885" s="1082"/>
      <c r="AG885" s="921"/>
      <c r="AH885" s="921"/>
      <c r="AI885" s="921"/>
      <c r="AJ885" s="921"/>
      <c r="AK885" s="943"/>
      <c r="AL885" s="804"/>
      <c r="AM885" s="514"/>
      <c r="AN885" s="345"/>
      <c r="AO885" s="203"/>
      <c r="AP885" s="1"/>
      <c r="AQ885" s="1"/>
      <c r="AR885" s="1"/>
      <c r="AS885" s="1"/>
      <c r="AT885" s="1"/>
      <c r="AU885" s="1"/>
      <c r="AV885" s="1"/>
      <c r="AW885" s="1"/>
      <c r="AX885" s="1"/>
      <c r="AY885" s="1"/>
      <c r="AZ885" s="1"/>
      <c r="BA885" s="1"/>
      <c r="BB885" s="1"/>
      <c r="BC885" s="1"/>
      <c r="BD885" s="126"/>
      <c r="BE885" s="126"/>
      <c r="BF885" s="126"/>
      <c r="BG885" s="126"/>
      <c r="BH885" s="126"/>
      <c r="BI885" s="1"/>
      <c r="BJ885" s="1"/>
      <c r="BK885" s="1"/>
      <c r="BL885" s="1"/>
      <c r="BM885" s="1"/>
      <c r="BN885" s="1"/>
      <c r="BO885" s="1"/>
      <c r="BP885" s="1"/>
      <c r="BQ885" s="1"/>
      <c r="BR885" s="1"/>
      <c r="BS885" s="1"/>
      <c r="BT885" s="1"/>
      <c r="BU885" s="1"/>
      <c r="BV885" s="1"/>
      <c r="BW885" s="1"/>
      <c r="BX885" s="1"/>
      <c r="BY885" s="1"/>
      <c r="BZ885" s="1"/>
      <c r="CA885" s="1"/>
    </row>
    <row r="886" spans="1:79" ht="12.75" customHeight="1">
      <c r="A886" s="805" t="str">
        <f t="shared" ref="A886:B886" si="3">A275</f>
        <v>h.</v>
      </c>
      <c r="B886" s="920" t="str">
        <f t="shared" si="3"/>
        <v>Readiness to Proceed</v>
      </c>
      <c r="C886" s="921"/>
      <c r="D886" s="921"/>
      <c r="E886" s="921"/>
      <c r="F886" s="921"/>
      <c r="G886" s="921"/>
      <c r="H886" s="921"/>
      <c r="I886" s="921"/>
      <c r="J886" s="921"/>
      <c r="K886" s="921"/>
      <c r="L886" s="921"/>
      <c r="M886" s="921"/>
      <c r="N886" s="921"/>
      <c r="O886" s="921"/>
      <c r="P886" s="921"/>
      <c r="Q886" s="921"/>
      <c r="R886" s="921"/>
      <c r="S886" s="943"/>
      <c r="T886" s="1420">
        <f>AK298</f>
        <v>10</v>
      </c>
      <c r="U886" s="921"/>
      <c r="V886" s="921"/>
      <c r="W886" s="921"/>
      <c r="X886" s="921"/>
      <c r="Y886" s="943"/>
      <c r="Z886" s="1082">
        <v>10</v>
      </c>
      <c r="AA886" s="921"/>
      <c r="AB886" s="921"/>
      <c r="AC886" s="921"/>
      <c r="AD886" s="921"/>
      <c r="AE886" s="943"/>
      <c r="AF886" s="1420">
        <f t="shared" ref="AF886:AF887" si="4">IF(T886&gt;Z886,Z886,T886)</f>
        <v>10</v>
      </c>
      <c r="AG886" s="921"/>
      <c r="AH886" s="921"/>
      <c r="AI886" s="921"/>
      <c r="AJ886" s="921"/>
      <c r="AK886" s="943"/>
      <c r="AL886" s="804"/>
      <c r="AM886" s="514"/>
      <c r="AN886" s="345"/>
      <c r="AO886" s="203"/>
      <c r="AP886" s="1"/>
      <c r="AQ886" s="1"/>
      <c r="AR886" s="1"/>
      <c r="AS886" s="1"/>
      <c r="AT886" s="1"/>
      <c r="AU886" s="1"/>
      <c r="AV886" s="1"/>
      <c r="AW886" s="1"/>
      <c r="AX886" s="1"/>
      <c r="AY886" s="1"/>
      <c r="AZ886" s="1"/>
      <c r="BA886" s="1"/>
      <c r="BB886" s="1"/>
      <c r="BC886" s="1"/>
      <c r="BD886" s="126"/>
      <c r="BE886" s="126"/>
      <c r="BF886" s="126"/>
      <c r="BG886" s="126"/>
      <c r="BH886" s="126"/>
      <c r="BI886" s="1"/>
      <c r="BJ886" s="1"/>
      <c r="BK886" s="1"/>
      <c r="BL886" s="1"/>
      <c r="BM886" s="1"/>
      <c r="BN886" s="1"/>
      <c r="BO886" s="1"/>
      <c r="BP886" s="1"/>
      <c r="BQ886" s="1"/>
      <c r="BR886" s="1"/>
      <c r="BS886" s="1"/>
      <c r="BT886" s="1"/>
      <c r="BU886" s="1"/>
      <c r="BV886" s="1"/>
      <c r="BW886" s="1"/>
      <c r="BX886" s="1"/>
      <c r="BY886" s="1"/>
      <c r="BZ886" s="1"/>
      <c r="CA886" s="1"/>
    </row>
    <row r="887" spans="1:79" ht="12.75" customHeight="1">
      <c r="A887" s="269" t="str">
        <f t="shared" ref="A887:B887" si="5">A301</f>
        <v>i.</v>
      </c>
      <c r="B887" s="920" t="str">
        <f t="shared" si="5"/>
        <v>Access to Opportunity</v>
      </c>
      <c r="C887" s="921"/>
      <c r="D887" s="921"/>
      <c r="E887" s="921"/>
      <c r="F887" s="921"/>
      <c r="G887" s="921"/>
      <c r="H887" s="921"/>
      <c r="I887" s="921"/>
      <c r="J887" s="921"/>
      <c r="K887" s="921"/>
      <c r="L887" s="921"/>
      <c r="M887" s="921"/>
      <c r="N887" s="921"/>
      <c r="O887" s="921"/>
      <c r="P887" s="921"/>
      <c r="Q887" s="921"/>
      <c r="R887" s="921"/>
      <c r="S887" s="943"/>
      <c r="T887" s="1420">
        <f>AK351</f>
        <v>0</v>
      </c>
      <c r="U887" s="921"/>
      <c r="V887" s="921"/>
      <c r="W887" s="921"/>
      <c r="X887" s="921"/>
      <c r="Y887" s="943"/>
      <c r="Z887" s="1082">
        <v>10</v>
      </c>
      <c r="AA887" s="921"/>
      <c r="AB887" s="921"/>
      <c r="AC887" s="921"/>
      <c r="AD887" s="921"/>
      <c r="AE887" s="943"/>
      <c r="AF887" s="1420">
        <f t="shared" si="4"/>
        <v>0</v>
      </c>
      <c r="AG887" s="921"/>
      <c r="AH887" s="921"/>
      <c r="AI887" s="921"/>
      <c r="AJ887" s="921"/>
      <c r="AK887" s="943"/>
      <c r="AL887" s="8"/>
      <c r="AM887" s="514"/>
      <c r="AN887" s="345"/>
      <c r="AO887" s="203"/>
      <c r="AP887" s="1"/>
      <c r="AQ887" s="1"/>
      <c r="AR887" s="1"/>
      <c r="AS887" s="1"/>
      <c r="AT887" s="1"/>
      <c r="AU887" s="1"/>
      <c r="AV887" s="1"/>
      <c r="AW887" s="1"/>
      <c r="AX887" s="1"/>
      <c r="AY887" s="1"/>
      <c r="AZ887" s="1"/>
      <c r="BA887" s="1"/>
      <c r="BB887" s="1"/>
      <c r="BC887" s="1"/>
      <c r="BD887" s="126"/>
      <c r="BE887" s="126"/>
      <c r="BF887" s="126"/>
      <c r="BG887" s="126"/>
      <c r="BH887" s="126"/>
      <c r="BI887" s="1"/>
      <c r="BJ887" s="1"/>
      <c r="BK887" s="1"/>
      <c r="BL887" s="1"/>
      <c r="BM887" s="1"/>
      <c r="BN887" s="1"/>
      <c r="BO887" s="1"/>
      <c r="BP887" s="1"/>
      <c r="BQ887" s="1"/>
      <c r="BR887" s="1"/>
      <c r="BS887" s="1"/>
      <c r="BT887" s="1"/>
      <c r="BU887" s="1"/>
      <c r="BV887" s="1"/>
      <c r="BW887" s="1"/>
      <c r="BX887" s="1"/>
      <c r="BY887" s="1"/>
      <c r="BZ887" s="1"/>
      <c r="CA887" s="1"/>
    </row>
    <row r="888" spans="1:79" ht="12.75" hidden="1" customHeight="1">
      <c r="A888" s="269"/>
      <c r="B888" s="13"/>
      <c r="C888" s="245" t="s">
        <v>2624</v>
      </c>
      <c r="D888" s="811"/>
      <c r="E888" s="811"/>
      <c r="F888" s="811"/>
      <c r="G888" s="811"/>
      <c r="H888" s="811"/>
      <c r="I888" s="811"/>
      <c r="J888" s="811"/>
      <c r="K888" s="811"/>
      <c r="L888" s="811"/>
      <c r="M888" s="811"/>
      <c r="N888" s="811"/>
      <c r="O888" s="811"/>
      <c r="P888" s="811"/>
      <c r="Q888" s="811"/>
      <c r="R888" s="13"/>
      <c r="S888" s="812"/>
      <c r="T888" s="956">
        <f>AK351</f>
        <v>0</v>
      </c>
      <c r="U888" s="921"/>
      <c r="V888" s="921"/>
      <c r="W888" s="921"/>
      <c r="X888" s="921"/>
      <c r="Y888" s="943"/>
      <c r="Z888" s="945">
        <v>20</v>
      </c>
      <c r="AA888" s="921"/>
      <c r="AB888" s="921"/>
      <c r="AC888" s="921"/>
      <c r="AD888" s="921"/>
      <c r="AE888" s="943"/>
      <c r="AF888" s="977"/>
      <c r="AG888" s="921"/>
      <c r="AH888" s="921"/>
      <c r="AI888" s="921"/>
      <c r="AJ888" s="921"/>
      <c r="AK888" s="943"/>
      <c r="AL888" s="8"/>
      <c r="AM888" s="514"/>
      <c r="AN888" s="345"/>
      <c r="AO888" s="203"/>
      <c r="AP888" s="1"/>
      <c r="AQ888" s="1"/>
      <c r="AR888" s="1"/>
      <c r="AS888" s="1"/>
      <c r="AT888" s="1"/>
      <c r="AU888" s="1"/>
      <c r="AV888" s="1"/>
      <c r="AW888" s="1"/>
      <c r="AX888" s="1"/>
      <c r="AY888" s="1"/>
      <c r="AZ888" s="1"/>
      <c r="BA888" s="1"/>
      <c r="BB888" s="1"/>
      <c r="BC888" s="1"/>
      <c r="BD888" s="126"/>
      <c r="BE888" s="126"/>
      <c r="BF888" s="126"/>
      <c r="BG888" s="126"/>
      <c r="BH888" s="126"/>
      <c r="BI888" s="1"/>
      <c r="BJ888" s="1"/>
      <c r="BK888" s="1"/>
      <c r="BL888" s="1"/>
      <c r="BM888" s="1"/>
      <c r="BN888" s="1"/>
      <c r="BO888" s="1"/>
      <c r="BP888" s="1"/>
      <c r="BQ888" s="1"/>
      <c r="BR888" s="1"/>
      <c r="BS888" s="1"/>
      <c r="BT888" s="1"/>
      <c r="BU888" s="1"/>
      <c r="BV888" s="1"/>
      <c r="BW888" s="1"/>
      <c r="BX888" s="1"/>
      <c r="BY888" s="1"/>
      <c r="BZ888" s="1"/>
      <c r="CA888" s="1"/>
    </row>
    <row r="889" spans="1:79" ht="12.75" customHeight="1">
      <c r="A889" s="269" t="str">
        <f>A354</f>
        <v>j.</v>
      </c>
      <c r="B889" s="920" t="s">
        <v>2142</v>
      </c>
      <c r="C889" s="921"/>
      <c r="D889" s="921"/>
      <c r="E889" s="921"/>
      <c r="F889" s="921"/>
      <c r="G889" s="921"/>
      <c r="H889" s="921"/>
      <c r="I889" s="921"/>
      <c r="J889" s="921"/>
      <c r="K889" s="921"/>
      <c r="L889" s="921"/>
      <c r="M889" s="921"/>
      <c r="N889" s="921"/>
      <c r="O889" s="921"/>
      <c r="P889" s="921"/>
      <c r="Q889" s="921"/>
      <c r="R889" s="921"/>
      <c r="S889" s="943"/>
      <c r="T889" s="1420">
        <f>AK482</f>
        <v>10</v>
      </c>
      <c r="U889" s="921"/>
      <c r="V889" s="921"/>
      <c r="W889" s="921"/>
      <c r="X889" s="921"/>
      <c r="Y889" s="943"/>
      <c r="Z889" s="1082">
        <v>10</v>
      </c>
      <c r="AA889" s="921"/>
      <c r="AB889" s="921"/>
      <c r="AC889" s="921"/>
      <c r="AD889" s="921"/>
      <c r="AE889" s="943"/>
      <c r="AF889" s="1420">
        <f t="shared" ref="AF889:AF891" si="6">IF(T889&gt;Z889,Z889,T889)</f>
        <v>10</v>
      </c>
      <c r="AG889" s="921"/>
      <c r="AH889" s="921"/>
      <c r="AI889" s="921"/>
      <c r="AJ889" s="921"/>
      <c r="AK889" s="943"/>
      <c r="AL889" s="8"/>
      <c r="AM889" s="514"/>
      <c r="AN889" s="345"/>
      <c r="AO889" s="203"/>
      <c r="AP889" s="1"/>
      <c r="AQ889" s="1"/>
      <c r="AR889" s="1"/>
      <c r="AS889" s="1"/>
      <c r="AT889" s="1"/>
      <c r="AU889" s="1"/>
      <c r="AV889" s="1"/>
      <c r="AW889" s="1"/>
      <c r="AX889" s="1"/>
      <c r="AY889" s="1"/>
      <c r="AZ889" s="1"/>
      <c r="BA889" s="1"/>
      <c r="BB889" s="1"/>
      <c r="BC889" s="1"/>
      <c r="BD889" s="126"/>
      <c r="BE889" s="126"/>
      <c r="BF889" s="126"/>
      <c r="BG889" s="126"/>
      <c r="BH889" s="126"/>
      <c r="BI889" s="1"/>
      <c r="BJ889" s="1"/>
      <c r="BK889" s="1"/>
      <c r="BL889" s="1"/>
      <c r="BM889" s="1"/>
      <c r="BN889" s="1"/>
      <c r="BO889" s="1"/>
      <c r="BP889" s="1"/>
      <c r="BQ889" s="1"/>
      <c r="BR889" s="1"/>
      <c r="BS889" s="1"/>
      <c r="BT889" s="1"/>
      <c r="BU889" s="1"/>
      <c r="BV889" s="1"/>
      <c r="BW889" s="1"/>
      <c r="BX889" s="1"/>
      <c r="BY889" s="1"/>
      <c r="BZ889" s="1"/>
      <c r="CA889" s="1"/>
    </row>
    <row r="890" spans="1:79" ht="12.75" customHeight="1">
      <c r="A890" s="269" t="str">
        <f>A551</f>
        <v>k.</v>
      </c>
      <c r="B890" s="920" t="s">
        <v>2314</v>
      </c>
      <c r="C890" s="921"/>
      <c r="D890" s="921"/>
      <c r="E890" s="921"/>
      <c r="F890" s="921"/>
      <c r="G890" s="921"/>
      <c r="H890" s="921"/>
      <c r="I890" s="921"/>
      <c r="J890" s="921"/>
      <c r="K890" s="921"/>
      <c r="L890" s="921"/>
      <c r="M890" s="921"/>
      <c r="N890" s="921"/>
      <c r="O890" s="921"/>
      <c r="P890" s="921"/>
      <c r="Q890" s="921"/>
      <c r="R890" s="921"/>
      <c r="S890" s="943"/>
      <c r="T890" s="1420">
        <f>AK572</f>
        <v>12</v>
      </c>
      <c r="U890" s="921"/>
      <c r="V890" s="921"/>
      <c r="W890" s="921"/>
      <c r="X890" s="921"/>
      <c r="Y890" s="943"/>
      <c r="Z890" s="1082">
        <v>12</v>
      </c>
      <c r="AA890" s="921"/>
      <c r="AB890" s="921"/>
      <c r="AC890" s="921"/>
      <c r="AD890" s="921"/>
      <c r="AE890" s="943"/>
      <c r="AF890" s="1420">
        <f t="shared" si="6"/>
        <v>12</v>
      </c>
      <c r="AG890" s="921"/>
      <c r="AH890" s="921"/>
      <c r="AI890" s="921"/>
      <c r="AJ890" s="921"/>
      <c r="AK890" s="943"/>
      <c r="AL890" s="8"/>
      <c r="AM890" s="514"/>
      <c r="AN890" s="345"/>
      <c r="AO890" s="203"/>
      <c r="AP890" s="1"/>
      <c r="AQ890" s="1"/>
      <c r="AR890" s="1"/>
      <c r="AS890" s="1"/>
      <c r="AT890" s="1"/>
      <c r="AU890" s="1"/>
      <c r="AV890" s="1"/>
      <c r="AW890" s="1"/>
      <c r="AX890" s="1"/>
      <c r="AY890" s="1"/>
      <c r="AZ890" s="1"/>
      <c r="BA890" s="1"/>
      <c r="BB890" s="1"/>
      <c r="BC890" s="1"/>
      <c r="BD890" s="126"/>
      <c r="BE890" s="126"/>
      <c r="BF890" s="126"/>
      <c r="BG890" s="126"/>
      <c r="BH890" s="126"/>
      <c r="BI890" s="1"/>
      <c r="BJ890" s="1"/>
      <c r="BK890" s="1"/>
      <c r="BL890" s="1"/>
      <c r="BM890" s="1"/>
      <c r="BN890" s="1"/>
      <c r="BO890" s="1"/>
      <c r="BP890" s="1"/>
      <c r="BQ890" s="1"/>
      <c r="BR890" s="1"/>
      <c r="BS890" s="1"/>
      <c r="BT890" s="1"/>
      <c r="BU890" s="1"/>
      <c r="BV890" s="1"/>
      <c r="BW890" s="1"/>
      <c r="BX890" s="1"/>
      <c r="BY890" s="1"/>
      <c r="BZ890" s="1"/>
      <c r="CA890" s="1"/>
    </row>
    <row r="891" spans="1:79" ht="12.75" customHeight="1">
      <c r="A891" s="269" t="str">
        <f>A575</f>
        <v>l.</v>
      </c>
      <c r="B891" s="920" t="s">
        <v>2628</v>
      </c>
      <c r="C891" s="921"/>
      <c r="D891" s="921"/>
      <c r="E891" s="921"/>
      <c r="F891" s="921"/>
      <c r="G891" s="921"/>
      <c r="H891" s="921"/>
      <c r="I891" s="921"/>
      <c r="J891" s="921"/>
      <c r="K891" s="921"/>
      <c r="L891" s="921"/>
      <c r="M891" s="921"/>
      <c r="N891" s="921"/>
      <c r="O891" s="921"/>
      <c r="P891" s="921"/>
      <c r="Q891" s="921"/>
      <c r="R891" s="921"/>
      <c r="S891" s="943"/>
      <c r="T891" s="1420">
        <f>AK819</f>
        <v>10</v>
      </c>
      <c r="U891" s="921"/>
      <c r="V891" s="921"/>
      <c r="W891" s="921"/>
      <c r="X891" s="921"/>
      <c r="Y891" s="943"/>
      <c r="Z891" s="1082">
        <v>10</v>
      </c>
      <c r="AA891" s="921"/>
      <c r="AB891" s="921"/>
      <c r="AC891" s="921"/>
      <c r="AD891" s="921"/>
      <c r="AE891" s="943"/>
      <c r="AF891" s="1420">
        <f t="shared" si="6"/>
        <v>10</v>
      </c>
      <c r="AG891" s="921"/>
      <c r="AH891" s="921"/>
      <c r="AI891" s="921"/>
      <c r="AJ891" s="921"/>
      <c r="AK891" s="943"/>
      <c r="AL891" s="8"/>
      <c r="AM891" s="514"/>
      <c r="AN891" s="345"/>
      <c r="AO891" s="203"/>
      <c r="AP891" s="1"/>
      <c r="AQ891" s="1"/>
      <c r="AR891" s="1"/>
      <c r="AS891" s="1"/>
      <c r="AT891" s="1"/>
      <c r="AU891" s="1"/>
      <c r="AV891" s="1"/>
      <c r="AW891" s="1"/>
      <c r="AX891" s="1"/>
      <c r="AY891" s="1"/>
      <c r="AZ891" s="1"/>
      <c r="BA891" s="1"/>
      <c r="BB891" s="1"/>
      <c r="BC891" s="1"/>
      <c r="BD891" s="126"/>
      <c r="BE891" s="126"/>
      <c r="BF891" s="126"/>
      <c r="BG891" s="126"/>
      <c r="BH891" s="126"/>
      <c r="BI891" s="1"/>
      <c r="BJ891" s="1"/>
      <c r="BK891" s="1"/>
      <c r="BL891" s="1"/>
      <c r="BM891" s="1"/>
      <c r="BN891" s="1"/>
      <c r="BO891" s="1"/>
      <c r="BP891" s="1"/>
      <c r="BQ891" s="1"/>
      <c r="BR891" s="1"/>
      <c r="BS891" s="1"/>
      <c r="BT891" s="1"/>
      <c r="BU891" s="1"/>
      <c r="BV891" s="1"/>
      <c r="BW891" s="1"/>
      <c r="BX891" s="1"/>
      <c r="BY891" s="1"/>
      <c r="BZ891" s="1"/>
      <c r="CA891" s="1"/>
    </row>
    <row r="892" spans="1:79" ht="12.75" customHeight="1">
      <c r="A892" s="62" t="s">
        <v>2630</v>
      </c>
      <c r="B892" s="6" t="s">
        <v>2631</v>
      </c>
      <c r="C892" s="6"/>
      <c r="D892" s="6"/>
      <c r="E892" s="6"/>
      <c r="F892" s="6"/>
      <c r="G892" s="6"/>
      <c r="H892" s="6"/>
      <c r="I892" s="6"/>
      <c r="J892" s="6"/>
      <c r="K892" s="6"/>
      <c r="L892" s="6"/>
      <c r="M892" s="6"/>
      <c r="N892" s="6"/>
      <c r="O892" s="6"/>
      <c r="P892" s="6"/>
      <c r="Q892" s="6"/>
      <c r="R892" s="6"/>
      <c r="S892" s="715"/>
      <c r="T892" s="949"/>
      <c r="U892" s="921"/>
      <c r="V892" s="921"/>
      <c r="W892" s="921"/>
      <c r="X892" s="921"/>
      <c r="Y892" s="943"/>
      <c r="Z892" s="945" t="s">
        <v>2633</v>
      </c>
      <c r="AA892" s="921"/>
      <c r="AB892" s="921"/>
      <c r="AC892" s="921"/>
      <c r="AD892" s="921"/>
      <c r="AE892" s="943"/>
      <c r="AF892" s="1082">
        <f>ABS(T892)</f>
        <v>0</v>
      </c>
      <c r="AG892" s="921"/>
      <c r="AH892" s="921"/>
      <c r="AI892" s="921"/>
      <c r="AJ892" s="921"/>
      <c r="AK892" s="943"/>
      <c r="AL892" s="10"/>
      <c r="AM892" s="514"/>
      <c r="AN892" s="345"/>
      <c r="AO892" s="203"/>
      <c r="AP892" s="1"/>
      <c r="AQ892" s="1"/>
      <c r="AR892" s="1"/>
      <c r="AS892" s="1"/>
      <c r="AT892" s="1"/>
      <c r="AU892" s="1"/>
      <c r="AV892" s="1"/>
      <c r="AW892" s="1"/>
      <c r="AX892" s="1"/>
      <c r="AY892" s="1"/>
      <c r="AZ892" s="1"/>
      <c r="BA892" s="1"/>
      <c r="BB892" s="1"/>
      <c r="BC892" s="1"/>
      <c r="BD892" s="126"/>
      <c r="BE892" s="126"/>
      <c r="BF892" s="126"/>
      <c r="BG892" s="126"/>
      <c r="BH892" s="126"/>
      <c r="BI892" s="1"/>
      <c r="BJ892" s="1"/>
      <c r="BK892" s="1"/>
      <c r="BL892" s="1"/>
      <c r="BM892" s="1"/>
      <c r="BN892" s="1"/>
      <c r="BO892" s="1"/>
      <c r="BP892" s="1"/>
      <c r="BQ892" s="1"/>
      <c r="BR892" s="1"/>
      <c r="BS892" s="1"/>
      <c r="BT892" s="1"/>
      <c r="BU892" s="1"/>
      <c r="BV892" s="1"/>
      <c r="BW892" s="1"/>
      <c r="BX892" s="1"/>
      <c r="BY892" s="1"/>
      <c r="BZ892" s="1"/>
      <c r="CA892" s="1"/>
    </row>
    <row r="893" spans="1:79" ht="12.75" customHeight="1">
      <c r="A893" s="1410" t="s">
        <v>2635</v>
      </c>
      <c r="B893" s="947"/>
      <c r="C893" s="947"/>
      <c r="D893" s="947"/>
      <c r="E893" s="947"/>
      <c r="F893" s="947"/>
      <c r="G893" s="947"/>
      <c r="H893" s="947"/>
      <c r="I893" s="947"/>
      <c r="J893" s="947"/>
      <c r="K893" s="947"/>
      <c r="L893" s="947"/>
      <c r="M893" s="947"/>
      <c r="N893" s="947"/>
      <c r="O893" s="947"/>
      <c r="P893" s="947"/>
      <c r="Q893" s="947"/>
      <c r="R893" s="947"/>
      <c r="S893" s="947"/>
      <c r="T893" s="947"/>
      <c r="U893" s="947"/>
      <c r="V893" s="947"/>
      <c r="W893" s="947"/>
      <c r="X893" s="947"/>
      <c r="Y893" s="947"/>
      <c r="Z893" s="947"/>
      <c r="AA893" s="947"/>
      <c r="AB893" s="947"/>
      <c r="AC893" s="947"/>
      <c r="AD893" s="947"/>
      <c r="AE893" s="948"/>
      <c r="AF893" s="1411">
        <f ca="1">SUM(AF876:AK891)-AF892</f>
        <v>102</v>
      </c>
      <c r="AG893" s="947"/>
      <c r="AH893" s="947"/>
      <c r="AI893" s="947"/>
      <c r="AJ893" s="947"/>
      <c r="AK893" s="948"/>
      <c r="AL893" s="814"/>
      <c r="AM893" s="117"/>
      <c r="AN893" s="345"/>
      <c r="AO893" s="203"/>
      <c r="AP893" s="1"/>
      <c r="AQ893" s="1"/>
      <c r="AR893" s="1"/>
      <c r="AS893" s="1"/>
      <c r="AT893" s="1"/>
      <c r="AU893" s="1"/>
      <c r="AV893" s="1"/>
      <c r="AW893" s="1"/>
      <c r="AX893" s="1"/>
      <c r="AY893" s="1"/>
      <c r="AZ893" s="1"/>
      <c r="BA893" s="1"/>
      <c r="BB893" s="1"/>
      <c r="BC893" s="1"/>
      <c r="BD893" s="126"/>
      <c r="BE893" s="126"/>
      <c r="BF893" s="126"/>
      <c r="BG893" s="126"/>
      <c r="BH893" s="126"/>
      <c r="BI893" s="1"/>
      <c r="BJ893" s="1"/>
      <c r="BK893" s="1"/>
      <c r="BL893" s="1"/>
      <c r="BM893" s="1"/>
      <c r="BN893" s="1"/>
      <c r="BO893" s="1"/>
      <c r="BP893" s="1"/>
      <c r="BQ893" s="1"/>
      <c r="BR893" s="1"/>
      <c r="BS893" s="1"/>
      <c r="BT893" s="1"/>
      <c r="BU893" s="1"/>
      <c r="BV893" s="1"/>
      <c r="BW893" s="1"/>
      <c r="BX893" s="1"/>
      <c r="BY893" s="1"/>
      <c r="BZ893" s="1"/>
      <c r="CA893" s="1"/>
    </row>
    <row r="894" spans="1:79" ht="12.75" customHeight="1">
      <c r="A894" s="960"/>
      <c r="B894" s="961"/>
      <c r="C894" s="961"/>
      <c r="D894" s="961"/>
      <c r="E894" s="961"/>
      <c r="F894" s="961"/>
      <c r="G894" s="961"/>
      <c r="H894" s="961"/>
      <c r="I894" s="961"/>
      <c r="J894" s="961"/>
      <c r="K894" s="961"/>
      <c r="L894" s="961"/>
      <c r="M894" s="961"/>
      <c r="N894" s="961"/>
      <c r="O894" s="961"/>
      <c r="P894" s="961"/>
      <c r="Q894" s="961"/>
      <c r="R894" s="961"/>
      <c r="S894" s="961"/>
      <c r="T894" s="961"/>
      <c r="U894" s="961"/>
      <c r="V894" s="961"/>
      <c r="W894" s="961"/>
      <c r="X894" s="961"/>
      <c r="Y894" s="961"/>
      <c r="Z894" s="961"/>
      <c r="AA894" s="961"/>
      <c r="AB894" s="961"/>
      <c r="AC894" s="961"/>
      <c r="AD894" s="961"/>
      <c r="AE894" s="962"/>
      <c r="AF894" s="960"/>
      <c r="AG894" s="961"/>
      <c r="AH894" s="961"/>
      <c r="AI894" s="961"/>
      <c r="AJ894" s="961"/>
      <c r="AK894" s="962"/>
      <c r="AL894" s="814"/>
      <c r="AM894" s="117"/>
      <c r="AN894" s="345"/>
      <c r="AO894" s="203"/>
      <c r="AP894" s="1"/>
      <c r="AQ894" s="1"/>
      <c r="AR894" s="1"/>
      <c r="AS894" s="1"/>
      <c r="AT894" s="1"/>
      <c r="AU894" s="1"/>
      <c r="AV894" s="1"/>
      <c r="AW894" s="1"/>
      <c r="AX894" s="1"/>
      <c r="AY894" s="1"/>
      <c r="AZ894" s="1"/>
      <c r="BA894" s="1"/>
      <c r="BB894" s="1"/>
      <c r="BC894" s="1"/>
      <c r="BD894" s="126"/>
      <c r="BE894" s="126"/>
      <c r="BF894" s="126"/>
      <c r="BG894" s="126"/>
      <c r="BH894" s="126"/>
      <c r="BI894" s="1"/>
      <c r="BJ894" s="1"/>
      <c r="BK894" s="1"/>
      <c r="BL894" s="1"/>
      <c r="BM894" s="1"/>
      <c r="BN894" s="1"/>
      <c r="BO894" s="1"/>
      <c r="BP894" s="1"/>
      <c r="BQ894" s="1"/>
      <c r="BR894" s="1"/>
      <c r="BS894" s="1"/>
      <c r="BT894" s="1"/>
      <c r="BU894" s="1"/>
      <c r="BV894" s="1"/>
      <c r="BW894" s="1"/>
      <c r="BX894" s="1"/>
      <c r="BY894" s="1"/>
      <c r="BZ894" s="1"/>
      <c r="CA894" s="1"/>
    </row>
    <row r="895" spans="1:79" ht="12.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c r="AB895" s="41"/>
      <c r="AC895" s="41"/>
      <c r="AD895" s="41"/>
      <c r="AE895" s="41"/>
      <c r="AF895" s="41"/>
      <c r="AG895" s="41"/>
      <c r="AH895" s="41"/>
      <c r="AI895" s="41"/>
      <c r="AJ895" s="41"/>
      <c r="AK895" s="41"/>
      <c r="AL895" s="41"/>
      <c r="AM895" s="574"/>
      <c r="AN895" s="345"/>
      <c r="AO895" s="203"/>
      <c r="AP895" s="1"/>
      <c r="AQ895" s="1"/>
      <c r="AR895" s="1"/>
      <c r="AS895" s="1"/>
      <c r="AT895" s="1"/>
      <c r="AU895" s="1"/>
      <c r="AV895" s="1"/>
      <c r="AW895" s="1"/>
      <c r="AX895" s="1"/>
      <c r="AY895" s="1"/>
      <c r="AZ895" s="1"/>
      <c r="BA895" s="1"/>
      <c r="BB895" s="1"/>
      <c r="BC895" s="1"/>
      <c r="BD895" s="126"/>
      <c r="BE895" s="126"/>
      <c r="BF895" s="126"/>
      <c r="BG895" s="126"/>
      <c r="BH895" s="126"/>
      <c r="BI895" s="1"/>
      <c r="BJ895" s="1"/>
      <c r="BK895" s="1"/>
      <c r="BL895" s="1"/>
      <c r="BM895" s="1"/>
      <c r="BN895" s="1"/>
      <c r="BO895" s="1"/>
      <c r="BP895" s="1"/>
      <c r="BQ895" s="1"/>
      <c r="BR895" s="1"/>
      <c r="BS895" s="1"/>
      <c r="BT895" s="1"/>
      <c r="BU895" s="1"/>
      <c r="BV895" s="1"/>
      <c r="BW895" s="1"/>
      <c r="BX895" s="1"/>
      <c r="BY895" s="1"/>
      <c r="BZ895" s="1"/>
      <c r="CA895" s="1"/>
    </row>
    <row r="896" spans="1:79"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345"/>
      <c r="AO896" s="203"/>
      <c r="AP896" s="1"/>
      <c r="AQ896" s="1"/>
      <c r="AR896" s="1"/>
      <c r="AS896" s="1"/>
      <c r="AT896" s="1"/>
      <c r="AU896" s="1"/>
      <c r="AV896" s="1"/>
      <c r="AW896" s="1"/>
      <c r="AX896" s="1"/>
      <c r="AY896" s="1"/>
      <c r="AZ896" s="1"/>
      <c r="BA896" s="1"/>
      <c r="BB896" s="1"/>
      <c r="BC896" s="1"/>
      <c r="BD896" s="126"/>
      <c r="BE896" s="126"/>
      <c r="BF896" s="126"/>
      <c r="BG896" s="126"/>
      <c r="BH896" s="126"/>
      <c r="BI896" s="1"/>
      <c r="BJ896" s="1"/>
      <c r="BK896" s="1"/>
      <c r="BL896" s="1"/>
      <c r="BM896" s="1"/>
      <c r="BN896" s="1"/>
      <c r="BO896" s="1"/>
      <c r="BP896" s="1"/>
      <c r="BQ896" s="1"/>
      <c r="BR896" s="1"/>
      <c r="BS896" s="1"/>
      <c r="BT896" s="1"/>
      <c r="BU896" s="1"/>
      <c r="BV896" s="1"/>
      <c r="BW896" s="1"/>
      <c r="BX896" s="1"/>
      <c r="BY896" s="1"/>
      <c r="BZ896" s="1"/>
      <c r="CA896" s="1"/>
    </row>
    <row r="897" spans="1:79"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345"/>
      <c r="AO897" s="203"/>
      <c r="AP897" s="1"/>
      <c r="AQ897" s="1"/>
      <c r="AR897" s="1"/>
      <c r="AS897" s="1"/>
      <c r="AT897" s="1"/>
      <c r="AU897" s="1"/>
      <c r="AV897" s="1"/>
      <c r="AW897" s="1"/>
      <c r="AX897" s="1"/>
      <c r="AY897" s="1"/>
      <c r="AZ897" s="1"/>
      <c r="BA897" s="1"/>
      <c r="BB897" s="1"/>
      <c r="BC897" s="1"/>
      <c r="BD897" s="126"/>
      <c r="BE897" s="126"/>
      <c r="BF897" s="126"/>
      <c r="BG897" s="126"/>
      <c r="BH897" s="126"/>
      <c r="BI897" s="1"/>
      <c r="BJ897" s="1"/>
      <c r="BK897" s="1"/>
      <c r="BL897" s="1"/>
      <c r="BM897" s="1"/>
      <c r="BN897" s="1"/>
      <c r="BO897" s="1"/>
      <c r="BP897" s="1"/>
      <c r="BQ897" s="1"/>
      <c r="BR897" s="1"/>
      <c r="BS897" s="1"/>
      <c r="BT897" s="1"/>
      <c r="BU897" s="1"/>
      <c r="BV897" s="1"/>
      <c r="BW897" s="1"/>
      <c r="BX897" s="1"/>
      <c r="BY897" s="1"/>
      <c r="BZ897" s="1"/>
      <c r="CA897" s="1"/>
    </row>
  </sheetData>
  <mergeCells count="606">
    <mergeCell ref="AB233:AG233"/>
    <mergeCell ref="AB239:AG239"/>
    <mergeCell ref="AB242:AG242"/>
    <mergeCell ref="AB243:AG243"/>
    <mergeCell ref="AB244:AG244"/>
    <mergeCell ref="AB246:AG246"/>
    <mergeCell ref="AB249:AG249"/>
    <mergeCell ref="AB265:AG265"/>
    <mergeCell ref="AG267:AK267"/>
    <mergeCell ref="AG268:AK268"/>
    <mergeCell ref="AG269:AK269"/>
    <mergeCell ref="AK272:AM272"/>
    <mergeCell ref="AG279:AJ279"/>
    <mergeCell ref="AG286:AJ286"/>
    <mergeCell ref="AK298:AM298"/>
    <mergeCell ref="AB250:AG250"/>
    <mergeCell ref="AB251:AG251"/>
    <mergeCell ref="AB253:AG253"/>
    <mergeCell ref="AB255:AG255"/>
    <mergeCell ref="AB256:AG256"/>
    <mergeCell ref="AB257:AG257"/>
    <mergeCell ref="AB259:AG259"/>
    <mergeCell ref="I224:K224"/>
    <mergeCell ref="I225:K225"/>
    <mergeCell ref="B222:G222"/>
    <mergeCell ref="B223:G223"/>
    <mergeCell ref="I223:K223"/>
    <mergeCell ref="N223:R223"/>
    <mergeCell ref="B224:G224"/>
    <mergeCell ref="N224:R224"/>
    <mergeCell ref="N225:R225"/>
    <mergeCell ref="B225:G225"/>
    <mergeCell ref="N228:R228"/>
    <mergeCell ref="N229:R229"/>
    <mergeCell ref="N231:R231"/>
    <mergeCell ref="N232:R232"/>
    <mergeCell ref="I229:K229"/>
    <mergeCell ref="I230:K230"/>
    <mergeCell ref="I231:K231"/>
    <mergeCell ref="I232:K232"/>
    <mergeCell ref="B227:G227"/>
    <mergeCell ref="I227:K227"/>
    <mergeCell ref="N227:R227"/>
    <mergeCell ref="B228:G228"/>
    <mergeCell ref="I228:K228"/>
    <mergeCell ref="B229:G229"/>
    <mergeCell ref="N230:R230"/>
    <mergeCell ref="B230:G230"/>
    <mergeCell ref="B231:G231"/>
    <mergeCell ref="B232:G232"/>
    <mergeCell ref="C279:D279"/>
    <mergeCell ref="F279:AD286"/>
    <mergeCell ref="C286:D286"/>
    <mergeCell ref="B289:AL296"/>
    <mergeCell ref="A305:B305"/>
    <mergeCell ref="C305:D305"/>
    <mergeCell ref="F305:AD307"/>
    <mergeCell ref="AG305:AK305"/>
    <mergeCell ref="F308:AD309"/>
    <mergeCell ref="F310:AD311"/>
    <mergeCell ref="F312:AD313"/>
    <mergeCell ref="A1:AM2"/>
    <mergeCell ref="AE7:AK7"/>
    <mergeCell ref="B11:C11"/>
    <mergeCell ref="E11:AJ13"/>
    <mergeCell ref="B15:C15"/>
    <mergeCell ref="E15:AJ17"/>
    <mergeCell ref="E19:AJ20"/>
    <mergeCell ref="B19:C19"/>
    <mergeCell ref="B26:C26"/>
    <mergeCell ref="B30:C30"/>
    <mergeCell ref="B33:C33"/>
    <mergeCell ref="B37:C37"/>
    <mergeCell ref="B39:C39"/>
    <mergeCell ref="B43:C43"/>
    <mergeCell ref="E49:AJ50"/>
    <mergeCell ref="E52:AJ52"/>
    <mergeCell ref="E56:AJ57"/>
    <mergeCell ref="E59:AJ59"/>
    <mergeCell ref="AK61:AM61"/>
    <mergeCell ref="AE64:AK64"/>
    <mergeCell ref="E67:AJ71"/>
    <mergeCell ref="AG26:AJ26"/>
    <mergeCell ref="E30:AJ31"/>
    <mergeCell ref="E33:AJ35"/>
    <mergeCell ref="E37:AJ37"/>
    <mergeCell ref="E39:AJ39"/>
    <mergeCell ref="E43:AJ44"/>
    <mergeCell ref="E46:AJ47"/>
    <mergeCell ref="B78:C78"/>
    <mergeCell ref="B81:C81"/>
    <mergeCell ref="B89:C89"/>
    <mergeCell ref="B97:C97"/>
    <mergeCell ref="B46:C46"/>
    <mergeCell ref="B49:C49"/>
    <mergeCell ref="B52:C52"/>
    <mergeCell ref="B56:C56"/>
    <mergeCell ref="B59:C59"/>
    <mergeCell ref="B67:C67"/>
    <mergeCell ref="B73:C73"/>
    <mergeCell ref="E74:F74"/>
    <mergeCell ref="E75:F75"/>
    <mergeCell ref="E76:F76"/>
    <mergeCell ref="E78:AJ79"/>
    <mergeCell ref="E81:AJ81"/>
    <mergeCell ref="E89:AJ90"/>
    <mergeCell ref="E92:H92"/>
    <mergeCell ref="E93:H93"/>
    <mergeCell ref="E94:H94"/>
    <mergeCell ref="E97:AJ100"/>
    <mergeCell ref="AK83:AM83"/>
    <mergeCell ref="AE86:AK86"/>
    <mergeCell ref="J135:M135"/>
    <mergeCell ref="O135:R135"/>
    <mergeCell ref="E137:H137"/>
    <mergeCell ref="E138:H138"/>
    <mergeCell ref="T135:W135"/>
    <mergeCell ref="Y135:AB135"/>
    <mergeCell ref="AK142:AM142"/>
    <mergeCell ref="AD123:AG123"/>
    <mergeCell ref="J123:M123"/>
    <mergeCell ref="O123:R123"/>
    <mergeCell ref="J126:M126"/>
    <mergeCell ref="O126:R126"/>
    <mergeCell ref="T126:W126"/>
    <mergeCell ref="Y126:AB126"/>
    <mergeCell ref="AD126:AG126"/>
    <mergeCell ref="E126:H126"/>
    <mergeCell ref="E129:H129"/>
    <mergeCell ref="AK108:AM108"/>
    <mergeCell ref="AE111:AK111"/>
    <mergeCell ref="E102:H102"/>
    <mergeCell ref="E103:H103"/>
    <mergeCell ref="E104:H104"/>
    <mergeCell ref="E105:H105"/>
    <mergeCell ref="B201:AB201"/>
    <mergeCell ref="B202:AB202"/>
    <mergeCell ref="AD202:AJ202"/>
    <mergeCell ref="B157:AJ157"/>
    <mergeCell ref="B160:AJ161"/>
    <mergeCell ref="C162:AJ162"/>
    <mergeCell ref="C163:Z163"/>
    <mergeCell ref="AJ163:AK163"/>
    <mergeCell ref="B114:C114"/>
    <mergeCell ref="E114:AJ121"/>
    <mergeCell ref="E123:H123"/>
    <mergeCell ref="AE145:AK145"/>
    <mergeCell ref="AF147:AL147"/>
    <mergeCell ref="B149:AC149"/>
    <mergeCell ref="B152:AI152"/>
    <mergeCell ref="J129:M129"/>
    <mergeCell ref="O129:R129"/>
    <mergeCell ref="T129:W129"/>
    <mergeCell ref="Y129:AB129"/>
    <mergeCell ref="AD129:AG129"/>
    <mergeCell ref="T123:W123"/>
    <mergeCell ref="Y123:AB123"/>
    <mergeCell ref="B203:AB203"/>
    <mergeCell ref="AD203:AJ203"/>
    <mergeCell ref="B204:AB204"/>
    <mergeCell ref="E132:H132"/>
    <mergeCell ref="J132:M132"/>
    <mergeCell ref="O132:R132"/>
    <mergeCell ref="T132:W132"/>
    <mergeCell ref="Y132:AB132"/>
    <mergeCell ref="AD132:AG132"/>
    <mergeCell ref="E135:H135"/>
    <mergeCell ref="AD135:AG135"/>
    <mergeCell ref="AE185:AK185"/>
    <mergeCell ref="AJ165:AK165"/>
    <mergeCell ref="AF167:AL167"/>
    <mergeCell ref="C169:AI169"/>
    <mergeCell ref="AF171:AG171"/>
    <mergeCell ref="C173:AD173"/>
    <mergeCell ref="C177:AD177"/>
    <mergeCell ref="AJ179:AK179"/>
    <mergeCell ref="AK182:AM182"/>
    <mergeCell ref="AB154:AC154"/>
    <mergeCell ref="B226:G226"/>
    <mergeCell ref="I226:K226"/>
    <mergeCell ref="N226:R226"/>
    <mergeCell ref="T226:Y226"/>
    <mergeCell ref="T227:Y227"/>
    <mergeCell ref="T228:Y228"/>
    <mergeCell ref="B187:AC187"/>
    <mergeCell ref="AF187:AL187"/>
    <mergeCell ref="B188:S188"/>
    <mergeCell ref="T188:AC188"/>
    <mergeCell ref="AK190:AM190"/>
    <mergeCell ref="AE193:AK193"/>
    <mergeCell ref="AB225:AG225"/>
    <mergeCell ref="AB226:AG226"/>
    <mergeCell ref="AB227:AG227"/>
    <mergeCell ref="B198:AB198"/>
    <mergeCell ref="AD198:AJ198"/>
    <mergeCell ref="B199:AB199"/>
    <mergeCell ref="AD199:AJ199"/>
    <mergeCell ref="B200:AB200"/>
    <mergeCell ref="AD200:AJ200"/>
    <mergeCell ref="AD201:AJ201"/>
    <mergeCell ref="AD204:AJ204"/>
    <mergeCell ref="B205:AB205"/>
    <mergeCell ref="B206:AB206"/>
    <mergeCell ref="AD206:AJ206"/>
    <mergeCell ref="B207:AB207"/>
    <mergeCell ref="AD207:AJ207"/>
    <mergeCell ref="B208:AB208"/>
    <mergeCell ref="AD208:AJ208"/>
    <mergeCell ref="B209:AB209"/>
    <mergeCell ref="AD209:AJ209"/>
    <mergeCell ref="AD205:AJ205"/>
    <mergeCell ref="AD210:AJ210"/>
    <mergeCell ref="I221:K221"/>
    <mergeCell ref="AB221:AG221"/>
    <mergeCell ref="I222:K222"/>
    <mergeCell ref="N222:R222"/>
    <mergeCell ref="AB222:AG222"/>
    <mergeCell ref="T221:Y221"/>
    <mergeCell ref="T222:Y222"/>
    <mergeCell ref="T223:Y223"/>
    <mergeCell ref="AB223:AG223"/>
    <mergeCell ref="T224:Y224"/>
    <mergeCell ref="AB224:AG224"/>
    <mergeCell ref="T225:Y225"/>
    <mergeCell ref="T229:Y229"/>
    <mergeCell ref="T230:Y230"/>
    <mergeCell ref="AB230:AG230"/>
    <mergeCell ref="T231:Y231"/>
    <mergeCell ref="AB231:AG231"/>
    <mergeCell ref="T232:Y232"/>
    <mergeCell ref="AB232:AG232"/>
    <mergeCell ref="AB228:AG228"/>
    <mergeCell ref="AB229:AG229"/>
    <mergeCell ref="A315:B315"/>
    <mergeCell ref="C315:D315"/>
    <mergeCell ref="F316:AD319"/>
    <mergeCell ref="A323:B323"/>
    <mergeCell ref="C323:D323"/>
    <mergeCell ref="F324:AD325"/>
    <mergeCell ref="F329:AD333"/>
    <mergeCell ref="I337:AD340"/>
    <mergeCell ref="I342:AD344"/>
    <mergeCell ref="A346:B346"/>
    <mergeCell ref="C346:D346"/>
    <mergeCell ref="F346:AD348"/>
    <mergeCell ref="AK351:AM351"/>
    <mergeCell ref="AE354:AK354"/>
    <mergeCell ref="AS375:AT375"/>
    <mergeCell ref="AQ379:AR379"/>
    <mergeCell ref="AQ388:AR388"/>
    <mergeCell ref="C356:AJ360"/>
    <mergeCell ref="C361:AJ361"/>
    <mergeCell ref="C363:AJ365"/>
    <mergeCell ref="C366:AJ374"/>
    <mergeCell ref="AS371:AT371"/>
    <mergeCell ref="AS373:AT373"/>
    <mergeCell ref="C375:AJ380"/>
    <mergeCell ref="C382:AJ384"/>
    <mergeCell ref="U386:W386"/>
    <mergeCell ref="U387:W387"/>
    <mergeCell ref="F390:AF393"/>
    <mergeCell ref="C394:D394"/>
    <mergeCell ref="AF394:AL394"/>
    <mergeCell ref="F397:AF401"/>
    <mergeCell ref="C412:D412"/>
    <mergeCell ref="C420:D420"/>
    <mergeCell ref="C422:D422"/>
    <mergeCell ref="C425:D425"/>
    <mergeCell ref="C434:D434"/>
    <mergeCell ref="C436:D436"/>
    <mergeCell ref="C443:D443"/>
    <mergeCell ref="C402:D402"/>
    <mergeCell ref="AF402:AL402"/>
    <mergeCell ref="F405:AF409"/>
    <mergeCell ref="C410:D410"/>
    <mergeCell ref="AF410:AL410"/>
    <mergeCell ref="AF412:AL412"/>
    <mergeCell ref="F416:AF419"/>
    <mergeCell ref="AF436:AL436"/>
    <mergeCell ref="AF443:AL443"/>
    <mergeCell ref="AF420:AL420"/>
    <mergeCell ref="AF422:AL422"/>
    <mergeCell ref="F425:AE428"/>
    <mergeCell ref="AF426:AL426"/>
    <mergeCell ref="F430:AE433"/>
    <mergeCell ref="AF434:AL434"/>
    <mergeCell ref="F440:AE442"/>
    <mergeCell ref="E694:AC696"/>
    <mergeCell ref="AF694:AL694"/>
    <mergeCell ref="H698:I698"/>
    <mergeCell ref="AJ700:AK700"/>
    <mergeCell ref="E704:AB705"/>
    <mergeCell ref="AF704:AL704"/>
    <mergeCell ref="E707:AB710"/>
    <mergeCell ref="E712:AB716"/>
    <mergeCell ref="AF712:AL712"/>
    <mergeCell ref="E718:AB719"/>
    <mergeCell ref="AF718:AL719"/>
    <mergeCell ref="E721:AB723"/>
    <mergeCell ref="H725:I725"/>
    <mergeCell ref="AJ727:AK727"/>
    <mergeCell ref="E731:AB733"/>
    <mergeCell ref="AF731:AL731"/>
    <mergeCell ref="E735:AB737"/>
    <mergeCell ref="AF735:AL735"/>
    <mergeCell ref="H739:I739"/>
    <mergeCell ref="AJ741:AK741"/>
    <mergeCell ref="AP741:AQ741"/>
    <mergeCell ref="E745:AB746"/>
    <mergeCell ref="AF745:AL745"/>
    <mergeCell ref="E748:AB749"/>
    <mergeCell ref="AF748:AL748"/>
    <mergeCell ref="H751:I751"/>
    <mergeCell ref="AJ753:AK753"/>
    <mergeCell ref="AF757:AL757"/>
    <mergeCell ref="E757:AB760"/>
    <mergeCell ref="E762:AA765"/>
    <mergeCell ref="AF762:AL762"/>
    <mergeCell ref="H767:I767"/>
    <mergeCell ref="AJ769:AK769"/>
    <mergeCell ref="E773:AB774"/>
    <mergeCell ref="AF773:AL773"/>
    <mergeCell ref="H779:I779"/>
    <mergeCell ref="H795:I795"/>
    <mergeCell ref="H806:I806"/>
    <mergeCell ref="H815:I815"/>
    <mergeCell ref="E776:AB777"/>
    <mergeCell ref="AF776:AL776"/>
    <mergeCell ref="AJ781:AK781"/>
    <mergeCell ref="E785:AD788"/>
    <mergeCell ref="AF785:AL785"/>
    <mergeCell ref="E790:AD793"/>
    <mergeCell ref="AF790:AL790"/>
    <mergeCell ref="AJ797:AK797"/>
    <mergeCell ref="E801:AD804"/>
    <mergeCell ref="AF801:AL801"/>
    <mergeCell ref="AJ808:AK808"/>
    <mergeCell ref="E812:AD813"/>
    <mergeCell ref="AF812:AL812"/>
    <mergeCell ref="AJ817:AK817"/>
    <mergeCell ref="AK819:AM819"/>
    <mergeCell ref="H823:R823"/>
    <mergeCell ref="AA823:AK823"/>
    <mergeCell ref="H824:R824"/>
    <mergeCell ref="AA824:AK824"/>
    <mergeCell ref="H825:R825"/>
    <mergeCell ref="H826:R826"/>
    <mergeCell ref="H827:M827"/>
    <mergeCell ref="P827:R827"/>
    <mergeCell ref="H828:R828"/>
    <mergeCell ref="H829:R829"/>
    <mergeCell ref="H830:R830"/>
    <mergeCell ref="H832:R832"/>
    <mergeCell ref="H833:R833"/>
    <mergeCell ref="H834:R834"/>
    <mergeCell ref="H835:R835"/>
    <mergeCell ref="H836:M836"/>
    <mergeCell ref="P836:R836"/>
    <mergeCell ref="H837:R837"/>
    <mergeCell ref="H838:R838"/>
    <mergeCell ref="H839:R839"/>
    <mergeCell ref="H841:R841"/>
    <mergeCell ref="H842:R842"/>
    <mergeCell ref="H843:R843"/>
    <mergeCell ref="H844:R844"/>
    <mergeCell ref="H845:M845"/>
    <mergeCell ref="P845:R845"/>
    <mergeCell ref="H846:R846"/>
    <mergeCell ref="H847:R847"/>
    <mergeCell ref="H848:R848"/>
    <mergeCell ref="H850:R850"/>
    <mergeCell ref="H851:R851"/>
    <mergeCell ref="H852:R852"/>
    <mergeCell ref="H853:R853"/>
    <mergeCell ref="P854:R854"/>
    <mergeCell ref="AA860:AK860"/>
    <mergeCell ref="AA861:AK861"/>
    <mergeCell ref="H854:M854"/>
    <mergeCell ref="H855:R855"/>
    <mergeCell ref="H856:R856"/>
    <mergeCell ref="AA856:AK856"/>
    <mergeCell ref="H857:R857"/>
    <mergeCell ref="AA857:AK857"/>
    <mergeCell ref="AA859:AK859"/>
    <mergeCell ref="AA863:AF863"/>
    <mergeCell ref="AI863:AK863"/>
    <mergeCell ref="H859:R859"/>
    <mergeCell ref="H860:R860"/>
    <mergeCell ref="H861:R861"/>
    <mergeCell ref="H862:R862"/>
    <mergeCell ref="AA862:AK862"/>
    <mergeCell ref="H863:M863"/>
    <mergeCell ref="P863:R863"/>
    <mergeCell ref="H864:R864"/>
    <mergeCell ref="AA864:AK864"/>
    <mergeCell ref="H865:R865"/>
    <mergeCell ref="AA865:AK865"/>
    <mergeCell ref="H866:R866"/>
    <mergeCell ref="AA866:AK866"/>
    <mergeCell ref="A869:AM870"/>
    <mergeCell ref="Z876:AE876"/>
    <mergeCell ref="AF876:AK876"/>
    <mergeCell ref="A872:AM872"/>
    <mergeCell ref="A873:AM873"/>
    <mergeCell ref="T874:Y875"/>
    <mergeCell ref="Z874:AE875"/>
    <mergeCell ref="AF874:AK875"/>
    <mergeCell ref="B876:S876"/>
    <mergeCell ref="T876:Y876"/>
    <mergeCell ref="Z880:AE880"/>
    <mergeCell ref="AF880:AK880"/>
    <mergeCell ref="B886:S886"/>
    <mergeCell ref="T887:Y887"/>
    <mergeCell ref="Z887:AE887"/>
    <mergeCell ref="AF887:AK887"/>
    <mergeCell ref="T888:Y888"/>
    <mergeCell ref="Z888:AE888"/>
    <mergeCell ref="AF888:AK888"/>
    <mergeCell ref="B887:S887"/>
    <mergeCell ref="B880:S880"/>
    <mergeCell ref="T880:Y880"/>
    <mergeCell ref="C881:S881"/>
    <mergeCell ref="T881:Y881"/>
    <mergeCell ref="Z881:AE881"/>
    <mergeCell ref="AF881:AK881"/>
    <mergeCell ref="T882:Y882"/>
    <mergeCell ref="Z882:AE882"/>
    <mergeCell ref="AF882:AK882"/>
    <mergeCell ref="Z884:AE884"/>
    <mergeCell ref="AF884:AK884"/>
    <mergeCell ref="C882:S882"/>
    <mergeCell ref="B883:S883"/>
    <mergeCell ref="T883:Y883"/>
    <mergeCell ref="B889:S889"/>
    <mergeCell ref="T889:Y889"/>
    <mergeCell ref="Z889:AE889"/>
    <mergeCell ref="AF889:AK889"/>
    <mergeCell ref="B890:S890"/>
    <mergeCell ref="T890:Y890"/>
    <mergeCell ref="Z892:AE892"/>
    <mergeCell ref="AF892:AK892"/>
    <mergeCell ref="Z890:AE890"/>
    <mergeCell ref="AF890:AK890"/>
    <mergeCell ref="B891:S891"/>
    <mergeCell ref="T891:Y891"/>
    <mergeCell ref="Z891:AE891"/>
    <mergeCell ref="AF891:AK891"/>
    <mergeCell ref="T892:Y892"/>
    <mergeCell ref="B877:S877"/>
    <mergeCell ref="T877:Y877"/>
    <mergeCell ref="Z877:AE877"/>
    <mergeCell ref="AF877:AK877"/>
    <mergeCell ref="T878:Y878"/>
    <mergeCell ref="Z878:AE878"/>
    <mergeCell ref="AF878:AK878"/>
    <mergeCell ref="B878:S878"/>
    <mergeCell ref="B879:S879"/>
    <mergeCell ref="T879:Y879"/>
    <mergeCell ref="Z879:AE879"/>
    <mergeCell ref="AF879:AK879"/>
    <mergeCell ref="Z883:AE883"/>
    <mergeCell ref="AF883:AK883"/>
    <mergeCell ref="B884:S884"/>
    <mergeCell ref="T884:Y884"/>
    <mergeCell ref="B885:S885"/>
    <mergeCell ref="T885:Y885"/>
    <mergeCell ref="Z885:AE885"/>
    <mergeCell ref="AF885:AK885"/>
    <mergeCell ref="T886:Y886"/>
    <mergeCell ref="Z886:AE886"/>
    <mergeCell ref="AF886:AK886"/>
    <mergeCell ref="A893:AE894"/>
    <mergeCell ref="AF893:AK894"/>
    <mergeCell ref="V498:X498"/>
    <mergeCell ref="V500:X500"/>
    <mergeCell ref="V505:X505"/>
    <mergeCell ref="D508:E508"/>
    <mergeCell ref="V509:X509"/>
    <mergeCell ref="V511:X511"/>
    <mergeCell ref="C514:D514"/>
    <mergeCell ref="F514:AE515"/>
    <mergeCell ref="F516:Z516"/>
    <mergeCell ref="C518:D518"/>
    <mergeCell ref="F518:AE519"/>
    <mergeCell ref="F521:H521"/>
    <mergeCell ref="C523:D523"/>
    <mergeCell ref="G526:AF526"/>
    <mergeCell ref="AK548:AM548"/>
    <mergeCell ref="F558:AL559"/>
    <mergeCell ref="F561:AK562"/>
    <mergeCell ref="H663:I663"/>
    <mergeCell ref="E670:AC672"/>
    <mergeCell ref="AF670:AL670"/>
    <mergeCell ref="E674:AC676"/>
    <mergeCell ref="AF674:AL674"/>
    <mergeCell ref="F446:AE454"/>
    <mergeCell ref="C455:D455"/>
    <mergeCell ref="AF455:AL455"/>
    <mergeCell ref="F458:AE461"/>
    <mergeCell ref="C462:D462"/>
    <mergeCell ref="AF462:AL462"/>
    <mergeCell ref="C466:D466"/>
    <mergeCell ref="F466:AE468"/>
    <mergeCell ref="AF466:AL466"/>
    <mergeCell ref="C470:D470"/>
    <mergeCell ref="F470:AE473"/>
    <mergeCell ref="AF470:AL470"/>
    <mergeCell ref="F475:AF478"/>
    <mergeCell ref="C479:D479"/>
    <mergeCell ref="AF479:AL479"/>
    <mergeCell ref="AK482:AM482"/>
    <mergeCell ref="AE485:AK485"/>
    <mergeCell ref="C491:D491"/>
    <mergeCell ref="F491:AE492"/>
    <mergeCell ref="F493:Z493"/>
    <mergeCell ref="C495:D495"/>
    <mergeCell ref="C525:D525"/>
    <mergeCell ref="C528:D528"/>
    <mergeCell ref="C532:D532"/>
    <mergeCell ref="C536:D536"/>
    <mergeCell ref="C554:D554"/>
    <mergeCell ref="C557:D557"/>
    <mergeCell ref="G532:AF533"/>
    <mergeCell ref="F537:AF538"/>
    <mergeCell ref="AE551:AK551"/>
    <mergeCell ref="F554:AL555"/>
    <mergeCell ref="AF678:AL678"/>
    <mergeCell ref="AE679:AK679"/>
    <mergeCell ref="E678:AC680"/>
    <mergeCell ref="E682:AC684"/>
    <mergeCell ref="AF682:AL682"/>
    <mergeCell ref="E686:AC688"/>
    <mergeCell ref="AF686:AL686"/>
    <mergeCell ref="E690:AC692"/>
    <mergeCell ref="AF690:AL690"/>
    <mergeCell ref="B568:AJ570"/>
    <mergeCell ref="B577:AJ585"/>
    <mergeCell ref="AP563:AR563"/>
    <mergeCell ref="AF564:AJ564"/>
    <mergeCell ref="AF565:AJ565"/>
    <mergeCell ref="AP565:AR565"/>
    <mergeCell ref="AF566:AJ566"/>
    <mergeCell ref="AP566:AR566"/>
    <mergeCell ref="AP570:AR570"/>
    <mergeCell ref="AP567:AR567"/>
    <mergeCell ref="AP569:AR569"/>
    <mergeCell ref="AK572:AM572"/>
    <mergeCell ref="AP572:AR572"/>
    <mergeCell ref="AE575:AK575"/>
    <mergeCell ref="AF591:AL591"/>
    <mergeCell ref="AF598:AL598"/>
    <mergeCell ref="AF604:AL604"/>
    <mergeCell ref="AF610:AL610"/>
    <mergeCell ref="O614:AB614"/>
    <mergeCell ref="AF616:AL616"/>
    <mergeCell ref="H619:I619"/>
    <mergeCell ref="R619:W619"/>
    <mergeCell ref="Y620:AM621"/>
    <mergeCell ref="I627:AE627"/>
    <mergeCell ref="B629:C629"/>
    <mergeCell ref="E629:AG632"/>
    <mergeCell ref="AJ634:AK634"/>
    <mergeCell ref="E638:AD645"/>
    <mergeCell ref="AF638:AL638"/>
    <mergeCell ref="X647:Y647"/>
    <mergeCell ref="AF649:AL649"/>
    <mergeCell ref="H651:I651"/>
    <mergeCell ref="AJ653:AK653"/>
    <mergeCell ref="E657:AD658"/>
    <mergeCell ref="AF657:AL657"/>
    <mergeCell ref="AF660:AL660"/>
    <mergeCell ref="AJ665:AK665"/>
    <mergeCell ref="AF707:AL707"/>
    <mergeCell ref="AO708:AP708"/>
    <mergeCell ref="AA845:AF845"/>
    <mergeCell ref="AA846:AK846"/>
    <mergeCell ref="AA838:AK838"/>
    <mergeCell ref="AA839:AK839"/>
    <mergeCell ref="AA841:AK841"/>
    <mergeCell ref="AA842:AK842"/>
    <mergeCell ref="AA843:AK843"/>
    <mergeCell ref="AA844:AK844"/>
    <mergeCell ref="AI845:AK845"/>
    <mergeCell ref="AA825:AK825"/>
    <mergeCell ref="AA826:AK826"/>
    <mergeCell ref="AA827:AF827"/>
    <mergeCell ref="AI827:AK827"/>
    <mergeCell ref="AA828:AK828"/>
    <mergeCell ref="AA829:AK829"/>
    <mergeCell ref="AA830:AK830"/>
    <mergeCell ref="AA832:AK832"/>
    <mergeCell ref="AA833:AK833"/>
    <mergeCell ref="AA834:AK834"/>
    <mergeCell ref="AA835:AK835"/>
    <mergeCell ref="AA836:AF836"/>
    <mergeCell ref="AI836:AK836"/>
    <mergeCell ref="AA837:AK837"/>
    <mergeCell ref="AA854:AF854"/>
    <mergeCell ref="AA855:AK855"/>
    <mergeCell ref="AA847:AK847"/>
    <mergeCell ref="AA848:AK848"/>
    <mergeCell ref="AA850:AK850"/>
    <mergeCell ref="AA851:AK851"/>
    <mergeCell ref="AA852:AK852"/>
    <mergeCell ref="AA853:AK853"/>
    <mergeCell ref="AI854:AK854"/>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4" stopIfTrue="1">
      <formula>ISERROR(T884)</formula>
    </cfRule>
  </conditionalFormatting>
  <conditionalFormatting sqref="T889:Z891">
    <cfRule type="expression" dxfId="11" priority="5"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7" stopIfTrue="1">
      <formula>ISERROR(AF884)</formula>
    </cfRule>
  </conditionalFormatting>
  <conditionalFormatting sqref="AF889:AK891">
    <cfRule type="expression" dxfId="8" priority="8" stopIfTrue="1">
      <formula>ISERROR(AF889)</formula>
    </cfRule>
  </conditionalFormatting>
  <conditionalFormatting sqref="AN468:AN472 AU484 AV485:AV487 T880:AK880 T881:AF883 AG883:AK883 T885:AK887 T888:AF888 AF891:AF893 T892:AE892 AG892:AL892">
    <cfRule type="expression" dxfId="7" priority="9" stopIfTrue="1">
      <formula>ISERROR(T468)</formula>
    </cfRule>
  </conditionalFormatting>
  <conditionalFormatting sqref="AP484">
    <cfRule type="expression" dxfId="6" priority="10" stopIfTrue="1">
      <formula>ISERROR(AP484)</formula>
    </cfRule>
  </conditionalFormatting>
  <dataValidations count="35">
    <dataValidation type="list" allowBlank="1" showErrorMessage="1" sqref="H619 H621:I625" xr:uid="{00000000-0002-0000-0800-000000000000}">
      <formula1>$AO$599:$AO$604</formula1>
    </dataValidation>
    <dataValidation type="list" allowBlank="1" showErrorMessage="1" sqref="H795" xr:uid="{00000000-0002-0000-0800-000001000000}">
      <formula1>$AO$785:$AO$787</formula1>
    </dataValidation>
    <dataValidation type="list" allowBlank="1" showErrorMessage="1" sqref="I342" xr:uid="{00000000-0002-0000-0800-000002000000}">
      <formula1>$AP$343:$AP$345</formula1>
    </dataValidation>
    <dataValidation type="list" allowBlank="1" showErrorMessage="1" sqref="I627" xr:uid="{00000000-0002-0000-0800-000003000000}">
      <formula1>$AO$626:$AO$628</formula1>
    </dataValidation>
    <dataValidation type="list" allowBlank="1" showErrorMessage="1" sqref="C169" xr:uid="{00000000-0002-0000-0800-000004000000}">
      <formula1>$AO$169:$AO$172</formula1>
    </dataValidation>
    <dataValidation type="list" allowBlank="1" showErrorMessage="1" sqref="B187" xr:uid="{00000000-0002-0000-0800-000005000000}">
      <formula1>$AP$184:$AP$190</formula1>
    </dataValidation>
    <dataValidation type="list" allowBlank="1" showErrorMessage="1" sqref="H651 H739 H751 H767 H779" xr:uid="{00000000-0002-0000-0800-000006000000}">
      <formula1>$AO$599:$AO$601</formula1>
    </dataValidation>
    <dataValidation type="list" allowBlank="1" showErrorMessage="1" sqref="C305" xr:uid="{00000000-0002-0000-0800-000007000000}">
      <formula1>"N/A,Yes,50% Met"</formula1>
    </dataValidation>
    <dataValidation type="list" allowBlank="1" showErrorMessage="1" sqref="V509" xr:uid="{00000000-0002-0000-0800-000008000000}">
      <formula1>$BB$494:$BB$497</formula1>
    </dataValidation>
    <dataValidation type="list" allowBlank="1" showErrorMessage="1" sqref="V498" xr:uid="{00000000-0002-0000-0800-000009000000}">
      <formula1>$AW$494:$AW$496</formula1>
    </dataValidation>
    <dataValidation type="list" allowBlank="1" showErrorMessage="1" sqref="C173" xr:uid="{00000000-0002-0000-0800-00000A000000}">
      <formula1>$AO$176:$AO$178</formula1>
    </dataValidation>
    <dataValidation type="list" allowBlank="1" showErrorMessage="1" sqref="V505" xr:uid="{00000000-0002-0000-0800-00000B000000}">
      <formula1>$AT$498:$AT$500</formula1>
    </dataValidation>
    <dataValidation type="list" allowBlank="1" showErrorMessage="1" sqref="H806 H815" xr:uid="{00000000-0002-0000-0800-00000C000000}">
      <formula1>$AO$800:$AO$801</formula1>
    </dataValidation>
    <dataValidation type="list" allowBlank="1" showErrorMessage="1" sqref="B11 B15 B17:C17 B19 B26 B30 B33 B37 B39 B43 B46 B49 B52 B56 B59 B67 B73 E74:E76 B78 B81 B89 B97 B114 AB154 AJ163 AF171 C279 C286 C315 C323 C346 C394 C402 C410 C412 C420 C422 C425 C434 C436 C443 C455 C462 C466 C470 C479 C491 C495 C514 C518 C523 C528 C532 C536 C554 C557 X647" xr:uid="{00000000-0002-0000-0800-00000D000000}">
      <formula1>"N/A,Yes"</formula1>
    </dataValidation>
    <dataValidation type="list" allowBlank="1" showErrorMessage="1" sqref="I337" xr:uid="{00000000-0002-0000-0800-00000E000000}">
      <formula1>$AP$336:$AP$340</formula1>
    </dataValidation>
    <dataValidation type="list" allowBlank="1" showErrorMessage="1" sqref="C170:AD170" xr:uid="{00000000-0002-0000-0800-00000F000000}">
      <formula1>$AO$169:$AO$174</formula1>
    </dataValidation>
    <dataValidation type="list" allowBlank="1" showErrorMessage="1" sqref="F329" xr:uid="{00000000-0002-0000-0800-000010000000}">
      <formula1>$AP$324:$AP$327</formula1>
    </dataValidation>
    <dataValidation type="list" allowBlank="1" showErrorMessage="1" sqref="O614" xr:uid="{00000000-0002-0000-0800-000011000000}">
      <formula1>"(select),Dial-a-ride service,Project-operated van service"</formula1>
    </dataValidation>
    <dataValidation type="list" allowBlank="1" showErrorMessage="1" sqref="B629" xr:uid="{00000000-0002-0000-0800-000012000000}">
      <formula1>$AP$587:$AP$588</formula1>
    </dataValidation>
    <dataValidation type="list" allowBlank="1" showErrorMessage="1" sqref="F516" xr:uid="{00000000-0002-0000-0800-000013000000}">
      <formula1>$AO$484:$AO$492</formula1>
    </dataValidation>
    <dataValidation type="list" allowBlank="1" showErrorMessage="1" sqref="R619" xr:uid="{00000000-0002-0000-0800-000014000000}">
      <formula1>$AO$606:$AO$608</formula1>
    </dataValidation>
    <dataValidation type="list" allowBlank="1" showErrorMessage="1" sqref="H828 AA828 H837 AA837 H846 AA846 H855 AA855 H864 AA864" xr:uid="{00000000-0002-0000-0800-000015000000}">
      <formula1>$AP$823:$AP$833</formula1>
    </dataValidation>
    <dataValidation type="list" allowBlank="1" showErrorMessage="1" sqref="B157" xr:uid="{00000000-0002-0000-0800-000016000000}">
      <formula1>$AO$155:$AO$157</formula1>
    </dataValidation>
    <dataValidation type="list" allowBlank="1" showErrorMessage="1" sqref="H663" xr:uid="{00000000-0002-0000-0800-000017000000}">
      <formula1>$AO$599:$AO$600</formula1>
    </dataValidation>
    <dataValidation type="list" allowBlank="1" showErrorMessage="1" sqref="H698" xr:uid="{00000000-0002-0000-0800-000018000000}">
      <formula1>$AO$646:$AO$653</formula1>
    </dataValidation>
    <dataValidation type="list" allowBlank="1" showErrorMessage="1" sqref="G526" xr:uid="{00000000-0002-0000-0800-000019000000}">
      <formula1>$AO$501:$AO$504</formula1>
    </dataValidation>
    <dataValidation type="list" allowBlank="1" showErrorMessage="1" sqref="V500" xr:uid="{00000000-0002-0000-0800-00001A000000}">
      <formula1>$AT$494:$AT$496</formula1>
    </dataValidation>
    <dataValidation type="list" allowBlank="1" showErrorMessage="1" sqref="F537" xr:uid="{00000000-0002-0000-0800-00001B000000}">
      <formula1>$AO$507:$AO$510</formula1>
    </dataValidation>
    <dataValidation type="list" allowBlank="1" showErrorMessage="1" sqref="B152" xr:uid="{00000000-0002-0000-0800-00001C000000}">
      <formula1>$AO$150:$AO$153</formula1>
    </dataValidation>
    <dataValidation type="list" allowBlank="1" showErrorMessage="1" sqref="H725" xr:uid="{00000000-0002-0000-0800-00001D000000}">
      <formula1>$AO$716:$AO$720</formula1>
    </dataValidation>
    <dataValidation type="list" allowBlank="1" showErrorMessage="1" sqref="T188" xr:uid="{00000000-0002-0000-0800-00001E000000}">
      <formula1>$AS$188:$AS$190</formula1>
    </dataValidation>
    <dataValidation type="list" allowBlank="1" showErrorMessage="1" sqref="F521" xr:uid="{00000000-0002-0000-0800-00001F000000}">
      <formula1>$AO$494:$AO$496</formula1>
    </dataValidation>
    <dataValidation type="list" allowBlank="1" showErrorMessage="1" sqref="B223:B232" xr:uid="{00000000-0002-0000-0800-000020000000}">
      <formula1>"(select),SRO/Studio,1 bedroom,2 bedroom,3 bedroom,4 bedroom,5 bedroom"</formula1>
    </dataValidation>
    <dataValidation type="list" allowBlank="1" showErrorMessage="1" sqref="F493" xr:uid="{00000000-0002-0000-0800-000021000000}">
      <formula1>$AT$484:$AT$492</formula1>
    </dataValidation>
    <dataValidation type="list" allowBlank="1" showErrorMessage="1" sqref="V511" xr:uid="{00000000-0002-0000-0800-000022000000}">
      <formula1>$BF$494:$BF$496</formula1>
    </dataValidation>
  </dataValidations>
  <printOptions horizontalCentered="1"/>
  <pageMargins left="0.5" right="0.5" top="0.75" bottom="0.75" header="0" footer="0"/>
  <pageSetup orientation="portrait"/>
  <headerFooter>
    <oddFooter>&amp;C&amp;P&amp;R&amp;A</oddFooter>
  </headerFooter>
  <rowBreaks count="8" manualBreakCount="8">
    <brk id="754" man="1"/>
    <brk id="404" man="1"/>
    <brk id="868" man="1"/>
    <brk id="693" man="1"/>
    <brk id="299" man="1"/>
    <brk id="573" man="1"/>
    <brk id="109" man="1"/>
    <brk id="62" man="1"/>
  </rowBreaks>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tabSelected="1" topLeftCell="A21" workbookViewId="0">
      <selection activeCell="E13" sqref="E13"/>
    </sheetView>
  </sheetViews>
  <sheetFormatPr defaultColWidth="12.6328125" defaultRowHeight="15" customHeight="1"/>
  <cols>
    <col min="1" max="1" width="2.36328125" customWidth="1"/>
    <col min="2" max="9" width="14.7265625" customWidth="1"/>
    <col min="10" max="10" width="2.26953125" customWidth="1"/>
    <col min="11" max="11" width="11.90625" customWidth="1"/>
    <col min="12" max="12" width="10.7265625" customWidth="1"/>
    <col min="13" max="13" width="10.36328125" customWidth="1"/>
    <col min="14" max="14" width="10.90625" customWidth="1"/>
    <col min="15" max="18" width="9.08984375" customWidth="1"/>
    <col min="19" max="19" width="9.36328125" customWidth="1"/>
    <col min="20" max="26" width="9.08984375" customWidth="1"/>
  </cols>
  <sheetData>
    <row r="1" spans="1:26" ht="30" customHeight="1">
      <c r="A1" s="1500" t="s">
        <v>2064</v>
      </c>
      <c r="B1" s="1118"/>
      <c r="C1" s="1118"/>
      <c r="D1" s="1118"/>
      <c r="E1" s="1118"/>
      <c r="F1" s="1118"/>
      <c r="G1" s="1118"/>
      <c r="H1" s="1118"/>
      <c r="I1" s="1118"/>
      <c r="J1" s="1119"/>
      <c r="K1" s="471"/>
      <c r="L1" s="472"/>
      <c r="M1" s="472"/>
      <c r="N1" s="472"/>
      <c r="O1" s="472"/>
      <c r="P1" s="472"/>
      <c r="Q1" s="472"/>
      <c r="R1" s="472"/>
      <c r="S1" s="472"/>
      <c r="T1" s="472"/>
      <c r="U1" s="472"/>
      <c r="V1" s="472"/>
      <c r="W1" s="472"/>
      <c r="X1" s="472"/>
      <c r="Y1" s="472"/>
      <c r="Z1" s="472"/>
    </row>
    <row r="2" spans="1:26" ht="15" customHeight="1">
      <c r="A2" s="474"/>
      <c r="B2" s="474"/>
      <c r="C2" s="472"/>
      <c r="D2" s="472"/>
      <c r="E2" s="472"/>
      <c r="F2" s="472"/>
      <c r="G2" s="472"/>
      <c r="H2" s="472"/>
      <c r="I2" s="476"/>
      <c r="J2" s="472"/>
      <c r="K2" s="477"/>
      <c r="L2" s="472"/>
      <c r="M2" s="472"/>
      <c r="N2" s="472"/>
      <c r="O2" s="472"/>
      <c r="P2" s="472"/>
      <c r="Q2" s="472"/>
      <c r="R2" s="472"/>
      <c r="S2" s="472"/>
      <c r="T2" s="472"/>
      <c r="U2" s="472"/>
      <c r="V2" s="472"/>
      <c r="W2" s="472"/>
      <c r="X2" s="472"/>
      <c r="Y2" s="472"/>
      <c r="Z2" s="472"/>
    </row>
    <row r="3" spans="1:26" ht="19.5" customHeight="1">
      <c r="A3" s="478"/>
      <c r="B3" s="479"/>
      <c r="C3" s="480"/>
      <c r="D3" s="481"/>
      <c r="E3" s="480"/>
      <c r="F3" s="482" t="s">
        <v>2067</v>
      </c>
      <c r="G3" s="480"/>
      <c r="H3" s="483">
        <f>E18</f>
        <v>58481644</v>
      </c>
      <c r="I3" s="485"/>
      <c r="J3" s="486"/>
      <c r="K3" s="486"/>
      <c r="L3" s="486"/>
      <c r="M3" s="486"/>
      <c r="N3" s="486"/>
      <c r="O3" s="486"/>
      <c r="P3" s="486"/>
      <c r="Q3" s="486"/>
      <c r="R3" s="486"/>
      <c r="S3" s="486"/>
      <c r="T3" s="486"/>
      <c r="U3" s="486"/>
      <c r="V3" s="486"/>
      <c r="W3" s="486"/>
      <c r="X3" s="486"/>
      <c r="Y3" s="486"/>
      <c r="Z3" s="486"/>
    </row>
    <row r="4" spans="1:26" ht="19.5" customHeight="1">
      <c r="A4" s="486"/>
      <c r="B4" s="487"/>
      <c r="C4" s="486"/>
      <c r="D4" s="488"/>
      <c r="E4" s="486"/>
      <c r="F4" s="489" t="s">
        <v>2069</v>
      </c>
      <c r="G4" s="490" t="s">
        <v>2070</v>
      </c>
      <c r="H4" s="491">
        <f>I18</f>
        <v>28598919.854285713</v>
      </c>
      <c r="I4" s="492"/>
      <c r="J4" s="486"/>
      <c r="K4" s="493"/>
      <c r="L4" s="486"/>
      <c r="M4" s="486"/>
      <c r="N4" s="486"/>
      <c r="O4" s="486"/>
      <c r="P4" s="486"/>
      <c r="Q4" s="486"/>
      <c r="R4" s="486"/>
      <c r="S4" s="486"/>
      <c r="T4" s="486"/>
      <c r="U4" s="486"/>
      <c r="V4" s="486"/>
      <c r="W4" s="486"/>
      <c r="X4" s="486"/>
      <c r="Y4" s="486"/>
      <c r="Z4" s="486"/>
    </row>
    <row r="5" spans="1:26" ht="19.5" customHeight="1">
      <c r="A5" s="486"/>
      <c r="B5" s="494"/>
      <c r="C5" s="495"/>
      <c r="D5" s="496"/>
      <c r="E5" s="497"/>
      <c r="F5" s="496" t="s">
        <v>2071</v>
      </c>
      <c r="G5" s="498"/>
      <c r="H5" s="500">
        <f>IFERROR(H3/H4,0)</f>
        <v>2.0448899573120132</v>
      </c>
      <c r="I5" s="502"/>
      <c r="J5" s="486"/>
      <c r="K5" s="493"/>
      <c r="L5" s="486"/>
      <c r="M5" s="486"/>
      <c r="N5" s="486"/>
      <c r="O5" s="486"/>
      <c r="P5" s="486"/>
      <c r="Q5" s="486"/>
      <c r="R5" s="486"/>
      <c r="S5" s="486"/>
      <c r="T5" s="486"/>
      <c r="U5" s="486"/>
      <c r="V5" s="486"/>
      <c r="W5" s="486"/>
      <c r="X5" s="486"/>
      <c r="Y5" s="486"/>
      <c r="Z5" s="486"/>
    </row>
    <row r="6" spans="1:26" ht="15" customHeight="1">
      <c r="A6" s="486"/>
      <c r="B6" s="506"/>
      <c r="C6" s="507"/>
      <c r="D6" s="486"/>
      <c r="E6" s="486"/>
      <c r="F6" s="508"/>
      <c r="G6" s="486"/>
      <c r="H6" s="486"/>
      <c r="I6" s="486"/>
      <c r="J6" s="486"/>
      <c r="K6" s="493"/>
      <c r="L6" s="486"/>
      <c r="M6" s="486"/>
      <c r="N6" s="486"/>
      <c r="O6" s="486"/>
      <c r="P6" s="486"/>
      <c r="Q6" s="486"/>
      <c r="R6" s="486"/>
      <c r="S6" s="486"/>
      <c r="T6" s="486"/>
      <c r="U6" s="486"/>
      <c r="V6" s="486"/>
      <c r="W6" s="486"/>
      <c r="X6" s="486"/>
      <c r="Y6" s="486"/>
      <c r="Z6" s="486"/>
    </row>
    <row r="7" spans="1:26" ht="15" customHeight="1">
      <c r="A7" s="486"/>
      <c r="B7" s="486"/>
      <c r="C7" s="486"/>
      <c r="D7" s="486"/>
      <c r="E7" s="508"/>
      <c r="F7" s="508"/>
      <c r="G7" s="486"/>
      <c r="H7" s="486"/>
      <c r="I7" s="486"/>
      <c r="J7" s="486"/>
      <c r="K7" s="509"/>
      <c r="L7" s="486"/>
      <c r="M7" s="486"/>
      <c r="N7" s="486"/>
      <c r="O7" s="486"/>
      <c r="P7" s="486"/>
      <c r="Q7" s="486"/>
      <c r="R7" s="486"/>
      <c r="S7" s="486"/>
      <c r="T7" s="486"/>
      <c r="U7" s="486"/>
      <c r="V7" s="486"/>
      <c r="W7" s="486"/>
      <c r="X7" s="486"/>
      <c r="Y7" s="486"/>
      <c r="Z7" s="486"/>
    </row>
    <row r="8" spans="1:26" ht="15" customHeight="1">
      <c r="A8" s="510"/>
      <c r="B8" s="1501" t="s">
        <v>2073</v>
      </c>
      <c r="C8" s="921"/>
      <c r="D8" s="921"/>
      <c r="E8" s="943"/>
      <c r="F8" s="486"/>
      <c r="G8" s="1492" t="s">
        <v>2074</v>
      </c>
      <c r="H8" s="921"/>
      <c r="I8" s="943"/>
      <c r="J8" s="486"/>
      <c r="K8" s="509"/>
      <c r="L8" s="486"/>
      <c r="M8" s="486"/>
      <c r="N8" s="486"/>
      <c r="O8" s="486"/>
      <c r="P8" s="486"/>
      <c r="Q8" s="486"/>
      <c r="R8" s="486"/>
      <c r="S8" s="486"/>
      <c r="T8" s="486"/>
      <c r="U8" s="486"/>
      <c r="V8" s="486"/>
      <c r="W8" s="486"/>
      <c r="X8" s="486"/>
      <c r="Y8" s="486"/>
      <c r="Z8" s="486"/>
    </row>
    <row r="9" spans="1:26" ht="15" customHeight="1">
      <c r="A9" s="474"/>
      <c r="B9" s="1498" t="s">
        <v>2075</v>
      </c>
      <c r="C9" s="921"/>
      <c r="D9" s="943"/>
      <c r="E9" s="511">
        <f>G33</f>
        <v>13575000</v>
      </c>
      <c r="F9" s="472"/>
      <c r="G9" s="1493" t="s">
        <v>2076</v>
      </c>
      <c r="H9" s="943"/>
      <c r="I9" s="511">
        <f>MAX(SUMIF(Application!M562:M573,"Loan, Tax-Exempt",Application!AM562:AM573),27.5%*SUM('Sources and Uses Budget'!C8,'Sources and Uses Budget'!S105,'Sources and Uses Budget'!T105))</f>
        <v>28416244</v>
      </c>
      <c r="J9" s="472"/>
      <c r="K9" s="512"/>
      <c r="L9" s="472"/>
      <c r="M9" s="513"/>
      <c r="N9" s="472"/>
      <c r="O9" s="472"/>
      <c r="P9" s="472"/>
      <c r="Q9" s="472"/>
      <c r="R9" s="472"/>
      <c r="S9" s="472"/>
      <c r="T9" s="472"/>
      <c r="U9" s="472"/>
      <c r="V9" s="472"/>
      <c r="W9" s="472"/>
      <c r="X9" s="472"/>
      <c r="Y9" s="472"/>
      <c r="Z9" s="472"/>
    </row>
    <row r="10" spans="1:26" ht="15" customHeight="1">
      <c r="A10" s="474"/>
      <c r="B10" s="1498" t="s">
        <v>2078</v>
      </c>
      <c r="C10" s="921"/>
      <c r="D10" s="943"/>
      <c r="E10" s="511">
        <f>G47</f>
        <v>35698644</v>
      </c>
      <c r="F10" s="472"/>
      <c r="G10" s="1490" t="s">
        <v>2080</v>
      </c>
      <c r="H10" s="1190"/>
      <c r="I10" s="515">
        <f>IF(OR(Application!Z205="State Farmworker Credit",Application!Z205="$500M (Farmworker Housing)"),0,'Basis &amp; Credits'!AB78)</f>
        <v>0</v>
      </c>
      <c r="J10" s="472"/>
      <c r="K10" s="471"/>
      <c r="L10" s="472"/>
      <c r="M10" s="513"/>
      <c r="N10" s="472"/>
      <c r="O10" s="472"/>
      <c r="P10" s="472"/>
      <c r="Q10" s="472"/>
      <c r="R10" s="472"/>
      <c r="S10" s="472"/>
      <c r="T10" s="472"/>
      <c r="U10" s="472"/>
      <c r="V10" s="472"/>
      <c r="W10" s="472"/>
      <c r="X10" s="472"/>
      <c r="Y10" s="472"/>
      <c r="Z10" s="472"/>
    </row>
    <row r="11" spans="1:26" ht="15" customHeight="1">
      <c r="A11" s="474"/>
      <c r="B11" s="1498" t="s">
        <v>2081</v>
      </c>
      <c r="C11" s="921"/>
      <c r="D11" s="943"/>
      <c r="E11" s="511">
        <f>SUM(E13,E12)</f>
        <v>520000</v>
      </c>
      <c r="F11" s="472"/>
      <c r="G11" s="1491" t="s">
        <v>2082</v>
      </c>
      <c r="H11" s="962"/>
      <c r="I11" s="517">
        <f>I9+I10</f>
        <v>28416244</v>
      </c>
      <c r="J11" s="472"/>
      <c r="K11" s="471"/>
      <c r="L11" s="472"/>
      <c r="M11" s="513"/>
      <c r="N11" s="472"/>
      <c r="O11" s="472"/>
      <c r="P11" s="472"/>
      <c r="Q11" s="472"/>
      <c r="R11" s="472"/>
      <c r="S11" s="472"/>
      <c r="T11" s="472"/>
      <c r="U11" s="472"/>
      <c r="V11" s="472"/>
      <c r="W11" s="472"/>
      <c r="X11" s="472"/>
      <c r="Y11" s="472"/>
      <c r="Z11" s="472"/>
    </row>
    <row r="12" spans="1:26" ht="15" customHeight="1">
      <c r="A12" s="518"/>
      <c r="B12" s="1498" t="s">
        <v>2083</v>
      </c>
      <c r="C12" s="921"/>
      <c r="D12" s="943"/>
      <c r="E12" s="519">
        <f>G56</f>
        <v>520000</v>
      </c>
      <c r="F12" s="472"/>
      <c r="G12" s="472"/>
      <c r="H12" s="472"/>
      <c r="I12" s="472"/>
      <c r="J12" s="472"/>
      <c r="K12" s="471"/>
      <c r="L12" s="472"/>
      <c r="M12" s="513"/>
      <c r="N12" s="472"/>
      <c r="O12" s="472"/>
      <c r="P12" s="472"/>
      <c r="Q12" s="472"/>
      <c r="R12" s="472"/>
      <c r="S12" s="472"/>
      <c r="T12" s="472"/>
      <c r="U12" s="472"/>
      <c r="V12" s="472"/>
      <c r="W12" s="472"/>
      <c r="X12" s="472"/>
      <c r="Y12" s="472"/>
      <c r="Z12" s="472"/>
    </row>
    <row r="13" spans="1:26" ht="15" customHeight="1">
      <c r="A13" s="520"/>
      <c r="B13" s="1498" t="s">
        <v>2084</v>
      </c>
      <c r="C13" s="921"/>
      <c r="D13" s="943"/>
      <c r="E13" s="519">
        <v>0</v>
      </c>
      <c r="F13" s="472"/>
      <c r="G13" s="1492" t="s">
        <v>2085</v>
      </c>
      <c r="H13" s="921"/>
      <c r="I13" s="943"/>
      <c r="J13" s="472"/>
      <c r="K13" s="471"/>
      <c r="L13" s="472"/>
      <c r="M13" s="472"/>
      <c r="N13" s="472"/>
      <c r="O13" s="472"/>
      <c r="P13" s="472"/>
      <c r="Q13" s="472"/>
      <c r="R13" s="472"/>
      <c r="S13" s="472"/>
      <c r="T13" s="472"/>
      <c r="U13" s="472"/>
      <c r="V13" s="472"/>
      <c r="W13" s="472"/>
      <c r="X13" s="472"/>
      <c r="Y13" s="472"/>
      <c r="Z13" s="472"/>
    </row>
    <row r="14" spans="1:26" ht="15" customHeight="1">
      <c r="A14" s="520"/>
      <c r="B14" s="1498" t="s">
        <v>2086</v>
      </c>
      <c r="C14" s="921"/>
      <c r="D14" s="943"/>
      <c r="E14" s="511">
        <f>MAX(E15,E16)+E17</f>
        <v>8688000</v>
      </c>
      <c r="F14" s="472"/>
      <c r="G14" s="1493" t="s">
        <v>2087</v>
      </c>
      <c r="H14" s="943"/>
      <c r="I14" s="524">
        <f>IF(AND(G134="Yes",G136&lt;&gt;""),IF(OR(G141="Yes",G145="Yes"),18%,15%),0)</f>
        <v>0</v>
      </c>
      <c r="J14" s="472"/>
      <c r="K14" s="471"/>
      <c r="L14" s="472"/>
      <c r="M14" s="513"/>
      <c r="N14" s="472"/>
      <c r="O14" s="472"/>
      <c r="P14" s="472"/>
      <c r="Q14" s="472"/>
      <c r="R14" s="472"/>
      <c r="S14" s="472"/>
      <c r="T14" s="472"/>
      <c r="U14" s="472"/>
      <c r="V14" s="472"/>
      <c r="W14" s="472"/>
      <c r="X14" s="472"/>
      <c r="Y14" s="472"/>
      <c r="Z14" s="472"/>
    </row>
    <row r="15" spans="1:26" ht="15" customHeight="1">
      <c r="A15" s="520"/>
      <c r="B15" s="1498" t="s">
        <v>2088</v>
      </c>
      <c r="C15" s="921"/>
      <c r="D15" s="943"/>
      <c r="E15" s="519">
        <f>G94</f>
        <v>0</v>
      </c>
      <c r="F15" s="472"/>
      <c r="G15" s="526" t="s">
        <v>1326</v>
      </c>
      <c r="H15" s="526"/>
      <c r="I15" s="524">
        <f>IF(Application!AJ1039&gt;0,10%,IF(Application!AJ1043&gt;0,5%,0))</f>
        <v>0</v>
      </c>
      <c r="J15" s="472"/>
      <c r="K15" s="471"/>
      <c r="L15" s="472"/>
      <c r="M15" s="513"/>
      <c r="N15" s="472"/>
      <c r="O15" s="472"/>
      <c r="P15" s="472"/>
      <c r="Q15" s="472"/>
      <c r="R15" s="472"/>
      <c r="S15" s="472"/>
      <c r="T15" s="472"/>
      <c r="U15" s="472"/>
      <c r="V15" s="472"/>
      <c r="W15" s="472"/>
      <c r="X15" s="472"/>
      <c r="Y15" s="472"/>
      <c r="Z15" s="472"/>
    </row>
    <row r="16" spans="1:26" ht="15" customHeight="1">
      <c r="A16" s="520"/>
      <c r="B16" s="1498" t="s">
        <v>2089</v>
      </c>
      <c r="C16" s="921"/>
      <c r="D16" s="943"/>
      <c r="E16" s="519">
        <f>G104</f>
        <v>0</v>
      </c>
      <c r="F16" s="472"/>
      <c r="G16" s="1493" t="s">
        <v>2091</v>
      </c>
      <c r="H16" s="943"/>
      <c r="I16" s="524">
        <f>G155</f>
        <v>-6.4285714285714285E-3</v>
      </c>
      <c r="J16" s="472"/>
      <c r="K16" s="471"/>
      <c r="L16" s="472"/>
      <c r="M16" s="472"/>
      <c r="N16" s="472"/>
      <c r="O16" s="472"/>
      <c r="P16" s="472"/>
      <c r="Q16" s="472"/>
      <c r="R16" s="472"/>
      <c r="S16" s="472"/>
      <c r="T16" s="472"/>
      <c r="U16" s="472"/>
      <c r="V16" s="472"/>
      <c r="W16" s="472"/>
      <c r="X16" s="472"/>
      <c r="Y16" s="472"/>
      <c r="Z16" s="472"/>
    </row>
    <row r="17" spans="1:26" ht="15" customHeight="1">
      <c r="A17" s="520"/>
      <c r="B17" s="1498" t="s">
        <v>2092</v>
      </c>
      <c r="C17" s="921"/>
      <c r="D17" s="943"/>
      <c r="E17" s="519">
        <f>G129</f>
        <v>8688000</v>
      </c>
      <c r="F17" s="472"/>
      <c r="G17" s="1493" t="s">
        <v>2093</v>
      </c>
      <c r="H17" s="943"/>
      <c r="I17" s="524">
        <f>IF(AND(G161="Yes",G159),IF(G165&gt;15%,15%,G165),0)</f>
        <v>0</v>
      </c>
      <c r="J17" s="472"/>
      <c r="K17" s="471"/>
      <c r="L17" s="472"/>
      <c r="M17" s="472"/>
      <c r="N17" s="472"/>
      <c r="O17" s="472"/>
      <c r="P17" s="472"/>
      <c r="Q17" s="472"/>
      <c r="R17" s="472"/>
      <c r="S17" s="472"/>
      <c r="T17" s="472"/>
      <c r="U17" s="472"/>
      <c r="V17" s="472"/>
      <c r="W17" s="472"/>
      <c r="X17" s="472"/>
      <c r="Y17" s="472"/>
      <c r="Z17" s="472"/>
    </row>
    <row r="18" spans="1:26" ht="15" customHeight="1">
      <c r="A18" s="474"/>
      <c r="B18" s="1499" t="s">
        <v>2094</v>
      </c>
      <c r="C18" s="1177"/>
      <c r="D18" s="1192"/>
      <c r="E18" s="528">
        <f>SUM(E9:E11,E14)</f>
        <v>58481644</v>
      </c>
      <c r="F18" s="472"/>
      <c r="G18" s="529" t="s">
        <v>2095</v>
      </c>
      <c r="H18" s="529"/>
      <c r="I18" s="528">
        <f>I11-((I11*I14)+(I11*I15)+(I11*I16)+(I11*I17))</f>
        <v>28598919.854285713</v>
      </c>
      <c r="J18" s="472"/>
      <c r="K18" s="471"/>
      <c r="L18" s="472"/>
      <c r="M18" s="530">
        <f>SUM(Cdlac[Quantity])</f>
        <v>232</v>
      </c>
      <c r="N18" s="472"/>
      <c r="O18" s="531" t="s">
        <v>1030</v>
      </c>
      <c r="P18" s="472">
        <f>MATCH(Application!T189,Application!CB160:CB217,0)</f>
        <v>37</v>
      </c>
      <c r="Q18" s="472"/>
      <c r="R18" s="472"/>
      <c r="S18" s="472"/>
      <c r="T18" s="530">
        <f>SUM(Cdlac[Population])</f>
        <v>0</v>
      </c>
      <c r="U18" s="472"/>
      <c r="V18" s="472"/>
      <c r="W18" s="472"/>
      <c r="X18" s="472"/>
      <c r="Y18" s="472"/>
      <c r="Z18" s="472"/>
    </row>
    <row r="19" spans="1:26" ht="15" customHeight="1">
      <c r="A19" s="474"/>
      <c r="B19" s="474"/>
      <c r="C19" s="474"/>
      <c r="D19" s="474"/>
      <c r="E19" s="474"/>
      <c r="F19" s="472"/>
      <c r="G19" s="472"/>
      <c r="H19" s="472"/>
      <c r="I19" s="472"/>
      <c r="J19" s="472"/>
      <c r="K19" s="471"/>
      <c r="L19" s="532" t="s">
        <v>2097</v>
      </c>
      <c r="M19" s="532" t="s">
        <v>2098</v>
      </c>
      <c r="N19" s="532" t="s">
        <v>2099</v>
      </c>
      <c r="O19" s="532" t="s">
        <v>2100</v>
      </c>
      <c r="P19" s="532" t="s">
        <v>2101</v>
      </c>
      <c r="Q19" s="532" t="s">
        <v>2102</v>
      </c>
      <c r="R19" s="532" t="s">
        <v>2103</v>
      </c>
      <c r="S19" s="532" t="s">
        <v>2104</v>
      </c>
      <c r="T19" s="532" t="s">
        <v>2105</v>
      </c>
      <c r="U19" s="532" t="s">
        <v>1126</v>
      </c>
      <c r="V19" s="472"/>
      <c r="W19" s="472"/>
      <c r="X19" s="472"/>
      <c r="Y19" s="472"/>
      <c r="Z19" s="472"/>
    </row>
    <row r="20" spans="1:26" ht="15" customHeight="1">
      <c r="A20" s="472"/>
      <c r="B20" s="535" t="str">
        <f>B9</f>
        <v>A. Unit Production Benefit</v>
      </c>
      <c r="C20" s="536"/>
      <c r="D20" s="536"/>
      <c r="E20" s="536"/>
      <c r="F20" s="536"/>
      <c r="G20" s="536"/>
      <c r="H20" s="536"/>
      <c r="I20" s="537"/>
      <c r="J20" s="472"/>
      <c r="K20" s="471"/>
      <c r="L20" s="486">
        <f>IFERROR(MIN(4,MATCH(Application!B726,UnitSizes,0)-1),"")</f>
        <v>1</v>
      </c>
      <c r="M20" s="538">
        <f>Application!G726</f>
        <v>8</v>
      </c>
      <c r="N20" s="508">
        <f>Application!AC726</f>
        <v>0.3</v>
      </c>
      <c r="O20" s="508">
        <f>IF('Tie Breaker'!$M20&gt;0,IF('Tie Breaker'!$U20,30%,IF(AND(OR(NOT($G$38),$G$38=""),$G$43),40%,'Tie Breaker'!$N20)),"")</f>
        <v>0.3</v>
      </c>
      <c r="P20" s="538">
        <f t="array" ref="P20">IF('Tie Breaker'!$M20&gt;0,INDEX(TcacRents,$P$18,'Tie Breaker'!$L20+1)*'Tie Breaker'!$O20,"")</f>
        <v>984</v>
      </c>
      <c r="Q20" s="538"/>
      <c r="R20" s="538">
        <f t="array" ref="R20">IF('Tie Breaker'!$M20&gt;0,INDEX(HudFmrs,$P$18,'Tie Breaker'!$L20+1),"")</f>
        <v>2459</v>
      </c>
      <c r="S20" s="538">
        <f>IF('Tie Breaker'!$M20&gt;0,MAX(0,'Tie Breaker'!$R20-IF(AND($G$37,$G$38,$G$38&lt;&gt;"",NOT('Tie Breaker'!$U20),'Tie Breaker'!$Q20&lt;&gt;""),'Tie Breaker'!$Q20,'Tie Breaker'!$P20)),"")</f>
        <v>1475</v>
      </c>
      <c r="T20" s="486">
        <f>IF('Tie Breaker'!$M20&gt;0,AND(Application!AK726&lt;&gt;"N/A",Application!AK726&lt;&gt;"")*'Tie Breaker'!$M20,"")</f>
        <v>0</v>
      </c>
      <c r="U20" s="486" t="b">
        <f>AND('Subsidy Contract Calculation'!F4&gt;0,OR('Subsidy Contract Calculation'!C4="Federal",'Subsidy Contract Calculation'!C4="Local - Approved by ED"),'Tie Breaker'!$M20&gt;0)</f>
        <v>0</v>
      </c>
      <c r="V20" s="472"/>
      <c r="W20" s="472"/>
      <c r="X20" s="472"/>
      <c r="Y20" s="472"/>
      <c r="Z20" s="472"/>
    </row>
    <row r="21" spans="1:26" ht="15" customHeight="1">
      <c r="A21" s="474"/>
      <c r="B21" s="474"/>
      <c r="C21" s="472"/>
      <c r="D21" s="472"/>
      <c r="E21" s="472"/>
      <c r="F21" s="472"/>
      <c r="G21" s="472"/>
      <c r="H21" s="472"/>
      <c r="I21" s="539"/>
      <c r="J21" s="472"/>
      <c r="K21" s="471"/>
      <c r="L21" s="486">
        <f>IFERROR(MIN(4,MATCH(Application!B727,UnitSizes,0)-1),"")</f>
        <v>1</v>
      </c>
      <c r="M21" s="538">
        <f>Application!G727</f>
        <v>8</v>
      </c>
      <c r="N21" s="508">
        <f>Application!AC727</f>
        <v>0.5</v>
      </c>
      <c r="O21" s="508">
        <f>IF('Tie Breaker'!$M21&gt;0,IF('Tie Breaker'!$U21,30%,IF(AND(OR(NOT($G$38),$G$38=""),$G$43),40%,'Tie Breaker'!$N21)),"")</f>
        <v>0.5</v>
      </c>
      <c r="P21" s="538">
        <f t="array" ref="P21">IF('Tie Breaker'!$M21&gt;0,INDEX(TcacRents,$P$18,'Tie Breaker'!$L21+1)*'Tie Breaker'!$O21,"")</f>
        <v>1640</v>
      </c>
      <c r="Q21" s="538"/>
      <c r="R21" s="538">
        <f t="array" ref="R21">IF('Tie Breaker'!$M21&gt;0,INDEX(HudFmrs,$P$18,'Tie Breaker'!$L21+1),"")</f>
        <v>2459</v>
      </c>
      <c r="S21" s="538">
        <f>IF('Tie Breaker'!$M21&gt;0,MAX(0,'Tie Breaker'!$R21-IF(AND($G$37,$G$38,$G$38&lt;&gt;"",NOT('Tie Breaker'!$U21),'Tie Breaker'!$Q21&lt;&gt;""),'Tie Breaker'!$Q21,'Tie Breaker'!$P21)),"")</f>
        <v>819</v>
      </c>
      <c r="T21" s="486">
        <f>IF('Tie Breaker'!$M21&gt;0,AND(Application!AK727&lt;&gt;"N/A",Application!AK727&lt;&gt;"")*'Tie Breaker'!$M21,"")</f>
        <v>0</v>
      </c>
      <c r="U21" s="486" t="b">
        <f>AND('Subsidy Contract Calculation'!F5&gt;0,OR('Subsidy Contract Calculation'!C5="Federal",'Subsidy Contract Calculation'!C5="Local - Approved by ED"),'Tie Breaker'!$M21&gt;0)</f>
        <v>0</v>
      </c>
      <c r="V21" s="472"/>
      <c r="W21" s="472"/>
      <c r="X21" s="472"/>
      <c r="Y21" s="472"/>
      <c r="Z21" s="472"/>
    </row>
    <row r="22" spans="1:26" ht="15" customHeight="1">
      <c r="A22" s="520"/>
      <c r="B22" s="472"/>
      <c r="C22" s="1494" t="s">
        <v>2117</v>
      </c>
      <c r="D22" s="1494" t="s">
        <v>2118</v>
      </c>
      <c r="E22" s="1494" t="s">
        <v>2120</v>
      </c>
      <c r="F22" s="1494" t="s">
        <v>2121</v>
      </c>
      <c r="G22" s="1494" t="s">
        <v>2122</v>
      </c>
      <c r="H22" s="541"/>
      <c r="I22" s="539"/>
      <c r="J22" s="472"/>
      <c r="K22" s="471"/>
      <c r="L22" s="486">
        <f>IFERROR(MIN(4,MATCH(Application!B728,UnitSizes,0)-1),"")</f>
        <v>1</v>
      </c>
      <c r="M22" s="538">
        <f>Application!G728</f>
        <v>64</v>
      </c>
      <c r="N22" s="508">
        <f>Application!AC728</f>
        <v>0.6</v>
      </c>
      <c r="O22" s="508">
        <f>IF('Tie Breaker'!$M22&gt;0,IF('Tie Breaker'!$U22,30%,IF(AND(OR(NOT($G$38),$G$38=""),$G$43),40%,'Tie Breaker'!$N22)),"")</f>
        <v>0.6</v>
      </c>
      <c r="P22" s="538">
        <f t="array" ref="P22">IF('Tie Breaker'!$M22&gt;0,INDEX(TcacRents,$P$18,'Tie Breaker'!$L22+1)*'Tie Breaker'!$O22,"")</f>
        <v>1968</v>
      </c>
      <c r="Q22" s="538"/>
      <c r="R22" s="538">
        <f t="array" ref="R22">IF('Tie Breaker'!$M22&gt;0,INDEX(HudFmrs,$P$18,'Tie Breaker'!$L22+1),"")</f>
        <v>2459</v>
      </c>
      <c r="S22" s="538">
        <f>IF('Tie Breaker'!$M22&gt;0,MAX(0,'Tie Breaker'!$R22-IF(AND($G$37,$G$38,$G$38&lt;&gt;"",NOT('Tie Breaker'!$U22),'Tie Breaker'!$Q22&lt;&gt;""),'Tie Breaker'!$Q22,'Tie Breaker'!$P22)),"")</f>
        <v>491</v>
      </c>
      <c r="T22" s="486">
        <f>IF('Tie Breaker'!$M22&gt;0,AND(Application!AK728&lt;&gt;"N/A",Application!AK728&lt;&gt;"")*'Tie Breaker'!$M22,"")</f>
        <v>0</v>
      </c>
      <c r="U22" s="486" t="b">
        <f>AND('Subsidy Contract Calculation'!F6&gt;0,OR('Subsidy Contract Calculation'!C6="Federal",'Subsidy Contract Calculation'!C6="Local - Approved by ED"),'Tie Breaker'!$M22&gt;0)</f>
        <v>0</v>
      </c>
      <c r="V22" s="472"/>
      <c r="W22" s="472"/>
      <c r="X22" s="472"/>
      <c r="Y22" s="472"/>
      <c r="Z22" s="472"/>
    </row>
    <row r="23" spans="1:26" ht="15" customHeight="1">
      <c r="A23" s="520"/>
      <c r="B23" s="472"/>
      <c r="C23" s="1495"/>
      <c r="D23" s="1495"/>
      <c r="E23" s="1495"/>
      <c r="F23" s="1495"/>
      <c r="G23" s="1495"/>
      <c r="H23" s="541"/>
      <c r="I23" s="539"/>
      <c r="J23" s="472"/>
      <c r="K23" s="471"/>
      <c r="L23" s="486" t="str">
        <f>IFERROR(MIN(4,MATCH(Application!#REF!,UnitSizes,0)-1),"")</f>
        <v/>
      </c>
      <c r="M23" s="538">
        <v>0</v>
      </c>
      <c r="N23" s="508">
        <v>0</v>
      </c>
      <c r="O23" s="508" t="str">
        <f>IF('Tie Breaker'!$M23&gt;0,IF('Tie Breaker'!$U23,30%,IF(AND(OR(NOT($G$38),$G$38=""),$G$43),40%,'Tie Breaker'!$N23)),"")</f>
        <v/>
      </c>
      <c r="P23" s="538" t="str">
        <f t="array" ref="P23">IF('Tie Breaker'!$M23&gt;0,INDEX(TcacRents,$P$18,'Tie Breaker'!$L23+1)*'Tie Breaker'!$O23,"")</f>
        <v/>
      </c>
      <c r="Q23" s="538"/>
      <c r="R23" s="538" t="str">
        <f t="array" ref="R23">IF('Tie Breaker'!$M23&gt;0,INDEX(HudFmrs,$P$18,'Tie Breaker'!$L23+1),"")</f>
        <v/>
      </c>
      <c r="S23" s="538" t="str">
        <f>IF('Tie Breaker'!$M23&gt;0,MAX(0,'Tie Breaker'!$R23-IF(AND($G$37,$G$38,$G$38&lt;&gt;"",NOT('Tie Breaker'!$U23),'Tie Breaker'!$Q23&lt;&gt;""),'Tie Breaker'!$Q23,'Tie Breaker'!$P23)),"")</f>
        <v/>
      </c>
      <c r="T23" s="486" t="str">
        <f>IF('Tie Breaker'!$M23&gt;0,AND(Application!#REF!&lt;&gt;"N/A",Application!#REF!&lt;&gt;"")*'Tie Breaker'!$M23,"")</f>
        <v/>
      </c>
      <c r="U23" s="486" t="b">
        <f>AND('Subsidy Contract Calculation'!F7&gt;0,OR('Subsidy Contract Calculation'!C7="Federal",'Subsidy Contract Calculation'!C7="Local - Approved by ED"),'Tie Breaker'!$M23&gt;0)</f>
        <v>0</v>
      </c>
      <c r="V23" s="472"/>
      <c r="W23" s="472"/>
      <c r="X23" s="472"/>
      <c r="Y23" s="472"/>
      <c r="Z23" s="472"/>
    </row>
    <row r="24" spans="1:26" ht="15" customHeight="1">
      <c r="A24" s="472"/>
      <c r="B24" s="472"/>
      <c r="C24" s="547">
        <v>0</v>
      </c>
      <c r="D24" s="548">
        <v>0.9</v>
      </c>
      <c r="E24" s="547">
        <f>SUMIFS(Cdlac[Quantity],Cdlac[Bedrooms],C24)</f>
        <v>0</v>
      </c>
      <c r="F24" s="547">
        <f t="shared" ref="F24:F25" si="0">E24</f>
        <v>0</v>
      </c>
      <c r="G24" s="547">
        <f t="shared" ref="G24:G28" si="1">D24*F24</f>
        <v>0</v>
      </c>
      <c r="H24" s="472"/>
      <c r="I24" s="472"/>
      <c r="J24" s="472"/>
      <c r="K24" s="471"/>
      <c r="L24" s="486">
        <f>IFERROR(MIN(4,MATCH(Application!B729,UnitSizes,0)-1),"")</f>
        <v>2</v>
      </c>
      <c r="M24" s="538">
        <f>Application!G729</f>
        <v>6</v>
      </c>
      <c r="N24" s="508">
        <f>Application!AC729</f>
        <v>0.3</v>
      </c>
      <c r="O24" s="508">
        <f>IF('Tie Breaker'!$M24&gt;0,IF('Tie Breaker'!$U24,30%,IF(AND(OR(NOT($G$38),$G$38=""),$G$43),40%,'Tie Breaker'!$N24)),"")</f>
        <v>0.3</v>
      </c>
      <c r="P24" s="538">
        <f t="array" ref="P24">IF('Tie Breaker'!$M24&gt;0,INDEX(TcacRents,$P$18,'Tie Breaker'!$L24+1)*'Tie Breaker'!$O24,"")</f>
        <v>1180.8</v>
      </c>
      <c r="Q24" s="538"/>
      <c r="R24" s="538">
        <f t="array" ref="R24">IF('Tie Breaker'!$M24&gt;0,INDEX(HudFmrs,$P$18,'Tie Breaker'!$L24+1),"")</f>
        <v>3001</v>
      </c>
      <c r="S24" s="538">
        <f>IF('Tie Breaker'!$M24&gt;0,MAX(0,'Tie Breaker'!$R24-IF(AND($G$37,$G$38,$G$38&lt;&gt;"",NOT('Tie Breaker'!$U24),'Tie Breaker'!$Q24&lt;&gt;""),'Tie Breaker'!$Q24,'Tie Breaker'!$P24)),"")</f>
        <v>1820.2</v>
      </c>
      <c r="T24" s="486">
        <f>IF('Tie Breaker'!$M24&gt;0,AND(Application!AK729&lt;&gt;"N/A",Application!AK729&lt;&gt;"")*'Tie Breaker'!$M24,"")</f>
        <v>0</v>
      </c>
      <c r="U24" s="486" t="b">
        <f>AND('Subsidy Contract Calculation'!F8&gt;0,OR('Subsidy Contract Calculation'!C8="Federal",'Subsidy Contract Calculation'!C8="Local - Approved by ED"),'Tie Breaker'!$M24&gt;0)</f>
        <v>0</v>
      </c>
      <c r="V24" s="472"/>
      <c r="W24" s="472"/>
      <c r="X24" s="472"/>
      <c r="Y24" s="472"/>
      <c r="Z24" s="472"/>
    </row>
    <row r="25" spans="1:26" ht="15" customHeight="1">
      <c r="A25" s="472"/>
      <c r="B25" s="472"/>
      <c r="C25" s="547">
        <v>1</v>
      </c>
      <c r="D25" s="548">
        <v>1</v>
      </c>
      <c r="E25" s="547">
        <f>SUMIFS(Cdlac[Quantity],Cdlac[Bedrooms],C25)</f>
        <v>119</v>
      </c>
      <c r="F25" s="547">
        <f t="shared" si="0"/>
        <v>119</v>
      </c>
      <c r="G25" s="547">
        <f t="shared" si="1"/>
        <v>119</v>
      </c>
      <c r="H25" s="472"/>
      <c r="I25" s="472"/>
      <c r="J25" s="472"/>
      <c r="K25" s="471"/>
      <c r="L25" s="486">
        <f>IFERROR(MIN(4,MATCH(Application!B730,UnitSizes,0)-1),"")</f>
        <v>2</v>
      </c>
      <c r="M25" s="538">
        <f>Application!G730</f>
        <v>6</v>
      </c>
      <c r="N25" s="508">
        <f>Application!AC730</f>
        <v>0.5</v>
      </c>
      <c r="O25" s="508">
        <f>IF('Tie Breaker'!$M25&gt;0,IF('Tie Breaker'!$U25,30%,IF(AND(OR(NOT($G$38),$G$38=""),$G$43),40%,'Tie Breaker'!$N25)),"")</f>
        <v>0.5</v>
      </c>
      <c r="P25" s="538">
        <f t="array" ref="P25">IF('Tie Breaker'!$M25&gt;0,INDEX(TcacRents,$P$18,'Tie Breaker'!$L25+1)*'Tie Breaker'!$O25,"")</f>
        <v>1968</v>
      </c>
      <c r="Q25" s="538"/>
      <c r="R25" s="538">
        <f t="array" ref="R25">IF('Tie Breaker'!$M25&gt;0,INDEX(HudFmrs,$P$18,'Tie Breaker'!$L25+1),"")</f>
        <v>3001</v>
      </c>
      <c r="S25" s="538">
        <f>IF('Tie Breaker'!$M25&gt;0,MAX(0,'Tie Breaker'!$R25-IF(AND($G$37,$G$38,$G$38&lt;&gt;"",NOT('Tie Breaker'!$U25),'Tie Breaker'!$Q25&lt;&gt;""),'Tie Breaker'!$Q25,'Tie Breaker'!$P25)),"")</f>
        <v>1033</v>
      </c>
      <c r="T25" s="486">
        <f>IF('Tie Breaker'!$M25&gt;0,AND(Application!AK730&lt;&gt;"N/A",Application!AK730&lt;&gt;"")*'Tie Breaker'!$M25,"")</f>
        <v>0</v>
      </c>
      <c r="U25" s="486" t="b">
        <f>AND('Subsidy Contract Calculation'!F9&gt;0,OR('Subsidy Contract Calculation'!C9="Federal",'Subsidy Contract Calculation'!C9="Local - Approved by ED"),'Tie Breaker'!$M25&gt;0)</f>
        <v>0</v>
      </c>
      <c r="V25" s="472"/>
      <c r="W25" s="472"/>
      <c r="X25" s="472"/>
      <c r="Y25" s="472"/>
      <c r="Z25" s="472"/>
    </row>
    <row r="26" spans="1:26" ht="15" customHeight="1">
      <c r="A26" s="554"/>
      <c r="B26" s="472"/>
      <c r="C26" s="555">
        <v>2</v>
      </c>
      <c r="D26" s="548">
        <v>1.25</v>
      </c>
      <c r="E26" s="547">
        <f>SUMIFS(Cdlac[Quantity],Cdlac[Bedrooms],C26)</f>
        <v>68</v>
      </c>
      <c r="F26" s="555">
        <f>SUM(E26:E28)-SUM(F27:F28)</f>
        <v>68</v>
      </c>
      <c r="G26" s="547">
        <f t="shared" si="1"/>
        <v>85</v>
      </c>
      <c r="H26" s="554"/>
      <c r="I26" s="554"/>
      <c r="J26" s="472"/>
      <c r="K26" s="471"/>
      <c r="L26" s="486">
        <f>IFERROR(MIN(4,MATCH(Application!B731,UnitSizes,0)-1),"")</f>
        <v>2</v>
      </c>
      <c r="M26" s="538">
        <f>Application!G731</f>
        <v>39</v>
      </c>
      <c r="N26" s="508">
        <f>Application!AC731</f>
        <v>0.6</v>
      </c>
      <c r="O26" s="508">
        <f>IF('Tie Breaker'!$M26&gt;0,IF('Tie Breaker'!$U26,30%,IF(AND(OR(NOT($G$38),$G$38=""),$G$43),40%,'Tie Breaker'!$N26)),"")</f>
        <v>0.6</v>
      </c>
      <c r="P26" s="538">
        <f t="array" ref="P26">IF('Tie Breaker'!$M26&gt;0,INDEX(TcacRents,$P$18,'Tie Breaker'!$L26+1)*'Tie Breaker'!$O26,"")</f>
        <v>2361.6</v>
      </c>
      <c r="Q26" s="538"/>
      <c r="R26" s="538">
        <f t="array" ref="R26">IF('Tie Breaker'!$M26&gt;0,INDEX(HudFmrs,$P$18,'Tie Breaker'!$L26+1),"")</f>
        <v>3001</v>
      </c>
      <c r="S26" s="538">
        <f>IF('Tie Breaker'!$M26&gt;0,MAX(0,'Tie Breaker'!$R26-IF(AND($G$37,$G$38,$G$38&lt;&gt;"",NOT('Tie Breaker'!$U26),'Tie Breaker'!$Q26&lt;&gt;""),'Tie Breaker'!$Q26,'Tie Breaker'!$P26)),"")</f>
        <v>639.40000000000009</v>
      </c>
      <c r="T26" s="486">
        <f>IF('Tie Breaker'!$M26&gt;0,AND(Application!AK731&lt;&gt;"N/A",Application!AK731&lt;&gt;"")*'Tie Breaker'!$M26,"")</f>
        <v>0</v>
      </c>
      <c r="U26" s="486" t="b">
        <f>AND('Subsidy Contract Calculation'!F10&gt;0,OR('Subsidy Contract Calculation'!C10="Federal",'Subsidy Contract Calculation'!C10="Local - Approved by ED"),'Tie Breaker'!$M26&gt;0)</f>
        <v>0</v>
      </c>
      <c r="V26" s="472"/>
      <c r="W26" s="472"/>
      <c r="X26" s="472"/>
      <c r="Y26" s="472"/>
      <c r="Z26" s="472"/>
    </row>
    <row r="27" spans="1:26" ht="15" customHeight="1">
      <c r="A27" s="554"/>
      <c r="B27" s="472"/>
      <c r="C27" s="555">
        <v>3</v>
      </c>
      <c r="D27" s="548">
        <f>1.5+0.25*0</f>
        <v>1.5</v>
      </c>
      <c r="E27" s="547">
        <f>SUMIFS(Cdlac[Quantity],Cdlac[Bedrooms],C27)</f>
        <v>45</v>
      </c>
      <c r="F27" s="555">
        <f>MIN(E27,ROUNDDOWN(E29*30%,0))</f>
        <v>45</v>
      </c>
      <c r="G27" s="547">
        <f t="shared" si="1"/>
        <v>67.5</v>
      </c>
      <c r="H27" s="554"/>
      <c r="I27" s="554"/>
      <c r="J27" s="472"/>
      <c r="K27" s="471"/>
      <c r="L27" s="486">
        <f>IFERROR(MIN(4,MATCH(Application!B732,UnitSizes,0)-1),"")</f>
        <v>1</v>
      </c>
      <c r="M27" s="538">
        <f>Application!G732</f>
        <v>4</v>
      </c>
      <c r="N27" s="508">
        <f>Application!AC732</f>
        <v>0.3</v>
      </c>
      <c r="O27" s="508">
        <f>IF('Tie Breaker'!$M27&gt;0,IF('Tie Breaker'!$U27,30%,IF(AND(OR(NOT($G$38),$G$38=""),$G$43),40%,'Tie Breaker'!$N27)),"")</f>
        <v>0.3</v>
      </c>
      <c r="P27" s="538">
        <f t="array" ref="P27">IF('Tie Breaker'!$M27&gt;0,INDEX(TcacRents,$P$18,'Tie Breaker'!$L27+1)*'Tie Breaker'!$O27,"")</f>
        <v>984</v>
      </c>
      <c r="Q27" s="538"/>
      <c r="R27" s="538">
        <f t="array" ref="R27">IF('Tie Breaker'!$M27&gt;0,INDEX(HudFmrs,$P$18,'Tie Breaker'!$L27+1),"")</f>
        <v>2459</v>
      </c>
      <c r="S27" s="538">
        <f>IF('Tie Breaker'!$M27&gt;0,MAX(0,'Tie Breaker'!$R27-IF(AND($G$37,$G$38,$G$38&lt;&gt;"",NOT('Tie Breaker'!$U27),'Tie Breaker'!$Q27&lt;&gt;""),'Tie Breaker'!$Q27,'Tie Breaker'!$P27)),"")</f>
        <v>1475</v>
      </c>
      <c r="T27" s="486">
        <f>IF('Tie Breaker'!$M27&gt;0,AND(Application!AK732&lt;&gt;"N/A",Application!AK732&lt;&gt;"")*'Tie Breaker'!$M27,"")</f>
        <v>0</v>
      </c>
      <c r="U27" s="486" t="b">
        <f>AND('Subsidy Contract Calculation'!F11&gt;0,OR('Subsidy Contract Calculation'!C11="Federal",'Subsidy Contract Calculation'!C11="Local - Approved by ED"),'Tie Breaker'!$M27&gt;0)</f>
        <v>0</v>
      </c>
      <c r="V27" s="472"/>
      <c r="W27" s="472"/>
      <c r="X27" s="472"/>
      <c r="Y27" s="472"/>
      <c r="Z27" s="472"/>
    </row>
    <row r="28" spans="1:26" ht="15" customHeight="1">
      <c r="A28" s="554"/>
      <c r="B28" s="472"/>
      <c r="C28" s="564">
        <v>4</v>
      </c>
      <c r="D28" s="565">
        <f>1.75+0.25*0</f>
        <v>1.75</v>
      </c>
      <c r="E28" s="566">
        <f>SUMIFS(Cdlac[Quantity],Cdlac[Bedrooms],C28)</f>
        <v>0</v>
      </c>
      <c r="F28" s="564">
        <f>MIN(E28,ROUNDDOWN(E29*10%,0))</f>
        <v>0</v>
      </c>
      <c r="G28" s="566">
        <f t="shared" si="1"/>
        <v>0</v>
      </c>
      <c r="H28" s="554"/>
      <c r="I28" s="554"/>
      <c r="J28" s="472"/>
      <c r="K28" s="471"/>
      <c r="L28" s="486">
        <f>IFERROR(MIN(4,MATCH(Application!B733,UnitSizes,0)-1),"")</f>
        <v>1</v>
      </c>
      <c r="M28" s="538">
        <f>Application!G733</f>
        <v>4</v>
      </c>
      <c r="N28" s="508">
        <f>Application!AC733</f>
        <v>0.5</v>
      </c>
      <c r="O28" s="508">
        <f>IF('Tie Breaker'!$M28&gt;0,IF('Tie Breaker'!$U28,30%,IF(AND(OR(NOT($G$38),$G$38=""),$G$43),40%,'Tie Breaker'!$N28)),"")</f>
        <v>0.5</v>
      </c>
      <c r="P28" s="538">
        <f t="array" ref="P28">IF('Tie Breaker'!$M28&gt;0,INDEX(TcacRents,$P$18,'Tie Breaker'!$L28+1)*'Tie Breaker'!$O28,"")</f>
        <v>1640</v>
      </c>
      <c r="Q28" s="538"/>
      <c r="R28" s="538">
        <f t="array" ref="R28">IF('Tie Breaker'!$M28&gt;0,INDEX(HudFmrs,$P$18,'Tie Breaker'!$L28+1),"")</f>
        <v>2459</v>
      </c>
      <c r="S28" s="538">
        <f>IF('Tie Breaker'!$M28&gt;0,MAX(0,'Tie Breaker'!$R28-IF(AND($G$37,$G$38,$G$38&lt;&gt;"",NOT('Tie Breaker'!$U28),'Tie Breaker'!$Q28&lt;&gt;""),'Tie Breaker'!$Q28,'Tie Breaker'!$P28)),"")</f>
        <v>819</v>
      </c>
      <c r="T28" s="486">
        <f>IF('Tie Breaker'!$M28&gt;0,AND(Application!AK733&lt;&gt;"N/A",Application!AK733&lt;&gt;"")*'Tie Breaker'!$M28,"")</f>
        <v>0</v>
      </c>
      <c r="U28" s="486" t="b">
        <f>AND('Subsidy Contract Calculation'!F12&gt;0,OR('Subsidy Contract Calculation'!C12="Federal",'Subsidy Contract Calculation'!C12="Local - Approved by ED"),'Tie Breaker'!$M28&gt;0)</f>
        <v>0</v>
      </c>
      <c r="V28" s="472"/>
      <c r="W28" s="472"/>
      <c r="X28" s="472"/>
      <c r="Y28" s="472"/>
      <c r="Z28" s="472"/>
    </row>
    <row r="29" spans="1:26" ht="15" customHeight="1">
      <c r="A29" s="554"/>
      <c r="B29" s="472"/>
      <c r="C29" s="1496" t="s">
        <v>1365</v>
      </c>
      <c r="D29" s="1192"/>
      <c r="E29" s="569">
        <f t="shared" ref="E29:F29" si="2">SUM(E24:E28)</f>
        <v>232</v>
      </c>
      <c r="F29" s="569">
        <f t="shared" si="2"/>
        <v>232</v>
      </c>
      <c r="G29" s="570">
        <f>SUMPRODUCT(D24:D28,F24:F28)</f>
        <v>271.5</v>
      </c>
      <c r="H29" s="554"/>
      <c r="I29" s="554"/>
      <c r="J29" s="472"/>
      <c r="K29" s="471"/>
      <c r="L29" s="486">
        <f>IFERROR(MIN(4,MATCH(Application!B734,UnitSizes,0)-1),"")</f>
        <v>1</v>
      </c>
      <c r="M29" s="538">
        <f>Application!G734</f>
        <v>31</v>
      </c>
      <c r="N29" s="508">
        <f>Application!AC734</f>
        <v>0.6</v>
      </c>
      <c r="O29" s="508">
        <f>IF('Tie Breaker'!$M29&gt;0,IF('Tie Breaker'!$U29,30%,IF(AND(OR(NOT($G$38),$G$38=""),$G$43),40%,'Tie Breaker'!$N29)),"")</f>
        <v>0.6</v>
      </c>
      <c r="P29" s="538">
        <f t="array" ref="P29">IF('Tie Breaker'!$M29&gt;0,INDEX(TcacRents,$P$18,'Tie Breaker'!$L29+1)*'Tie Breaker'!$O29,"")</f>
        <v>1968</v>
      </c>
      <c r="Q29" s="538"/>
      <c r="R29" s="538">
        <f t="array" ref="R29">IF('Tie Breaker'!$M29&gt;0,INDEX(HudFmrs,$P$18,'Tie Breaker'!$L29+1),"")</f>
        <v>2459</v>
      </c>
      <c r="S29" s="538">
        <f>IF('Tie Breaker'!$M29&gt;0,MAX(0,'Tie Breaker'!$R29-IF(AND($G$37,$G$38,$G$38&lt;&gt;"",NOT('Tie Breaker'!$U29),'Tie Breaker'!$Q29&lt;&gt;""),'Tie Breaker'!$Q29,'Tie Breaker'!$P29)),"")</f>
        <v>491</v>
      </c>
      <c r="T29" s="486">
        <f>IF('Tie Breaker'!$M29&gt;0,AND(Application!AK734&lt;&gt;"N/A",Application!AK734&lt;&gt;"")*'Tie Breaker'!$M29,"")</f>
        <v>0</v>
      </c>
      <c r="U29" s="486" t="b">
        <f>AND('Subsidy Contract Calculation'!F13&gt;0,OR('Subsidy Contract Calculation'!C13="Federal",'Subsidy Contract Calculation'!C13="Local - Approved by ED"),'Tie Breaker'!$M29&gt;0)</f>
        <v>0</v>
      </c>
      <c r="V29" s="472"/>
      <c r="W29" s="472"/>
      <c r="X29" s="472"/>
      <c r="Y29" s="472"/>
      <c r="Z29" s="472"/>
    </row>
    <row r="30" spans="1:26" ht="15" customHeight="1">
      <c r="A30" s="554"/>
      <c r="B30" s="472"/>
      <c r="C30" s="554"/>
      <c r="D30" s="554"/>
      <c r="E30" s="554"/>
      <c r="F30" s="554"/>
      <c r="G30" s="554"/>
      <c r="H30" s="554"/>
      <c r="I30" s="554"/>
      <c r="J30" s="472"/>
      <c r="K30" s="471"/>
      <c r="L30" s="486" t="str">
        <f>IFERROR(MIN(4,MATCH(Application!#REF!,UnitSizes,0)-1),"")</f>
        <v/>
      </c>
      <c r="M30" s="538">
        <v>0</v>
      </c>
      <c r="N30" s="508">
        <v>0</v>
      </c>
      <c r="O30" s="508" t="str">
        <f>IF('Tie Breaker'!$M30&gt;0,IF('Tie Breaker'!$U30,30%,IF(AND(OR(NOT($G$38),$G$38=""),$G$43),40%,'Tie Breaker'!$N30)),"")</f>
        <v/>
      </c>
      <c r="P30" s="538" t="str">
        <f t="array" ref="P30">IF('Tie Breaker'!$M30&gt;0,INDEX(TcacRents,$P$18,'Tie Breaker'!$L30+1)*'Tie Breaker'!$O30,"")</f>
        <v/>
      </c>
      <c r="Q30" s="538"/>
      <c r="R30" s="538" t="str">
        <f t="array" ref="R30">IF('Tie Breaker'!$M30&gt;0,INDEX(HudFmrs,$P$18,'Tie Breaker'!$L30+1),"")</f>
        <v/>
      </c>
      <c r="S30" s="538" t="str">
        <f>IF('Tie Breaker'!$M30&gt;0,MAX(0,'Tie Breaker'!$R30-IF(AND($G$37,$G$38,$G$38&lt;&gt;"",NOT('Tie Breaker'!$U30),'Tie Breaker'!$Q30&lt;&gt;""),'Tie Breaker'!$Q30,'Tie Breaker'!$P30)),"")</f>
        <v/>
      </c>
      <c r="T30" s="486" t="str">
        <f>IF('Tie Breaker'!$M30&gt;0,AND(Application!#REF!&lt;&gt;"N/A",Application!#REF!&lt;&gt;"")*'Tie Breaker'!$M30,"")</f>
        <v/>
      </c>
      <c r="U30" s="486" t="b">
        <f>AND('Subsidy Contract Calculation'!F14&gt;0,OR('Subsidy Contract Calculation'!C14="Federal",'Subsidy Contract Calculation'!C14="Local - Approved by ED"),'Tie Breaker'!$M30&gt;0)</f>
        <v>0</v>
      </c>
      <c r="V30" s="472"/>
      <c r="W30" s="472"/>
      <c r="X30" s="472"/>
      <c r="Y30" s="472"/>
      <c r="Z30" s="472"/>
    </row>
    <row r="31" spans="1:26" ht="15" customHeight="1">
      <c r="A31" s="554"/>
      <c r="B31" s="472"/>
      <c r="C31" s="472"/>
      <c r="D31" s="472"/>
      <c r="E31" s="575" t="s">
        <v>2122</v>
      </c>
      <c r="F31" s="472"/>
      <c r="G31" s="576">
        <f>G29</f>
        <v>271.5</v>
      </c>
      <c r="H31" s="554"/>
      <c r="I31" s="554"/>
      <c r="J31" s="472"/>
      <c r="K31" s="471"/>
      <c r="L31" s="486">
        <f>IFERROR(MIN(4,MATCH(Application!B735,UnitSizes,0)-1),"")</f>
        <v>2</v>
      </c>
      <c r="M31" s="538">
        <f>Application!G735</f>
        <v>2</v>
      </c>
      <c r="N31" s="508">
        <f>Application!AC735</f>
        <v>0.3</v>
      </c>
      <c r="O31" s="508">
        <f>IF('Tie Breaker'!$M31&gt;0,IF('Tie Breaker'!$U31,30%,IF(AND(OR(NOT($G$38),$G$38=""),$G$43),40%,'Tie Breaker'!$N31)),"")</f>
        <v>0.3</v>
      </c>
      <c r="P31" s="538">
        <f t="array" ref="P31">IF('Tie Breaker'!$M31&gt;0,INDEX(TcacRents,$P$18,'Tie Breaker'!$L31+1)*'Tie Breaker'!$O31,"")</f>
        <v>1180.8</v>
      </c>
      <c r="Q31" s="538"/>
      <c r="R31" s="538">
        <f t="array" ref="R31">IF('Tie Breaker'!$M31&gt;0,INDEX(HudFmrs,$P$18,'Tie Breaker'!$L31+1),"")</f>
        <v>3001</v>
      </c>
      <c r="S31" s="538">
        <f>IF('Tie Breaker'!$M31&gt;0,MAX(0,'Tie Breaker'!$R31-IF(AND($G$37,$G$38,$G$38&lt;&gt;"",NOT('Tie Breaker'!$U31),'Tie Breaker'!$Q31&lt;&gt;""),'Tie Breaker'!$Q31,'Tie Breaker'!$P31)),"")</f>
        <v>1820.2</v>
      </c>
      <c r="T31" s="486">
        <f>IF('Tie Breaker'!$M31&gt;0,AND(Application!AK735&lt;&gt;"N/A",Application!AK735&lt;&gt;"")*'Tie Breaker'!$M31,"")</f>
        <v>0</v>
      </c>
      <c r="U31" s="486" t="b">
        <f>AND('Subsidy Contract Calculation'!F15&gt;0,OR('Subsidy Contract Calculation'!C15="Federal",'Subsidy Contract Calculation'!C15="Local - Approved by ED"),'Tie Breaker'!$M31&gt;0)</f>
        <v>0</v>
      </c>
      <c r="V31" s="472"/>
      <c r="W31" s="472"/>
      <c r="X31" s="472"/>
      <c r="Y31" s="472"/>
      <c r="Z31" s="472"/>
    </row>
    <row r="32" spans="1:26" ht="15" customHeight="1">
      <c r="A32" s="554"/>
      <c r="B32" s="472"/>
      <c r="C32" s="472"/>
      <c r="D32" s="472"/>
      <c r="E32" s="575" t="s">
        <v>2157</v>
      </c>
      <c r="F32" s="589" t="s">
        <v>2158</v>
      </c>
      <c r="G32" s="590">
        <v>50000</v>
      </c>
      <c r="H32" s="554"/>
      <c r="I32" s="554"/>
      <c r="J32" s="472"/>
      <c r="K32" s="471"/>
      <c r="L32" s="486">
        <f>IFERROR(MIN(4,MATCH(Application!B736,UnitSizes,0)-1),"")</f>
        <v>2</v>
      </c>
      <c r="M32" s="538">
        <f>Application!G736</f>
        <v>2</v>
      </c>
      <c r="N32" s="508">
        <f>Application!AC736</f>
        <v>0.5</v>
      </c>
      <c r="O32" s="508">
        <f>IF('Tie Breaker'!$M32&gt;0,IF('Tie Breaker'!$U32,30%,IF(AND(OR(NOT($G$38),$G$38=""),$G$43),40%,'Tie Breaker'!$N32)),"")</f>
        <v>0.5</v>
      </c>
      <c r="P32" s="538">
        <f t="array" ref="P32">IF('Tie Breaker'!$M32&gt;0,INDEX(TcacRents,$P$18,'Tie Breaker'!$L32+1)*'Tie Breaker'!$O32,"")</f>
        <v>1968</v>
      </c>
      <c r="Q32" s="538"/>
      <c r="R32" s="538">
        <f t="array" ref="R32">IF('Tie Breaker'!$M32&gt;0,INDEX(HudFmrs,$P$18,'Tie Breaker'!$L32+1),"")</f>
        <v>3001</v>
      </c>
      <c r="S32" s="538">
        <f>IF('Tie Breaker'!$M32&gt;0,MAX(0,'Tie Breaker'!$R32-IF(AND($G$37,$G$38,$G$38&lt;&gt;"",NOT('Tie Breaker'!$U32),'Tie Breaker'!$Q32&lt;&gt;""),'Tie Breaker'!$Q32,'Tie Breaker'!$P32)),"")</f>
        <v>1033</v>
      </c>
      <c r="T32" s="486">
        <f>IF('Tie Breaker'!$M32&gt;0,AND(Application!AK736&lt;&gt;"N/A",Application!AK736&lt;&gt;"")*'Tie Breaker'!$M32,"")</f>
        <v>0</v>
      </c>
      <c r="U32" s="486" t="b">
        <f>AND('Subsidy Contract Calculation'!F16&gt;0,OR('Subsidy Contract Calculation'!C16="Federal",'Subsidy Contract Calculation'!C16="Local - Approved by ED"),'Tie Breaker'!$M32&gt;0)</f>
        <v>0</v>
      </c>
      <c r="V32" s="472"/>
      <c r="W32" s="472"/>
      <c r="X32" s="472"/>
      <c r="Y32" s="472"/>
      <c r="Z32" s="472"/>
    </row>
    <row r="33" spans="1:26" ht="15" customHeight="1">
      <c r="A33" s="554"/>
      <c r="B33" s="472"/>
      <c r="C33" s="472"/>
      <c r="D33" s="472"/>
      <c r="E33" s="603" t="s">
        <v>2162</v>
      </c>
      <c r="F33" s="474"/>
      <c r="G33" s="608">
        <f>G32*G31</f>
        <v>13575000</v>
      </c>
      <c r="H33" s="554"/>
      <c r="I33" s="554"/>
      <c r="J33" s="472"/>
      <c r="K33" s="471"/>
      <c r="L33" s="486">
        <f>IFERROR(MIN(4,MATCH(Application!B737,UnitSizes,0)-1),"")</f>
        <v>2</v>
      </c>
      <c r="M33" s="538">
        <f>Application!G737</f>
        <v>13</v>
      </c>
      <c r="N33" s="508">
        <f>Application!AC737</f>
        <v>0.6</v>
      </c>
      <c r="O33" s="508">
        <f>IF('Tie Breaker'!$M33&gt;0,IF('Tie Breaker'!$U33,30%,IF(AND(OR(NOT($G$38),$G$38=""),$G$43),40%,'Tie Breaker'!$N33)),"")</f>
        <v>0.6</v>
      </c>
      <c r="P33" s="538">
        <f t="array" ref="P33">IF('Tie Breaker'!$M33&gt;0,INDEX(TcacRents,$P$18,'Tie Breaker'!$L33+1)*'Tie Breaker'!$O33,"")</f>
        <v>2361.6</v>
      </c>
      <c r="Q33" s="538"/>
      <c r="R33" s="538">
        <f t="array" ref="R33">IF('Tie Breaker'!$M33&gt;0,INDEX(HudFmrs,$P$18,'Tie Breaker'!$L33+1),"")</f>
        <v>3001</v>
      </c>
      <c r="S33" s="538">
        <f>IF('Tie Breaker'!$M33&gt;0,MAX(0,'Tie Breaker'!$R33-IF(AND($G$37,$G$38,$G$38&lt;&gt;"",NOT('Tie Breaker'!$U33),'Tie Breaker'!$Q33&lt;&gt;""),'Tie Breaker'!$Q33,'Tie Breaker'!$P33)),"")</f>
        <v>639.40000000000009</v>
      </c>
      <c r="T33" s="486">
        <f>IF('Tie Breaker'!$M33&gt;0,AND(Application!AK737&lt;&gt;"N/A",Application!AK737&lt;&gt;"")*'Tie Breaker'!$M33,"")</f>
        <v>0</v>
      </c>
      <c r="U33" s="486" t="b">
        <f>AND('Subsidy Contract Calculation'!F17&gt;0,OR('Subsidy Contract Calculation'!C17="Federal",'Subsidy Contract Calculation'!C17="Local - Approved by ED"),'Tie Breaker'!$M33&gt;0)</f>
        <v>0</v>
      </c>
      <c r="V33" s="472"/>
      <c r="W33" s="472"/>
      <c r="X33" s="472"/>
      <c r="Y33" s="472"/>
      <c r="Z33" s="472"/>
    </row>
    <row r="34" spans="1:26" ht="15" customHeight="1">
      <c r="A34" s="554"/>
      <c r="B34" s="554"/>
      <c r="C34" s="554"/>
      <c r="D34" s="554"/>
      <c r="E34" s="554"/>
      <c r="F34" s="554"/>
      <c r="G34" s="554"/>
      <c r="H34" s="554"/>
      <c r="I34" s="554"/>
      <c r="J34" s="472"/>
      <c r="K34" s="471"/>
      <c r="L34" s="486">
        <f>IFERROR(MIN(4,MATCH(Application!B738,UnitSizes,0)-1),"")</f>
        <v>3</v>
      </c>
      <c r="M34" s="538">
        <f>Application!G738</f>
        <v>2</v>
      </c>
      <c r="N34" s="508">
        <f>Application!AC738</f>
        <v>0.3</v>
      </c>
      <c r="O34" s="508">
        <f>IF('Tie Breaker'!$M34&gt;0,IF('Tie Breaker'!$U34,30%,IF(AND(OR(NOT($G$38),$G$38=""),$G$43),40%,'Tie Breaker'!$N34)),"")</f>
        <v>0.3</v>
      </c>
      <c r="P34" s="538">
        <f t="array" ref="P34">IF('Tie Breaker'!$M34&gt;0,INDEX(TcacRents,$P$18,'Tie Breaker'!$L34+1)*'Tie Breaker'!$O34,"")</f>
        <v>1363.8</v>
      </c>
      <c r="Q34" s="538"/>
      <c r="R34" s="538">
        <f t="array" ref="R34">IF('Tie Breaker'!$M34&gt;0,INDEX(HudFmrs,$P$18,'Tie Breaker'!$L34+1),"")</f>
        <v>3998</v>
      </c>
      <c r="S34" s="538">
        <f>IF('Tie Breaker'!$M34&gt;0,MAX(0,'Tie Breaker'!$R34-IF(AND($G$37,$G$38,$G$38&lt;&gt;"",NOT('Tie Breaker'!$U34),'Tie Breaker'!$Q34&lt;&gt;""),'Tie Breaker'!$Q34,'Tie Breaker'!$P34)),"")</f>
        <v>2634.2</v>
      </c>
      <c r="T34" s="486">
        <f>IF('Tie Breaker'!$M34&gt;0,AND(Application!AK738&lt;&gt;"N/A",Application!AK738&lt;&gt;"")*'Tie Breaker'!$M34,"")</f>
        <v>0</v>
      </c>
      <c r="U34" s="486" t="b">
        <f>AND('Subsidy Contract Calculation'!F18&gt;0,OR('Subsidy Contract Calculation'!C18="Federal",'Subsidy Contract Calculation'!C18="Local - Approved by ED"),'Tie Breaker'!$M34&gt;0)</f>
        <v>0</v>
      </c>
      <c r="V34" s="472"/>
      <c r="W34" s="472"/>
      <c r="X34" s="472"/>
      <c r="Y34" s="472"/>
      <c r="Z34" s="472"/>
    </row>
    <row r="35" spans="1:26" ht="15" customHeight="1">
      <c r="A35" s="472"/>
      <c r="B35" s="535" t="str">
        <f>B10</f>
        <v>B. Rent Savings Benefit</v>
      </c>
      <c r="C35" s="536"/>
      <c r="D35" s="536"/>
      <c r="E35" s="536"/>
      <c r="F35" s="536"/>
      <c r="G35" s="536"/>
      <c r="H35" s="536"/>
      <c r="I35" s="537"/>
      <c r="J35" s="472"/>
      <c r="K35" s="471"/>
      <c r="L35" s="486">
        <f>IFERROR(MIN(4,MATCH(Application!B739,UnitSizes,0)-1),"")</f>
        <v>3</v>
      </c>
      <c r="M35" s="538">
        <f>Application!G739</f>
        <v>2</v>
      </c>
      <c r="N35" s="508">
        <f>Application!AC739</f>
        <v>0.5</v>
      </c>
      <c r="O35" s="508">
        <f>IF('Tie Breaker'!$M35&gt;0,IF('Tie Breaker'!$U35,30%,IF(AND(OR(NOT($G$38),$G$38=""),$G$43),40%,'Tie Breaker'!$N35)),"")</f>
        <v>0.5</v>
      </c>
      <c r="P35" s="538">
        <f t="array" ref="P35">IF('Tie Breaker'!$M35&gt;0,INDEX(TcacRents,$P$18,'Tie Breaker'!$L35+1)*'Tie Breaker'!$O35,"")</f>
        <v>2273</v>
      </c>
      <c r="Q35" s="538"/>
      <c r="R35" s="538">
        <f t="array" ref="R35">IF('Tie Breaker'!$M35&gt;0,INDEX(HudFmrs,$P$18,'Tie Breaker'!$L35+1),"")</f>
        <v>3998</v>
      </c>
      <c r="S35" s="538">
        <f>IF('Tie Breaker'!$M35&gt;0,MAX(0,'Tie Breaker'!$R35-IF(AND($G$37,$G$38,$G$38&lt;&gt;"",NOT('Tie Breaker'!$U35),'Tie Breaker'!$Q35&lt;&gt;""),'Tie Breaker'!$Q35,'Tie Breaker'!$P35)),"")</f>
        <v>1725</v>
      </c>
      <c r="T35" s="486">
        <f>IF('Tie Breaker'!$M35&gt;0,AND(Application!AK739&lt;&gt;"N/A",Application!AK739&lt;&gt;"")*'Tie Breaker'!$M35,"")</f>
        <v>0</v>
      </c>
      <c r="U35" s="486" t="b">
        <f>AND('Subsidy Contract Calculation'!F19&gt;0,OR('Subsidy Contract Calculation'!C19="Federal",'Subsidy Contract Calculation'!C19="Local - Approved by ED"),'Tie Breaker'!$M35&gt;0)</f>
        <v>0</v>
      </c>
      <c r="V35" s="472"/>
      <c r="W35" s="472"/>
      <c r="X35" s="472"/>
      <c r="Y35" s="472"/>
      <c r="Z35" s="472"/>
    </row>
    <row r="36" spans="1:26" ht="15" customHeight="1">
      <c r="A36" s="472"/>
      <c r="B36" s="472"/>
      <c r="C36" s="472"/>
      <c r="D36" s="472"/>
      <c r="E36" s="472"/>
      <c r="F36" s="472"/>
      <c r="G36" s="472"/>
      <c r="H36" s="472"/>
      <c r="I36" s="472"/>
      <c r="J36" s="472"/>
      <c r="K36" s="471"/>
      <c r="L36" s="486">
        <f>IFERROR(MIN(4,MATCH(Application!B740,UnitSizes,0)-1),"")</f>
        <v>3</v>
      </c>
      <c r="M36" s="538">
        <f>Application!G740</f>
        <v>10</v>
      </c>
      <c r="N36" s="508">
        <f>Application!AC740</f>
        <v>0.6</v>
      </c>
      <c r="O36" s="508">
        <f>IF('Tie Breaker'!$M36&gt;0,IF('Tie Breaker'!$U36,30%,IF(AND(OR(NOT($G$38),$G$38=""),$G$43),40%,'Tie Breaker'!$N36)),"")</f>
        <v>0.6</v>
      </c>
      <c r="P36" s="538">
        <f t="array" ref="P36">IF('Tie Breaker'!$M36&gt;0,INDEX(TcacRents,$P$18,'Tie Breaker'!$L36+1)*'Tie Breaker'!$O36,"")</f>
        <v>2727.6</v>
      </c>
      <c r="Q36" s="538"/>
      <c r="R36" s="538">
        <f t="array" ref="R36">IF('Tie Breaker'!$M36&gt;0,INDEX(HudFmrs,$P$18,'Tie Breaker'!$L36+1),"")</f>
        <v>3998</v>
      </c>
      <c r="S36" s="538">
        <f>IF('Tie Breaker'!$M36&gt;0,MAX(0,'Tie Breaker'!$R36-IF(AND($G$37,$G$38,$G$38&lt;&gt;"",NOT('Tie Breaker'!$U36),'Tie Breaker'!$Q36&lt;&gt;""),'Tie Breaker'!$Q36,'Tie Breaker'!$P36)),"")</f>
        <v>1270.4000000000001</v>
      </c>
      <c r="T36" s="486">
        <f>IF('Tie Breaker'!$M36&gt;0,AND(Application!AK740&lt;&gt;"N/A",Application!AK740&lt;&gt;"")*'Tie Breaker'!$M36,"")</f>
        <v>0</v>
      </c>
      <c r="U36" s="486" t="b">
        <f>AND('Subsidy Contract Calculation'!F20&gt;0,OR('Subsidy Contract Calculation'!C20="Federal",'Subsidy Contract Calculation'!C20="Local - Approved by ED"),'Tie Breaker'!$M36&gt;0)</f>
        <v>0</v>
      </c>
      <c r="V36" s="472"/>
      <c r="W36" s="472"/>
      <c r="X36" s="472"/>
      <c r="Y36" s="472"/>
      <c r="Z36" s="472"/>
    </row>
    <row r="37" spans="1:26" ht="15" customHeight="1">
      <c r="A37" s="472"/>
      <c r="B37" s="472"/>
      <c r="C37" s="472"/>
      <c r="D37" s="472"/>
      <c r="E37" s="531" t="s">
        <v>2171</v>
      </c>
      <c r="F37" s="472"/>
      <c r="G37" s="472" t="b">
        <f>'Points System'!AK61&gt;0</f>
        <v>1</v>
      </c>
      <c r="H37" s="472"/>
      <c r="I37" s="472"/>
      <c r="J37" s="472"/>
      <c r="K37" s="471"/>
      <c r="L37" s="486">
        <f>IFERROR(MIN(4,MATCH(Application!B741,UnitSizes,0)-1),"")</f>
        <v>3</v>
      </c>
      <c r="M37" s="538">
        <f>Application!G741</f>
        <v>4</v>
      </c>
      <c r="N37" s="508">
        <f>Application!AC741</f>
        <v>0.3</v>
      </c>
      <c r="O37" s="508">
        <f>IF('Tie Breaker'!$M37&gt;0,IF('Tie Breaker'!$U37,30%,IF(AND(OR(NOT($G$38),$G$38=""),$G$43),40%,'Tie Breaker'!$N37)),"")</f>
        <v>0.3</v>
      </c>
      <c r="P37" s="538">
        <f t="array" ref="P37">IF('Tie Breaker'!$M37&gt;0,INDEX(TcacRents,$P$18,'Tie Breaker'!$L37+1)*'Tie Breaker'!$O37,"")</f>
        <v>1363.8</v>
      </c>
      <c r="Q37" s="538"/>
      <c r="R37" s="538">
        <f t="array" ref="R37">IF('Tie Breaker'!$M37&gt;0,INDEX(HudFmrs,$P$18,'Tie Breaker'!$L37+1),"")</f>
        <v>3998</v>
      </c>
      <c r="S37" s="538">
        <f>IF('Tie Breaker'!$M37&gt;0,MAX(0,'Tie Breaker'!$R37-IF(AND($G$37,$G$38,$G$38&lt;&gt;"",NOT('Tie Breaker'!$U37),'Tie Breaker'!$Q37&lt;&gt;""),'Tie Breaker'!$Q37,'Tie Breaker'!$P37)),"")</f>
        <v>2634.2</v>
      </c>
      <c r="T37" s="486">
        <f>IF('Tie Breaker'!$M37&gt;0,AND(Application!AK741&lt;&gt;"N/A",Application!AK741&lt;&gt;"")*'Tie Breaker'!$M37,"")</f>
        <v>0</v>
      </c>
      <c r="U37" s="486" t="b">
        <f>AND('Subsidy Contract Calculation'!F21&gt;0,OR('Subsidy Contract Calculation'!C21="Federal",'Subsidy Contract Calculation'!C21="Local - Approved by ED"),'Tie Breaker'!$M37&gt;0)</f>
        <v>0</v>
      </c>
      <c r="V37" s="472"/>
      <c r="W37" s="472"/>
      <c r="X37" s="472"/>
      <c r="Y37" s="472"/>
      <c r="Z37" s="472"/>
    </row>
    <row r="38" spans="1:26" ht="15" customHeight="1">
      <c r="A38" s="472"/>
      <c r="B38" s="472"/>
      <c r="C38" s="472"/>
      <c r="D38" s="472"/>
      <c r="E38" s="531" t="s">
        <v>2177</v>
      </c>
      <c r="F38" s="472"/>
      <c r="G38" s="621"/>
      <c r="H38" s="472"/>
      <c r="I38" s="472"/>
      <c r="J38" s="472"/>
      <c r="K38" s="471"/>
      <c r="L38" s="486">
        <f>IFERROR(MIN(4,MATCH(Application!B742,UnitSizes,0)-1),"")</f>
        <v>3</v>
      </c>
      <c r="M38" s="538">
        <f>Application!G742</f>
        <v>4</v>
      </c>
      <c r="N38" s="508">
        <f>Application!AC742</f>
        <v>0.5</v>
      </c>
      <c r="O38" s="508">
        <f>IF('Tie Breaker'!$M38&gt;0,IF('Tie Breaker'!$U38,30%,IF(AND(OR(NOT($G$38),$G$38=""),$G$43),40%,'Tie Breaker'!$N38)),"")</f>
        <v>0.5</v>
      </c>
      <c r="P38" s="538">
        <f t="array" ref="P38">IF('Tie Breaker'!$M38&gt;0,INDEX(TcacRents,$P$18,'Tie Breaker'!$L38+1)*'Tie Breaker'!$O38,"")</f>
        <v>2273</v>
      </c>
      <c r="Q38" s="538"/>
      <c r="R38" s="538">
        <f t="array" ref="R38">IF('Tie Breaker'!$M38&gt;0,INDEX(HudFmrs,$P$18,'Tie Breaker'!$L38+1),"")</f>
        <v>3998</v>
      </c>
      <c r="S38" s="538">
        <f>IF('Tie Breaker'!$M38&gt;0,MAX(0,'Tie Breaker'!$R38-IF(AND($G$37,$G$38,$G$38&lt;&gt;"",NOT('Tie Breaker'!$U38),'Tie Breaker'!$Q38&lt;&gt;""),'Tie Breaker'!$Q38,'Tie Breaker'!$P38)),"")</f>
        <v>1725</v>
      </c>
      <c r="T38" s="486">
        <f>IF('Tie Breaker'!$M38&gt;0,AND(Application!AK742&lt;&gt;"N/A",Application!AK742&lt;&gt;"")*'Tie Breaker'!$M38,"")</f>
        <v>0</v>
      </c>
      <c r="U38" s="486" t="b">
        <f>AND('Subsidy Contract Calculation'!F22&gt;0,OR('Subsidy Contract Calculation'!C22="Federal",'Subsidy Contract Calculation'!C22="Local - Approved by ED"),'Tie Breaker'!$M38&gt;0)</f>
        <v>0</v>
      </c>
      <c r="V38" s="472"/>
      <c r="W38" s="472"/>
      <c r="X38" s="472"/>
      <c r="Y38" s="472"/>
      <c r="Z38" s="472"/>
    </row>
    <row r="39" spans="1:26" ht="15" customHeight="1">
      <c r="A39" s="472"/>
      <c r="B39" s="472"/>
      <c r="C39" s="1497" t="str">
        <f>IF(AND(G37,G38,G38&lt;&gt;""),"Enter the average rent charged for each unit type over the last three years, as documented with rent rolls or property audits, in cells Q20:Q44","")</f>
        <v/>
      </c>
      <c r="D39" s="893"/>
      <c r="E39" s="893"/>
      <c r="F39" s="893"/>
      <c r="G39" s="893"/>
      <c r="H39" s="893"/>
      <c r="I39" s="472"/>
      <c r="J39" s="472"/>
      <c r="K39" s="471"/>
      <c r="L39" s="486">
        <f>IFERROR(MIN(4,MATCH(Application!B743,UnitSizes,0)-1),"")</f>
        <v>3</v>
      </c>
      <c r="M39" s="538">
        <f>Application!G743</f>
        <v>23</v>
      </c>
      <c r="N39" s="508">
        <f>Application!AC743</f>
        <v>0.6</v>
      </c>
      <c r="O39" s="508">
        <f>IF('Tie Breaker'!$M39&gt;0,IF('Tie Breaker'!$U39,30%,IF(AND(OR(NOT($G$38),$G$38=""),$G$43),40%,'Tie Breaker'!$N39)),"")</f>
        <v>0.6</v>
      </c>
      <c r="P39" s="538">
        <f t="array" ref="P39">IF('Tie Breaker'!$M39&gt;0,INDEX(TcacRents,$P$18,'Tie Breaker'!$L39+1)*'Tie Breaker'!$O39,"")</f>
        <v>2727.6</v>
      </c>
      <c r="Q39" s="538"/>
      <c r="R39" s="538">
        <f t="array" ref="R39">IF('Tie Breaker'!$M39&gt;0,INDEX(HudFmrs,$P$18,'Tie Breaker'!$L39+1),"")</f>
        <v>3998</v>
      </c>
      <c r="S39" s="538">
        <f>IF('Tie Breaker'!$M39&gt;0,MAX(0,'Tie Breaker'!$R39-IF(AND($G$37,$G$38,$G$38&lt;&gt;"",NOT('Tie Breaker'!$U39),'Tie Breaker'!$Q39&lt;&gt;""),'Tie Breaker'!$Q39,'Tie Breaker'!$P39)),"")</f>
        <v>1270.4000000000001</v>
      </c>
      <c r="T39" s="486">
        <f>IF('Tie Breaker'!$M39&gt;0,AND(Application!AK743&lt;&gt;"N/A",Application!AK743&lt;&gt;"")*'Tie Breaker'!$M39,"")</f>
        <v>0</v>
      </c>
      <c r="U39" s="486" t="b">
        <f>AND('Subsidy Contract Calculation'!F23&gt;0,OR('Subsidy Contract Calculation'!C23="Federal",'Subsidy Contract Calculation'!C23="Local - Approved by ED"),'Tie Breaker'!$M39&gt;0)</f>
        <v>0</v>
      </c>
      <c r="V39" s="472"/>
      <c r="W39" s="472"/>
      <c r="X39" s="472"/>
      <c r="Y39" s="472"/>
      <c r="Z39" s="472"/>
    </row>
    <row r="40" spans="1:26" ht="15" customHeight="1">
      <c r="A40" s="472"/>
      <c r="B40" s="472"/>
      <c r="C40" s="893"/>
      <c r="D40" s="893"/>
      <c r="E40" s="893"/>
      <c r="F40" s="893"/>
      <c r="G40" s="893"/>
      <c r="H40" s="893"/>
      <c r="I40" s="472"/>
      <c r="J40" s="472"/>
      <c r="K40" s="471"/>
      <c r="L40" s="486" t="str">
        <f>IFERROR(MIN(4,MATCH(Application!B744,UnitSizes,0)-1),"")</f>
        <v/>
      </c>
      <c r="M40" s="538">
        <f>Application!G744</f>
        <v>0</v>
      </c>
      <c r="N40" s="508">
        <f>Application!AC744</f>
        <v>0</v>
      </c>
      <c r="O40" s="508" t="str">
        <f>IF('Tie Breaker'!$M40&gt;0,IF('Tie Breaker'!$U40,30%,IF(AND(OR(NOT($G$38),$G$38=""),$G$43),40%,'Tie Breaker'!$N40)),"")</f>
        <v/>
      </c>
      <c r="P40" s="538" t="str">
        <f t="array" ref="P40">IF('Tie Breaker'!$M40&gt;0,INDEX(TcacRents,$P$18,'Tie Breaker'!$L40+1)*'Tie Breaker'!$O40,"")</f>
        <v/>
      </c>
      <c r="Q40" s="538"/>
      <c r="R40" s="538" t="str">
        <f t="array" ref="R40">IF('Tie Breaker'!$M40&gt;0,INDEX(HudFmrs,$P$18,'Tie Breaker'!$L40+1),"")</f>
        <v/>
      </c>
      <c r="S40" s="538" t="str">
        <f>IF('Tie Breaker'!$M40&gt;0,MAX(0,'Tie Breaker'!$R40-IF(AND($G$37,$G$38,$G$38&lt;&gt;"",NOT('Tie Breaker'!$U40),'Tie Breaker'!$Q40&lt;&gt;""),'Tie Breaker'!$Q40,'Tie Breaker'!$P40)),"")</f>
        <v/>
      </c>
      <c r="T40" s="486" t="str">
        <f>IF('Tie Breaker'!$M40&gt;0,AND(Application!AK744&lt;&gt;"N/A",Application!AK744&lt;&gt;"")*'Tie Breaker'!$M40,"")</f>
        <v/>
      </c>
      <c r="U40" s="486" t="b">
        <f>AND('Subsidy Contract Calculation'!F24&gt;0,OR('Subsidy Contract Calculation'!C24="Federal",'Subsidy Contract Calculation'!C24="Local - Approved by ED"),'Tie Breaker'!$M40&gt;0)</f>
        <v>0</v>
      </c>
      <c r="V40" s="472"/>
      <c r="W40" s="472"/>
      <c r="X40" s="472"/>
      <c r="Y40" s="472"/>
      <c r="Z40" s="472"/>
    </row>
    <row r="41" spans="1:26" ht="15" customHeight="1">
      <c r="A41" s="472"/>
      <c r="B41" s="472"/>
      <c r="C41" s="893"/>
      <c r="D41" s="893"/>
      <c r="E41" s="893"/>
      <c r="F41" s="893"/>
      <c r="G41" s="893"/>
      <c r="H41" s="893"/>
      <c r="I41" s="472"/>
      <c r="J41" s="472"/>
      <c r="K41" s="471"/>
      <c r="L41" s="486" t="str">
        <f>IFERROR(MIN(4,MATCH(Application!B745,UnitSizes,0)-1),"")</f>
        <v/>
      </c>
      <c r="M41" s="538">
        <f>Application!G745</f>
        <v>0</v>
      </c>
      <c r="N41" s="508">
        <f>Application!AC745</f>
        <v>0</v>
      </c>
      <c r="O41" s="508" t="str">
        <f>IF('Tie Breaker'!$M41&gt;0,IF('Tie Breaker'!$U41,30%,IF(AND(OR(NOT($G$38),$G$38=""),$G$43),40%,'Tie Breaker'!$N41)),"")</f>
        <v/>
      </c>
      <c r="P41" s="538" t="str">
        <f t="array" ref="P41">IF('Tie Breaker'!$M41&gt;0,INDEX(TcacRents,$P$18,'Tie Breaker'!$L41+1)*'Tie Breaker'!$O41,"")</f>
        <v/>
      </c>
      <c r="Q41" s="538"/>
      <c r="R41" s="538" t="str">
        <f t="array" ref="R41">IF('Tie Breaker'!$M41&gt;0,INDEX(HudFmrs,$P$18,'Tie Breaker'!$L41+1),"")</f>
        <v/>
      </c>
      <c r="S41" s="538" t="str">
        <f>IF('Tie Breaker'!$M41&gt;0,MAX(0,'Tie Breaker'!$R41-IF(AND($G$37,$G$38,$G$38&lt;&gt;"",NOT('Tie Breaker'!$U41),'Tie Breaker'!$Q41&lt;&gt;""),'Tie Breaker'!$Q41,'Tie Breaker'!$P41)),"")</f>
        <v/>
      </c>
      <c r="T41" s="486" t="str">
        <f>IF('Tie Breaker'!$M41&gt;0,AND(Application!AK745&lt;&gt;"N/A",Application!AK745&lt;&gt;"")*'Tie Breaker'!$M41,"")</f>
        <v/>
      </c>
      <c r="U41" s="486" t="b">
        <f>AND('Subsidy Contract Calculation'!F25&gt;0,OR('Subsidy Contract Calculation'!C25="Federal",'Subsidy Contract Calculation'!C25="Local - Approved by ED"),'Tie Breaker'!$M41&gt;0)</f>
        <v>0</v>
      </c>
      <c r="V41" s="472"/>
      <c r="W41" s="472"/>
      <c r="X41" s="472"/>
      <c r="Y41" s="472"/>
      <c r="Z41" s="472"/>
    </row>
    <row r="42" spans="1:26" ht="15" customHeight="1">
      <c r="A42" s="472"/>
      <c r="B42" s="472"/>
      <c r="C42" s="472"/>
      <c r="D42" s="472"/>
      <c r="E42" s="531" t="s">
        <v>2188</v>
      </c>
      <c r="F42" s="472"/>
      <c r="G42" s="628">
        <f t="array" ref="G42">SUMPRODUCT(Cdlac[Quantity],Cdlac[iAMI],IF(Cdlac[Federal],0,1))/SUMIFS(Cdlac[Quantity],Cdlac[Federal],FALSE)</f>
        <v>0.55517241379310334</v>
      </c>
      <c r="H42" s="472"/>
      <c r="I42" s="472"/>
      <c r="J42" s="472"/>
      <c r="K42" s="471"/>
      <c r="L42" s="486" t="str">
        <f>IFERROR(MIN(4,MATCH(Application!B746,UnitSizes,0)-1),"")</f>
        <v/>
      </c>
      <c r="M42" s="538">
        <f>Application!G746</f>
        <v>0</v>
      </c>
      <c r="N42" s="508">
        <f>Application!AC746</f>
        <v>0</v>
      </c>
      <c r="O42" s="508" t="str">
        <f>IF('Tie Breaker'!$M42&gt;0,IF('Tie Breaker'!$U42,30%,IF(AND(OR(NOT($G$38),$G$38=""),$G$43),40%,'Tie Breaker'!$N42)),"")</f>
        <v/>
      </c>
      <c r="P42" s="538" t="str">
        <f t="array" ref="P42">IF('Tie Breaker'!$M42&gt;0,INDEX(TcacRents,$P$18,'Tie Breaker'!$L42+1)*'Tie Breaker'!$O42,"")</f>
        <v/>
      </c>
      <c r="Q42" s="538"/>
      <c r="R42" s="538" t="str">
        <f t="array" ref="R42">IF('Tie Breaker'!$M42&gt;0,INDEX(HudFmrs,$P$18,'Tie Breaker'!$L42+1),"")</f>
        <v/>
      </c>
      <c r="S42" s="538" t="str">
        <f>IF('Tie Breaker'!$M42&gt;0,MAX(0,'Tie Breaker'!$R42-IF(AND($G$37,$G$38,$G$38&lt;&gt;"",NOT('Tie Breaker'!$U42),'Tie Breaker'!$Q42&lt;&gt;""),'Tie Breaker'!$Q42,'Tie Breaker'!$P42)),"")</f>
        <v/>
      </c>
      <c r="T42" s="486" t="str">
        <f>IF('Tie Breaker'!$M42&gt;0,AND(Application!AK746&lt;&gt;"N/A",Application!AK746&lt;&gt;"")*'Tie Breaker'!$M42,"")</f>
        <v/>
      </c>
      <c r="U42" s="486" t="b">
        <f>AND('Subsidy Contract Calculation'!F26&gt;0,OR('Subsidy Contract Calculation'!C26="Federal",'Subsidy Contract Calculation'!C26="Local - Approved by ED"),'Tie Breaker'!$M42&gt;0)</f>
        <v>0</v>
      </c>
      <c r="V42" s="472"/>
      <c r="W42" s="472"/>
      <c r="X42" s="472"/>
      <c r="Y42" s="472"/>
      <c r="Z42" s="472"/>
    </row>
    <row r="43" spans="1:26" ht="15" customHeight="1">
      <c r="A43" s="472"/>
      <c r="B43" s="472"/>
      <c r="C43" s="472"/>
      <c r="D43" s="472"/>
      <c r="E43" s="531" t="s">
        <v>2192</v>
      </c>
      <c r="F43" s="472"/>
      <c r="G43" s="629" t="b">
        <f>G42&lt;40%</f>
        <v>0</v>
      </c>
      <c r="H43" s="472"/>
      <c r="I43" s="472"/>
      <c r="J43" s="472"/>
      <c r="K43" s="471"/>
      <c r="L43" s="486" t="str">
        <f>IFERROR(MIN(4,MATCH(Application!B747,UnitSizes,0)-1),"")</f>
        <v/>
      </c>
      <c r="M43" s="538">
        <f>Application!G747</f>
        <v>0</v>
      </c>
      <c r="N43" s="508">
        <f>Application!AC747</f>
        <v>0</v>
      </c>
      <c r="O43" s="508" t="str">
        <f>IF('Tie Breaker'!$M43&gt;0,IF('Tie Breaker'!$U43,30%,IF(AND(OR(NOT($G$38),$G$38=""),$G$43),40%,'Tie Breaker'!$N43)),"")</f>
        <v/>
      </c>
      <c r="P43" s="538" t="str">
        <f t="array" ref="P43">IF('Tie Breaker'!$M43&gt;0,INDEX(TcacRents,$P$18,'Tie Breaker'!$L43+1)*'Tie Breaker'!$O43,"")</f>
        <v/>
      </c>
      <c r="Q43" s="538"/>
      <c r="R43" s="538" t="str">
        <f t="array" ref="R43">IF('Tie Breaker'!$M43&gt;0,INDEX(HudFmrs,$P$18,'Tie Breaker'!$L43+1),"")</f>
        <v/>
      </c>
      <c r="S43" s="538" t="str">
        <f>IF('Tie Breaker'!$M43&gt;0,MAX(0,'Tie Breaker'!$R43-IF(AND($G$37,$G$38,$G$38&lt;&gt;"",NOT('Tie Breaker'!$U43),'Tie Breaker'!$Q43&lt;&gt;""),'Tie Breaker'!$Q43,'Tie Breaker'!$P43)),"")</f>
        <v/>
      </c>
      <c r="T43" s="486" t="str">
        <f>IF('Tie Breaker'!$M43&gt;0,AND(Application!AK747&lt;&gt;"N/A",Application!AK747&lt;&gt;"")*'Tie Breaker'!$M43,"")</f>
        <v/>
      </c>
      <c r="U43" s="486" t="b">
        <f>AND('Subsidy Contract Calculation'!F27&gt;0,OR('Subsidy Contract Calculation'!C27="Federal",'Subsidy Contract Calculation'!C27="Local - Approved by ED"),'Tie Breaker'!$M43&gt;0)</f>
        <v>0</v>
      </c>
      <c r="V43" s="472"/>
      <c r="W43" s="472"/>
      <c r="X43" s="472"/>
      <c r="Y43" s="472"/>
      <c r="Z43" s="472"/>
    </row>
    <row r="44" spans="1:26" ht="15" customHeight="1">
      <c r="A44" s="472"/>
      <c r="B44" s="472"/>
      <c r="C44" s="472"/>
      <c r="D44" s="472"/>
      <c r="E44" s="472"/>
      <c r="F44" s="472"/>
      <c r="G44" s="472"/>
      <c r="H44" s="472"/>
      <c r="I44" s="472"/>
      <c r="J44" s="472"/>
      <c r="K44" s="471"/>
      <c r="L44" s="486" t="str">
        <f>IFERROR(MIN(4,MATCH(Application!B748,UnitSizes,0)-1),"")</f>
        <v/>
      </c>
      <c r="M44" s="538">
        <f>Application!G748</f>
        <v>0</v>
      </c>
      <c r="N44" s="508">
        <f>Application!AC748</f>
        <v>0</v>
      </c>
      <c r="O44" s="508" t="str">
        <f>IF('Tie Breaker'!$M44&gt;0,IF('Tie Breaker'!$U44,30%,IF(AND(OR(NOT($G$38),$G$38=""),$G$43),40%,'Tie Breaker'!$N44)),"")</f>
        <v/>
      </c>
      <c r="P44" s="538" t="str">
        <f t="array" ref="P44">IF('Tie Breaker'!$M44&gt;0,INDEX(TcacRents,$P$18,'Tie Breaker'!$L44+1)*'Tie Breaker'!$O44,"")</f>
        <v/>
      </c>
      <c r="Q44" s="538"/>
      <c r="R44" s="538" t="str">
        <f t="array" ref="R44">IF('Tie Breaker'!$M44&gt;0,INDEX(HudFmrs,$P$18,'Tie Breaker'!$L44+1),"")</f>
        <v/>
      </c>
      <c r="S44" s="538" t="str">
        <f>IF('Tie Breaker'!$M44&gt;0,MAX(0,'Tie Breaker'!$R44-IF(AND($G$37,$G$38,$G$38&lt;&gt;"",NOT('Tie Breaker'!$U44),'Tie Breaker'!$Q44&lt;&gt;""),'Tie Breaker'!$Q44,'Tie Breaker'!$P44)),"")</f>
        <v/>
      </c>
      <c r="T44" s="486" t="str">
        <f>IF('Tie Breaker'!$M44&gt;0,AND(Application!AK748&lt;&gt;"N/A",Application!AK748&lt;&gt;"")*'Tie Breaker'!$M44,"")</f>
        <v/>
      </c>
      <c r="U44" s="486" t="b">
        <f>AND('Subsidy Contract Calculation'!F28&gt;0,OR('Subsidy Contract Calculation'!C28="Federal",'Subsidy Contract Calculation'!C28="Local - Approved by ED"),'Tie Breaker'!$M44&gt;0)</f>
        <v>0</v>
      </c>
      <c r="V44" s="472"/>
      <c r="W44" s="472"/>
      <c r="X44" s="472"/>
      <c r="Y44" s="472"/>
      <c r="Z44" s="472"/>
    </row>
    <row r="45" spans="1:26" ht="15" customHeight="1">
      <c r="A45" s="472"/>
      <c r="B45" s="472"/>
      <c r="C45" s="472"/>
      <c r="D45" s="472"/>
      <c r="E45" s="531" t="s">
        <v>2198</v>
      </c>
      <c r="F45" s="472"/>
      <c r="G45" s="633">
        <f>IFERROR(SUMPRODUCT(Cdlac[Quantity],Cdlac[Delta]),0)</f>
        <v>198325.8</v>
      </c>
      <c r="H45" s="472"/>
      <c r="I45" s="472"/>
      <c r="J45" s="472"/>
      <c r="K45" s="471"/>
      <c r="L45" s="486" t="str">
        <f>IFERROR(MIN(4,MATCH(Application!B749,UnitSizes,0)-1),"")</f>
        <v/>
      </c>
      <c r="M45" s="538">
        <f>Application!G749</f>
        <v>0</v>
      </c>
      <c r="N45" s="508">
        <f>Application!AC749</f>
        <v>0</v>
      </c>
      <c r="O45" s="508" t="str">
        <f>IF('Tie Breaker'!$M45&gt;0,IF('Tie Breaker'!$U45,30%,IF(AND(OR(NOT($G$38),$G$38=""),$G$43),40%,'Tie Breaker'!$N45)),"")</f>
        <v/>
      </c>
      <c r="P45" s="538" t="str">
        <f t="array" ref="P45">IF('Tie Breaker'!$M45&gt;0,INDEX(TcacRents,$P$18,'Tie Breaker'!$L45+1)*'Tie Breaker'!$O45,"")</f>
        <v/>
      </c>
      <c r="Q45" s="538"/>
      <c r="R45" s="538" t="str">
        <f t="array" ref="R45">IF('Tie Breaker'!$M45&gt;0,INDEX(HudFmrs,$P$18,'Tie Breaker'!$L45+1),"")</f>
        <v/>
      </c>
      <c r="S45" s="538" t="str">
        <f>IF('Tie Breaker'!$M45&gt;0,MAX(0,'Tie Breaker'!$R45-IF(AND($G$37,$G$38,$G$38&lt;&gt;"",NOT('Tie Breaker'!$U45),'Tie Breaker'!$Q45&lt;&gt;""),'Tie Breaker'!$Q45,'Tie Breaker'!$P45)),"")</f>
        <v/>
      </c>
      <c r="T45" s="486" t="str">
        <f>IF('Tie Breaker'!$M45&gt;0,AND(Application!AK749&lt;&gt;"N/A",Application!AK749&lt;&gt;"")*'Tie Breaker'!$M45,"")</f>
        <v/>
      </c>
      <c r="U45" s="486" t="b">
        <f>AND('Subsidy Contract Calculation'!F29&gt;0,OR('Subsidy Contract Calculation'!C29="Federal",'Subsidy Contract Calculation'!C29="Local - Approved by ED"),'Tie Breaker'!$M45&gt;0)</f>
        <v>0</v>
      </c>
      <c r="V45" s="472"/>
      <c r="W45" s="472"/>
      <c r="X45" s="472"/>
      <c r="Y45" s="472"/>
      <c r="Z45" s="472"/>
    </row>
    <row r="46" spans="1:26" ht="15" customHeight="1">
      <c r="A46" s="472"/>
      <c r="B46" s="472"/>
      <c r="C46" s="472"/>
      <c r="D46" s="472"/>
      <c r="E46" s="575" t="s">
        <v>2201</v>
      </c>
      <c r="F46" s="589" t="s">
        <v>2158</v>
      </c>
      <c r="G46" s="634">
        <f>12*15</f>
        <v>180</v>
      </c>
      <c r="H46" s="472"/>
      <c r="I46" s="472"/>
      <c r="J46" s="472"/>
      <c r="K46" s="471"/>
      <c r="L46" s="486" t="str">
        <f>IFERROR(MIN(4,MATCH(Application!B750,UnitSizes,0)-1),"")</f>
        <v/>
      </c>
      <c r="M46" s="538">
        <f>Application!G750</f>
        <v>0</v>
      </c>
      <c r="N46" s="508">
        <f>Application!AC750</f>
        <v>0</v>
      </c>
      <c r="O46" s="508" t="str">
        <f>IF('Tie Breaker'!$M46&gt;0,IF('Tie Breaker'!$U46,30%,IF(AND(OR(NOT($G$38),$G$38=""),$G$43),40%,'Tie Breaker'!$N46)),"")</f>
        <v/>
      </c>
      <c r="P46" s="538" t="str">
        <f t="array" ref="P46">IF('Tie Breaker'!$M46&gt;0,INDEX(TcacRents,$P$18,'Tie Breaker'!$L46+1)*'Tie Breaker'!$O46,"")</f>
        <v/>
      </c>
      <c r="Q46" s="538"/>
      <c r="R46" s="538" t="str">
        <f t="array" ref="R46">IF('Tie Breaker'!$M46&gt;0,INDEX(HudFmrs,$P$18,'Tie Breaker'!$L46+1),"")</f>
        <v/>
      </c>
      <c r="S46" s="538" t="str">
        <f>IF('Tie Breaker'!$M46&gt;0,MAX(0,'Tie Breaker'!$R46-IF(AND($G$37,$G$38,$G$38&lt;&gt;"",NOT('Tie Breaker'!$U46),'Tie Breaker'!$Q46&lt;&gt;""),'Tie Breaker'!$Q46,'Tie Breaker'!$P46)),"")</f>
        <v/>
      </c>
      <c r="T46" s="486" t="str">
        <f>IF('Tie Breaker'!$M46&gt;0,AND(Application!AK750&lt;&gt;"N/A",Application!AK750&lt;&gt;"")*'Tie Breaker'!$M46,"")</f>
        <v/>
      </c>
      <c r="U46" s="486" t="b">
        <f>AND('Subsidy Contract Calculation'!F30&gt;0,OR('Subsidy Contract Calculation'!C30="Federal",'Subsidy Contract Calculation'!C30="Local - Approved by ED"),'Tie Breaker'!$M46&gt;0)</f>
        <v>0</v>
      </c>
      <c r="V46" s="472"/>
      <c r="W46" s="472"/>
      <c r="X46" s="472"/>
      <c r="Y46" s="472"/>
      <c r="Z46" s="472"/>
    </row>
    <row r="47" spans="1:26" ht="15" customHeight="1">
      <c r="A47" s="472"/>
      <c r="B47" s="472"/>
      <c r="C47" s="472"/>
      <c r="D47" s="472"/>
      <c r="E47" s="638" t="s">
        <v>2204</v>
      </c>
      <c r="F47" s="474"/>
      <c r="G47" s="640">
        <f>G45*G46</f>
        <v>35698644</v>
      </c>
      <c r="H47" s="472"/>
      <c r="I47" s="472"/>
      <c r="J47" s="472"/>
      <c r="K47" s="471"/>
      <c r="L47" s="486" t="str">
        <f>IFERROR(MIN(4,MATCH(Application!B751,UnitSizes,0)-1),"")</f>
        <v/>
      </c>
      <c r="M47" s="538">
        <f>Application!G751</f>
        <v>0</v>
      </c>
      <c r="N47" s="508">
        <f>Application!AC751</f>
        <v>0</v>
      </c>
      <c r="O47" s="508" t="str">
        <f>IF('Tie Breaker'!$M47&gt;0,IF('Tie Breaker'!$U47,30%,IF(AND(OR(NOT($G$38),$G$38=""),$G$43),40%,'Tie Breaker'!$N47)),"")</f>
        <v/>
      </c>
      <c r="P47" s="538" t="str">
        <f t="array" ref="P47">IF('Tie Breaker'!$M47&gt;0,INDEX(TcacRents,$P$18,'Tie Breaker'!$L47+1)*'Tie Breaker'!$O47,"")</f>
        <v/>
      </c>
      <c r="Q47" s="538"/>
      <c r="R47" s="538" t="str">
        <f t="array" ref="R47">IF('Tie Breaker'!$M47&gt;0,INDEX(HudFmrs,$P$18,'Tie Breaker'!$L47+1),"")</f>
        <v/>
      </c>
      <c r="S47" s="538" t="str">
        <f>IF('Tie Breaker'!$M47&gt;0,MAX(0,'Tie Breaker'!$R47-IF(AND($G$37,$G$38,$G$38&lt;&gt;"",NOT('Tie Breaker'!$U47),'Tie Breaker'!$Q47&lt;&gt;""),'Tie Breaker'!$Q47,'Tie Breaker'!$P47)),"")</f>
        <v/>
      </c>
      <c r="T47" s="486" t="str">
        <f>IF('Tie Breaker'!$M47&gt;0,AND(Application!AK751&lt;&gt;"N/A",Application!AK751&lt;&gt;"")*'Tie Breaker'!$M47,"")</f>
        <v/>
      </c>
      <c r="U47" s="486" t="b">
        <f>AND('Subsidy Contract Calculation'!F31&gt;0,OR('Subsidy Contract Calculation'!C31="Federal",'Subsidy Contract Calculation'!C31="Local - Approved by ED"),'Tie Breaker'!$M47&gt;0)</f>
        <v>0</v>
      </c>
      <c r="V47" s="472"/>
      <c r="W47" s="472"/>
      <c r="X47" s="472"/>
      <c r="Y47" s="472"/>
      <c r="Z47" s="472"/>
    </row>
    <row r="48" spans="1:26" ht="15" customHeight="1">
      <c r="A48" s="472"/>
      <c r="B48" s="472"/>
      <c r="C48" s="472"/>
      <c r="D48" s="472"/>
      <c r="E48" s="472"/>
      <c r="F48" s="472"/>
      <c r="G48" s="472"/>
      <c r="H48" s="472"/>
      <c r="I48" s="472"/>
      <c r="J48" s="472"/>
      <c r="K48" s="471"/>
      <c r="L48" s="486" t="str">
        <f>IFERROR(MIN(4,MATCH(Application!B752,UnitSizes,0)-1),"")</f>
        <v/>
      </c>
      <c r="M48" s="538">
        <f>Application!G752</f>
        <v>0</v>
      </c>
      <c r="N48" s="508">
        <f>Application!AC752</f>
        <v>0</v>
      </c>
      <c r="O48" s="508" t="str">
        <f>IF('Tie Breaker'!$M48&gt;0,IF('Tie Breaker'!$U48,30%,IF(AND(OR(NOT($G$38),$G$38=""),$G$43),40%,'Tie Breaker'!$N48)),"")</f>
        <v/>
      </c>
      <c r="P48" s="538" t="str">
        <f t="array" ref="P48">IF('Tie Breaker'!$M48&gt;0,INDEX(TcacRents,$P$18,'Tie Breaker'!$L48+1)*'Tie Breaker'!$O48,"")</f>
        <v/>
      </c>
      <c r="Q48" s="538"/>
      <c r="R48" s="538" t="str">
        <f t="array" ref="R48">IF('Tie Breaker'!$M48&gt;0,INDEX(HudFmrs,$P$18,'Tie Breaker'!$L48+1),"")</f>
        <v/>
      </c>
      <c r="S48" s="538" t="str">
        <f>IF('Tie Breaker'!$M48&gt;0,MAX(0,'Tie Breaker'!$R48-IF(AND($G$37,$G$38,$G$38&lt;&gt;"",NOT('Tie Breaker'!$U48),'Tie Breaker'!$Q48&lt;&gt;""),'Tie Breaker'!$Q48,'Tie Breaker'!$P48)),"")</f>
        <v/>
      </c>
      <c r="T48" s="486" t="str">
        <f>IF('Tie Breaker'!$M48&gt;0,AND(Application!AK752&lt;&gt;"N/A",Application!AK752&lt;&gt;"")*'Tie Breaker'!$M48,"")</f>
        <v/>
      </c>
      <c r="U48" s="486" t="b">
        <f>AND('Subsidy Contract Calculation'!F32&gt;0,OR('Subsidy Contract Calculation'!C32="Federal",'Subsidy Contract Calculation'!C32="Local - Approved by ED"),'Tie Breaker'!$M48&gt;0)</f>
        <v>0</v>
      </c>
      <c r="V48" s="472"/>
      <c r="W48" s="472"/>
      <c r="X48" s="472"/>
      <c r="Y48" s="472"/>
      <c r="Z48" s="472"/>
    </row>
    <row r="49" spans="1:26" ht="15" customHeight="1">
      <c r="A49" s="472"/>
      <c r="B49" s="535" t="str">
        <f>B11&amp;": "&amp;B12</f>
        <v>C. Population Benefit: (i) Extremely Low Income Benefit</v>
      </c>
      <c r="C49" s="536"/>
      <c r="D49" s="536"/>
      <c r="E49" s="536"/>
      <c r="F49" s="536"/>
      <c r="G49" s="536"/>
      <c r="H49" s="536"/>
      <c r="I49" s="537"/>
      <c r="J49" s="472"/>
      <c r="K49" s="471"/>
      <c r="L49" s="486" t="str">
        <f>IFERROR(MIN(4,MATCH(Application!B753,UnitSizes,0)-1),"")</f>
        <v/>
      </c>
      <c r="M49" s="538">
        <f>Application!G753</f>
        <v>0</v>
      </c>
      <c r="N49" s="508">
        <f>Application!AC753</f>
        <v>0</v>
      </c>
      <c r="O49" s="508" t="str">
        <f>IF('Tie Breaker'!$M49&gt;0,IF('Tie Breaker'!$U49,30%,IF(AND(OR(NOT($G$38),$G$38=""),$G$43),40%,'Tie Breaker'!$N49)),"")</f>
        <v/>
      </c>
      <c r="P49" s="538" t="str">
        <f t="array" ref="P49">IF('Tie Breaker'!$M49&gt;0,INDEX(TcacRents,$P$18,'Tie Breaker'!$L49+1)*'Tie Breaker'!$O49,"")</f>
        <v/>
      </c>
      <c r="Q49" s="538"/>
      <c r="R49" s="538" t="str">
        <f t="array" ref="R49">IF('Tie Breaker'!$M49&gt;0,INDEX(HudFmrs,$P$18,'Tie Breaker'!$L49+1),"")</f>
        <v/>
      </c>
      <c r="S49" s="538" t="str">
        <f>IF('Tie Breaker'!$M49&gt;0,MAX(0,'Tie Breaker'!$R49-IF(AND($G$37,$G$38,$G$38&lt;&gt;"",NOT('Tie Breaker'!$U49),'Tie Breaker'!$Q49&lt;&gt;""),'Tie Breaker'!$Q49,'Tie Breaker'!$P49)),"")</f>
        <v/>
      </c>
      <c r="T49" s="486" t="str">
        <f>IF('Tie Breaker'!$M49&gt;0,AND(Application!AK753&lt;&gt;"N/A",Application!AK753&lt;&gt;"")*'Tie Breaker'!$M49,"")</f>
        <v/>
      </c>
      <c r="U49" s="486" t="b">
        <f>AND('Subsidy Contract Calculation'!F33&gt;0,OR('Subsidy Contract Calculation'!C33="Federal",'Subsidy Contract Calculation'!C33="Local - Approved by ED"),'Tie Breaker'!$M49&gt;0)</f>
        <v>0</v>
      </c>
      <c r="V49" s="472"/>
      <c r="W49" s="472"/>
      <c r="X49" s="472"/>
      <c r="Y49" s="472"/>
      <c r="Z49" s="472"/>
    </row>
    <row r="50" spans="1:26" ht="15" customHeight="1">
      <c r="A50" s="472"/>
      <c r="B50" s="472"/>
      <c r="C50" s="472"/>
      <c r="D50" s="472"/>
      <c r="E50" s="472"/>
      <c r="F50" s="472"/>
      <c r="G50" s="472"/>
      <c r="H50" s="472"/>
      <c r="I50" s="472"/>
      <c r="J50" s="472"/>
      <c r="K50" s="471"/>
      <c r="L50" s="486" t="str">
        <f>IFERROR(MIN(4,MATCH(Application!B754,UnitSizes,0)-1),"")</f>
        <v/>
      </c>
      <c r="M50" s="538">
        <f>Application!G754</f>
        <v>0</v>
      </c>
      <c r="N50" s="508">
        <f>Application!AC754</f>
        <v>0</v>
      </c>
      <c r="O50" s="508" t="str">
        <f>IF('Tie Breaker'!$M50&gt;0,IF('Tie Breaker'!$U50,30%,IF(AND(OR(NOT($G$38),$G$38=""),$G$43),40%,'Tie Breaker'!$N50)),"")</f>
        <v/>
      </c>
      <c r="P50" s="538" t="str">
        <f t="array" ref="P50">IF('Tie Breaker'!$M50&gt;0,INDEX(TcacRents,$P$18,'Tie Breaker'!$L50+1)*'Tie Breaker'!$O50,"")</f>
        <v/>
      </c>
      <c r="Q50" s="538"/>
      <c r="R50" s="538" t="str">
        <f t="array" ref="R50">IF('Tie Breaker'!$M50&gt;0,INDEX(HudFmrs,$P$18,'Tie Breaker'!$L50+1),"")</f>
        <v/>
      </c>
      <c r="S50" s="538" t="str">
        <f>IF('Tie Breaker'!$M50&gt;0,MAX(0,'Tie Breaker'!$R50-IF(AND($G$37,$G$38,$G$38&lt;&gt;"",NOT('Tie Breaker'!$U50),'Tie Breaker'!$Q50&lt;&gt;""),'Tie Breaker'!$Q50,'Tie Breaker'!$P50)),"")</f>
        <v/>
      </c>
      <c r="T50" s="486" t="str">
        <f>IF('Tie Breaker'!$M50&gt;0,AND(Application!AK754&lt;&gt;"N/A",Application!AK754&lt;&gt;"")*'Tie Breaker'!$M50,"")</f>
        <v/>
      </c>
      <c r="U50" s="486" t="b">
        <f>AND('Subsidy Contract Calculation'!F34&gt;0,OR('Subsidy Contract Calculation'!C34="Federal",'Subsidy Contract Calculation'!C34="Local - Approved by ED"),'Tie Breaker'!$M50&gt;0)</f>
        <v>0</v>
      </c>
      <c r="V50" s="472"/>
      <c r="W50" s="472"/>
      <c r="X50" s="472"/>
      <c r="Y50" s="472"/>
      <c r="Z50" s="472"/>
    </row>
    <row r="51" spans="1:26" ht="15" customHeight="1">
      <c r="A51" s="472"/>
      <c r="B51" s="472"/>
      <c r="C51" s="472"/>
      <c r="D51" s="472"/>
      <c r="E51" s="575" t="s">
        <v>2231</v>
      </c>
      <c r="F51" s="472"/>
      <c r="G51" s="656">
        <f>SUMIFS(Cdlac[Quantity],Cdlac[iAMI],"&lt;=30%")</f>
        <v>26</v>
      </c>
      <c r="H51" s="472"/>
      <c r="I51" s="472"/>
      <c r="J51" s="472"/>
      <c r="K51" s="471"/>
      <c r="L51" s="486" t="str">
        <f>IFERROR(MIN(4,MATCH(Application!B755,UnitSizes,0)-1),"")</f>
        <v/>
      </c>
      <c r="M51" s="538">
        <f>Application!G755</f>
        <v>0</v>
      </c>
      <c r="N51" s="508">
        <f>Application!AC755</f>
        <v>0</v>
      </c>
      <c r="O51" s="508" t="str">
        <f>IF('Tie Breaker'!$M51&gt;0,IF('Tie Breaker'!$U51,30%,IF(AND(OR(NOT($G$38),$G$38=""),$G$43),40%,'Tie Breaker'!$N51)),"")</f>
        <v/>
      </c>
      <c r="P51" s="538" t="str">
        <f t="array" ref="P51">IF('Tie Breaker'!$M51&gt;0,INDEX(TcacRents,$P$18,'Tie Breaker'!$L51+1)*'Tie Breaker'!$O51,"")</f>
        <v/>
      </c>
      <c r="Q51" s="538"/>
      <c r="R51" s="538" t="str">
        <f t="array" ref="R51">IF('Tie Breaker'!$M51&gt;0,INDEX(HudFmrs,$P$18,'Tie Breaker'!$L51+1),"")</f>
        <v/>
      </c>
      <c r="S51" s="538" t="str">
        <f>IF('Tie Breaker'!$M51&gt;0,MAX(0,'Tie Breaker'!$R51-IF(AND($G$37,$G$38,$G$38&lt;&gt;"",NOT('Tie Breaker'!$U51),'Tie Breaker'!$Q51&lt;&gt;""),'Tie Breaker'!$Q51,'Tie Breaker'!$P51)),"")</f>
        <v/>
      </c>
      <c r="T51" s="486" t="str">
        <f>IF('Tie Breaker'!$M51&gt;0,AND(Application!AK755&lt;&gt;"N/A",Application!AK755&lt;&gt;"")*'Tie Breaker'!$M51,"")</f>
        <v/>
      </c>
      <c r="U51" s="486" t="b">
        <f>AND('Subsidy Contract Calculation'!F35&gt;0,OR('Subsidy Contract Calculation'!C35="Federal",'Subsidy Contract Calculation'!C35="Local - Approved by ED"),'Tie Breaker'!$M51&gt;0)</f>
        <v>0</v>
      </c>
      <c r="V51" s="472"/>
      <c r="W51" s="472"/>
      <c r="X51" s="472"/>
      <c r="Y51" s="472"/>
      <c r="Z51" s="472"/>
    </row>
    <row r="52" spans="1:26" ht="15" customHeight="1">
      <c r="A52" s="472"/>
      <c r="B52" s="472"/>
      <c r="C52" s="472"/>
      <c r="D52" s="472"/>
      <c r="E52" s="575" t="s">
        <v>2236</v>
      </c>
      <c r="F52" s="472"/>
      <c r="G52" s="656">
        <f>ROUNDDOWN(E29*50%,0)</f>
        <v>116</v>
      </c>
      <c r="H52" s="472"/>
      <c r="I52" s="472"/>
      <c r="J52" s="472"/>
      <c r="K52" s="471"/>
      <c r="L52" s="486" t="str">
        <f>IFERROR(MIN(4,MATCH(Application!B756,UnitSizes,0)-1),"")</f>
        <v/>
      </c>
      <c r="M52" s="538">
        <f>Application!G756</f>
        <v>0</v>
      </c>
      <c r="N52" s="508">
        <f>Application!AC756</f>
        <v>0</v>
      </c>
      <c r="O52" s="508" t="str">
        <f>IF('Tie Breaker'!$M52&gt;0,IF('Tie Breaker'!$U52,30%,IF(AND(OR(NOT($G$38),$G$38=""),$G$43),40%,'Tie Breaker'!$N52)),"")</f>
        <v/>
      </c>
      <c r="P52" s="538" t="str">
        <f t="array" ref="P52">IF('Tie Breaker'!$M52&gt;0,INDEX(TcacRents,$P$18,'Tie Breaker'!$L52+1)*'Tie Breaker'!$O52,"")</f>
        <v/>
      </c>
      <c r="Q52" s="538"/>
      <c r="R52" s="538" t="str">
        <f t="array" ref="R52">IF('Tie Breaker'!$M52&gt;0,INDEX(HudFmrs,$P$18,'Tie Breaker'!$L52+1),"")</f>
        <v/>
      </c>
      <c r="S52" s="538" t="str">
        <f>IF('Tie Breaker'!$M52&gt;0,MAX(0,'Tie Breaker'!$R52-IF(AND($G$37,$G$38,$G$38&lt;&gt;"",NOT('Tie Breaker'!$U52),'Tie Breaker'!$Q52&lt;&gt;""),'Tie Breaker'!$Q52,'Tie Breaker'!$P52)),"")</f>
        <v/>
      </c>
      <c r="T52" s="486" t="str">
        <f>IF('Tie Breaker'!$M52&gt;0,AND(Application!AK756&lt;&gt;"N/A",Application!AK756&lt;&gt;"")*'Tie Breaker'!$M52,"")</f>
        <v/>
      </c>
      <c r="U52" s="486" t="b">
        <f>AND('Subsidy Contract Calculation'!F36&gt;0,OR('Subsidy Contract Calculation'!C36="Federal",'Subsidy Contract Calculation'!C36="Local - Approved by ED"),'Tie Breaker'!$M52&gt;0)</f>
        <v>0</v>
      </c>
      <c r="V52" s="472"/>
      <c r="W52" s="472"/>
      <c r="X52" s="472"/>
      <c r="Y52" s="472"/>
      <c r="Z52" s="472"/>
    </row>
    <row r="53" spans="1:26" ht="15" customHeight="1">
      <c r="A53" s="472"/>
      <c r="B53" s="472"/>
      <c r="C53" s="472"/>
      <c r="D53" s="472"/>
      <c r="E53" s="575"/>
      <c r="F53" s="472"/>
      <c r="G53" s="656"/>
      <c r="H53" s="472"/>
      <c r="I53" s="472"/>
      <c r="J53" s="472"/>
      <c r="K53" s="471"/>
      <c r="L53" s="486" t="str">
        <f>IFERROR(MIN(4,MATCH(Application!B757,UnitSizes,0)-1),"")</f>
        <v/>
      </c>
      <c r="M53" s="538">
        <f>Application!G757</f>
        <v>0</v>
      </c>
      <c r="N53" s="508">
        <f>Application!AC757</f>
        <v>0</v>
      </c>
      <c r="O53" s="508" t="str">
        <f>IF('Tie Breaker'!$M53&gt;0,IF('Tie Breaker'!$U53,30%,IF(AND(OR(NOT($G$38),$G$38=""),$G$43),40%,'Tie Breaker'!$N53)),"")</f>
        <v/>
      </c>
      <c r="P53" s="538" t="str">
        <f t="array" ref="P53">IF('Tie Breaker'!$M53&gt;0,INDEX(TcacRents,$P$18,'Tie Breaker'!$L53+1)*'Tie Breaker'!$O53,"")</f>
        <v/>
      </c>
      <c r="Q53" s="538"/>
      <c r="R53" s="538" t="str">
        <f t="array" ref="R53">IF('Tie Breaker'!$M53&gt;0,INDEX(HudFmrs,$P$18,'Tie Breaker'!$L53+1),"")</f>
        <v/>
      </c>
      <c r="S53" s="538" t="str">
        <f>IF('Tie Breaker'!$M53&gt;0,MAX(0,'Tie Breaker'!$R53-IF(AND($G$37,$G$38,$G$38&lt;&gt;"",NOT('Tie Breaker'!$U53),'Tie Breaker'!$Q53&lt;&gt;""),'Tie Breaker'!$Q53,'Tie Breaker'!$P53)),"")</f>
        <v/>
      </c>
      <c r="T53" s="486" t="str">
        <f>IF('Tie Breaker'!$M53&gt;0,AND(Application!AK757&lt;&gt;"N/A",Application!AK757&lt;&gt;"")*'Tie Breaker'!$M53,"")</f>
        <v/>
      </c>
      <c r="U53" s="486" t="b">
        <f>AND('Subsidy Contract Calculation'!F37&gt;0,OR('Subsidy Contract Calculation'!C37="Federal",'Subsidy Contract Calculation'!C37="Local - Approved by ED"),'Tie Breaker'!$M53&gt;0)</f>
        <v>0</v>
      </c>
      <c r="V53" s="472"/>
      <c r="W53" s="472"/>
      <c r="X53" s="472"/>
      <c r="Y53" s="472"/>
      <c r="Z53" s="472"/>
    </row>
    <row r="54" spans="1:26" ht="15" customHeight="1">
      <c r="A54" s="472"/>
      <c r="B54" s="472"/>
      <c r="C54" s="472"/>
      <c r="D54" s="472"/>
      <c r="E54" s="575" t="s">
        <v>2247</v>
      </c>
      <c r="F54" s="472"/>
      <c r="G54" s="663">
        <f>MIN(G51:G52)</f>
        <v>26</v>
      </c>
      <c r="H54" s="472"/>
      <c r="I54" s="472"/>
      <c r="J54" s="472"/>
      <c r="K54" s="471"/>
      <c r="L54" s="486" t="str">
        <f>IFERROR(MIN(4,MATCH(Application!B758,UnitSizes,0)-1),"")</f>
        <v/>
      </c>
      <c r="M54" s="538">
        <f>Application!G758</f>
        <v>0</v>
      </c>
      <c r="N54" s="508">
        <f>Application!AC758</f>
        <v>0</v>
      </c>
      <c r="O54" s="508" t="str">
        <f>IF('Tie Breaker'!$M54&gt;0,IF('Tie Breaker'!$U54,30%,IF(AND(OR(NOT($G$38),$G$38=""),$G$43),40%,'Tie Breaker'!$N54)),"")</f>
        <v/>
      </c>
      <c r="P54" s="538" t="str">
        <f t="array" ref="P54">IF('Tie Breaker'!$M54&gt;0,INDEX(TcacRents,$P$18,'Tie Breaker'!$L54+1)*'Tie Breaker'!$O54,"")</f>
        <v/>
      </c>
      <c r="Q54" s="538"/>
      <c r="R54" s="538" t="str">
        <f t="array" ref="R54">IF('Tie Breaker'!$M54&gt;0,INDEX(HudFmrs,$P$18,'Tie Breaker'!$L54+1),"")</f>
        <v/>
      </c>
      <c r="S54" s="538" t="str">
        <f>IF('Tie Breaker'!$M54&gt;0,MAX(0,'Tie Breaker'!$R54-IF(AND($G$37,$G$38,$G$38&lt;&gt;"",NOT('Tie Breaker'!$U54),'Tie Breaker'!$Q54&lt;&gt;""),'Tie Breaker'!$Q54,'Tie Breaker'!$P54)),"")</f>
        <v/>
      </c>
      <c r="T54" s="486" t="str">
        <f>IF('Tie Breaker'!$M54&gt;0,AND(Application!AK758&lt;&gt;"N/A",Application!AK758&lt;&gt;"")*'Tie Breaker'!$M54,"")</f>
        <v/>
      </c>
      <c r="U54" s="486" t="b">
        <f>AND('Subsidy Contract Calculation'!F38&gt;0,OR('Subsidy Contract Calculation'!C38="Federal",'Subsidy Contract Calculation'!C38="Local - Approved by ED"),'Tie Breaker'!$M54&gt;0)</f>
        <v>0</v>
      </c>
      <c r="V54" s="472"/>
      <c r="W54" s="472"/>
      <c r="X54" s="472"/>
      <c r="Y54" s="472"/>
      <c r="Z54" s="472"/>
    </row>
    <row r="55" spans="1:26" ht="15" customHeight="1">
      <c r="A55" s="472"/>
      <c r="B55" s="472"/>
      <c r="C55" s="472"/>
      <c r="D55" s="472"/>
      <c r="E55" s="575" t="s">
        <v>2157</v>
      </c>
      <c r="F55" s="589" t="s">
        <v>2158</v>
      </c>
      <c r="G55" s="670">
        <v>20000</v>
      </c>
      <c r="H55" s="472"/>
      <c r="I55" s="472"/>
      <c r="J55" s="472"/>
      <c r="K55" s="471"/>
      <c r="L55" s="472"/>
      <c r="M55" s="530"/>
      <c r="N55" s="671"/>
      <c r="O55" s="671"/>
      <c r="P55" s="530"/>
      <c r="Q55" s="530"/>
      <c r="R55" s="530"/>
      <c r="S55" s="530"/>
      <c r="T55" s="472"/>
      <c r="U55" s="472"/>
      <c r="V55" s="472"/>
      <c r="W55" s="472"/>
      <c r="X55" s="472"/>
      <c r="Y55" s="472"/>
      <c r="Z55" s="472"/>
    </row>
    <row r="56" spans="1:26" ht="15" customHeight="1">
      <c r="A56" s="472"/>
      <c r="B56" s="472"/>
      <c r="C56" s="472"/>
      <c r="D56" s="472"/>
      <c r="E56" s="603" t="s">
        <v>2249</v>
      </c>
      <c r="F56" s="474"/>
      <c r="G56" s="640">
        <f>G54*G55</f>
        <v>520000</v>
      </c>
      <c r="H56" s="472"/>
      <c r="I56" s="472"/>
      <c r="J56" s="472"/>
      <c r="K56" s="471"/>
      <c r="L56" s="472"/>
      <c r="M56" s="472"/>
      <c r="N56" s="472"/>
      <c r="O56" s="472"/>
      <c r="P56" s="472"/>
      <c r="Q56" s="472"/>
      <c r="R56" s="472"/>
      <c r="S56" s="472"/>
      <c r="T56" s="472"/>
      <c r="U56" s="472"/>
      <c r="V56" s="472"/>
      <c r="W56" s="472"/>
      <c r="X56" s="472"/>
      <c r="Y56" s="472"/>
      <c r="Z56" s="472"/>
    </row>
    <row r="57" spans="1:26" ht="15" customHeight="1">
      <c r="A57" s="472"/>
      <c r="B57" s="472"/>
      <c r="C57" s="472"/>
      <c r="D57" s="472"/>
      <c r="E57" s="472"/>
      <c r="F57" s="472"/>
      <c r="G57" s="472"/>
      <c r="H57" s="472"/>
      <c r="I57" s="472"/>
      <c r="J57" s="472"/>
      <c r="K57" s="471"/>
      <c r="L57" s="472"/>
      <c r="M57" s="472"/>
      <c r="N57" s="472"/>
      <c r="O57" s="472"/>
      <c r="P57" s="472"/>
      <c r="Q57" s="472"/>
      <c r="R57" s="472"/>
      <c r="S57" s="472"/>
      <c r="T57" s="472"/>
      <c r="U57" s="472"/>
      <c r="V57" s="472"/>
      <c r="W57" s="472"/>
      <c r="X57" s="472"/>
      <c r="Y57" s="472"/>
      <c r="Z57" s="472"/>
    </row>
    <row r="58" spans="1:26" ht="15" customHeight="1">
      <c r="A58" s="472"/>
      <c r="B58" s="535" t="str">
        <f>B11&amp;": "&amp;B13</f>
        <v>C. Population Benefit: (ii) Special Populations Benefit</v>
      </c>
      <c r="C58" s="536"/>
      <c r="D58" s="536"/>
      <c r="E58" s="536"/>
      <c r="F58" s="536"/>
      <c r="G58" s="536"/>
      <c r="H58" s="536"/>
      <c r="I58" s="537"/>
      <c r="J58" s="472"/>
      <c r="K58" s="471"/>
      <c r="L58" s="472"/>
      <c r="M58" s="472"/>
      <c r="N58" s="472"/>
      <c r="O58" s="472"/>
      <c r="P58" s="472"/>
      <c r="Q58" s="472"/>
      <c r="R58" s="472"/>
      <c r="S58" s="472"/>
      <c r="T58" s="472"/>
      <c r="U58" s="472"/>
      <c r="V58" s="472"/>
      <c r="W58" s="472"/>
      <c r="X58" s="472"/>
      <c r="Y58" s="472"/>
      <c r="Z58" s="472"/>
    </row>
    <row r="59" spans="1:26" ht="15" customHeight="1">
      <c r="A59" s="472"/>
      <c r="B59" s="472"/>
      <c r="C59" s="472"/>
      <c r="D59" s="472"/>
      <c r="E59" s="472"/>
      <c r="F59" s="472"/>
      <c r="G59" s="472"/>
      <c r="H59" s="472"/>
      <c r="I59" s="472"/>
      <c r="J59" s="472"/>
      <c r="K59" s="471"/>
      <c r="L59" s="472"/>
      <c r="M59" s="472"/>
      <c r="N59" s="472"/>
      <c r="O59" s="472"/>
      <c r="P59" s="472"/>
      <c r="Q59" s="472"/>
      <c r="R59" s="472"/>
      <c r="S59" s="472"/>
      <c r="T59" s="472"/>
      <c r="U59" s="472"/>
      <c r="V59" s="472"/>
      <c r="W59" s="472"/>
      <c r="X59" s="472"/>
      <c r="Y59" s="472"/>
      <c r="Z59" s="472"/>
    </row>
    <row r="60" spans="1:26" ht="15" customHeight="1">
      <c r="A60" s="472"/>
      <c r="B60" s="472"/>
      <c r="C60" s="472"/>
      <c r="D60" s="472"/>
      <c r="E60" s="575" t="s">
        <v>2250</v>
      </c>
      <c r="F60" s="472"/>
      <c r="G60" s="672">
        <f>T18</f>
        <v>0</v>
      </c>
      <c r="H60" s="472"/>
      <c r="I60" s="472"/>
      <c r="J60" s="472"/>
      <c r="K60" s="471"/>
      <c r="L60" s="472"/>
      <c r="M60" s="472"/>
      <c r="N60" s="472"/>
      <c r="O60" s="472"/>
      <c r="P60" s="472"/>
      <c r="Q60" s="472"/>
      <c r="R60" s="472"/>
      <c r="S60" s="472"/>
      <c r="T60" s="472"/>
      <c r="U60" s="472"/>
      <c r="V60" s="472"/>
      <c r="W60" s="472"/>
      <c r="X60" s="472"/>
      <c r="Y60" s="472"/>
      <c r="Z60" s="472"/>
    </row>
    <row r="61" spans="1:26" ht="15" customHeight="1">
      <c r="A61" s="472"/>
      <c r="B61" s="472"/>
      <c r="C61" s="472"/>
      <c r="D61" s="472"/>
      <c r="E61" s="575" t="s">
        <v>2236</v>
      </c>
      <c r="F61" s="472"/>
      <c r="G61" s="576">
        <f>ROUNDDOWN(E29*50%,0)</f>
        <v>116</v>
      </c>
      <c r="H61" s="472"/>
      <c r="I61" s="472"/>
      <c r="J61" s="472"/>
      <c r="K61" s="471"/>
      <c r="L61" s="472"/>
      <c r="M61" s="472"/>
      <c r="N61" s="472"/>
      <c r="O61" s="472"/>
      <c r="P61" s="472"/>
      <c r="Q61" s="472"/>
      <c r="R61" s="472"/>
      <c r="S61" s="472"/>
      <c r="T61" s="472"/>
      <c r="U61" s="472"/>
      <c r="V61" s="472"/>
      <c r="W61" s="472"/>
      <c r="X61" s="472"/>
      <c r="Y61" s="472"/>
      <c r="Z61" s="472"/>
    </row>
    <row r="62" spans="1:26" ht="15" customHeight="1">
      <c r="A62" s="472"/>
      <c r="B62" s="472"/>
      <c r="C62" s="472"/>
      <c r="D62" s="472"/>
      <c r="E62" s="575"/>
      <c r="F62" s="472"/>
      <c r="G62" s="673"/>
      <c r="H62" s="472"/>
      <c r="I62" s="472"/>
      <c r="J62" s="472"/>
      <c r="K62" s="471"/>
      <c r="L62" s="472"/>
      <c r="M62" s="472"/>
      <c r="N62" s="472"/>
      <c r="O62" s="472"/>
      <c r="P62" s="472"/>
      <c r="Q62" s="472"/>
      <c r="R62" s="472"/>
      <c r="S62" s="472"/>
      <c r="T62" s="472"/>
      <c r="U62" s="472"/>
      <c r="V62" s="472"/>
      <c r="W62" s="472"/>
      <c r="X62" s="472"/>
      <c r="Y62" s="472"/>
      <c r="Z62" s="472"/>
    </row>
    <row r="63" spans="1:26" ht="15" customHeight="1">
      <c r="A63" s="472"/>
      <c r="B63" s="472"/>
      <c r="C63" s="472"/>
      <c r="D63" s="472"/>
      <c r="E63" s="575" t="s">
        <v>2247</v>
      </c>
      <c r="F63" s="472"/>
      <c r="G63" s="672">
        <f>MIN(G60:G61)</f>
        <v>0</v>
      </c>
      <c r="H63" s="472"/>
      <c r="I63" s="472"/>
      <c r="J63" s="472"/>
      <c r="K63" s="471"/>
      <c r="L63" s="472"/>
      <c r="M63" s="472"/>
      <c r="N63" s="472"/>
      <c r="O63" s="472"/>
      <c r="P63" s="472"/>
      <c r="Q63" s="472"/>
      <c r="R63" s="472"/>
      <c r="S63" s="472"/>
      <c r="T63" s="472"/>
      <c r="U63" s="472"/>
      <c r="V63" s="472"/>
      <c r="W63" s="472"/>
      <c r="X63" s="472"/>
      <c r="Y63" s="472"/>
      <c r="Z63" s="472"/>
    </row>
    <row r="64" spans="1:26" ht="15" customHeight="1">
      <c r="A64" s="472"/>
      <c r="B64" s="472"/>
      <c r="C64" s="472"/>
      <c r="D64" s="472"/>
      <c r="E64" s="575" t="s">
        <v>2157</v>
      </c>
      <c r="F64" s="589" t="s">
        <v>2158</v>
      </c>
      <c r="G64" s="670">
        <v>10000</v>
      </c>
      <c r="H64" s="472"/>
      <c r="I64" s="472"/>
      <c r="J64" s="472"/>
      <c r="K64" s="471"/>
      <c r="L64" s="472"/>
      <c r="M64" s="472"/>
      <c r="N64" s="472"/>
      <c r="O64" s="472"/>
      <c r="P64" s="472"/>
      <c r="Q64" s="472"/>
      <c r="R64" s="472"/>
      <c r="S64" s="472"/>
      <c r="T64" s="472"/>
      <c r="U64" s="472"/>
      <c r="V64" s="472"/>
      <c r="W64" s="472"/>
      <c r="X64" s="472"/>
      <c r="Y64" s="472"/>
      <c r="Z64" s="472"/>
    </row>
    <row r="65" spans="1:26" ht="15" customHeight="1">
      <c r="A65" s="472"/>
      <c r="B65" s="472"/>
      <c r="C65" s="472"/>
      <c r="D65" s="472"/>
      <c r="E65" s="603" t="s">
        <v>2252</v>
      </c>
      <c r="F65" s="474"/>
      <c r="G65" s="640">
        <f>G63*G64</f>
        <v>0</v>
      </c>
      <c r="H65" s="472"/>
      <c r="I65" s="472"/>
      <c r="J65" s="472"/>
      <c r="K65" s="471"/>
      <c r="L65" s="472"/>
      <c r="M65" s="472"/>
      <c r="N65" s="472"/>
      <c r="O65" s="472"/>
      <c r="P65" s="472"/>
      <c r="Q65" s="472"/>
      <c r="R65" s="472"/>
      <c r="S65" s="472"/>
      <c r="T65" s="472"/>
      <c r="U65" s="472"/>
      <c r="V65" s="472"/>
      <c r="W65" s="472"/>
      <c r="X65" s="472"/>
      <c r="Y65" s="472"/>
      <c r="Z65" s="472"/>
    </row>
    <row r="66" spans="1:26" ht="15" customHeight="1">
      <c r="A66" s="472"/>
      <c r="B66" s="472"/>
      <c r="C66" s="472"/>
      <c r="D66" s="472"/>
      <c r="E66" s="603"/>
      <c r="F66" s="474"/>
      <c r="G66" s="640"/>
      <c r="H66" s="472"/>
      <c r="I66" s="472"/>
      <c r="J66" s="472"/>
      <c r="K66" s="471"/>
      <c r="L66" s="472"/>
      <c r="M66" s="472"/>
      <c r="N66" s="472"/>
      <c r="O66" s="472"/>
      <c r="P66" s="472"/>
      <c r="Q66" s="472"/>
      <c r="R66" s="472"/>
      <c r="S66" s="472"/>
      <c r="T66" s="472"/>
      <c r="U66" s="472"/>
      <c r="V66" s="472"/>
      <c r="W66" s="472"/>
      <c r="X66" s="472"/>
      <c r="Y66" s="472"/>
      <c r="Z66" s="472"/>
    </row>
    <row r="67" spans="1:26" ht="15" customHeight="1">
      <c r="A67" s="472"/>
      <c r="B67" s="472"/>
      <c r="C67" s="472"/>
      <c r="D67" s="472"/>
      <c r="E67" s="531" t="s">
        <v>2254</v>
      </c>
      <c r="F67" s="472"/>
      <c r="G67" s="472" t="b">
        <f>Application!V227="Yes"</f>
        <v>0</v>
      </c>
      <c r="H67" s="472"/>
      <c r="I67" s="472"/>
      <c r="J67" s="472"/>
      <c r="K67" s="471"/>
      <c r="L67" s="472"/>
      <c r="M67" s="472"/>
      <c r="N67" s="472"/>
      <c r="O67" s="472"/>
      <c r="P67" s="472"/>
      <c r="Q67" s="472"/>
      <c r="R67" s="472"/>
      <c r="S67" s="472"/>
      <c r="T67" s="472"/>
      <c r="U67" s="472"/>
      <c r="V67" s="472"/>
      <c r="W67" s="472"/>
      <c r="X67" s="472"/>
      <c r="Y67" s="472"/>
      <c r="Z67" s="472"/>
    </row>
    <row r="68" spans="1:26" ht="15" customHeight="1">
      <c r="A68" s="472"/>
      <c r="B68" s="472"/>
      <c r="C68" s="472"/>
      <c r="D68" s="472"/>
      <c r="E68" s="531" t="s">
        <v>2255</v>
      </c>
      <c r="F68" s="472"/>
      <c r="G68" s="672">
        <f>SUMIF(Application!AK726:AK758,"Homeless",Application!G726:G758)</f>
        <v>0</v>
      </c>
      <c r="H68" s="472"/>
      <c r="I68" s="472"/>
      <c r="J68" s="472"/>
      <c r="K68" s="471"/>
      <c r="L68" s="472"/>
      <c r="M68" s="472"/>
      <c r="N68" s="472"/>
      <c r="O68" s="472"/>
      <c r="P68" s="472"/>
      <c r="Q68" s="472"/>
      <c r="R68" s="472"/>
      <c r="S68" s="472"/>
      <c r="T68" s="472"/>
      <c r="U68" s="472"/>
      <c r="V68" s="472"/>
      <c r="W68" s="472"/>
      <c r="X68" s="472"/>
      <c r="Y68" s="472"/>
      <c r="Z68" s="472"/>
    </row>
    <row r="69" spans="1:26" ht="15" customHeight="1">
      <c r="A69" s="472"/>
      <c r="B69" s="472"/>
      <c r="C69" s="472"/>
      <c r="D69" s="472"/>
      <c r="E69" s="531"/>
      <c r="F69" s="472"/>
      <c r="G69" s="472"/>
      <c r="H69" s="472"/>
      <c r="I69" s="472"/>
      <c r="J69" s="472"/>
      <c r="K69" s="471"/>
      <c r="L69" s="472"/>
      <c r="M69" s="472"/>
      <c r="N69" s="472"/>
      <c r="O69" s="472"/>
      <c r="P69" s="472"/>
      <c r="Q69" s="472"/>
      <c r="R69" s="472"/>
      <c r="S69" s="472"/>
      <c r="T69" s="472"/>
      <c r="U69" s="472"/>
      <c r="V69" s="472"/>
      <c r="W69" s="472"/>
      <c r="X69" s="472"/>
      <c r="Y69" s="472"/>
      <c r="Z69" s="472"/>
    </row>
    <row r="70" spans="1:26" ht="15" customHeight="1">
      <c r="A70" s="472"/>
      <c r="B70" s="472"/>
      <c r="C70" s="472"/>
      <c r="D70" s="472"/>
      <c r="E70" s="531" t="s">
        <v>2256</v>
      </c>
      <c r="F70" s="472"/>
      <c r="G70" s="674"/>
      <c r="H70" s="472"/>
      <c r="I70" s="472"/>
      <c r="J70" s="472"/>
      <c r="K70" s="471"/>
      <c r="L70" s="472"/>
      <c r="M70" s="472"/>
      <c r="N70" s="472"/>
      <c r="O70" s="472"/>
      <c r="P70" s="472"/>
      <c r="Q70" s="472"/>
      <c r="R70" s="472"/>
      <c r="S70" s="472"/>
      <c r="T70" s="472"/>
      <c r="U70" s="472"/>
      <c r="V70" s="472"/>
      <c r="W70" s="472"/>
      <c r="X70" s="472"/>
      <c r="Y70" s="472"/>
      <c r="Z70" s="472"/>
    </row>
    <row r="71" spans="1:26" ht="15" customHeight="1">
      <c r="A71" s="472"/>
      <c r="B71" s="472"/>
      <c r="C71" s="472"/>
      <c r="D71" s="472"/>
      <c r="E71" s="531" t="s">
        <v>2257</v>
      </c>
      <c r="F71" s="472"/>
      <c r="G71" s="674"/>
      <c r="H71" s="472"/>
      <c r="I71" s="472"/>
      <c r="J71" s="472"/>
      <c r="K71" s="471"/>
      <c r="L71" s="472"/>
      <c r="M71" s="472"/>
      <c r="N71" s="472"/>
      <c r="O71" s="472"/>
      <c r="P71" s="472"/>
      <c r="Q71" s="472"/>
      <c r="R71" s="472"/>
      <c r="S71" s="472"/>
      <c r="T71" s="472"/>
      <c r="U71" s="472"/>
      <c r="V71" s="472"/>
      <c r="W71" s="472"/>
      <c r="X71" s="472"/>
      <c r="Y71" s="472"/>
      <c r="Z71" s="472"/>
    </row>
    <row r="72" spans="1:26" ht="15" customHeight="1">
      <c r="A72" s="472"/>
      <c r="B72" s="472"/>
      <c r="C72" s="472"/>
      <c r="D72" s="472"/>
      <c r="E72" s="531" t="s">
        <v>2258</v>
      </c>
      <c r="F72" s="472"/>
      <c r="G72" s="672">
        <f>IF(G71=0,0,(G70/G71)*100000)</f>
        <v>0</v>
      </c>
      <c r="H72" s="472"/>
      <c r="I72" s="472"/>
      <c r="J72" s="472"/>
      <c r="K72" s="471"/>
      <c r="L72" s="472"/>
      <c r="M72" s="472"/>
      <c r="N72" s="472"/>
      <c r="O72" s="472"/>
      <c r="P72" s="472"/>
      <c r="Q72" s="472"/>
      <c r="R72" s="472"/>
      <c r="S72" s="472"/>
      <c r="T72" s="472"/>
      <c r="U72" s="472"/>
      <c r="V72" s="472"/>
      <c r="W72" s="472"/>
      <c r="X72" s="472"/>
      <c r="Y72" s="472"/>
      <c r="Z72" s="472"/>
    </row>
    <row r="73" spans="1:26" ht="15" customHeight="1">
      <c r="A73" s="472"/>
      <c r="B73" s="472"/>
      <c r="C73" s="472"/>
      <c r="D73" s="472"/>
      <c r="E73" s="531" t="s">
        <v>2259</v>
      </c>
      <c r="F73" s="472"/>
      <c r="G73" s="674"/>
      <c r="H73" s="472"/>
      <c r="I73" s="472"/>
      <c r="J73" s="472"/>
      <c r="K73" s="471"/>
      <c r="L73" s="472"/>
      <c r="M73" s="472"/>
      <c r="N73" s="472"/>
      <c r="O73" s="472"/>
      <c r="P73" s="472"/>
      <c r="Q73" s="472"/>
      <c r="R73" s="472"/>
      <c r="S73" s="472"/>
      <c r="T73" s="472"/>
      <c r="U73" s="472"/>
      <c r="V73" s="472"/>
      <c r="W73" s="472"/>
      <c r="X73" s="472"/>
      <c r="Y73" s="472"/>
      <c r="Z73" s="472"/>
    </row>
    <row r="74" spans="1:26" ht="15" customHeight="1">
      <c r="A74" s="472"/>
      <c r="B74" s="472"/>
      <c r="C74" s="472"/>
      <c r="D74" s="472"/>
      <c r="E74" s="531" t="s">
        <v>2262</v>
      </c>
      <c r="F74" s="472"/>
      <c r="G74" s="674"/>
      <c r="H74" s="472"/>
      <c r="I74" s="472"/>
      <c r="J74" s="472"/>
      <c r="K74" s="471"/>
      <c r="L74" s="472"/>
      <c r="M74" s="472"/>
      <c r="N74" s="472"/>
      <c r="O74" s="472"/>
      <c r="P74" s="472"/>
      <c r="Q74" s="472"/>
      <c r="R74" s="472"/>
      <c r="S74" s="472"/>
      <c r="T74" s="472"/>
      <c r="U74" s="472"/>
      <c r="V74" s="472"/>
      <c r="W74" s="472"/>
      <c r="X74" s="472"/>
      <c r="Y74" s="472"/>
      <c r="Z74" s="472"/>
    </row>
    <row r="75" spans="1:26" ht="15" customHeight="1">
      <c r="A75" s="472"/>
      <c r="B75" s="472"/>
      <c r="C75" s="472"/>
      <c r="D75" s="472"/>
      <c r="E75" s="531" t="s">
        <v>2263</v>
      </c>
      <c r="F75" s="472"/>
      <c r="G75" s="672">
        <f>IF(G74=0,0,(G73/G74)*100000)</f>
        <v>0</v>
      </c>
      <c r="H75" s="472"/>
      <c r="I75" s="472"/>
      <c r="J75" s="472"/>
      <c r="K75" s="471"/>
      <c r="L75" s="472"/>
      <c r="M75" s="472"/>
      <c r="N75" s="472"/>
      <c r="O75" s="472"/>
      <c r="P75" s="472"/>
      <c r="Q75" s="472"/>
      <c r="R75" s="472"/>
      <c r="S75" s="472"/>
      <c r="T75" s="472"/>
      <c r="U75" s="472"/>
      <c r="V75" s="472"/>
      <c r="W75" s="472"/>
      <c r="X75" s="472"/>
      <c r="Y75" s="472"/>
      <c r="Z75" s="472"/>
    </row>
    <row r="76" spans="1:26" ht="15" customHeight="1">
      <c r="A76" s="472"/>
      <c r="B76" s="472"/>
      <c r="C76" s="472"/>
      <c r="D76" s="472"/>
      <c r="E76" s="603"/>
      <c r="F76" s="474"/>
      <c r="G76" s="640"/>
      <c r="H76" s="472"/>
      <c r="I76" s="472"/>
      <c r="J76" s="472"/>
      <c r="K76" s="471"/>
      <c r="L76" s="472"/>
      <c r="M76" s="472"/>
      <c r="N76" s="472"/>
      <c r="O76" s="472"/>
      <c r="P76" s="472"/>
      <c r="Q76" s="472"/>
      <c r="R76" s="472"/>
      <c r="S76" s="472"/>
      <c r="T76" s="472"/>
      <c r="U76" s="472"/>
      <c r="V76" s="472"/>
      <c r="W76" s="472"/>
      <c r="X76" s="472"/>
      <c r="Y76" s="472"/>
      <c r="Z76" s="472"/>
    </row>
    <row r="77" spans="1:26" ht="15" customHeight="1">
      <c r="A77" s="472"/>
      <c r="B77" s="472"/>
      <c r="C77" s="472"/>
      <c r="D77" s="472"/>
      <c r="E77" s="575" t="s">
        <v>2247</v>
      </c>
      <c r="F77" s="472"/>
      <c r="G77" s="576">
        <f>IF(OR(G75&gt;G72,G71&lt;100000),G75*G68,G72*G68)</f>
        <v>0</v>
      </c>
      <c r="H77" s="472"/>
      <c r="I77" s="472"/>
      <c r="J77" s="472"/>
      <c r="K77" s="471"/>
      <c r="L77" s="472"/>
      <c r="M77" s="472"/>
      <c r="N77" s="472"/>
      <c r="O77" s="472"/>
      <c r="P77" s="472"/>
      <c r="Q77" s="472"/>
      <c r="R77" s="472"/>
      <c r="S77" s="472"/>
      <c r="T77" s="472"/>
      <c r="U77" s="472"/>
      <c r="V77" s="472"/>
      <c r="W77" s="472"/>
      <c r="X77" s="472"/>
      <c r="Y77" s="472"/>
      <c r="Z77" s="472"/>
    </row>
    <row r="78" spans="1:26" ht="15" customHeight="1">
      <c r="A78" s="472"/>
      <c r="B78" s="472"/>
      <c r="C78" s="472"/>
      <c r="D78" s="472"/>
      <c r="E78" s="575" t="s">
        <v>2157</v>
      </c>
      <c r="F78" s="589" t="s">
        <v>2158</v>
      </c>
      <c r="G78" s="670">
        <v>100</v>
      </c>
      <c r="H78" s="472"/>
      <c r="I78" s="472"/>
      <c r="J78" s="472"/>
      <c r="K78" s="471"/>
      <c r="L78" s="472"/>
      <c r="M78" s="472"/>
      <c r="N78" s="472"/>
      <c r="O78" s="472"/>
      <c r="P78" s="472"/>
      <c r="Q78" s="472"/>
      <c r="R78" s="472"/>
      <c r="S78" s="472"/>
      <c r="T78" s="472"/>
      <c r="U78" s="472"/>
      <c r="V78" s="472"/>
      <c r="W78" s="472"/>
      <c r="X78" s="472"/>
      <c r="Y78" s="472"/>
      <c r="Z78" s="472"/>
    </row>
    <row r="79" spans="1:26" ht="15" customHeight="1">
      <c r="A79" s="472"/>
      <c r="B79" s="472"/>
      <c r="C79" s="472"/>
      <c r="D79" s="472"/>
      <c r="E79" s="603" t="s">
        <v>2252</v>
      </c>
      <c r="F79" s="474"/>
      <c r="G79" s="640">
        <f>G77*G78</f>
        <v>0</v>
      </c>
      <c r="H79" s="472"/>
      <c r="I79" s="472"/>
      <c r="J79" s="472"/>
      <c r="K79" s="471"/>
      <c r="L79" s="472"/>
      <c r="M79" s="472"/>
      <c r="N79" s="472"/>
      <c r="O79" s="472"/>
      <c r="P79" s="472"/>
      <c r="Q79" s="472"/>
      <c r="R79" s="472"/>
      <c r="S79" s="472"/>
      <c r="T79" s="472"/>
      <c r="U79" s="472"/>
      <c r="V79" s="472"/>
      <c r="W79" s="472"/>
      <c r="X79" s="472"/>
      <c r="Y79" s="472"/>
      <c r="Z79" s="472"/>
    </row>
    <row r="80" spans="1:26" ht="15" customHeight="1">
      <c r="A80" s="472"/>
      <c r="B80" s="472"/>
      <c r="C80" s="472"/>
      <c r="D80" s="472"/>
      <c r="E80" s="603"/>
      <c r="F80" s="474"/>
      <c r="G80" s="640"/>
      <c r="H80" s="472"/>
      <c r="I80" s="472"/>
      <c r="J80" s="472"/>
      <c r="K80" s="471"/>
      <c r="L80" s="472"/>
      <c r="M80" s="472"/>
      <c r="N80" s="472"/>
      <c r="O80" s="472"/>
      <c r="P80" s="472"/>
      <c r="Q80" s="472"/>
      <c r="R80" s="472"/>
      <c r="S80" s="472"/>
      <c r="T80" s="472"/>
      <c r="U80" s="472"/>
      <c r="V80" s="472"/>
      <c r="W80" s="472"/>
      <c r="X80" s="472"/>
      <c r="Y80" s="472"/>
      <c r="Z80" s="472"/>
    </row>
    <row r="81" spans="1:26" ht="15" customHeight="1">
      <c r="A81" s="472"/>
      <c r="B81" s="535" t="str">
        <f>B14&amp;": "&amp;B15</f>
        <v>D. Location Benefit: (i) Resource Area Benefit</v>
      </c>
      <c r="C81" s="536"/>
      <c r="D81" s="536"/>
      <c r="E81" s="536"/>
      <c r="F81" s="536"/>
      <c r="G81" s="536"/>
      <c r="H81" s="536"/>
      <c r="I81" s="537"/>
      <c r="J81" s="472"/>
      <c r="K81" s="471"/>
      <c r="L81" s="472"/>
      <c r="M81" s="472"/>
      <c r="N81" s="472"/>
      <c r="O81" s="472"/>
      <c r="P81" s="472"/>
      <c r="Q81" s="472"/>
      <c r="R81" s="472"/>
      <c r="S81" s="472"/>
      <c r="T81" s="472"/>
      <c r="U81" s="472"/>
      <c r="V81" s="472"/>
      <c r="W81" s="472"/>
      <c r="X81" s="472"/>
      <c r="Y81" s="472"/>
      <c r="Z81" s="472"/>
    </row>
    <row r="82" spans="1:26" ht="15" customHeight="1">
      <c r="A82" s="472"/>
      <c r="B82" s="472"/>
      <c r="C82" s="472"/>
      <c r="D82" s="472"/>
      <c r="E82" s="472"/>
      <c r="F82" s="472"/>
      <c r="G82" s="472"/>
      <c r="H82" s="472"/>
      <c r="I82" s="472"/>
      <c r="J82" s="472"/>
      <c r="K82" s="471"/>
      <c r="L82" s="472"/>
      <c r="M82" s="472"/>
      <c r="N82" s="472"/>
      <c r="O82" s="472"/>
      <c r="P82" s="472"/>
      <c r="Q82" s="472"/>
      <c r="R82" s="472"/>
      <c r="S82" s="472"/>
      <c r="T82" s="472"/>
      <c r="U82" s="472"/>
      <c r="V82" s="472"/>
      <c r="W82" s="472"/>
      <c r="X82" s="472"/>
      <c r="Y82" s="472"/>
      <c r="Z82" s="472"/>
    </row>
    <row r="83" spans="1:26" ht="15" customHeight="1">
      <c r="A83" s="472"/>
      <c r="B83" s="472"/>
      <c r="C83" s="677" t="s">
        <v>2265</v>
      </c>
      <c r="D83" s="472"/>
      <c r="E83" s="472"/>
      <c r="F83" s="472"/>
      <c r="G83" s="678"/>
      <c r="H83" s="472"/>
      <c r="I83" s="472"/>
      <c r="J83" s="472"/>
      <c r="K83" s="471"/>
      <c r="L83" s="1486" t="s">
        <v>958</v>
      </c>
      <c r="M83" s="1192"/>
      <c r="N83" s="679">
        <v>30000</v>
      </c>
      <c r="O83" s="472"/>
      <c r="P83" s="472"/>
      <c r="Q83" s="472"/>
      <c r="R83" s="472"/>
      <c r="S83" s="472"/>
      <c r="T83" s="472"/>
      <c r="U83" s="472"/>
      <c r="V83" s="472"/>
      <c r="W83" s="472"/>
      <c r="X83" s="472"/>
      <c r="Y83" s="472"/>
      <c r="Z83" s="472"/>
    </row>
    <row r="84" spans="1:26" ht="15" customHeight="1">
      <c r="A84" s="472"/>
      <c r="B84" s="472"/>
      <c r="C84" s="677" t="s">
        <v>2266</v>
      </c>
      <c r="D84" s="472"/>
      <c r="E84" s="472"/>
      <c r="F84" s="472"/>
      <c r="G84" s="629" t="str">
        <f>IF(Application!D211="Large Family","Yes","No")</f>
        <v>No</v>
      </c>
      <c r="H84" s="472"/>
      <c r="I84" s="472"/>
      <c r="J84" s="472"/>
      <c r="K84" s="471"/>
      <c r="L84" s="1487" t="s">
        <v>964</v>
      </c>
      <c r="M84" s="943"/>
      <c r="N84" s="680">
        <v>20000</v>
      </c>
      <c r="O84" s="472"/>
      <c r="P84" s="472"/>
      <c r="Q84" s="472"/>
      <c r="R84" s="472"/>
      <c r="S84" s="472"/>
      <c r="T84" s="472"/>
      <c r="U84" s="472"/>
      <c r="V84" s="472"/>
      <c r="W84" s="472"/>
      <c r="X84" s="472"/>
      <c r="Y84" s="472"/>
      <c r="Z84" s="472"/>
    </row>
    <row r="85" spans="1:26" ht="15" customHeight="1">
      <c r="A85" s="472"/>
      <c r="B85" s="472"/>
      <c r="C85" s="677" t="s">
        <v>2267</v>
      </c>
      <c r="D85" s="472"/>
      <c r="E85" s="472"/>
      <c r="F85" s="472"/>
      <c r="G85" s="678"/>
      <c r="H85" s="472"/>
      <c r="I85" s="472"/>
      <c r="J85" s="472"/>
      <c r="K85" s="471"/>
      <c r="L85" s="1488" t="s">
        <v>974</v>
      </c>
      <c r="M85" s="1190"/>
      <c r="N85" s="681">
        <v>10000</v>
      </c>
      <c r="O85" s="472"/>
      <c r="P85" s="472"/>
      <c r="Q85" s="472"/>
      <c r="R85" s="472"/>
      <c r="S85" s="472"/>
      <c r="T85" s="472"/>
      <c r="U85" s="472"/>
      <c r="V85" s="472"/>
      <c r="W85" s="472"/>
      <c r="X85" s="472"/>
      <c r="Y85" s="472"/>
      <c r="Z85" s="472"/>
    </row>
    <row r="86" spans="1:26" ht="15" customHeight="1">
      <c r="A86" s="472"/>
      <c r="B86" s="472"/>
      <c r="C86" s="677" t="s">
        <v>2269</v>
      </c>
      <c r="D86" s="472"/>
      <c r="E86" s="472"/>
      <c r="F86" s="472"/>
      <c r="G86" s="472" t="str">
        <f>Application!T193</f>
        <v>High Resource</v>
      </c>
      <c r="H86" s="472"/>
      <c r="I86" s="472"/>
      <c r="J86" s="472"/>
      <c r="K86" s="471"/>
      <c r="L86" s="472"/>
      <c r="M86" s="472"/>
      <c r="N86" s="472"/>
      <c r="O86" s="472"/>
      <c r="P86" s="472"/>
      <c r="Q86" s="472"/>
      <c r="R86" s="472"/>
      <c r="S86" s="472"/>
      <c r="T86" s="472"/>
      <c r="U86" s="472"/>
      <c r="V86" s="472"/>
      <c r="W86" s="472"/>
      <c r="X86" s="472"/>
      <c r="Y86" s="472"/>
      <c r="Z86" s="472"/>
    </row>
    <row r="87" spans="1:26" ht="15" customHeight="1">
      <c r="A87" s="472"/>
      <c r="B87" s="472"/>
      <c r="C87" s="1482" t="s">
        <v>2271</v>
      </c>
      <c r="D87" s="893"/>
      <c r="E87" s="893"/>
      <c r="F87" s="893"/>
      <c r="G87" s="678"/>
      <c r="H87" s="472"/>
      <c r="I87" s="472"/>
      <c r="J87" s="472"/>
      <c r="K87" s="471"/>
      <c r="L87" s="682" t="str">
        <f>'Points System'!H651</f>
        <v>(i)</v>
      </c>
      <c r="M87" s="1489" t="s">
        <v>2273</v>
      </c>
      <c r="N87" s="1178"/>
      <c r="O87" s="472"/>
      <c r="P87" s="472"/>
      <c r="Q87" s="472"/>
      <c r="R87" s="472"/>
      <c r="S87" s="472"/>
      <c r="T87" s="472"/>
      <c r="U87" s="472"/>
      <c r="V87" s="472"/>
      <c r="W87" s="472"/>
      <c r="X87" s="472"/>
      <c r="Y87" s="472"/>
      <c r="Z87" s="472"/>
    </row>
    <row r="88" spans="1:26" ht="15" customHeight="1">
      <c r="A88" s="472"/>
      <c r="B88" s="472"/>
      <c r="C88" s="893"/>
      <c r="D88" s="893"/>
      <c r="E88" s="893"/>
      <c r="F88" s="893"/>
      <c r="G88" s="472"/>
      <c r="H88" s="472"/>
      <c r="I88" s="472"/>
      <c r="J88" s="472"/>
      <c r="K88" s="471"/>
      <c r="L88" s="683" t="str">
        <f>'Points System'!H663</f>
        <v>(i)</v>
      </c>
      <c r="M88" s="1481" t="s">
        <v>2274</v>
      </c>
      <c r="N88" s="1149"/>
      <c r="O88" s="472"/>
      <c r="P88" s="472"/>
      <c r="Q88" s="472"/>
      <c r="R88" s="472"/>
      <c r="S88" s="472"/>
      <c r="T88" s="472"/>
      <c r="U88" s="472"/>
      <c r="V88" s="472"/>
      <c r="W88" s="472"/>
      <c r="X88" s="472"/>
      <c r="Y88" s="472"/>
      <c r="Z88" s="472"/>
    </row>
    <row r="89" spans="1:26" ht="15" customHeight="1">
      <c r="A89" s="472"/>
      <c r="B89" s="472"/>
      <c r="C89" s="677"/>
      <c r="D89" s="472"/>
      <c r="E89" s="472"/>
      <c r="F89" s="472"/>
      <c r="G89" s="472"/>
      <c r="H89" s="472"/>
      <c r="I89" s="472"/>
      <c r="J89" s="472"/>
      <c r="K89" s="471"/>
      <c r="L89" s="683" t="str">
        <f>'Points System'!H698</f>
        <v>(iv)</v>
      </c>
      <c r="M89" s="1481" t="s">
        <v>2275</v>
      </c>
      <c r="N89" s="1149"/>
      <c r="O89" s="472"/>
      <c r="P89" s="472"/>
      <c r="Q89" s="472"/>
      <c r="R89" s="472"/>
      <c r="S89" s="472"/>
      <c r="T89" s="472"/>
      <c r="U89" s="472"/>
      <c r="V89" s="472"/>
      <c r="W89" s="472"/>
      <c r="X89" s="472"/>
      <c r="Y89" s="472"/>
      <c r="Z89" s="472"/>
    </row>
    <row r="90" spans="1:26" ht="15" customHeight="1">
      <c r="A90" s="472"/>
      <c r="B90" s="472"/>
      <c r="C90" s="472"/>
      <c r="D90" s="472"/>
      <c r="E90" s="531" t="s">
        <v>2276</v>
      </c>
      <c r="F90" s="472"/>
      <c r="G90" s="656" t="b">
        <f>OR(AND(COUNTIFS(G84:G85,"Yes")&gt;=1,G83="Yes"),G87="Yes")</f>
        <v>0</v>
      </c>
      <c r="H90" s="472"/>
      <c r="I90" s="472"/>
      <c r="J90" s="472"/>
      <c r="K90" s="471"/>
      <c r="L90" s="683" t="str">
        <f>IF(OR('Points System'!H725="(ii)",'Points System'!H725="(i)"),"(i)","N/A")</f>
        <v>(i)</v>
      </c>
      <c r="M90" s="1481" t="s">
        <v>2279</v>
      </c>
      <c r="N90" s="1149"/>
      <c r="O90" s="472"/>
      <c r="P90" s="472"/>
      <c r="Q90" s="472"/>
      <c r="R90" s="472"/>
      <c r="S90" s="472"/>
      <c r="T90" s="472"/>
      <c r="U90" s="472"/>
      <c r="V90" s="472"/>
      <c r="W90" s="472"/>
      <c r="X90" s="472"/>
      <c r="Y90" s="472"/>
      <c r="Z90" s="472"/>
    </row>
    <row r="91" spans="1:26" ht="15" customHeight="1">
      <c r="A91" s="472"/>
      <c r="B91" s="472"/>
      <c r="C91" s="472"/>
      <c r="D91" s="472"/>
      <c r="E91" s="531"/>
      <c r="F91" s="472"/>
      <c r="G91" s="656"/>
      <c r="H91" s="472"/>
      <c r="I91" s="472"/>
      <c r="J91" s="472"/>
      <c r="K91" s="471"/>
      <c r="L91" s="683" t="str">
        <f>'Points System'!H739</f>
        <v>N/A</v>
      </c>
      <c r="M91" s="1481" t="s">
        <v>2280</v>
      </c>
      <c r="N91" s="1149"/>
      <c r="O91" s="472"/>
      <c r="P91" s="472"/>
      <c r="Q91" s="472"/>
      <c r="R91" s="472"/>
      <c r="S91" s="472"/>
      <c r="T91" s="472"/>
      <c r="U91" s="472"/>
      <c r="V91" s="472"/>
      <c r="W91" s="472"/>
      <c r="X91" s="472"/>
      <c r="Y91" s="472"/>
      <c r="Z91" s="472"/>
    </row>
    <row r="92" spans="1:26" ht="15" customHeight="1">
      <c r="A92" s="472"/>
      <c r="B92" s="472"/>
      <c r="C92" s="472"/>
      <c r="D92" s="472"/>
      <c r="E92" s="531" t="s">
        <v>2157</v>
      </c>
      <c r="F92" s="472"/>
      <c r="G92" s="633">
        <f t="array" ref="G92">IFERROR(IF($G$87="Yes",30000,INDEX(N83:N85,MATCH(LEFT(G86,17),L83:L85,0))),0)</f>
        <v>20000</v>
      </c>
      <c r="H92" s="472"/>
      <c r="I92" s="472"/>
      <c r="J92" s="472"/>
      <c r="K92" s="471"/>
      <c r="L92" s="683" t="str">
        <f>'Points System'!H751</f>
        <v>N/A</v>
      </c>
      <c r="M92" s="1481" t="s">
        <v>2281</v>
      </c>
      <c r="N92" s="1149"/>
      <c r="O92" s="472"/>
      <c r="P92" s="472"/>
      <c r="Q92" s="472"/>
      <c r="R92" s="472"/>
      <c r="S92" s="472"/>
      <c r="T92" s="472"/>
      <c r="U92" s="472"/>
      <c r="V92" s="472"/>
      <c r="W92" s="472"/>
      <c r="X92" s="472"/>
      <c r="Y92" s="472"/>
      <c r="Z92" s="472"/>
    </row>
    <row r="93" spans="1:26" ht="15" customHeight="1">
      <c r="A93" s="472"/>
      <c r="B93" s="472"/>
      <c r="C93" s="472"/>
      <c r="D93" s="472"/>
      <c r="E93" s="531" t="str">
        <f>E110</f>
        <v>Bedroom-Adjusted Low-Income Units</v>
      </c>
      <c r="F93" s="589" t="s">
        <v>2158</v>
      </c>
      <c r="G93" s="576">
        <f>G29</f>
        <v>271.5</v>
      </c>
      <c r="H93" s="472"/>
      <c r="I93" s="472"/>
      <c r="J93" s="472"/>
      <c r="K93" s="471"/>
      <c r="L93" s="683" t="str">
        <f>'Points System'!H767</f>
        <v>(ii)</v>
      </c>
      <c r="M93" s="1481" t="s">
        <v>2283</v>
      </c>
      <c r="N93" s="1149"/>
      <c r="O93" s="472"/>
      <c r="P93" s="472"/>
      <c r="Q93" s="472"/>
      <c r="R93" s="472"/>
      <c r="S93" s="472"/>
      <c r="T93" s="472"/>
      <c r="U93" s="472"/>
      <c r="V93" s="472"/>
      <c r="W93" s="472"/>
      <c r="X93" s="472"/>
      <c r="Y93" s="472"/>
      <c r="Z93" s="472"/>
    </row>
    <row r="94" spans="1:26" ht="15" customHeight="1">
      <c r="A94" s="472"/>
      <c r="B94" s="472"/>
      <c r="C94" s="472"/>
      <c r="D94" s="474"/>
      <c r="E94" s="603" t="s">
        <v>2284</v>
      </c>
      <c r="F94" s="474"/>
      <c r="G94" s="640">
        <f>G93*G92*G90</f>
        <v>0</v>
      </c>
      <c r="H94" s="472"/>
      <c r="I94" s="472"/>
      <c r="J94" s="472"/>
      <c r="K94" s="471"/>
      <c r="L94" s="690" t="str">
        <f>'Points System'!H779</f>
        <v>(i)</v>
      </c>
      <c r="M94" s="1484" t="s">
        <v>2287</v>
      </c>
      <c r="N94" s="1155"/>
      <c r="O94" s="472"/>
      <c r="P94" s="472"/>
      <c r="Q94" s="472"/>
      <c r="R94" s="472"/>
      <c r="S94" s="472"/>
      <c r="T94" s="472"/>
      <c r="U94" s="472"/>
      <c r="V94" s="472"/>
      <c r="W94" s="472"/>
      <c r="X94" s="472"/>
      <c r="Y94" s="472"/>
      <c r="Z94" s="472"/>
    </row>
    <row r="95" spans="1:26" ht="15" customHeight="1">
      <c r="A95" s="472"/>
      <c r="B95" s="472"/>
      <c r="C95" s="472"/>
      <c r="D95" s="472"/>
      <c r="E95" s="472"/>
      <c r="F95" s="472"/>
      <c r="G95" s="472"/>
      <c r="H95" s="472"/>
      <c r="I95" s="472"/>
      <c r="J95" s="472"/>
      <c r="K95" s="471"/>
      <c r="L95" s="472"/>
      <c r="M95" s="472"/>
      <c r="N95" s="472"/>
      <c r="O95" s="472"/>
      <c r="P95" s="472"/>
      <c r="Q95" s="472"/>
      <c r="R95" s="472"/>
      <c r="S95" s="472"/>
      <c r="T95" s="472"/>
      <c r="U95" s="472"/>
      <c r="V95" s="472"/>
      <c r="W95" s="472"/>
      <c r="X95" s="472"/>
      <c r="Y95" s="472"/>
      <c r="Z95" s="472"/>
    </row>
    <row r="96" spans="1:26" ht="15" customHeight="1">
      <c r="A96" s="472"/>
      <c r="B96" s="535" t="str">
        <f>B14&amp;": "&amp;B16</f>
        <v>D. Location Benefit: (ii) Community Revitalization Benefit</v>
      </c>
      <c r="C96" s="536"/>
      <c r="D96" s="536"/>
      <c r="E96" s="536"/>
      <c r="F96" s="536"/>
      <c r="G96" s="536"/>
      <c r="H96" s="536"/>
      <c r="I96" s="537"/>
      <c r="J96" s="472"/>
      <c r="K96" s="471"/>
      <c r="L96" s="472"/>
      <c r="M96" s="472"/>
      <c r="N96" s="472"/>
      <c r="O96" s="472"/>
      <c r="P96" s="472"/>
      <c r="Q96" s="472"/>
      <c r="R96" s="472"/>
      <c r="S96" s="472"/>
      <c r="T96" s="472"/>
      <c r="U96" s="472"/>
      <c r="V96" s="472"/>
      <c r="W96" s="472"/>
      <c r="X96" s="472"/>
      <c r="Y96" s="472"/>
      <c r="Z96" s="472"/>
    </row>
    <row r="97" spans="1:26" ht="15" customHeight="1">
      <c r="A97" s="472"/>
      <c r="B97" s="472"/>
      <c r="C97" s="472"/>
      <c r="D97" s="472"/>
      <c r="E97" s="472"/>
      <c r="F97" s="472"/>
      <c r="G97" s="472"/>
      <c r="H97" s="472"/>
      <c r="I97" s="472"/>
      <c r="J97" s="472"/>
      <c r="K97" s="471"/>
      <c r="L97" s="472"/>
      <c r="M97" s="472"/>
      <c r="N97" s="472"/>
      <c r="O97" s="472"/>
      <c r="P97" s="472"/>
      <c r="Q97" s="472"/>
      <c r="R97" s="472"/>
      <c r="S97" s="472"/>
      <c r="T97" s="472"/>
      <c r="U97" s="472"/>
      <c r="V97" s="472"/>
      <c r="W97" s="472"/>
      <c r="X97" s="472"/>
      <c r="Y97" s="472"/>
      <c r="Z97" s="472"/>
    </row>
    <row r="98" spans="1:26" ht="15" customHeight="1">
      <c r="A98" s="472"/>
      <c r="B98" s="472"/>
      <c r="C98" s="472"/>
      <c r="D98" s="472"/>
      <c r="E98" s="472"/>
      <c r="F98" s="531" t="s">
        <v>2288</v>
      </c>
      <c r="G98" s="678"/>
      <c r="H98" s="472"/>
      <c r="I98" s="472"/>
      <c r="J98" s="472"/>
      <c r="K98" s="471"/>
      <c r="L98" s="472"/>
      <c r="M98" s="472"/>
      <c r="N98" s="472"/>
      <c r="O98" s="472"/>
      <c r="P98" s="472"/>
      <c r="Q98" s="472"/>
      <c r="R98" s="472"/>
      <c r="S98" s="472"/>
      <c r="T98" s="472"/>
      <c r="U98" s="472"/>
      <c r="V98" s="472"/>
      <c r="W98" s="472"/>
      <c r="X98" s="472"/>
      <c r="Y98" s="472"/>
      <c r="Z98" s="472"/>
    </row>
    <row r="99" spans="1:26" ht="15" customHeight="1">
      <c r="A99" s="472"/>
      <c r="B99" s="472"/>
      <c r="C99" s="472"/>
      <c r="D99" s="472"/>
      <c r="E99" s="472"/>
      <c r="F99" s="531"/>
      <c r="G99" s="472"/>
      <c r="H99" s="472"/>
      <c r="I99" s="472"/>
      <c r="J99" s="472"/>
      <c r="K99" s="471"/>
      <c r="L99" s="472"/>
      <c r="M99" s="472"/>
      <c r="N99" s="472"/>
      <c r="O99" s="472"/>
      <c r="P99" s="472"/>
      <c r="Q99" s="472"/>
      <c r="R99" s="472"/>
      <c r="S99" s="472"/>
      <c r="T99" s="472"/>
      <c r="U99" s="472"/>
      <c r="V99" s="472"/>
      <c r="W99" s="472"/>
      <c r="X99" s="472"/>
      <c r="Y99" s="472"/>
      <c r="Z99" s="472"/>
    </row>
    <row r="100" spans="1:26" ht="15" customHeight="1">
      <c r="A100" s="472"/>
      <c r="B100" s="472"/>
      <c r="C100" s="472"/>
      <c r="D100" s="472"/>
      <c r="E100" s="531" t="s">
        <v>2276</v>
      </c>
      <c r="F100" s="472"/>
      <c r="G100" s="656" t="b">
        <f>G98="Yes"</f>
        <v>0</v>
      </c>
      <c r="H100" s="472"/>
      <c r="I100" s="472"/>
      <c r="J100" s="472"/>
      <c r="K100" s="471"/>
      <c r="L100" s="472"/>
      <c r="M100" s="472"/>
      <c r="N100" s="472"/>
      <c r="O100" s="472"/>
      <c r="P100" s="472"/>
      <c r="Q100" s="472"/>
      <c r="R100" s="472"/>
      <c r="S100" s="472"/>
      <c r="T100" s="472"/>
      <c r="U100" s="472"/>
      <c r="V100" s="472"/>
      <c r="W100" s="472"/>
      <c r="X100" s="472"/>
      <c r="Y100" s="472"/>
      <c r="Z100" s="472"/>
    </row>
    <row r="101" spans="1:26" ht="15" customHeight="1">
      <c r="A101" s="472"/>
      <c r="B101" s="472"/>
      <c r="C101" s="472"/>
      <c r="D101" s="472"/>
      <c r="E101" s="472"/>
      <c r="F101" s="472"/>
      <c r="G101" s="472"/>
      <c r="H101" s="472"/>
      <c r="I101" s="472"/>
      <c r="J101" s="472"/>
      <c r="K101" s="471"/>
      <c r="L101" s="472"/>
      <c r="M101" s="472"/>
      <c r="N101" s="472"/>
      <c r="O101" s="472"/>
      <c r="P101" s="472"/>
      <c r="Q101" s="472"/>
      <c r="R101" s="472"/>
      <c r="S101" s="472"/>
      <c r="T101" s="472"/>
      <c r="U101" s="472"/>
      <c r="V101" s="472"/>
      <c r="W101" s="472"/>
      <c r="X101" s="472"/>
      <c r="Y101" s="472"/>
      <c r="Z101" s="472"/>
    </row>
    <row r="102" spans="1:26" ht="15" customHeight="1">
      <c r="A102" s="472"/>
      <c r="B102" s="472"/>
      <c r="C102" s="472"/>
      <c r="D102" s="472"/>
      <c r="E102" s="531" t="str">
        <f>E110</f>
        <v>Bedroom-Adjusted Low-Income Units</v>
      </c>
      <c r="F102" s="472"/>
      <c r="G102" s="576">
        <f>G29</f>
        <v>271.5</v>
      </c>
      <c r="H102" s="472"/>
      <c r="I102" s="472"/>
      <c r="J102" s="472"/>
      <c r="K102" s="471"/>
      <c r="L102" s="472"/>
      <c r="M102" s="472"/>
      <c r="N102" s="472"/>
      <c r="O102" s="472"/>
      <c r="P102" s="472"/>
      <c r="Q102" s="472"/>
      <c r="R102" s="472"/>
      <c r="S102" s="472"/>
      <c r="T102" s="472"/>
      <c r="U102" s="472"/>
      <c r="V102" s="472"/>
      <c r="W102" s="472"/>
      <c r="X102" s="472"/>
      <c r="Y102" s="472"/>
      <c r="Z102" s="472"/>
    </row>
    <row r="103" spans="1:26" ht="15" customHeight="1">
      <c r="A103" s="472"/>
      <c r="B103" s="472"/>
      <c r="C103" s="472"/>
      <c r="D103" s="472"/>
      <c r="E103" s="531" t="s">
        <v>2157</v>
      </c>
      <c r="F103" s="589" t="s">
        <v>2158</v>
      </c>
      <c r="G103" s="670">
        <v>20000</v>
      </c>
      <c r="H103" s="472"/>
      <c r="I103" s="472"/>
      <c r="J103" s="472"/>
      <c r="K103" s="471"/>
      <c r="L103" s="472"/>
      <c r="M103" s="472"/>
      <c r="N103" s="472"/>
      <c r="O103" s="472"/>
      <c r="P103" s="472"/>
      <c r="Q103" s="472"/>
      <c r="R103" s="472"/>
      <c r="S103" s="472"/>
      <c r="T103" s="472"/>
      <c r="U103" s="472"/>
      <c r="V103" s="472"/>
      <c r="W103" s="472"/>
      <c r="X103" s="472"/>
      <c r="Y103" s="472"/>
      <c r="Z103" s="472"/>
    </row>
    <row r="104" spans="1:26" ht="15" customHeight="1">
      <c r="A104" s="472"/>
      <c r="B104" s="472"/>
      <c r="C104" s="472"/>
      <c r="D104" s="472"/>
      <c r="E104" s="603" t="s">
        <v>2289</v>
      </c>
      <c r="F104" s="474"/>
      <c r="G104" s="640">
        <f>G100*G103*G102</f>
        <v>0</v>
      </c>
      <c r="H104" s="472"/>
      <c r="I104" s="472"/>
      <c r="J104" s="472"/>
      <c r="K104" s="471"/>
      <c r="L104" s="472"/>
      <c r="M104" s="472"/>
      <c r="N104" s="472"/>
      <c r="O104" s="472"/>
      <c r="P104" s="472"/>
      <c r="Q104" s="472"/>
      <c r="R104" s="472"/>
      <c r="S104" s="472"/>
      <c r="T104" s="472"/>
      <c r="U104" s="472"/>
      <c r="V104" s="472"/>
      <c r="W104" s="472"/>
      <c r="X104" s="472"/>
      <c r="Y104" s="472"/>
      <c r="Z104" s="472"/>
    </row>
    <row r="105" spans="1:26" ht="15" customHeight="1">
      <c r="A105" s="472"/>
      <c r="B105" s="472"/>
      <c r="C105" s="472"/>
      <c r="D105" s="472"/>
      <c r="E105" s="472"/>
      <c r="F105" s="472"/>
      <c r="G105" s="472"/>
      <c r="H105" s="472"/>
      <c r="I105" s="472"/>
      <c r="J105" s="472"/>
      <c r="K105" s="471"/>
      <c r="L105" s="472"/>
      <c r="M105" s="472"/>
      <c r="N105" s="472"/>
      <c r="O105" s="472"/>
      <c r="P105" s="472"/>
      <c r="Q105" s="472"/>
      <c r="R105" s="472"/>
      <c r="S105" s="472"/>
      <c r="T105" s="472"/>
      <c r="U105" s="472"/>
      <c r="V105" s="472"/>
      <c r="W105" s="472"/>
      <c r="X105" s="472"/>
      <c r="Y105" s="472"/>
      <c r="Z105" s="472"/>
    </row>
    <row r="106" spans="1:26" ht="15" customHeight="1">
      <c r="A106" s="472"/>
      <c r="B106" s="535" t="str">
        <f>B14&amp;": "&amp;B17</f>
        <v>D. Location Benefit: (iii) Transit/Walkability Benefit</v>
      </c>
      <c r="C106" s="536"/>
      <c r="D106" s="536"/>
      <c r="E106" s="536"/>
      <c r="F106" s="536"/>
      <c r="G106" s="536"/>
      <c r="H106" s="536"/>
      <c r="I106" s="537"/>
      <c r="J106" s="472"/>
      <c r="K106" s="471"/>
      <c r="L106" s="472"/>
      <c r="M106" s="472"/>
      <c r="N106" s="472"/>
      <c r="O106" s="472"/>
      <c r="P106" s="472"/>
      <c r="Q106" s="472"/>
      <c r="R106" s="472"/>
      <c r="S106" s="472"/>
      <c r="T106" s="472"/>
      <c r="U106" s="472"/>
      <c r="V106" s="472"/>
      <c r="W106" s="472"/>
      <c r="X106" s="472"/>
      <c r="Y106" s="472"/>
      <c r="Z106" s="472"/>
    </row>
    <row r="107" spans="1:26" ht="15" customHeight="1">
      <c r="A107" s="472"/>
      <c r="B107" s="472"/>
      <c r="C107" s="472"/>
      <c r="D107" s="472"/>
      <c r="E107" s="472"/>
      <c r="F107" s="472"/>
      <c r="G107" s="472"/>
      <c r="H107" s="472"/>
      <c r="I107" s="472"/>
      <c r="J107" s="472"/>
      <c r="K107" s="471"/>
      <c r="L107" s="472"/>
      <c r="M107" s="472"/>
      <c r="N107" s="472"/>
      <c r="O107" s="472"/>
      <c r="P107" s="472"/>
      <c r="Q107" s="472"/>
      <c r="R107" s="472"/>
      <c r="S107" s="472"/>
      <c r="T107" s="472"/>
      <c r="U107" s="472"/>
      <c r="V107" s="472"/>
      <c r="W107" s="472"/>
      <c r="X107" s="472"/>
      <c r="Y107" s="472"/>
      <c r="Z107" s="472"/>
    </row>
    <row r="108" spans="1:26" ht="15" customHeight="1">
      <c r="A108" s="472"/>
      <c r="B108" s="472"/>
      <c r="C108" s="472"/>
      <c r="D108" s="472"/>
      <c r="E108" s="531" t="s">
        <v>2291</v>
      </c>
      <c r="F108" s="472"/>
      <c r="G108" s="576">
        <f>VLOOKUP('Points System'!$H$619,'Points System'!$AO$599:$AP$604,2,FALSE)</f>
        <v>4</v>
      </c>
      <c r="H108" s="472"/>
      <c r="I108" s="472"/>
      <c r="J108" s="472"/>
      <c r="K108" s="471"/>
      <c r="L108" s="472"/>
      <c r="M108" s="472"/>
      <c r="N108" s="472"/>
      <c r="O108" s="472"/>
      <c r="P108" s="472"/>
      <c r="Q108" s="472"/>
      <c r="R108" s="472"/>
      <c r="S108" s="472"/>
      <c r="T108" s="472"/>
      <c r="U108" s="472"/>
      <c r="V108" s="472"/>
      <c r="W108" s="472"/>
      <c r="X108" s="472"/>
      <c r="Y108" s="472"/>
      <c r="Z108" s="472"/>
    </row>
    <row r="109" spans="1:26" ht="15" customHeight="1">
      <c r="A109" s="472"/>
      <c r="B109" s="472"/>
      <c r="C109" s="472"/>
      <c r="D109" s="472"/>
      <c r="E109" s="531" t="s">
        <v>2157</v>
      </c>
      <c r="F109" s="589" t="s">
        <v>2158</v>
      </c>
      <c r="G109" s="633">
        <v>4000</v>
      </c>
      <c r="H109" s="472"/>
      <c r="I109" s="472"/>
      <c r="J109" s="472"/>
      <c r="K109" s="471"/>
      <c r="L109" s="472"/>
      <c r="M109" s="472"/>
      <c r="N109" s="472"/>
      <c r="O109" s="472"/>
      <c r="P109" s="472"/>
      <c r="Q109" s="472"/>
      <c r="R109" s="472"/>
      <c r="S109" s="472"/>
      <c r="T109" s="472"/>
      <c r="U109" s="472"/>
      <c r="V109" s="472"/>
      <c r="W109" s="472"/>
      <c r="X109" s="472"/>
      <c r="Y109" s="472"/>
      <c r="Z109" s="472"/>
    </row>
    <row r="110" spans="1:26" ht="15" customHeight="1">
      <c r="A110" s="472"/>
      <c r="B110" s="472"/>
      <c r="C110" s="472"/>
      <c r="D110" s="472"/>
      <c r="E110" s="531" t="s">
        <v>2292</v>
      </c>
      <c r="F110" s="589" t="s">
        <v>2158</v>
      </c>
      <c r="G110" s="692">
        <f>G29</f>
        <v>271.5</v>
      </c>
      <c r="H110" s="472"/>
      <c r="I110" s="472"/>
      <c r="J110" s="472"/>
      <c r="K110" s="471"/>
      <c r="L110" s="472"/>
      <c r="M110" s="472"/>
      <c r="N110" s="472"/>
      <c r="O110" s="472"/>
      <c r="P110" s="472"/>
      <c r="Q110" s="472"/>
      <c r="R110" s="472"/>
      <c r="S110" s="472"/>
      <c r="T110" s="472"/>
      <c r="U110" s="472"/>
      <c r="V110" s="472"/>
      <c r="W110" s="472"/>
      <c r="X110" s="472"/>
      <c r="Y110" s="472"/>
      <c r="Z110" s="472"/>
    </row>
    <row r="111" spans="1:26" ht="15" customHeight="1">
      <c r="A111" s="472"/>
      <c r="B111" s="472"/>
      <c r="C111" s="472"/>
      <c r="D111" s="472"/>
      <c r="E111" s="603" t="s">
        <v>2294</v>
      </c>
      <c r="F111" s="474"/>
      <c r="G111" s="640">
        <f>G108*G109*G110</f>
        <v>4344000</v>
      </c>
      <c r="H111" s="472"/>
      <c r="I111" s="472"/>
      <c r="J111" s="472"/>
      <c r="K111" s="471"/>
      <c r="L111" s="472"/>
      <c r="M111" s="472"/>
      <c r="N111" s="472"/>
      <c r="O111" s="472"/>
      <c r="P111" s="472"/>
      <c r="Q111" s="472"/>
      <c r="R111" s="472"/>
      <c r="S111" s="472"/>
      <c r="T111" s="472"/>
      <c r="U111" s="472"/>
      <c r="V111" s="472"/>
      <c r="W111" s="472"/>
      <c r="X111" s="472"/>
      <c r="Y111" s="472"/>
      <c r="Z111" s="472"/>
    </row>
    <row r="112" spans="1:26" ht="15" customHeight="1">
      <c r="A112" s="472"/>
      <c r="B112" s="472"/>
      <c r="C112" s="677"/>
      <c r="D112" s="472"/>
      <c r="E112" s="472"/>
      <c r="F112" s="472"/>
      <c r="G112" s="576"/>
      <c r="H112" s="472"/>
      <c r="I112" s="472"/>
      <c r="J112" s="472"/>
      <c r="K112" s="471"/>
      <c r="L112" s="472"/>
      <c r="M112" s="472"/>
      <c r="N112" s="472"/>
      <c r="O112" s="472"/>
      <c r="P112" s="472"/>
      <c r="Q112" s="472"/>
      <c r="R112" s="472"/>
      <c r="S112" s="472"/>
      <c r="T112" s="472"/>
      <c r="U112" s="472"/>
      <c r="V112" s="472"/>
      <c r="W112" s="472"/>
      <c r="X112" s="472"/>
      <c r="Y112" s="472"/>
      <c r="Z112" s="472"/>
    </row>
    <row r="113" spans="1:26" ht="15" customHeight="1">
      <c r="A113" s="472"/>
      <c r="B113" s="472"/>
      <c r="C113" s="472"/>
      <c r="D113" s="472"/>
      <c r="E113" s="531" t="s">
        <v>2295</v>
      </c>
      <c r="F113" s="472"/>
      <c r="G113" s="576">
        <f>COUNTIFS(L87:L94,"(i)")</f>
        <v>4</v>
      </c>
      <c r="H113" s="472"/>
      <c r="I113" s="472"/>
      <c r="J113" s="472"/>
      <c r="K113" s="471"/>
      <c r="L113" s="472"/>
      <c r="M113" s="472"/>
      <c r="N113" s="472"/>
      <c r="O113" s="472"/>
      <c r="P113" s="472"/>
      <c r="Q113" s="472"/>
      <c r="R113" s="472"/>
      <c r="S113" s="472"/>
      <c r="T113" s="472"/>
      <c r="U113" s="472"/>
      <c r="V113" s="472"/>
      <c r="W113" s="472"/>
      <c r="X113" s="472"/>
      <c r="Y113" s="472"/>
      <c r="Z113" s="472"/>
    </row>
    <row r="114" spans="1:26" ht="15" customHeight="1">
      <c r="A114" s="472"/>
      <c r="B114" s="472"/>
      <c r="C114" s="472"/>
      <c r="D114" s="472"/>
      <c r="E114" s="531" t="s">
        <v>2157</v>
      </c>
      <c r="F114" s="589" t="s">
        <v>2158</v>
      </c>
      <c r="G114" s="670">
        <v>4000</v>
      </c>
      <c r="H114" s="472"/>
      <c r="I114" s="472"/>
      <c r="J114" s="472"/>
      <c r="K114" s="471"/>
      <c r="L114" s="472"/>
      <c r="M114" s="472"/>
      <c r="N114" s="472"/>
      <c r="O114" s="472"/>
      <c r="P114" s="472"/>
      <c r="Q114" s="472"/>
      <c r="R114" s="472"/>
      <c r="S114" s="472"/>
      <c r="T114" s="472"/>
      <c r="U114" s="472"/>
      <c r="V114" s="472"/>
      <c r="W114" s="472"/>
      <c r="X114" s="472"/>
      <c r="Y114" s="472"/>
      <c r="Z114" s="472"/>
    </row>
    <row r="115" spans="1:26" ht="15" customHeight="1">
      <c r="A115" s="472"/>
      <c r="B115" s="472"/>
      <c r="C115" s="472"/>
      <c r="D115" s="472"/>
      <c r="E115" s="603" t="s">
        <v>2297</v>
      </c>
      <c r="F115" s="474"/>
      <c r="G115" s="640">
        <f>G110*G113*G114</f>
        <v>4344000</v>
      </c>
      <c r="H115" s="472"/>
      <c r="I115" s="472"/>
      <c r="J115" s="472"/>
      <c r="K115" s="471"/>
      <c r="L115" s="472"/>
      <c r="M115" s="472"/>
      <c r="N115" s="472"/>
      <c r="O115" s="472"/>
      <c r="P115" s="472"/>
      <c r="Q115" s="472"/>
      <c r="R115" s="472"/>
      <c r="S115" s="472"/>
      <c r="T115" s="472"/>
      <c r="U115" s="472"/>
      <c r="V115" s="472"/>
      <c r="W115" s="472"/>
      <c r="X115" s="472"/>
      <c r="Y115" s="472"/>
      <c r="Z115" s="472"/>
    </row>
    <row r="116" spans="1:26" ht="15" customHeight="1">
      <c r="A116" s="472"/>
      <c r="B116" s="472"/>
      <c r="C116" s="472"/>
      <c r="D116" s="472"/>
      <c r="E116" s="472"/>
      <c r="F116" s="472"/>
      <c r="G116" s="472"/>
      <c r="H116" s="472"/>
      <c r="I116" s="472"/>
      <c r="J116" s="472"/>
      <c r="K116" s="471"/>
      <c r="L116" s="472"/>
      <c r="M116" s="472"/>
      <c r="N116" s="472"/>
      <c r="O116" s="472"/>
      <c r="P116" s="472"/>
      <c r="Q116" s="472"/>
      <c r="R116" s="472"/>
      <c r="S116" s="472"/>
      <c r="T116" s="472"/>
      <c r="U116" s="472"/>
      <c r="V116" s="472"/>
      <c r="W116" s="472"/>
      <c r="X116" s="472"/>
      <c r="Y116" s="472"/>
      <c r="Z116" s="472"/>
    </row>
    <row r="117" spans="1:26" ht="15" customHeight="1">
      <c r="A117" s="472"/>
      <c r="B117" s="472"/>
      <c r="C117" s="677" t="s">
        <v>2299</v>
      </c>
      <c r="D117" s="472"/>
      <c r="E117" s="472"/>
      <c r="F117" s="472"/>
      <c r="G117" s="472"/>
      <c r="H117" s="472"/>
      <c r="I117" s="472"/>
      <c r="J117" s="472"/>
      <c r="K117" s="471"/>
      <c r="L117" s="472"/>
      <c r="M117" s="472"/>
      <c r="N117" s="472"/>
      <c r="O117" s="472"/>
      <c r="P117" s="472"/>
      <c r="Q117" s="472"/>
      <c r="R117" s="472"/>
      <c r="S117" s="472"/>
      <c r="T117" s="472"/>
      <c r="U117" s="472"/>
      <c r="V117" s="472"/>
      <c r="W117" s="472"/>
      <c r="X117" s="472"/>
      <c r="Y117" s="472"/>
      <c r="Z117" s="472"/>
    </row>
    <row r="118" spans="1:26" ht="15" customHeight="1">
      <c r="A118" s="472"/>
      <c r="B118" s="472"/>
      <c r="C118" s="677" t="s">
        <v>2301</v>
      </c>
      <c r="D118" s="472"/>
      <c r="E118" s="472"/>
      <c r="F118" s="472"/>
      <c r="G118" s="678"/>
      <c r="H118" s="472"/>
      <c r="I118" s="472"/>
      <c r="J118" s="472"/>
      <c r="K118" s="471"/>
      <c r="L118" s="472"/>
      <c r="M118" s="472"/>
      <c r="N118" s="472"/>
      <c r="O118" s="472"/>
      <c r="P118" s="472"/>
      <c r="Q118" s="472"/>
      <c r="R118" s="472"/>
      <c r="S118" s="472"/>
      <c r="T118" s="472"/>
      <c r="U118" s="472"/>
      <c r="V118" s="472"/>
      <c r="W118" s="472"/>
      <c r="X118" s="472"/>
      <c r="Y118" s="472"/>
      <c r="Z118" s="472"/>
    </row>
    <row r="119" spans="1:26" ht="15" customHeight="1">
      <c r="A119" s="472"/>
      <c r="B119" s="472"/>
      <c r="C119" s="677" t="s">
        <v>2302</v>
      </c>
      <c r="D119" s="472"/>
      <c r="E119" s="472"/>
      <c r="F119" s="472"/>
      <c r="G119" s="678"/>
      <c r="H119" s="472"/>
      <c r="I119" s="472"/>
      <c r="J119" s="472"/>
      <c r="K119" s="471"/>
      <c r="L119" s="472"/>
      <c r="M119" s="472"/>
      <c r="N119" s="472"/>
      <c r="O119" s="472"/>
      <c r="P119" s="472"/>
      <c r="Q119" s="472"/>
      <c r="R119" s="472"/>
      <c r="S119" s="472"/>
      <c r="T119" s="472"/>
      <c r="U119" s="472"/>
      <c r="V119" s="472"/>
      <c r="W119" s="472"/>
      <c r="X119" s="472"/>
      <c r="Y119" s="472"/>
      <c r="Z119" s="472"/>
    </row>
    <row r="120" spans="1:26" ht="15" customHeight="1">
      <c r="A120" s="472"/>
      <c r="B120" s="472"/>
      <c r="C120" s="677" t="s">
        <v>2304</v>
      </c>
      <c r="D120" s="472"/>
      <c r="E120" s="472"/>
      <c r="F120" s="472"/>
      <c r="G120" s="678"/>
      <c r="H120" s="472"/>
      <c r="I120" s="472"/>
      <c r="J120" s="472"/>
      <c r="K120" s="471"/>
      <c r="L120" s="472"/>
      <c r="M120" s="472"/>
      <c r="N120" s="472"/>
      <c r="O120" s="472"/>
      <c r="P120" s="472"/>
      <c r="Q120" s="472"/>
      <c r="R120" s="472"/>
      <c r="S120" s="472"/>
      <c r="T120" s="472"/>
      <c r="U120" s="472"/>
      <c r="V120" s="472"/>
      <c r="W120" s="472"/>
      <c r="X120" s="472"/>
      <c r="Y120" s="472"/>
      <c r="Z120" s="472"/>
    </row>
    <row r="121" spans="1:26" ht="14.25" customHeight="1">
      <c r="A121" s="472"/>
      <c r="B121" s="472"/>
      <c r="C121" s="677" t="s">
        <v>2305</v>
      </c>
      <c r="D121" s="472"/>
      <c r="E121" s="472"/>
      <c r="F121" s="472"/>
      <c r="G121" s="678"/>
      <c r="H121" s="472"/>
      <c r="I121" s="472"/>
      <c r="J121" s="472"/>
      <c r="K121" s="471"/>
      <c r="L121" s="472"/>
      <c r="M121" s="472"/>
      <c r="N121" s="472"/>
      <c r="O121" s="472"/>
      <c r="P121" s="472"/>
      <c r="Q121" s="472"/>
      <c r="R121" s="472"/>
      <c r="S121" s="472"/>
      <c r="T121" s="472"/>
      <c r="U121" s="472"/>
      <c r="V121" s="472"/>
      <c r="W121" s="472"/>
      <c r="X121" s="472"/>
      <c r="Y121" s="472"/>
      <c r="Z121" s="472"/>
    </row>
    <row r="122" spans="1:26" ht="14.25" customHeight="1">
      <c r="A122" s="472"/>
      <c r="B122" s="472"/>
      <c r="C122" s="472"/>
      <c r="D122" s="472"/>
      <c r="E122" s="472"/>
      <c r="F122" s="472"/>
      <c r="G122" s="472"/>
      <c r="H122" s="472"/>
      <c r="I122" s="472"/>
      <c r="J122" s="472"/>
      <c r="K122" s="471"/>
      <c r="L122" s="472"/>
      <c r="M122" s="472"/>
      <c r="N122" s="472"/>
      <c r="O122" s="472"/>
      <c r="P122" s="472"/>
      <c r="Q122" s="472"/>
      <c r="R122" s="472"/>
      <c r="S122" s="472"/>
      <c r="T122" s="472"/>
      <c r="U122" s="472"/>
      <c r="V122" s="472"/>
      <c r="W122" s="472"/>
      <c r="X122" s="472"/>
      <c r="Y122" s="472"/>
      <c r="Z122" s="472"/>
    </row>
    <row r="123" spans="1:26" ht="14.25" customHeight="1">
      <c r="A123" s="472"/>
      <c r="B123" s="633"/>
      <c r="C123" s="677"/>
      <c r="D123" s="472"/>
      <c r="E123" s="531" t="s">
        <v>2276</v>
      </c>
      <c r="F123" s="472"/>
      <c r="G123" s="656" t="b">
        <f>COUNTIFS(G118:G121,"Yes")&gt;=1</f>
        <v>0</v>
      </c>
      <c r="H123" s="472"/>
      <c r="I123" s="472"/>
      <c r="J123" s="472"/>
      <c r="K123" s="471"/>
      <c r="L123" s="472"/>
      <c r="M123" s="472"/>
      <c r="N123" s="472"/>
      <c r="O123" s="472"/>
      <c r="P123" s="472"/>
      <c r="Q123" s="472"/>
      <c r="R123" s="472"/>
      <c r="S123" s="472"/>
      <c r="T123" s="472"/>
      <c r="U123" s="472"/>
      <c r="V123" s="472"/>
      <c r="W123" s="472"/>
      <c r="X123" s="472"/>
      <c r="Y123" s="472"/>
      <c r="Z123" s="472"/>
    </row>
    <row r="124" spans="1:26" ht="14.25" customHeight="1">
      <c r="A124" s="472"/>
      <c r="B124" s="472"/>
      <c r="C124" s="472"/>
      <c r="D124" s="472"/>
      <c r="E124" s="677"/>
      <c r="F124" s="472"/>
      <c r="G124" s="472"/>
      <c r="H124" s="472"/>
      <c r="I124" s="472"/>
      <c r="J124" s="472"/>
      <c r="K124" s="471"/>
      <c r="L124" s="472"/>
      <c r="M124" s="472"/>
      <c r="N124" s="472"/>
      <c r="O124" s="472"/>
      <c r="P124" s="472"/>
      <c r="Q124" s="472"/>
      <c r="R124" s="472"/>
      <c r="S124" s="472"/>
      <c r="T124" s="472"/>
      <c r="U124" s="472"/>
      <c r="V124" s="472"/>
      <c r="W124" s="472"/>
      <c r="X124" s="472"/>
      <c r="Y124" s="472"/>
      <c r="Z124" s="472"/>
    </row>
    <row r="125" spans="1:26" ht="14.25" customHeight="1">
      <c r="A125" s="472"/>
      <c r="B125" s="472"/>
      <c r="C125" s="472"/>
      <c r="D125" s="472"/>
      <c r="E125" s="531" t="s">
        <v>2292</v>
      </c>
      <c r="F125" s="589" t="s">
        <v>2158</v>
      </c>
      <c r="G125" s="576">
        <f>G29</f>
        <v>271.5</v>
      </c>
      <c r="H125" s="472"/>
      <c r="I125" s="472"/>
      <c r="J125" s="472"/>
      <c r="K125" s="471"/>
      <c r="L125" s="472"/>
      <c r="M125" s="472"/>
      <c r="N125" s="472"/>
      <c r="O125" s="472"/>
      <c r="P125" s="472"/>
      <c r="Q125" s="472"/>
      <c r="R125" s="472"/>
      <c r="S125" s="472"/>
      <c r="T125" s="472"/>
      <c r="U125" s="472"/>
      <c r="V125" s="472"/>
      <c r="W125" s="472"/>
      <c r="X125" s="472"/>
      <c r="Y125" s="472"/>
      <c r="Z125" s="472"/>
    </row>
    <row r="126" spans="1:26" ht="14.25" customHeight="1">
      <c r="A126" s="472"/>
      <c r="B126" s="472"/>
      <c r="C126" s="472"/>
      <c r="D126" s="472"/>
      <c r="E126" s="531" t="s">
        <v>2157</v>
      </c>
      <c r="F126" s="589" t="s">
        <v>2158</v>
      </c>
      <c r="G126" s="670">
        <v>25000</v>
      </c>
      <c r="H126" s="472"/>
      <c r="I126" s="472"/>
      <c r="J126" s="472"/>
      <c r="K126" s="471"/>
      <c r="L126" s="472"/>
      <c r="M126" s="472"/>
      <c r="N126" s="472"/>
      <c r="O126" s="472"/>
      <c r="P126" s="472"/>
      <c r="Q126" s="472"/>
      <c r="R126" s="472"/>
      <c r="S126" s="472"/>
      <c r="T126" s="472"/>
      <c r="U126" s="472"/>
      <c r="V126" s="472"/>
      <c r="W126" s="472"/>
      <c r="X126" s="472"/>
      <c r="Y126" s="472"/>
      <c r="Z126" s="472"/>
    </row>
    <row r="127" spans="1:26" ht="14.25" customHeight="1">
      <c r="A127" s="472"/>
      <c r="B127" s="472"/>
      <c r="C127" s="472"/>
      <c r="D127" s="472"/>
      <c r="E127" s="603" t="s">
        <v>2307</v>
      </c>
      <c r="F127" s="474"/>
      <c r="G127" s="640">
        <f>G123*G126*G110</f>
        <v>0</v>
      </c>
      <c r="H127" s="472"/>
      <c r="I127" s="472"/>
      <c r="J127" s="472"/>
      <c r="K127" s="471"/>
      <c r="L127" s="472"/>
      <c r="M127" s="472"/>
      <c r="N127" s="472"/>
      <c r="O127" s="472"/>
      <c r="P127" s="472"/>
      <c r="Q127" s="472"/>
      <c r="R127" s="472"/>
      <c r="S127" s="472"/>
      <c r="T127" s="472"/>
      <c r="U127" s="472"/>
      <c r="V127" s="472"/>
      <c r="W127" s="472"/>
      <c r="X127" s="472"/>
      <c r="Y127" s="472"/>
      <c r="Z127" s="472"/>
    </row>
    <row r="128" spans="1:26" ht="14.25" customHeight="1">
      <c r="A128" s="472"/>
      <c r="B128" s="472"/>
      <c r="C128" s="677"/>
      <c r="D128" s="472"/>
      <c r="E128" s="677"/>
      <c r="F128" s="472"/>
      <c r="G128" s="472"/>
      <c r="H128" s="472"/>
      <c r="I128" s="472"/>
      <c r="J128" s="472"/>
      <c r="K128" s="471"/>
      <c r="L128" s="472"/>
      <c r="M128" s="472"/>
      <c r="N128" s="472"/>
      <c r="O128" s="472"/>
      <c r="P128" s="472"/>
      <c r="Q128" s="472"/>
      <c r="R128" s="472"/>
      <c r="S128" s="472"/>
      <c r="T128" s="472"/>
      <c r="U128" s="472"/>
      <c r="V128" s="472"/>
      <c r="W128" s="472"/>
      <c r="X128" s="472"/>
      <c r="Y128" s="472"/>
      <c r="Z128" s="472"/>
    </row>
    <row r="129" spans="1:26" ht="14.25" customHeight="1">
      <c r="A129" s="472"/>
      <c r="B129" s="472"/>
      <c r="C129" s="472"/>
      <c r="D129" s="472"/>
      <c r="E129" s="603" t="s">
        <v>2309</v>
      </c>
      <c r="F129" s="472"/>
      <c r="G129" s="640">
        <f>G127+G115+G111</f>
        <v>8688000</v>
      </c>
      <c r="H129" s="472"/>
      <c r="I129" s="472"/>
      <c r="J129" s="472"/>
      <c r="K129" s="471"/>
      <c r="L129" s="472"/>
      <c r="M129" s="472"/>
      <c r="N129" s="472"/>
      <c r="O129" s="472"/>
      <c r="P129" s="472"/>
      <c r="Q129" s="472"/>
      <c r="R129" s="472"/>
      <c r="S129" s="472"/>
      <c r="T129" s="472"/>
      <c r="U129" s="472"/>
      <c r="V129" s="472"/>
      <c r="W129" s="472"/>
      <c r="X129" s="472"/>
      <c r="Y129" s="472"/>
      <c r="Z129" s="472"/>
    </row>
    <row r="130" spans="1:26" ht="14.25" customHeight="1">
      <c r="A130" s="472"/>
      <c r="B130" s="472"/>
      <c r="C130" s="472"/>
      <c r="D130" s="472"/>
      <c r="E130" s="472"/>
      <c r="F130" s="472"/>
      <c r="G130" s="472"/>
      <c r="H130" s="472"/>
      <c r="I130" s="472"/>
      <c r="J130" s="472"/>
      <c r="K130" s="471"/>
      <c r="L130" s="472"/>
      <c r="M130" s="472"/>
      <c r="N130" s="472"/>
      <c r="O130" s="472"/>
      <c r="P130" s="472"/>
      <c r="Q130" s="472"/>
      <c r="R130" s="472"/>
      <c r="S130" s="472"/>
      <c r="T130" s="472"/>
      <c r="U130" s="472"/>
      <c r="V130" s="472"/>
      <c r="W130" s="472"/>
      <c r="X130" s="472"/>
      <c r="Y130" s="472"/>
      <c r="Z130" s="472"/>
    </row>
    <row r="131" spans="1:26" ht="14.25" customHeight="1">
      <c r="A131" s="472"/>
      <c r="B131" s="535" t="s">
        <v>517</v>
      </c>
      <c r="C131" s="536"/>
      <c r="D131" s="536"/>
      <c r="E131" s="536"/>
      <c r="F131" s="536"/>
      <c r="G131" s="536"/>
      <c r="H131" s="536"/>
      <c r="I131" s="537"/>
      <c r="J131" s="472"/>
      <c r="K131" s="471"/>
      <c r="L131" s="472"/>
      <c r="M131" s="472"/>
      <c r="N131" s="472"/>
      <c r="O131" s="472"/>
      <c r="P131" s="472"/>
      <c r="Q131" s="472"/>
      <c r="R131" s="472"/>
      <c r="S131" s="472"/>
      <c r="T131" s="472"/>
      <c r="U131" s="472"/>
      <c r="V131" s="472"/>
      <c r="W131" s="472"/>
      <c r="X131" s="472"/>
      <c r="Y131" s="472"/>
      <c r="Z131" s="472"/>
    </row>
    <row r="132" spans="1:26" ht="14.25" customHeight="1">
      <c r="A132" s="472"/>
      <c r="B132" s="472"/>
      <c r="C132" s="472"/>
      <c r="D132" s="472"/>
      <c r="E132" s="472"/>
      <c r="F132" s="472"/>
      <c r="G132" s="472"/>
      <c r="H132" s="472"/>
      <c r="I132" s="472"/>
      <c r="J132" s="472"/>
      <c r="K132" s="471"/>
      <c r="L132" s="472"/>
      <c r="M132" s="472"/>
      <c r="N132" s="472"/>
      <c r="O132" s="472"/>
      <c r="P132" s="472"/>
      <c r="Q132" s="472"/>
      <c r="R132" s="472"/>
      <c r="S132" s="472"/>
      <c r="T132" s="472"/>
      <c r="U132" s="472"/>
      <c r="V132" s="472"/>
      <c r="W132" s="472"/>
      <c r="X132" s="472"/>
      <c r="Y132" s="472"/>
      <c r="Z132" s="472"/>
    </row>
    <row r="133" spans="1:26" ht="14.25" customHeight="1">
      <c r="A133" s="472"/>
      <c r="B133" s="472"/>
      <c r="C133" s="1482" t="s">
        <v>2310</v>
      </c>
      <c r="D133" s="893"/>
      <c r="E133" s="893"/>
      <c r="F133" s="893"/>
      <c r="G133" s="472"/>
      <c r="H133" s="472"/>
      <c r="I133" s="472"/>
      <c r="J133" s="472"/>
      <c r="K133" s="471"/>
      <c r="L133" s="472"/>
      <c r="M133" s="472"/>
      <c r="N133" s="472"/>
      <c r="O133" s="472"/>
      <c r="P133" s="472"/>
      <c r="Q133" s="472"/>
      <c r="R133" s="472"/>
      <c r="S133" s="472"/>
      <c r="T133" s="472"/>
      <c r="U133" s="472"/>
      <c r="V133" s="472"/>
      <c r="W133" s="472"/>
      <c r="X133" s="472"/>
      <c r="Y133" s="472"/>
      <c r="Z133" s="472"/>
    </row>
    <row r="134" spans="1:26" ht="14.25" customHeight="1">
      <c r="A134" s="472"/>
      <c r="B134" s="472"/>
      <c r="C134" s="893"/>
      <c r="D134" s="893"/>
      <c r="E134" s="893"/>
      <c r="F134" s="893"/>
      <c r="G134" s="678"/>
      <c r="H134" s="472"/>
      <c r="I134" s="472"/>
      <c r="J134" s="472"/>
      <c r="K134" s="471"/>
      <c r="L134" s="472"/>
      <c r="M134" s="472"/>
      <c r="N134" s="472"/>
      <c r="O134" s="472"/>
      <c r="P134" s="472"/>
      <c r="Q134" s="472"/>
      <c r="R134" s="472"/>
      <c r="S134" s="472"/>
      <c r="T134" s="472"/>
      <c r="U134" s="472"/>
      <c r="V134" s="472"/>
      <c r="W134" s="472"/>
      <c r="X134" s="472"/>
      <c r="Y134" s="472"/>
      <c r="Z134" s="472"/>
    </row>
    <row r="135" spans="1:26" ht="14.25" customHeight="1">
      <c r="A135" s="472"/>
      <c r="B135" s="472"/>
      <c r="C135" s="472"/>
      <c r="D135" s="472"/>
      <c r="E135" s="472"/>
      <c r="F135" s="472"/>
      <c r="G135" s="472"/>
      <c r="H135" s="472"/>
      <c r="I135" s="472"/>
      <c r="J135" s="472"/>
      <c r="K135" s="471"/>
      <c r="L135" s="472"/>
      <c r="M135" s="472"/>
      <c r="N135" s="472"/>
      <c r="O135" s="472"/>
      <c r="P135" s="472"/>
      <c r="Q135" s="472"/>
      <c r="R135" s="472"/>
      <c r="S135" s="472"/>
      <c r="T135" s="472"/>
      <c r="U135" s="472"/>
      <c r="V135" s="472"/>
      <c r="W135" s="472"/>
      <c r="X135" s="472"/>
      <c r="Y135" s="472"/>
      <c r="Z135" s="472"/>
    </row>
    <row r="136" spans="1:26" ht="14.25" customHeight="1">
      <c r="A136" s="472"/>
      <c r="B136" s="472"/>
      <c r="C136" s="472" t="s">
        <v>2311</v>
      </c>
      <c r="D136" s="472"/>
      <c r="E136" s="472"/>
      <c r="F136" s="472"/>
      <c r="G136" s="1485"/>
      <c r="H136" s="902"/>
      <c r="I136" s="472"/>
      <c r="J136" s="472"/>
      <c r="K136" s="471"/>
      <c r="L136" s="472"/>
      <c r="M136" s="472"/>
      <c r="N136" s="472"/>
      <c r="O136" s="472"/>
      <c r="P136" s="472"/>
      <c r="Q136" s="472"/>
      <c r="R136" s="472"/>
      <c r="S136" s="472"/>
      <c r="T136" s="472"/>
      <c r="U136" s="472"/>
      <c r="V136" s="472"/>
      <c r="W136" s="472"/>
      <c r="X136" s="472"/>
      <c r="Y136" s="472"/>
      <c r="Z136" s="472"/>
    </row>
    <row r="137" spans="1:26" ht="14.25" customHeight="1">
      <c r="A137" s="472"/>
      <c r="B137" s="472"/>
      <c r="C137" s="472"/>
      <c r="D137" s="472"/>
      <c r="E137" s="472"/>
      <c r="F137" s="472"/>
      <c r="G137" s="1048"/>
      <c r="H137" s="1049"/>
      <c r="I137" s="472"/>
      <c r="J137" s="472"/>
      <c r="K137" s="471"/>
      <c r="L137" s="472"/>
      <c r="M137" s="472"/>
      <c r="N137" s="472"/>
      <c r="O137" s="472"/>
      <c r="P137" s="472"/>
      <c r="Q137" s="472"/>
      <c r="R137" s="472"/>
      <c r="S137" s="472"/>
      <c r="T137" s="472"/>
      <c r="U137" s="472"/>
      <c r="V137" s="472"/>
      <c r="W137" s="472"/>
      <c r="X137" s="472"/>
      <c r="Y137" s="472"/>
      <c r="Z137" s="472"/>
    </row>
    <row r="138" spans="1:26" ht="14.25" customHeight="1">
      <c r="A138" s="472"/>
      <c r="B138" s="472"/>
      <c r="C138" s="472"/>
      <c r="D138" s="472"/>
      <c r="E138" s="472"/>
      <c r="F138" s="472"/>
      <c r="G138" s="1098"/>
      <c r="H138" s="1099"/>
      <c r="I138" s="472"/>
      <c r="J138" s="472"/>
      <c r="K138" s="471"/>
      <c r="L138" s="472"/>
      <c r="M138" s="472"/>
      <c r="N138" s="472"/>
      <c r="O138" s="472"/>
      <c r="P138" s="472"/>
      <c r="Q138" s="472"/>
      <c r="R138" s="472"/>
      <c r="S138" s="472"/>
      <c r="T138" s="472"/>
      <c r="U138" s="472"/>
      <c r="V138" s="472"/>
      <c r="W138" s="472"/>
      <c r="X138" s="472"/>
      <c r="Y138" s="472"/>
      <c r="Z138" s="472"/>
    </row>
    <row r="139" spans="1:26" ht="14.25" customHeight="1">
      <c r="A139" s="472"/>
      <c r="B139" s="472"/>
      <c r="C139" s="472"/>
      <c r="D139" s="472"/>
      <c r="E139" s="472"/>
      <c r="F139" s="472"/>
      <c r="G139" s="472"/>
      <c r="H139" s="472"/>
      <c r="I139" s="472"/>
      <c r="J139" s="472"/>
      <c r="K139" s="471"/>
      <c r="L139" s="472"/>
      <c r="M139" s="472"/>
      <c r="N139" s="472"/>
      <c r="O139" s="472"/>
      <c r="P139" s="472"/>
      <c r="Q139" s="472"/>
      <c r="R139" s="472"/>
      <c r="S139" s="472"/>
      <c r="T139" s="472"/>
      <c r="U139" s="472"/>
      <c r="V139" s="472"/>
      <c r="W139" s="472"/>
      <c r="X139" s="472"/>
      <c r="Y139" s="472"/>
      <c r="Z139" s="472"/>
    </row>
    <row r="140" spans="1:26" ht="14.25" customHeight="1">
      <c r="A140" s="472"/>
      <c r="B140" s="472"/>
      <c r="C140" s="1482" t="s">
        <v>2312</v>
      </c>
      <c r="D140" s="893"/>
      <c r="E140" s="893"/>
      <c r="F140" s="893"/>
      <c r="G140" s="472"/>
      <c r="H140" s="472"/>
      <c r="I140" s="472"/>
      <c r="J140" s="472"/>
      <c r="K140" s="471"/>
      <c r="L140" s="472"/>
      <c r="M140" s="472"/>
      <c r="N140" s="472"/>
      <c r="O140" s="472"/>
      <c r="P140" s="472"/>
      <c r="Q140" s="472"/>
      <c r="R140" s="472"/>
      <c r="S140" s="472"/>
      <c r="T140" s="472"/>
      <c r="U140" s="472"/>
      <c r="V140" s="472"/>
      <c r="W140" s="472"/>
      <c r="X140" s="472"/>
      <c r="Y140" s="472"/>
      <c r="Z140" s="472"/>
    </row>
    <row r="141" spans="1:26" ht="14.25" customHeight="1">
      <c r="A141" s="472"/>
      <c r="B141" s="472"/>
      <c r="C141" s="893"/>
      <c r="D141" s="893"/>
      <c r="E141" s="893"/>
      <c r="F141" s="893"/>
      <c r="G141" s="678"/>
      <c r="H141" s="472"/>
      <c r="I141" s="472"/>
      <c r="J141" s="472"/>
      <c r="K141" s="471"/>
      <c r="L141" s="472"/>
      <c r="M141" s="472"/>
      <c r="N141" s="472"/>
      <c r="O141" s="472"/>
      <c r="P141" s="472"/>
      <c r="Q141" s="472"/>
      <c r="R141" s="472"/>
      <c r="S141" s="472"/>
      <c r="T141" s="472"/>
      <c r="U141" s="472"/>
      <c r="V141" s="472"/>
      <c r="W141" s="472"/>
      <c r="X141" s="472"/>
      <c r="Y141" s="472"/>
      <c r="Z141" s="472"/>
    </row>
    <row r="142" spans="1:26" ht="14.25" customHeight="1">
      <c r="A142" s="472"/>
      <c r="B142" s="472"/>
      <c r="C142" s="893"/>
      <c r="D142" s="893"/>
      <c r="E142" s="893"/>
      <c r="F142" s="893"/>
      <c r="G142" s="472"/>
      <c r="H142" s="472"/>
      <c r="I142" s="472"/>
      <c r="J142" s="472"/>
      <c r="K142" s="471"/>
      <c r="L142" s="472"/>
      <c r="M142" s="472"/>
      <c r="N142" s="472"/>
      <c r="O142" s="472"/>
      <c r="P142" s="472"/>
      <c r="Q142" s="472"/>
      <c r="R142" s="472"/>
      <c r="S142" s="472"/>
      <c r="T142" s="472"/>
      <c r="U142" s="472"/>
      <c r="V142" s="472"/>
      <c r="W142" s="472"/>
      <c r="X142" s="472"/>
      <c r="Y142" s="472"/>
      <c r="Z142" s="472"/>
    </row>
    <row r="143" spans="1:26" ht="14.25" customHeight="1">
      <c r="A143" s="472"/>
      <c r="B143" s="472"/>
      <c r="C143" s="472"/>
      <c r="D143" s="472"/>
      <c r="E143" s="472"/>
      <c r="F143" s="472"/>
      <c r="G143" s="472"/>
      <c r="H143" s="472"/>
      <c r="I143" s="472"/>
      <c r="J143" s="472"/>
      <c r="K143" s="471"/>
      <c r="L143" s="472"/>
      <c r="M143" s="472"/>
      <c r="N143" s="472"/>
      <c r="O143" s="472"/>
      <c r="P143" s="472"/>
      <c r="Q143" s="472"/>
      <c r="R143" s="472"/>
      <c r="S143" s="472"/>
      <c r="T143" s="472"/>
      <c r="U143" s="472"/>
      <c r="V143" s="472"/>
      <c r="W143" s="472"/>
      <c r="X143" s="472"/>
      <c r="Y143" s="472"/>
      <c r="Z143" s="472"/>
    </row>
    <row r="144" spans="1:26" ht="14.25" customHeight="1">
      <c r="A144" s="472"/>
      <c r="B144" s="472"/>
      <c r="C144" s="1482" t="s">
        <v>2316</v>
      </c>
      <c r="D144" s="893"/>
      <c r="E144" s="893"/>
      <c r="F144" s="893"/>
      <c r="G144" s="472"/>
      <c r="H144" s="472"/>
      <c r="I144" s="472"/>
      <c r="J144" s="472"/>
      <c r="K144" s="471"/>
      <c r="L144" s="472"/>
      <c r="M144" s="472"/>
      <c r="N144" s="472"/>
      <c r="O144" s="472"/>
      <c r="P144" s="472"/>
      <c r="Q144" s="472"/>
      <c r="R144" s="472"/>
      <c r="S144" s="472"/>
      <c r="T144" s="472"/>
      <c r="U144" s="472"/>
      <c r="V144" s="472"/>
      <c r="W144" s="472"/>
      <c r="X144" s="472"/>
      <c r="Y144" s="472"/>
      <c r="Z144" s="472"/>
    </row>
    <row r="145" spans="1:26" ht="14.25" customHeight="1">
      <c r="A145" s="472"/>
      <c r="B145" s="472"/>
      <c r="C145" s="893"/>
      <c r="D145" s="893"/>
      <c r="E145" s="893"/>
      <c r="F145" s="893"/>
      <c r="G145" s="678"/>
      <c r="H145" s="472"/>
      <c r="I145" s="472"/>
      <c r="J145" s="472"/>
      <c r="K145" s="471"/>
      <c r="L145" s="472"/>
      <c r="M145" s="472"/>
      <c r="N145" s="472"/>
      <c r="O145" s="472"/>
      <c r="P145" s="472"/>
      <c r="Q145" s="472"/>
      <c r="R145" s="472"/>
      <c r="S145" s="472"/>
      <c r="T145" s="472"/>
      <c r="U145" s="472"/>
      <c r="V145" s="472"/>
      <c r="W145" s="472"/>
      <c r="X145" s="472"/>
      <c r="Y145" s="472"/>
      <c r="Z145" s="472"/>
    </row>
    <row r="146" spans="1:26" ht="14.25" customHeight="1">
      <c r="A146" s="472"/>
      <c r="B146" s="472"/>
      <c r="C146" s="893"/>
      <c r="D146" s="893"/>
      <c r="E146" s="893"/>
      <c r="F146" s="893"/>
      <c r="G146" s="472"/>
      <c r="H146" s="472"/>
      <c r="I146" s="472"/>
      <c r="J146" s="472"/>
      <c r="K146" s="471"/>
      <c r="L146" s="472"/>
      <c r="M146" s="472"/>
      <c r="N146" s="472"/>
      <c r="O146" s="472"/>
      <c r="P146" s="472"/>
      <c r="Q146" s="472"/>
      <c r="R146" s="472"/>
      <c r="S146" s="472"/>
      <c r="T146" s="472"/>
      <c r="U146" s="472"/>
      <c r="V146" s="472"/>
      <c r="W146" s="472"/>
      <c r="X146" s="472"/>
      <c r="Y146" s="472"/>
      <c r="Z146" s="472"/>
    </row>
    <row r="147" spans="1:26" ht="14.25" customHeight="1">
      <c r="A147" s="472"/>
      <c r="B147" s="472"/>
      <c r="C147" s="893"/>
      <c r="D147" s="893"/>
      <c r="E147" s="893"/>
      <c r="F147" s="893"/>
      <c r="G147" s="472"/>
      <c r="H147" s="472"/>
      <c r="I147" s="472"/>
      <c r="J147" s="472"/>
      <c r="K147" s="471"/>
      <c r="L147" s="472"/>
      <c r="M147" s="472"/>
      <c r="N147" s="472"/>
      <c r="O147" s="472"/>
      <c r="P147" s="472"/>
      <c r="Q147" s="472"/>
      <c r="R147" s="472"/>
      <c r="S147" s="472"/>
      <c r="T147" s="472"/>
      <c r="U147" s="472"/>
      <c r="V147" s="472"/>
      <c r="W147" s="472"/>
      <c r="X147" s="472"/>
      <c r="Y147" s="472"/>
      <c r="Z147" s="472"/>
    </row>
    <row r="148" spans="1:26" ht="14.25" customHeight="1">
      <c r="A148" s="472"/>
      <c r="B148" s="472"/>
      <c r="C148" s="472"/>
      <c r="D148" s="472"/>
      <c r="E148" s="472"/>
      <c r="F148" s="472"/>
      <c r="G148" s="472"/>
      <c r="H148" s="472"/>
      <c r="I148" s="472"/>
      <c r="J148" s="472"/>
      <c r="K148" s="471"/>
      <c r="L148" s="472"/>
      <c r="M148" s="472"/>
      <c r="N148" s="472"/>
      <c r="O148" s="472"/>
      <c r="P148" s="472"/>
      <c r="Q148" s="472"/>
      <c r="R148" s="472"/>
      <c r="S148" s="472"/>
      <c r="T148" s="472"/>
      <c r="U148" s="472"/>
      <c r="V148" s="472"/>
      <c r="W148" s="472"/>
      <c r="X148" s="472"/>
      <c r="Y148" s="472"/>
      <c r="Z148" s="472"/>
    </row>
    <row r="149" spans="1:26" ht="14.25" customHeight="1">
      <c r="A149" s="472"/>
      <c r="B149" s="535" t="s">
        <v>2317</v>
      </c>
      <c r="C149" s="536"/>
      <c r="D149" s="536"/>
      <c r="E149" s="536"/>
      <c r="F149" s="536"/>
      <c r="G149" s="536"/>
      <c r="H149" s="536"/>
      <c r="I149" s="537"/>
      <c r="J149" s="472"/>
      <c r="K149" s="471"/>
      <c r="L149" s="472"/>
      <c r="M149" s="472"/>
      <c r="N149" s="472"/>
      <c r="O149" s="472"/>
      <c r="P149" s="472"/>
      <c r="Q149" s="472"/>
      <c r="R149" s="472"/>
      <c r="S149" s="472"/>
      <c r="T149" s="472"/>
      <c r="U149" s="472"/>
      <c r="V149" s="472"/>
      <c r="W149" s="472"/>
      <c r="X149" s="472"/>
      <c r="Y149" s="472"/>
      <c r="Z149" s="472"/>
    </row>
    <row r="150" spans="1:26" ht="14.25" customHeight="1">
      <c r="A150" s="472"/>
      <c r="B150" s="472"/>
      <c r="C150" s="472"/>
      <c r="D150" s="472"/>
      <c r="E150" s="472"/>
      <c r="F150" s="472"/>
      <c r="G150" s="472"/>
      <c r="H150" s="472"/>
      <c r="I150" s="472"/>
      <c r="J150" s="472"/>
      <c r="K150" s="471"/>
      <c r="L150" s="472"/>
      <c r="M150" s="472"/>
      <c r="N150" s="472"/>
      <c r="O150" s="472"/>
      <c r="P150" s="472"/>
      <c r="Q150" s="472"/>
      <c r="R150" s="472"/>
      <c r="S150" s="472"/>
      <c r="T150" s="472"/>
      <c r="U150" s="472"/>
      <c r="V150" s="472"/>
      <c r="W150" s="472"/>
      <c r="X150" s="472"/>
      <c r="Y150" s="472"/>
      <c r="Z150" s="472"/>
    </row>
    <row r="151" spans="1:26" ht="14.25" customHeight="1">
      <c r="A151" s="472"/>
      <c r="B151" s="472"/>
      <c r="C151" s="472"/>
      <c r="D151" s="472"/>
      <c r="E151" s="531" t="s">
        <v>1030</v>
      </c>
      <c r="F151" s="472"/>
      <c r="G151" s="472" t="str">
        <f>IF(Application!T189="","",Application!T189)</f>
        <v>San Diego</v>
      </c>
      <c r="H151" s="472"/>
      <c r="I151" s="472"/>
      <c r="J151" s="472"/>
      <c r="K151" s="471"/>
      <c r="L151" s="472"/>
      <c r="M151" s="472"/>
      <c r="N151" s="472"/>
      <c r="O151" s="472"/>
      <c r="P151" s="472"/>
      <c r="Q151" s="472"/>
      <c r="R151" s="472"/>
      <c r="S151" s="472"/>
      <c r="T151" s="472"/>
      <c r="U151" s="472"/>
      <c r="V151" s="472"/>
      <c r="W151" s="472"/>
      <c r="X151" s="472"/>
      <c r="Y151" s="472"/>
      <c r="Z151" s="472"/>
    </row>
    <row r="152" spans="1:26" ht="14.25" customHeight="1">
      <c r="A152" s="472"/>
      <c r="B152" s="472"/>
      <c r="C152" s="472"/>
      <c r="D152" s="472"/>
      <c r="E152" s="531"/>
      <c r="F152" s="472"/>
      <c r="G152" s="633"/>
      <c r="H152" s="472"/>
      <c r="I152" s="472"/>
      <c r="J152" s="472"/>
      <c r="K152" s="471"/>
      <c r="L152" s="472"/>
      <c r="M152" s="472"/>
      <c r="N152" s="472"/>
      <c r="O152" s="472"/>
      <c r="P152" s="472"/>
      <c r="Q152" s="472"/>
      <c r="R152" s="472"/>
      <c r="S152" s="472"/>
      <c r="T152" s="472"/>
      <c r="U152" s="472"/>
      <c r="V152" s="472"/>
      <c r="W152" s="472"/>
      <c r="X152" s="472"/>
      <c r="Y152" s="472"/>
      <c r="Z152" s="472"/>
    </row>
    <row r="153" spans="1:26" ht="14.25" customHeight="1">
      <c r="A153" s="472"/>
      <c r="B153" s="472"/>
      <c r="C153" s="472"/>
      <c r="D153" s="472"/>
      <c r="E153" s="531" t="str">
        <f>"2-Bedroom "&amp;G151&amp;" County Basis Limit"</f>
        <v>2-Bedroom San Diego County Basis Limit</v>
      </c>
      <c r="F153" s="472"/>
      <c r="G153" s="633">
        <f>Application!R995</f>
        <v>545600</v>
      </c>
      <c r="H153" s="472"/>
      <c r="I153" s="472"/>
      <c r="J153" s="472"/>
      <c r="K153" s="471"/>
      <c r="L153" s="472"/>
      <c r="M153" s="472"/>
      <c r="N153" s="472"/>
      <c r="O153" s="472"/>
      <c r="P153" s="472"/>
      <c r="Q153" s="472"/>
      <c r="R153" s="472"/>
      <c r="S153" s="472"/>
      <c r="T153" s="472"/>
      <c r="U153" s="472"/>
      <c r="V153" s="472"/>
      <c r="W153" s="472"/>
      <c r="X153" s="472"/>
      <c r="Y153" s="472"/>
      <c r="Z153" s="472"/>
    </row>
    <row r="154" spans="1:26" ht="14.25" customHeight="1">
      <c r="A154" s="472"/>
      <c r="B154" s="472"/>
      <c r="C154" s="472"/>
      <c r="D154" s="472"/>
      <c r="E154" s="531" t="s">
        <v>2319</v>
      </c>
      <c r="F154" s="472"/>
      <c r="G154" s="633">
        <f>MEDIAN((Application!CU160:CU217))</f>
        <v>560000</v>
      </c>
      <c r="H154" s="472"/>
      <c r="I154" s="472"/>
      <c r="J154" s="472"/>
      <c r="K154" s="471"/>
      <c r="L154" s="472"/>
      <c r="M154" s="472"/>
      <c r="N154" s="472"/>
      <c r="O154" s="472"/>
      <c r="P154" s="472"/>
      <c r="Q154" s="472"/>
      <c r="R154" s="472"/>
      <c r="S154" s="472"/>
      <c r="T154" s="472"/>
      <c r="U154" s="472"/>
      <c r="V154" s="472"/>
      <c r="W154" s="472"/>
      <c r="X154" s="472"/>
      <c r="Y154" s="472"/>
      <c r="Z154" s="472"/>
    </row>
    <row r="155" spans="1:26" ht="14.25" customHeight="1">
      <c r="A155" s="472"/>
      <c r="B155" s="472"/>
      <c r="C155" s="472"/>
      <c r="D155" s="474"/>
      <c r="E155" s="603" t="s">
        <v>2320</v>
      </c>
      <c r="F155" s="694"/>
      <c r="G155" s="695">
        <f>((G153-G154)/G154)*0.25</f>
        <v>-6.4285714285714285E-3</v>
      </c>
      <c r="H155" s="109"/>
      <c r="I155" s="109"/>
      <c r="J155" s="472"/>
      <c r="K155" s="471"/>
      <c r="L155" s="472"/>
      <c r="M155" s="472"/>
      <c r="N155" s="472"/>
      <c r="O155" s="472"/>
      <c r="P155" s="472"/>
      <c r="Q155" s="472"/>
      <c r="R155" s="472"/>
      <c r="S155" s="472"/>
      <c r="T155" s="472"/>
      <c r="U155" s="472"/>
      <c r="V155" s="472"/>
      <c r="W155" s="472"/>
      <c r="X155" s="472"/>
      <c r="Y155" s="472"/>
      <c r="Z155" s="472"/>
    </row>
    <row r="156" spans="1:26" ht="14.25" customHeight="1">
      <c r="A156" s="472"/>
      <c r="B156" s="472"/>
      <c r="C156" s="472"/>
      <c r="D156" s="471"/>
      <c r="E156" s="471"/>
      <c r="F156" s="472"/>
      <c r="G156" s="472"/>
      <c r="H156" s="472"/>
      <c r="I156" s="472"/>
      <c r="J156" s="472"/>
      <c r="K156" s="471"/>
      <c r="L156" s="472"/>
      <c r="M156" s="472"/>
      <c r="N156" s="472"/>
      <c r="O156" s="472"/>
      <c r="P156" s="472"/>
      <c r="Q156" s="472"/>
      <c r="R156" s="472"/>
      <c r="S156" s="472"/>
      <c r="T156" s="472"/>
      <c r="U156" s="472"/>
      <c r="V156" s="472"/>
      <c r="W156" s="472"/>
      <c r="X156" s="472"/>
      <c r="Y156" s="472"/>
      <c r="Z156" s="472"/>
    </row>
    <row r="157" spans="1:26" ht="14.25" customHeight="1">
      <c r="A157" s="472"/>
      <c r="B157" s="535" t="s">
        <v>2321</v>
      </c>
      <c r="C157" s="536"/>
      <c r="D157" s="536"/>
      <c r="E157" s="536"/>
      <c r="F157" s="536"/>
      <c r="G157" s="536"/>
      <c r="H157" s="536"/>
      <c r="I157" s="537"/>
      <c r="J157" s="472"/>
      <c r="K157" s="471"/>
      <c r="L157" s="472"/>
      <c r="M157" s="472"/>
      <c r="N157" s="472"/>
      <c r="O157" s="472"/>
      <c r="P157" s="472"/>
      <c r="Q157" s="472"/>
      <c r="R157" s="472"/>
      <c r="S157" s="472"/>
      <c r="T157" s="472"/>
      <c r="U157" s="472"/>
      <c r="V157" s="472"/>
      <c r="W157" s="472"/>
      <c r="X157" s="472"/>
      <c r="Y157" s="472"/>
      <c r="Z157" s="472"/>
    </row>
    <row r="158" spans="1:26" ht="14.25" customHeight="1">
      <c r="A158" s="472"/>
      <c r="B158" s="472"/>
      <c r="C158" s="472"/>
      <c r="D158" s="472"/>
      <c r="E158" s="472"/>
      <c r="F158" s="472"/>
      <c r="G158" s="472"/>
      <c r="H158" s="472"/>
      <c r="I158" s="472"/>
      <c r="J158" s="472"/>
      <c r="K158" s="471"/>
      <c r="L158" s="472"/>
      <c r="M158" s="472"/>
      <c r="N158" s="472"/>
      <c r="O158" s="472"/>
      <c r="P158" s="472"/>
      <c r="Q158" s="472"/>
      <c r="R158" s="472"/>
      <c r="S158" s="472"/>
      <c r="T158" s="472"/>
      <c r="U158" s="472"/>
      <c r="V158" s="472"/>
      <c r="W158" s="472"/>
      <c r="X158" s="472"/>
      <c r="Y158" s="472"/>
      <c r="Z158" s="472"/>
    </row>
    <row r="159" spans="1:26" ht="14.25" customHeight="1">
      <c r="A159" s="472"/>
      <c r="B159" s="472"/>
      <c r="C159" s="472"/>
      <c r="D159" s="472"/>
      <c r="E159" s="531" t="s">
        <v>2171</v>
      </c>
      <c r="F159" s="472"/>
      <c r="G159" s="472" t="b">
        <f>G37</f>
        <v>1</v>
      </c>
      <c r="H159" s="472"/>
      <c r="I159" s="472"/>
      <c r="J159" s="472"/>
      <c r="K159" s="471"/>
      <c r="L159" s="472"/>
      <c r="M159" s="472"/>
      <c r="N159" s="472"/>
      <c r="O159" s="472"/>
      <c r="P159" s="472"/>
      <c r="Q159" s="472"/>
      <c r="R159" s="472"/>
      <c r="S159" s="472"/>
      <c r="T159" s="472"/>
      <c r="U159" s="472"/>
      <c r="V159" s="472"/>
      <c r="W159" s="472"/>
      <c r="X159" s="472"/>
      <c r="Y159" s="472"/>
      <c r="Z159" s="472"/>
    </row>
    <row r="160" spans="1:26" ht="14.25" customHeight="1">
      <c r="A160" s="472"/>
      <c r="B160" s="472"/>
      <c r="C160" s="1483" t="s">
        <v>2322</v>
      </c>
      <c r="D160" s="893"/>
      <c r="E160" s="893"/>
      <c r="F160" s="893"/>
      <c r="G160" s="472"/>
      <c r="H160" s="472"/>
      <c r="I160" s="472"/>
      <c r="J160" s="472"/>
      <c r="K160" s="471"/>
      <c r="L160" s="472"/>
      <c r="M160" s="472"/>
      <c r="N160" s="472"/>
      <c r="O160" s="472"/>
      <c r="P160" s="472"/>
      <c r="Q160" s="472"/>
      <c r="R160" s="472"/>
      <c r="S160" s="472"/>
      <c r="T160" s="472"/>
      <c r="U160" s="472"/>
      <c r="V160" s="472"/>
      <c r="W160" s="472"/>
      <c r="X160" s="472"/>
      <c r="Y160" s="472"/>
      <c r="Z160" s="472"/>
    </row>
    <row r="161" spans="1:26" ht="14.25" customHeight="1">
      <c r="A161" s="472"/>
      <c r="B161" s="471"/>
      <c r="C161" s="893"/>
      <c r="D161" s="893"/>
      <c r="E161" s="893"/>
      <c r="F161" s="893"/>
      <c r="G161" s="678"/>
      <c r="H161" s="472"/>
      <c r="I161" s="472"/>
      <c r="J161" s="472"/>
      <c r="K161" s="471"/>
      <c r="L161" s="472"/>
      <c r="M161" s="472"/>
      <c r="N161" s="472"/>
      <c r="O161" s="472"/>
      <c r="P161" s="472"/>
      <c r="Q161" s="472"/>
      <c r="R161" s="472"/>
      <c r="S161" s="472"/>
      <c r="T161" s="472"/>
      <c r="U161" s="472"/>
      <c r="V161" s="472"/>
      <c r="W161" s="472"/>
      <c r="X161" s="472"/>
      <c r="Y161" s="472"/>
      <c r="Z161" s="472"/>
    </row>
    <row r="162" spans="1:26" ht="14.25" customHeight="1">
      <c r="A162" s="472"/>
      <c r="B162" s="471"/>
      <c r="C162" s="471"/>
      <c r="D162" s="471"/>
      <c r="E162" s="471"/>
      <c r="F162" s="471"/>
      <c r="G162" s="472"/>
      <c r="H162" s="472"/>
      <c r="I162" s="472"/>
      <c r="J162" s="472"/>
      <c r="K162" s="471"/>
      <c r="L162" s="472"/>
      <c r="M162" s="472"/>
      <c r="N162" s="472"/>
      <c r="O162" s="472"/>
      <c r="P162" s="472"/>
      <c r="Q162" s="472"/>
      <c r="R162" s="472"/>
      <c r="S162" s="472"/>
      <c r="T162" s="472"/>
      <c r="U162" s="472"/>
      <c r="V162" s="472"/>
      <c r="W162" s="472"/>
      <c r="X162" s="472"/>
      <c r="Y162" s="472"/>
      <c r="Z162" s="472"/>
    </row>
    <row r="163" spans="1:26" ht="14.25" customHeight="1">
      <c r="A163" s="472"/>
      <c r="B163" s="472"/>
      <c r="C163" s="472"/>
      <c r="D163" s="472"/>
      <c r="E163" s="531" t="s">
        <v>2323</v>
      </c>
      <c r="F163" s="472"/>
      <c r="G163" s="696"/>
      <c r="H163" s="472"/>
      <c r="I163" s="472"/>
      <c r="J163" s="472"/>
      <c r="K163" s="471"/>
      <c r="L163" s="472"/>
      <c r="M163" s="472"/>
      <c r="N163" s="472"/>
      <c r="O163" s="472"/>
      <c r="P163" s="472"/>
      <c r="Q163" s="472"/>
      <c r="R163" s="472"/>
      <c r="S163" s="472"/>
      <c r="T163" s="472"/>
      <c r="U163" s="472"/>
      <c r="V163" s="472"/>
      <c r="W163" s="472"/>
      <c r="X163" s="472"/>
      <c r="Y163" s="472"/>
      <c r="Z163" s="472"/>
    </row>
    <row r="164" spans="1:26" ht="14.25" customHeight="1">
      <c r="A164" s="472"/>
      <c r="B164" s="472"/>
      <c r="C164" s="472"/>
      <c r="D164" s="472"/>
      <c r="E164" s="472"/>
      <c r="F164" s="472"/>
      <c r="G164" s="472"/>
      <c r="H164" s="472"/>
      <c r="I164" s="472"/>
      <c r="J164" s="472"/>
      <c r="K164" s="471"/>
      <c r="L164" s="472"/>
      <c r="M164" s="472"/>
      <c r="N164" s="472"/>
      <c r="O164" s="472"/>
      <c r="P164" s="472"/>
      <c r="Q164" s="472"/>
      <c r="R164" s="472"/>
      <c r="S164" s="472"/>
      <c r="T164" s="472"/>
      <c r="U164" s="472"/>
      <c r="V164" s="472"/>
      <c r="W164" s="472"/>
      <c r="X164" s="472"/>
      <c r="Y164" s="472"/>
      <c r="Z164" s="472"/>
    </row>
    <row r="165" spans="1:26" ht="14.25" customHeight="1">
      <c r="A165" s="472"/>
      <c r="B165" s="472"/>
      <c r="C165" s="472"/>
      <c r="D165" s="472"/>
      <c r="E165" s="531" t="s">
        <v>2324</v>
      </c>
      <c r="F165" s="472"/>
      <c r="G165" s="671">
        <f>IF(I9=0,0,G163/I9)</f>
        <v>0</v>
      </c>
      <c r="H165" s="472"/>
      <c r="I165" s="472"/>
      <c r="J165" s="472"/>
      <c r="K165" s="471"/>
      <c r="L165" s="472"/>
      <c r="M165" s="472"/>
      <c r="N165" s="472"/>
      <c r="O165" s="472"/>
      <c r="P165" s="472"/>
      <c r="Q165" s="472"/>
      <c r="R165" s="472"/>
      <c r="S165" s="472"/>
      <c r="T165" s="472"/>
      <c r="U165" s="472"/>
      <c r="V165" s="472"/>
      <c r="W165" s="472"/>
      <c r="X165" s="472"/>
      <c r="Y165" s="472"/>
      <c r="Z165" s="472"/>
    </row>
    <row r="166" spans="1:26" ht="14.25" customHeight="1">
      <c r="A166" s="472"/>
      <c r="B166" s="472"/>
      <c r="C166" s="472"/>
      <c r="D166" s="472"/>
      <c r="E166" s="531" t="s">
        <v>2326</v>
      </c>
      <c r="F166" s="472"/>
      <c r="G166" s="697">
        <f>I9*0.15</f>
        <v>4262436.5999999996</v>
      </c>
      <c r="H166" s="472"/>
      <c r="I166" s="472"/>
      <c r="J166" s="472"/>
      <c r="K166" s="471"/>
      <c r="L166" s="472"/>
      <c r="M166" s="472"/>
      <c r="N166" s="472"/>
      <c r="O166" s="472"/>
      <c r="P166" s="472"/>
      <c r="Q166" s="472"/>
      <c r="R166" s="472"/>
      <c r="S166" s="472"/>
      <c r="T166" s="472"/>
      <c r="U166" s="472"/>
      <c r="V166" s="472"/>
      <c r="W166" s="472"/>
      <c r="X166" s="472"/>
      <c r="Y166" s="472"/>
      <c r="Z166" s="472"/>
    </row>
    <row r="167" spans="1:26" ht="14.25" customHeight="1">
      <c r="A167" s="472"/>
      <c r="B167" s="472"/>
      <c r="C167" s="472"/>
      <c r="D167" s="472"/>
      <c r="E167" s="472"/>
      <c r="F167" s="472"/>
      <c r="G167" s="472"/>
      <c r="H167" s="472"/>
      <c r="I167" s="472"/>
      <c r="J167" s="472"/>
      <c r="K167" s="471"/>
      <c r="L167" s="472"/>
      <c r="M167" s="472"/>
      <c r="N167" s="472"/>
      <c r="O167" s="472"/>
      <c r="P167" s="472"/>
      <c r="Q167" s="472"/>
      <c r="R167" s="472"/>
      <c r="S167" s="472"/>
      <c r="T167" s="472"/>
      <c r="U167" s="472"/>
      <c r="V167" s="472"/>
      <c r="W167" s="472"/>
      <c r="X167" s="472"/>
      <c r="Y167" s="472"/>
      <c r="Z167" s="472"/>
    </row>
    <row r="168" spans="1:26" ht="14.25" customHeight="1">
      <c r="A168" s="472"/>
      <c r="B168" s="472"/>
      <c r="C168" s="472"/>
      <c r="D168" s="472"/>
      <c r="E168" s="472"/>
      <c r="F168" s="472"/>
      <c r="G168" s="472"/>
      <c r="H168" s="472"/>
      <c r="I168" s="472"/>
      <c r="J168" s="472"/>
      <c r="K168" s="471"/>
      <c r="L168" s="472"/>
      <c r="M168" s="472"/>
      <c r="N168" s="472"/>
      <c r="O168" s="472"/>
      <c r="P168" s="472"/>
      <c r="Q168" s="472"/>
      <c r="R168" s="472"/>
      <c r="S168" s="472"/>
      <c r="T168" s="472"/>
      <c r="U168" s="472"/>
      <c r="V168" s="472"/>
      <c r="W168" s="472"/>
      <c r="X168" s="472"/>
      <c r="Y168" s="472"/>
      <c r="Z168" s="472"/>
    </row>
    <row r="169" spans="1:26" ht="14.25" customHeight="1">
      <c r="A169" s="472"/>
      <c r="B169" s="472"/>
      <c r="C169" s="472"/>
      <c r="D169" s="472"/>
      <c r="E169" s="472"/>
      <c r="F169" s="472"/>
      <c r="G169" s="472"/>
      <c r="H169" s="472"/>
      <c r="I169" s="472"/>
      <c r="J169" s="472"/>
      <c r="K169" s="471"/>
      <c r="L169" s="472"/>
      <c r="M169" s="472"/>
      <c r="N169" s="472"/>
      <c r="O169" s="472"/>
      <c r="P169" s="472"/>
      <c r="Q169" s="472"/>
      <c r="R169" s="472"/>
      <c r="S169" s="472"/>
      <c r="T169" s="472"/>
      <c r="U169" s="472"/>
      <c r="V169" s="472"/>
      <c r="W169" s="472"/>
      <c r="X169" s="472"/>
      <c r="Y169" s="472"/>
      <c r="Z169" s="472"/>
    </row>
    <row r="170" spans="1:26" ht="14.25" customHeight="1">
      <c r="A170" s="472"/>
      <c r="B170" s="472"/>
      <c r="C170" s="472"/>
      <c r="D170" s="472"/>
      <c r="E170" s="472"/>
      <c r="F170" s="472"/>
      <c r="G170" s="472"/>
      <c r="H170" s="472"/>
      <c r="I170" s="472"/>
      <c r="J170" s="472"/>
      <c r="K170" s="471"/>
      <c r="L170" s="472"/>
      <c r="M170" s="472"/>
      <c r="N170" s="472"/>
      <c r="O170" s="472"/>
      <c r="P170" s="472"/>
      <c r="Q170" s="472"/>
      <c r="R170" s="472"/>
      <c r="S170" s="472"/>
      <c r="T170" s="472"/>
      <c r="U170" s="472"/>
      <c r="V170" s="472"/>
      <c r="W170" s="472"/>
      <c r="X170" s="472"/>
      <c r="Y170" s="472"/>
      <c r="Z170" s="472"/>
    </row>
    <row r="171" spans="1:26" ht="14.25" customHeight="1">
      <c r="A171" s="472"/>
      <c r="B171" s="472"/>
      <c r="C171" s="472"/>
      <c r="D171" s="472"/>
      <c r="E171" s="472"/>
      <c r="F171" s="472"/>
      <c r="G171" s="472"/>
      <c r="H171" s="472"/>
      <c r="I171" s="472"/>
      <c r="J171" s="472"/>
      <c r="K171" s="471"/>
      <c r="L171" s="472"/>
      <c r="M171" s="472"/>
      <c r="N171" s="472"/>
      <c r="O171" s="472"/>
      <c r="P171" s="472"/>
      <c r="Q171" s="472"/>
      <c r="R171" s="472"/>
      <c r="S171" s="472"/>
      <c r="T171" s="472"/>
      <c r="U171" s="472"/>
      <c r="V171" s="472"/>
      <c r="W171" s="472"/>
      <c r="X171" s="472"/>
      <c r="Y171" s="472"/>
      <c r="Z171" s="472"/>
    </row>
    <row r="172" spans="1:26" ht="14.25" customHeight="1">
      <c r="A172" s="472"/>
      <c r="B172" s="472"/>
      <c r="C172" s="472"/>
      <c r="D172" s="472"/>
      <c r="E172" s="472"/>
      <c r="F172" s="472"/>
      <c r="G172" s="472"/>
      <c r="H172" s="472"/>
      <c r="I172" s="472"/>
      <c r="J172" s="472"/>
      <c r="K172" s="471"/>
      <c r="L172" s="472"/>
      <c r="M172" s="472"/>
      <c r="N172" s="472"/>
      <c r="O172" s="472"/>
      <c r="P172" s="472"/>
      <c r="Q172" s="472"/>
      <c r="R172" s="472"/>
      <c r="S172" s="472"/>
      <c r="T172" s="472"/>
      <c r="U172" s="472"/>
      <c r="V172" s="472"/>
      <c r="W172" s="472"/>
      <c r="X172" s="472"/>
      <c r="Y172" s="472"/>
      <c r="Z172" s="472"/>
    </row>
    <row r="173" spans="1:26" ht="14.25" customHeight="1">
      <c r="A173" s="472"/>
      <c r="B173" s="472"/>
      <c r="C173" s="472"/>
      <c r="D173" s="472"/>
      <c r="E173" s="472"/>
      <c r="F173" s="472"/>
      <c r="G173" s="472"/>
      <c r="H173" s="472"/>
      <c r="I173" s="472"/>
      <c r="J173" s="472"/>
      <c r="K173" s="471"/>
      <c r="L173" s="472"/>
      <c r="M173" s="472"/>
      <c r="N173" s="472"/>
      <c r="O173" s="472"/>
      <c r="P173" s="472"/>
      <c r="Q173" s="472"/>
      <c r="R173" s="472"/>
      <c r="S173" s="472"/>
      <c r="T173" s="472"/>
      <c r="U173" s="472"/>
      <c r="V173" s="472"/>
      <c r="W173" s="472"/>
      <c r="X173" s="472"/>
      <c r="Y173" s="472"/>
      <c r="Z173" s="472"/>
    </row>
    <row r="174" spans="1:26" ht="14.25" customHeight="1">
      <c r="A174" s="472"/>
      <c r="B174" s="472"/>
      <c r="C174" s="472"/>
      <c r="D174" s="472"/>
      <c r="E174" s="472"/>
      <c r="F174" s="472"/>
      <c r="G174" s="472"/>
      <c r="H174" s="472"/>
      <c r="I174" s="472"/>
      <c r="J174" s="472"/>
      <c r="K174" s="471"/>
      <c r="L174" s="472"/>
      <c r="M174" s="472"/>
      <c r="N174" s="472"/>
      <c r="O174" s="472"/>
      <c r="P174" s="472"/>
      <c r="Q174" s="472"/>
      <c r="R174" s="472"/>
      <c r="S174" s="472"/>
      <c r="T174" s="472"/>
      <c r="U174" s="472"/>
      <c r="V174" s="472"/>
      <c r="W174" s="472"/>
      <c r="X174" s="472"/>
      <c r="Y174" s="472"/>
      <c r="Z174" s="472"/>
    </row>
    <row r="175" spans="1:26" ht="14.25" customHeight="1">
      <c r="A175" s="472"/>
      <c r="B175" s="472"/>
      <c r="C175" s="472"/>
      <c r="D175" s="472"/>
      <c r="E175" s="472"/>
      <c r="F175" s="472"/>
      <c r="G175" s="472"/>
      <c r="H175" s="472"/>
      <c r="I175" s="472"/>
      <c r="J175" s="472"/>
      <c r="K175" s="471"/>
      <c r="L175" s="472"/>
      <c r="M175" s="472"/>
      <c r="N175" s="472"/>
      <c r="O175" s="472"/>
      <c r="P175" s="472"/>
      <c r="Q175" s="472"/>
      <c r="R175" s="472"/>
      <c r="S175" s="472"/>
      <c r="T175" s="472"/>
      <c r="U175" s="472"/>
      <c r="V175" s="472"/>
      <c r="W175" s="472"/>
      <c r="X175" s="472"/>
      <c r="Y175" s="472"/>
      <c r="Z175" s="472"/>
    </row>
    <row r="176" spans="1:26" ht="14.25" customHeight="1">
      <c r="A176" s="472"/>
      <c r="B176" s="472"/>
      <c r="C176" s="472"/>
      <c r="D176" s="472"/>
      <c r="E176" s="472"/>
      <c r="F176" s="472"/>
      <c r="G176" s="472"/>
      <c r="H176" s="472"/>
      <c r="I176" s="472"/>
      <c r="J176" s="472"/>
      <c r="K176" s="471"/>
      <c r="L176" s="472"/>
      <c r="M176" s="472"/>
      <c r="N176" s="472"/>
      <c r="O176" s="472"/>
      <c r="P176" s="472"/>
      <c r="Q176" s="472"/>
      <c r="R176" s="472"/>
      <c r="S176" s="472"/>
      <c r="T176" s="472"/>
      <c r="U176" s="472"/>
      <c r="V176" s="472"/>
      <c r="W176" s="472"/>
      <c r="X176" s="472"/>
      <c r="Y176" s="472"/>
      <c r="Z176" s="472"/>
    </row>
    <row r="177" spans="1:26" ht="14.25" customHeight="1">
      <c r="A177" s="472"/>
      <c r="B177" s="472"/>
      <c r="C177" s="472"/>
      <c r="D177" s="472"/>
      <c r="E177" s="472"/>
      <c r="F177" s="472"/>
      <c r="G177" s="472"/>
      <c r="H177" s="472"/>
      <c r="I177" s="472"/>
      <c r="J177" s="472"/>
      <c r="K177" s="471"/>
      <c r="L177" s="472"/>
      <c r="M177" s="472"/>
      <c r="N177" s="472"/>
      <c r="O177" s="472"/>
      <c r="P177" s="472"/>
      <c r="Q177" s="472"/>
      <c r="R177" s="472"/>
      <c r="S177" s="472"/>
      <c r="T177" s="472"/>
      <c r="U177" s="472"/>
      <c r="V177" s="472"/>
      <c r="W177" s="472"/>
      <c r="X177" s="472"/>
      <c r="Y177" s="472"/>
      <c r="Z177" s="472"/>
    </row>
    <row r="178" spans="1:26" ht="14.25" customHeight="1">
      <c r="A178" s="472"/>
      <c r="B178" s="472"/>
      <c r="C178" s="472"/>
      <c r="D178" s="472"/>
      <c r="E178" s="472"/>
      <c r="F178" s="472"/>
      <c r="G178" s="472"/>
      <c r="H178" s="472"/>
      <c r="I178" s="472"/>
      <c r="J178" s="472"/>
      <c r="K178" s="471"/>
      <c r="L178" s="472"/>
      <c r="M178" s="472"/>
      <c r="N178" s="472"/>
      <c r="O178" s="472"/>
      <c r="P178" s="472"/>
      <c r="Q178" s="472"/>
      <c r="R178" s="472"/>
      <c r="S178" s="472"/>
      <c r="T178" s="472"/>
      <c r="U178" s="472"/>
      <c r="V178" s="472"/>
      <c r="W178" s="472"/>
      <c r="X178" s="472"/>
      <c r="Y178" s="472"/>
      <c r="Z178" s="472"/>
    </row>
    <row r="179" spans="1:26" ht="14.25" customHeight="1">
      <c r="A179" s="472"/>
      <c r="B179" s="472"/>
      <c r="C179" s="472"/>
      <c r="D179" s="472"/>
      <c r="E179" s="472"/>
      <c r="F179" s="472"/>
      <c r="G179" s="472"/>
      <c r="H179" s="472"/>
      <c r="I179" s="472"/>
      <c r="J179" s="472"/>
      <c r="K179" s="471"/>
      <c r="L179" s="472"/>
      <c r="M179" s="472"/>
      <c r="N179" s="472"/>
      <c r="O179" s="472"/>
      <c r="P179" s="472"/>
      <c r="Q179" s="472"/>
      <c r="R179" s="472"/>
      <c r="S179" s="472"/>
      <c r="T179" s="472"/>
      <c r="U179" s="472"/>
      <c r="V179" s="472"/>
      <c r="W179" s="472"/>
      <c r="X179" s="472"/>
      <c r="Y179" s="472"/>
      <c r="Z179" s="472"/>
    </row>
    <row r="180" spans="1:26" ht="14.25" customHeight="1">
      <c r="A180" s="472"/>
      <c r="B180" s="472"/>
      <c r="C180" s="472"/>
      <c r="D180" s="472"/>
      <c r="E180" s="472"/>
      <c r="F180" s="472"/>
      <c r="G180" s="472"/>
      <c r="H180" s="472"/>
      <c r="I180" s="472"/>
      <c r="J180" s="472"/>
      <c r="K180" s="471"/>
      <c r="L180" s="472"/>
      <c r="M180" s="472"/>
      <c r="N180" s="472"/>
      <c r="O180" s="472"/>
      <c r="P180" s="472"/>
      <c r="Q180" s="472"/>
      <c r="R180" s="472"/>
      <c r="S180" s="472"/>
      <c r="T180" s="472"/>
      <c r="U180" s="472"/>
      <c r="V180" s="472"/>
      <c r="W180" s="472"/>
      <c r="X180" s="472"/>
      <c r="Y180" s="472"/>
      <c r="Z180" s="472"/>
    </row>
    <row r="181" spans="1:26" ht="14.25" customHeight="1">
      <c r="A181" s="472"/>
      <c r="B181" s="472"/>
      <c r="C181" s="472"/>
      <c r="D181" s="472"/>
      <c r="E181" s="472"/>
      <c r="F181" s="472"/>
      <c r="G181" s="472"/>
      <c r="H181" s="472"/>
      <c r="I181" s="472"/>
      <c r="J181" s="472"/>
      <c r="K181" s="471"/>
      <c r="L181" s="472"/>
      <c r="M181" s="472"/>
      <c r="N181" s="472"/>
      <c r="O181" s="472"/>
      <c r="P181" s="472"/>
      <c r="Q181" s="472"/>
      <c r="R181" s="472"/>
      <c r="S181" s="472"/>
      <c r="T181" s="472"/>
      <c r="U181" s="472"/>
      <c r="V181" s="472"/>
      <c r="W181" s="472"/>
      <c r="X181" s="472"/>
      <c r="Y181" s="472"/>
      <c r="Z181" s="472"/>
    </row>
    <row r="182" spans="1:26" ht="14.25" customHeight="1">
      <c r="A182" s="472"/>
      <c r="B182" s="472"/>
      <c r="C182" s="472"/>
      <c r="D182" s="472"/>
      <c r="E182" s="472"/>
      <c r="F182" s="472"/>
      <c r="G182" s="472"/>
      <c r="H182" s="472"/>
      <c r="I182" s="472"/>
      <c r="J182" s="472"/>
      <c r="K182" s="471"/>
      <c r="L182" s="472"/>
      <c r="M182" s="472"/>
      <c r="N182" s="472"/>
      <c r="O182" s="472"/>
      <c r="P182" s="472"/>
      <c r="Q182" s="472"/>
      <c r="R182" s="472"/>
      <c r="S182" s="472"/>
      <c r="T182" s="472"/>
      <c r="U182" s="472"/>
      <c r="V182" s="472"/>
      <c r="W182" s="472"/>
      <c r="X182" s="472"/>
      <c r="Y182" s="472"/>
      <c r="Z182" s="472"/>
    </row>
    <row r="183" spans="1:26" ht="14.25" customHeight="1">
      <c r="A183" s="472"/>
      <c r="B183" s="472"/>
      <c r="C183" s="472"/>
      <c r="D183" s="472"/>
      <c r="E183" s="472"/>
      <c r="F183" s="472"/>
      <c r="G183" s="472"/>
      <c r="H183" s="472"/>
      <c r="I183" s="472"/>
      <c r="J183" s="472"/>
      <c r="K183" s="471"/>
      <c r="L183" s="472"/>
      <c r="M183" s="472"/>
      <c r="N183" s="472"/>
      <c r="O183" s="472"/>
      <c r="P183" s="472"/>
      <c r="Q183" s="472"/>
      <c r="R183" s="472"/>
      <c r="S183" s="472"/>
      <c r="T183" s="472"/>
      <c r="U183" s="472"/>
      <c r="V183" s="472"/>
      <c r="W183" s="472"/>
      <c r="X183" s="472"/>
      <c r="Y183" s="472"/>
      <c r="Z183" s="472"/>
    </row>
    <row r="184" spans="1:26" ht="14.25" customHeight="1">
      <c r="A184" s="472"/>
      <c r="B184" s="472"/>
      <c r="C184" s="472"/>
      <c r="D184" s="472"/>
      <c r="E184" s="472"/>
      <c r="F184" s="472"/>
      <c r="G184" s="472"/>
      <c r="H184" s="472"/>
      <c r="I184" s="472"/>
      <c r="J184" s="472"/>
      <c r="K184" s="471"/>
      <c r="L184" s="472"/>
      <c r="M184" s="472"/>
      <c r="N184" s="472"/>
      <c r="O184" s="472"/>
      <c r="P184" s="472"/>
      <c r="Q184" s="472"/>
      <c r="R184" s="472"/>
      <c r="S184" s="472"/>
      <c r="T184" s="472"/>
      <c r="U184" s="472"/>
      <c r="V184" s="472"/>
      <c r="W184" s="472"/>
      <c r="X184" s="472"/>
      <c r="Y184" s="472"/>
      <c r="Z184" s="472"/>
    </row>
    <row r="185" spans="1:26" ht="14.25" customHeight="1">
      <c r="A185" s="472"/>
      <c r="B185" s="472"/>
      <c r="C185" s="472"/>
      <c r="D185" s="472"/>
      <c r="E185" s="472"/>
      <c r="F185" s="472"/>
      <c r="G185" s="472"/>
      <c r="H185" s="472"/>
      <c r="I185" s="472"/>
      <c r="J185" s="472"/>
      <c r="K185" s="471"/>
      <c r="L185" s="472"/>
      <c r="M185" s="472"/>
      <c r="N185" s="472"/>
      <c r="O185" s="472"/>
      <c r="P185" s="472"/>
      <c r="Q185" s="472"/>
      <c r="R185" s="472"/>
      <c r="S185" s="472"/>
      <c r="T185" s="472"/>
      <c r="U185" s="472"/>
      <c r="V185" s="472"/>
      <c r="W185" s="472"/>
      <c r="X185" s="472"/>
      <c r="Y185" s="472"/>
      <c r="Z185" s="472"/>
    </row>
    <row r="186" spans="1:26" ht="14.25" customHeight="1">
      <c r="A186" s="472"/>
      <c r="B186" s="472"/>
      <c r="C186" s="472"/>
      <c r="D186" s="472"/>
      <c r="E186" s="472"/>
      <c r="F186" s="472"/>
      <c r="G186" s="472"/>
      <c r="H186" s="472"/>
      <c r="I186" s="472"/>
      <c r="J186" s="472"/>
      <c r="K186" s="471"/>
      <c r="L186" s="472"/>
      <c r="M186" s="472"/>
      <c r="N186" s="472"/>
      <c r="O186" s="472"/>
      <c r="P186" s="472"/>
      <c r="Q186" s="472"/>
      <c r="R186" s="472"/>
      <c r="S186" s="472"/>
      <c r="T186" s="472"/>
      <c r="U186" s="472"/>
      <c r="V186" s="472"/>
      <c r="W186" s="472"/>
      <c r="X186" s="472"/>
      <c r="Y186" s="472"/>
      <c r="Z186" s="472"/>
    </row>
    <row r="187" spans="1:26" ht="14.25" customHeight="1">
      <c r="A187" s="472"/>
      <c r="B187" s="472"/>
      <c r="C187" s="472"/>
      <c r="D187" s="472"/>
      <c r="E187" s="472"/>
      <c r="F187" s="472"/>
      <c r="G187" s="472"/>
      <c r="H187" s="472"/>
      <c r="I187" s="472"/>
      <c r="J187" s="472"/>
      <c r="K187" s="471"/>
      <c r="L187" s="472"/>
      <c r="M187" s="472"/>
      <c r="N187" s="472"/>
      <c r="O187" s="472"/>
      <c r="P187" s="472"/>
      <c r="Q187" s="472"/>
      <c r="R187" s="472"/>
      <c r="S187" s="472"/>
      <c r="T187" s="472"/>
      <c r="U187" s="472"/>
      <c r="V187" s="472"/>
      <c r="W187" s="472"/>
      <c r="X187" s="472"/>
      <c r="Y187" s="472"/>
      <c r="Z187" s="472"/>
    </row>
    <row r="188" spans="1:26" ht="14.25" customHeight="1">
      <c r="A188" s="472"/>
      <c r="B188" s="472"/>
      <c r="C188" s="472"/>
      <c r="D188" s="472"/>
      <c r="E188" s="472"/>
      <c r="F188" s="472"/>
      <c r="G188" s="472"/>
      <c r="H188" s="472"/>
      <c r="I188" s="472"/>
      <c r="J188" s="472"/>
      <c r="K188" s="471"/>
      <c r="L188" s="472"/>
      <c r="M188" s="472"/>
      <c r="N188" s="472"/>
      <c r="O188" s="472"/>
      <c r="P188" s="472"/>
      <c r="Q188" s="472"/>
      <c r="R188" s="472"/>
      <c r="S188" s="472"/>
      <c r="T188" s="472"/>
      <c r="U188" s="472"/>
      <c r="V188" s="472"/>
      <c r="W188" s="472"/>
      <c r="X188" s="472"/>
      <c r="Y188" s="472"/>
      <c r="Z188" s="472"/>
    </row>
    <row r="189" spans="1:26" ht="14.25" customHeight="1">
      <c r="A189" s="472"/>
      <c r="B189" s="472"/>
      <c r="C189" s="472"/>
      <c r="D189" s="472"/>
      <c r="E189" s="472"/>
      <c r="F189" s="472"/>
      <c r="G189" s="472"/>
      <c r="H189" s="472"/>
      <c r="I189" s="472"/>
      <c r="J189" s="472"/>
      <c r="K189" s="471"/>
      <c r="L189" s="472"/>
      <c r="M189" s="472"/>
      <c r="N189" s="472"/>
      <c r="O189" s="472"/>
      <c r="P189" s="472"/>
      <c r="Q189" s="472"/>
      <c r="R189" s="472"/>
      <c r="S189" s="472"/>
      <c r="T189" s="472"/>
      <c r="U189" s="472"/>
      <c r="V189" s="472"/>
      <c r="W189" s="472"/>
      <c r="X189" s="472"/>
      <c r="Y189" s="472"/>
      <c r="Z189" s="472"/>
    </row>
    <row r="190" spans="1:26" ht="14.25" customHeight="1">
      <c r="A190" s="472"/>
      <c r="B190" s="472"/>
      <c r="C190" s="472"/>
      <c r="D190" s="472"/>
      <c r="E190" s="472"/>
      <c r="F190" s="472"/>
      <c r="G190" s="472"/>
      <c r="H190" s="472"/>
      <c r="I190" s="472"/>
      <c r="J190" s="472"/>
      <c r="K190" s="471"/>
      <c r="L190" s="472"/>
      <c r="M190" s="472"/>
      <c r="N190" s="472"/>
      <c r="O190" s="472"/>
      <c r="P190" s="472"/>
      <c r="Q190" s="472"/>
      <c r="R190" s="472"/>
      <c r="S190" s="472"/>
      <c r="T190" s="472"/>
      <c r="U190" s="472"/>
      <c r="V190" s="472"/>
      <c r="W190" s="472"/>
      <c r="X190" s="472"/>
      <c r="Y190" s="472"/>
      <c r="Z190" s="472"/>
    </row>
    <row r="191" spans="1:26" ht="14.25" customHeight="1">
      <c r="A191" s="472"/>
      <c r="B191" s="472"/>
      <c r="C191" s="472"/>
      <c r="D191" s="472"/>
      <c r="E191" s="472"/>
      <c r="F191" s="472"/>
      <c r="G191" s="472"/>
      <c r="H191" s="472"/>
      <c r="I191" s="472"/>
      <c r="J191" s="472"/>
      <c r="K191" s="471"/>
      <c r="L191" s="472"/>
      <c r="M191" s="472"/>
      <c r="N191" s="472"/>
      <c r="O191" s="472"/>
      <c r="P191" s="472"/>
      <c r="Q191" s="472"/>
      <c r="R191" s="472"/>
      <c r="S191" s="472"/>
      <c r="T191" s="472"/>
      <c r="U191" s="472"/>
      <c r="V191" s="472"/>
      <c r="W191" s="472"/>
      <c r="X191" s="472"/>
      <c r="Y191" s="472"/>
      <c r="Z191" s="472"/>
    </row>
    <row r="192" spans="1:26" ht="14.25" customHeight="1">
      <c r="A192" s="472"/>
      <c r="B192" s="472"/>
      <c r="C192" s="472"/>
      <c r="D192" s="472"/>
      <c r="E192" s="472"/>
      <c r="F192" s="472"/>
      <c r="G192" s="472"/>
      <c r="H192" s="472"/>
      <c r="I192" s="472"/>
      <c r="J192" s="472"/>
      <c r="K192" s="471"/>
      <c r="L192" s="472"/>
      <c r="M192" s="472"/>
      <c r="N192" s="472"/>
      <c r="O192" s="472"/>
      <c r="P192" s="472"/>
      <c r="Q192" s="472"/>
      <c r="R192" s="472"/>
      <c r="S192" s="472"/>
      <c r="T192" s="472"/>
      <c r="U192" s="472"/>
      <c r="V192" s="472"/>
      <c r="W192" s="472"/>
      <c r="X192" s="472"/>
      <c r="Y192" s="472"/>
      <c r="Z192" s="472"/>
    </row>
    <row r="193" spans="1:26" ht="14.25" customHeight="1">
      <c r="A193" s="472"/>
      <c r="B193" s="472"/>
      <c r="C193" s="472"/>
      <c r="D193" s="472"/>
      <c r="E193" s="472"/>
      <c r="F193" s="472"/>
      <c r="G193" s="472"/>
      <c r="H193" s="472"/>
      <c r="I193" s="472"/>
      <c r="J193" s="472"/>
      <c r="K193" s="471"/>
      <c r="L193" s="472"/>
      <c r="M193" s="472"/>
      <c r="N193" s="472"/>
      <c r="O193" s="472"/>
      <c r="P193" s="472"/>
      <c r="Q193" s="472"/>
      <c r="R193" s="472"/>
      <c r="S193" s="472"/>
      <c r="T193" s="472"/>
      <c r="U193" s="472"/>
      <c r="V193" s="472"/>
      <c r="W193" s="472"/>
      <c r="X193" s="472"/>
      <c r="Y193" s="472"/>
      <c r="Z193" s="472"/>
    </row>
    <row r="194" spans="1:26" ht="14.25" customHeight="1">
      <c r="A194" s="472"/>
      <c r="B194" s="472"/>
      <c r="C194" s="472"/>
      <c r="D194" s="472"/>
      <c r="E194" s="472"/>
      <c r="F194" s="472"/>
      <c r="G194" s="472"/>
      <c r="H194" s="472"/>
      <c r="I194" s="472"/>
      <c r="J194" s="472"/>
      <c r="K194" s="471"/>
      <c r="L194" s="472"/>
      <c r="M194" s="472"/>
      <c r="N194" s="472"/>
      <c r="O194" s="472"/>
      <c r="P194" s="472"/>
      <c r="Q194" s="472"/>
      <c r="R194" s="472"/>
      <c r="S194" s="472"/>
      <c r="T194" s="472"/>
      <c r="U194" s="472"/>
      <c r="V194" s="472"/>
      <c r="W194" s="472"/>
      <c r="X194" s="472"/>
      <c r="Y194" s="472"/>
      <c r="Z194" s="472"/>
    </row>
    <row r="195" spans="1:26" ht="14.25" customHeight="1">
      <c r="A195" s="472"/>
      <c r="B195" s="472"/>
      <c r="C195" s="472"/>
      <c r="D195" s="472"/>
      <c r="E195" s="472"/>
      <c r="F195" s="472"/>
      <c r="G195" s="472"/>
      <c r="H195" s="472"/>
      <c r="I195" s="472"/>
      <c r="J195" s="472"/>
      <c r="K195" s="471"/>
      <c r="L195" s="472"/>
      <c r="M195" s="472"/>
      <c r="N195" s="472"/>
      <c r="O195" s="472"/>
      <c r="P195" s="472"/>
      <c r="Q195" s="472"/>
      <c r="R195" s="472"/>
      <c r="S195" s="472"/>
      <c r="T195" s="472"/>
      <c r="U195" s="472"/>
      <c r="V195" s="472"/>
      <c r="W195" s="472"/>
      <c r="X195" s="472"/>
      <c r="Y195" s="472"/>
      <c r="Z195" s="472"/>
    </row>
    <row r="196" spans="1:26" ht="14.25" customHeight="1">
      <c r="A196" s="472"/>
      <c r="B196" s="472"/>
      <c r="C196" s="472"/>
      <c r="D196" s="472"/>
      <c r="E196" s="472"/>
      <c r="F196" s="472"/>
      <c r="G196" s="472"/>
      <c r="H196" s="472"/>
      <c r="I196" s="472"/>
      <c r="J196" s="472"/>
      <c r="K196" s="471"/>
      <c r="L196" s="472"/>
      <c r="M196" s="472"/>
      <c r="N196" s="472"/>
      <c r="O196" s="472"/>
      <c r="P196" s="472"/>
      <c r="Q196" s="472"/>
      <c r="R196" s="472"/>
      <c r="S196" s="472"/>
      <c r="T196" s="472"/>
      <c r="U196" s="472"/>
      <c r="V196" s="472"/>
      <c r="W196" s="472"/>
      <c r="X196" s="472"/>
      <c r="Y196" s="472"/>
      <c r="Z196" s="472"/>
    </row>
    <row r="197" spans="1:26" ht="14.25" customHeight="1">
      <c r="A197" s="472"/>
      <c r="B197" s="472"/>
      <c r="C197" s="472"/>
      <c r="D197" s="472"/>
      <c r="E197" s="472"/>
      <c r="F197" s="472"/>
      <c r="G197" s="472"/>
      <c r="H197" s="472"/>
      <c r="I197" s="472"/>
      <c r="J197" s="472"/>
      <c r="K197" s="471"/>
      <c r="L197" s="472"/>
      <c r="M197" s="472"/>
      <c r="N197" s="472"/>
      <c r="O197" s="472"/>
      <c r="P197" s="472"/>
      <c r="Q197" s="472"/>
      <c r="R197" s="472"/>
      <c r="S197" s="472"/>
      <c r="T197" s="472"/>
      <c r="U197" s="472"/>
      <c r="V197" s="472"/>
      <c r="W197" s="472"/>
      <c r="X197" s="472"/>
      <c r="Y197" s="472"/>
      <c r="Z197" s="472"/>
    </row>
    <row r="198" spans="1:26" ht="14.25" customHeight="1">
      <c r="A198" s="472"/>
      <c r="B198" s="472"/>
      <c r="C198" s="472"/>
      <c r="D198" s="472"/>
      <c r="E198" s="472"/>
      <c r="F198" s="472"/>
      <c r="G198" s="472"/>
      <c r="H198" s="472"/>
      <c r="I198" s="472"/>
      <c r="J198" s="472"/>
      <c r="K198" s="471"/>
      <c r="L198" s="472"/>
      <c r="M198" s="472"/>
      <c r="N198" s="472"/>
      <c r="O198" s="472"/>
      <c r="P198" s="472"/>
      <c r="Q198" s="472"/>
      <c r="R198" s="472"/>
      <c r="S198" s="472"/>
      <c r="T198" s="472"/>
      <c r="U198" s="472"/>
      <c r="V198" s="472"/>
      <c r="W198" s="472"/>
      <c r="X198" s="472"/>
      <c r="Y198" s="472"/>
      <c r="Z198" s="472"/>
    </row>
    <row r="199" spans="1:26" ht="14.25" customHeight="1">
      <c r="A199" s="472"/>
      <c r="B199" s="472"/>
      <c r="C199" s="472"/>
      <c r="D199" s="472"/>
      <c r="E199" s="472"/>
      <c r="F199" s="472"/>
      <c r="G199" s="472"/>
      <c r="H199" s="472"/>
      <c r="I199" s="472"/>
      <c r="J199" s="472"/>
      <c r="K199" s="471"/>
      <c r="L199" s="472"/>
      <c r="M199" s="472"/>
      <c r="N199" s="472"/>
      <c r="O199" s="472"/>
      <c r="P199" s="472"/>
      <c r="Q199" s="472"/>
      <c r="R199" s="472"/>
      <c r="S199" s="472"/>
      <c r="T199" s="472"/>
      <c r="U199" s="472"/>
      <c r="V199" s="472"/>
      <c r="W199" s="472"/>
      <c r="X199" s="472"/>
      <c r="Y199" s="472"/>
      <c r="Z199" s="472"/>
    </row>
    <row r="200" spans="1:26" ht="14.25" customHeight="1">
      <c r="A200" s="472"/>
      <c r="B200" s="472"/>
      <c r="C200" s="472"/>
      <c r="D200" s="472"/>
      <c r="E200" s="472"/>
      <c r="F200" s="472"/>
      <c r="G200" s="472"/>
      <c r="H200" s="472"/>
      <c r="I200" s="472"/>
      <c r="J200" s="472"/>
      <c r="K200" s="471"/>
      <c r="L200" s="472"/>
      <c r="M200" s="472"/>
      <c r="N200" s="472"/>
      <c r="O200" s="472"/>
      <c r="P200" s="472"/>
      <c r="Q200" s="472"/>
      <c r="R200" s="472"/>
      <c r="S200" s="472"/>
      <c r="T200" s="472"/>
      <c r="U200" s="472"/>
      <c r="V200" s="472"/>
      <c r="W200" s="472"/>
      <c r="X200" s="472"/>
      <c r="Y200" s="472"/>
      <c r="Z200" s="472"/>
    </row>
    <row r="201" spans="1:26" ht="14.25" customHeight="1">
      <c r="A201" s="472"/>
      <c r="B201" s="472"/>
      <c r="C201" s="472"/>
      <c r="D201" s="472"/>
      <c r="E201" s="472"/>
      <c r="F201" s="472"/>
      <c r="G201" s="472"/>
      <c r="H201" s="472"/>
      <c r="I201" s="472"/>
      <c r="J201" s="472"/>
      <c r="K201" s="471"/>
      <c r="L201" s="472"/>
      <c r="M201" s="472"/>
      <c r="N201" s="472"/>
      <c r="O201" s="472"/>
      <c r="P201" s="472"/>
      <c r="Q201" s="472"/>
      <c r="R201" s="472"/>
      <c r="S201" s="472"/>
      <c r="T201" s="472"/>
      <c r="U201" s="472"/>
      <c r="V201" s="472"/>
      <c r="W201" s="472"/>
      <c r="X201" s="472"/>
      <c r="Y201" s="472"/>
      <c r="Z201" s="472"/>
    </row>
    <row r="202" spans="1:26" ht="14.25" customHeight="1">
      <c r="A202" s="472"/>
      <c r="B202" s="472"/>
      <c r="C202" s="472"/>
      <c r="D202" s="472"/>
      <c r="E202" s="472"/>
      <c r="F202" s="472"/>
      <c r="G202" s="472"/>
      <c r="H202" s="472"/>
      <c r="I202" s="472"/>
      <c r="J202" s="472"/>
      <c r="K202" s="471"/>
      <c r="L202" s="472"/>
      <c r="M202" s="472"/>
      <c r="N202" s="472"/>
      <c r="O202" s="472"/>
      <c r="P202" s="472"/>
      <c r="Q202" s="472"/>
      <c r="R202" s="472"/>
      <c r="S202" s="472"/>
      <c r="T202" s="472"/>
      <c r="U202" s="472"/>
      <c r="V202" s="472"/>
      <c r="W202" s="472"/>
      <c r="X202" s="472"/>
      <c r="Y202" s="472"/>
      <c r="Z202" s="472"/>
    </row>
    <row r="203" spans="1:26" ht="14.25" customHeight="1">
      <c r="A203" s="472"/>
      <c r="B203" s="472"/>
      <c r="C203" s="472"/>
      <c r="D203" s="472"/>
      <c r="E203" s="472"/>
      <c r="F203" s="472"/>
      <c r="G203" s="472"/>
      <c r="H203" s="472"/>
      <c r="I203" s="472"/>
      <c r="J203" s="472"/>
      <c r="K203" s="471"/>
      <c r="L203" s="472"/>
      <c r="M203" s="472"/>
      <c r="N203" s="472"/>
      <c r="O203" s="472"/>
      <c r="P203" s="472"/>
      <c r="Q203" s="472"/>
      <c r="R203" s="472"/>
      <c r="S203" s="472"/>
      <c r="T203" s="472"/>
      <c r="U203" s="472"/>
      <c r="V203" s="472"/>
      <c r="W203" s="472"/>
      <c r="X203" s="472"/>
      <c r="Y203" s="472"/>
      <c r="Z203" s="472"/>
    </row>
    <row r="204" spans="1:26" ht="14.25" customHeight="1">
      <c r="A204" s="472"/>
      <c r="B204" s="472"/>
      <c r="C204" s="472"/>
      <c r="D204" s="472"/>
      <c r="E204" s="472"/>
      <c r="F204" s="472"/>
      <c r="G204" s="472"/>
      <c r="H204" s="472"/>
      <c r="I204" s="472"/>
      <c r="J204" s="472"/>
      <c r="K204" s="471"/>
      <c r="L204" s="472"/>
      <c r="M204" s="472"/>
      <c r="N204" s="472"/>
      <c r="O204" s="472"/>
      <c r="P204" s="472"/>
      <c r="Q204" s="472"/>
      <c r="R204" s="472"/>
      <c r="S204" s="472"/>
      <c r="T204" s="472"/>
      <c r="U204" s="472"/>
      <c r="V204" s="472"/>
      <c r="W204" s="472"/>
      <c r="X204" s="472"/>
      <c r="Y204" s="472"/>
      <c r="Z204" s="472"/>
    </row>
    <row r="205" spans="1:26" ht="14.25" customHeight="1">
      <c r="A205" s="472"/>
      <c r="B205" s="472"/>
      <c r="C205" s="472"/>
      <c r="D205" s="472"/>
      <c r="E205" s="472"/>
      <c r="F205" s="472"/>
      <c r="G205" s="472"/>
      <c r="H205" s="472"/>
      <c r="I205" s="472"/>
      <c r="J205" s="472"/>
      <c r="K205" s="471"/>
      <c r="L205" s="472"/>
      <c r="M205" s="472"/>
      <c r="N205" s="472"/>
      <c r="O205" s="472"/>
      <c r="P205" s="472"/>
      <c r="Q205" s="472"/>
      <c r="R205" s="472"/>
      <c r="S205" s="472"/>
      <c r="T205" s="472"/>
      <c r="U205" s="472"/>
      <c r="V205" s="472"/>
      <c r="W205" s="472"/>
      <c r="X205" s="472"/>
      <c r="Y205" s="472"/>
      <c r="Z205" s="472"/>
    </row>
    <row r="206" spans="1:26" ht="14.25" customHeight="1">
      <c r="A206" s="472"/>
      <c r="B206" s="472"/>
      <c r="C206" s="472"/>
      <c r="D206" s="472"/>
      <c r="E206" s="472"/>
      <c r="F206" s="472"/>
      <c r="G206" s="472"/>
      <c r="H206" s="472"/>
      <c r="I206" s="472"/>
      <c r="J206" s="472"/>
      <c r="K206" s="471"/>
      <c r="L206" s="472"/>
      <c r="M206" s="472"/>
      <c r="N206" s="472"/>
      <c r="O206" s="472"/>
      <c r="P206" s="472"/>
      <c r="Q206" s="472"/>
      <c r="R206" s="472"/>
      <c r="S206" s="472"/>
      <c r="T206" s="472"/>
      <c r="U206" s="472"/>
      <c r="V206" s="472"/>
      <c r="W206" s="472"/>
      <c r="X206" s="472"/>
      <c r="Y206" s="472"/>
      <c r="Z206" s="472"/>
    </row>
    <row r="207" spans="1:26" ht="14.25" customHeight="1">
      <c r="A207" s="472"/>
      <c r="B207" s="472"/>
      <c r="C207" s="472"/>
      <c r="D207" s="472"/>
      <c r="E207" s="472"/>
      <c r="F207" s="472"/>
      <c r="G207" s="472"/>
      <c r="H207" s="472"/>
      <c r="I207" s="472"/>
      <c r="J207" s="472"/>
      <c r="K207" s="471"/>
      <c r="L207" s="472"/>
      <c r="M207" s="472"/>
      <c r="N207" s="472"/>
      <c r="O207" s="472"/>
      <c r="P207" s="472"/>
      <c r="Q207" s="472"/>
      <c r="R207" s="472"/>
      <c r="S207" s="472"/>
      <c r="T207" s="472"/>
      <c r="U207" s="472"/>
      <c r="V207" s="472"/>
      <c r="W207" s="472"/>
      <c r="X207" s="472"/>
      <c r="Y207" s="472"/>
      <c r="Z207" s="472"/>
    </row>
    <row r="208" spans="1:26" ht="14.25" customHeight="1">
      <c r="A208" s="472"/>
      <c r="B208" s="472"/>
      <c r="C208" s="472"/>
      <c r="D208" s="472"/>
      <c r="E208" s="472"/>
      <c r="F208" s="472"/>
      <c r="G208" s="472"/>
      <c r="H208" s="472"/>
      <c r="I208" s="472"/>
      <c r="J208" s="472"/>
      <c r="K208" s="471"/>
      <c r="L208" s="472"/>
      <c r="M208" s="472"/>
      <c r="N208" s="472"/>
      <c r="O208" s="472"/>
      <c r="P208" s="472"/>
      <c r="Q208" s="472"/>
      <c r="R208" s="472"/>
      <c r="S208" s="472"/>
      <c r="T208" s="472"/>
      <c r="U208" s="472"/>
      <c r="V208" s="472"/>
      <c r="W208" s="472"/>
      <c r="X208" s="472"/>
      <c r="Y208" s="472"/>
      <c r="Z208" s="472"/>
    </row>
    <row r="209" spans="1:26" ht="14.25" customHeight="1">
      <c r="A209" s="472"/>
      <c r="B209" s="472"/>
      <c r="C209" s="472"/>
      <c r="D209" s="472"/>
      <c r="E209" s="472"/>
      <c r="F209" s="472"/>
      <c r="G209" s="472"/>
      <c r="H209" s="472"/>
      <c r="I209" s="472"/>
      <c r="J209" s="472"/>
      <c r="K209" s="471"/>
      <c r="L209" s="472"/>
      <c r="M209" s="472"/>
      <c r="N209" s="472"/>
      <c r="O209" s="472"/>
      <c r="P209" s="472"/>
      <c r="Q209" s="472"/>
      <c r="R209" s="472"/>
      <c r="S209" s="472"/>
      <c r="T209" s="472"/>
      <c r="U209" s="472"/>
      <c r="V209" s="472"/>
      <c r="W209" s="472"/>
      <c r="X209" s="472"/>
      <c r="Y209" s="472"/>
      <c r="Z209" s="472"/>
    </row>
    <row r="210" spans="1:26" ht="14.25" customHeight="1">
      <c r="A210" s="472"/>
      <c r="B210" s="472"/>
      <c r="C210" s="472"/>
      <c r="D210" s="472"/>
      <c r="E210" s="472"/>
      <c r="F210" s="472"/>
      <c r="G210" s="472"/>
      <c r="H210" s="472"/>
      <c r="I210" s="472"/>
      <c r="J210" s="472"/>
      <c r="K210" s="471"/>
      <c r="L210" s="472"/>
      <c r="M210" s="472"/>
      <c r="N210" s="472"/>
      <c r="O210" s="472"/>
      <c r="P210" s="472"/>
      <c r="Q210" s="472"/>
      <c r="R210" s="472"/>
      <c r="S210" s="472"/>
      <c r="T210" s="472"/>
      <c r="U210" s="472"/>
      <c r="V210" s="472"/>
      <c r="W210" s="472"/>
      <c r="X210" s="472"/>
      <c r="Y210" s="472"/>
      <c r="Z210" s="472"/>
    </row>
    <row r="211" spans="1:26" ht="14.25" customHeight="1">
      <c r="A211" s="472"/>
      <c r="B211" s="472"/>
      <c r="C211" s="472"/>
      <c r="D211" s="472"/>
      <c r="E211" s="472"/>
      <c r="F211" s="472"/>
      <c r="G211" s="472"/>
      <c r="H211" s="472"/>
      <c r="I211" s="472"/>
      <c r="J211" s="472"/>
      <c r="K211" s="471"/>
      <c r="L211" s="472"/>
      <c r="M211" s="472"/>
      <c r="N211" s="472"/>
      <c r="O211" s="472"/>
      <c r="P211" s="472"/>
      <c r="Q211" s="472"/>
      <c r="R211" s="472"/>
      <c r="S211" s="472"/>
      <c r="T211" s="472"/>
      <c r="U211" s="472"/>
      <c r="V211" s="472"/>
      <c r="W211" s="472"/>
      <c r="X211" s="472"/>
      <c r="Y211" s="472"/>
      <c r="Z211" s="472"/>
    </row>
    <row r="212" spans="1:26" ht="14.25" customHeight="1">
      <c r="A212" s="472"/>
      <c r="B212" s="472"/>
      <c r="C212" s="472"/>
      <c r="D212" s="472"/>
      <c r="E212" s="472"/>
      <c r="F212" s="472"/>
      <c r="G212" s="472"/>
      <c r="H212" s="472"/>
      <c r="I212" s="472"/>
      <c r="J212" s="472"/>
      <c r="K212" s="471"/>
      <c r="L212" s="472"/>
      <c r="M212" s="472"/>
      <c r="N212" s="472"/>
      <c r="O212" s="472"/>
      <c r="P212" s="472"/>
      <c r="Q212" s="472"/>
      <c r="R212" s="472"/>
      <c r="S212" s="472"/>
      <c r="T212" s="472"/>
      <c r="U212" s="472"/>
      <c r="V212" s="472"/>
      <c r="W212" s="472"/>
      <c r="X212" s="472"/>
      <c r="Y212" s="472"/>
      <c r="Z212" s="472"/>
    </row>
    <row r="213" spans="1:26" ht="14.25" customHeight="1">
      <c r="A213" s="472"/>
      <c r="B213" s="472"/>
      <c r="C213" s="472"/>
      <c r="D213" s="472"/>
      <c r="E213" s="472"/>
      <c r="F213" s="472"/>
      <c r="G213" s="472"/>
      <c r="H213" s="472"/>
      <c r="I213" s="472"/>
      <c r="J213" s="472"/>
      <c r="K213" s="471"/>
      <c r="L213" s="472"/>
      <c r="M213" s="472"/>
      <c r="N213" s="472"/>
      <c r="O213" s="472"/>
      <c r="P213" s="472"/>
      <c r="Q213" s="472"/>
      <c r="R213" s="472"/>
      <c r="S213" s="472"/>
      <c r="T213" s="472"/>
      <c r="U213" s="472"/>
      <c r="V213" s="472"/>
      <c r="W213" s="472"/>
      <c r="X213" s="472"/>
      <c r="Y213" s="472"/>
      <c r="Z213" s="472"/>
    </row>
    <row r="214" spans="1:26" ht="14.25" customHeight="1">
      <c r="A214" s="472"/>
      <c r="B214" s="472"/>
      <c r="C214" s="472"/>
      <c r="D214" s="472"/>
      <c r="E214" s="472"/>
      <c r="F214" s="472"/>
      <c r="G214" s="472"/>
      <c r="H214" s="472"/>
      <c r="I214" s="472"/>
      <c r="J214" s="472"/>
      <c r="K214" s="471"/>
      <c r="L214" s="472"/>
      <c r="M214" s="472"/>
      <c r="N214" s="472"/>
      <c r="O214" s="472"/>
      <c r="P214" s="472"/>
      <c r="Q214" s="472"/>
      <c r="R214" s="472"/>
      <c r="S214" s="472"/>
      <c r="T214" s="472"/>
      <c r="U214" s="472"/>
      <c r="V214" s="472"/>
      <c r="W214" s="472"/>
      <c r="X214" s="472"/>
      <c r="Y214" s="472"/>
      <c r="Z214" s="472"/>
    </row>
    <row r="215" spans="1:26" ht="14.25" customHeight="1">
      <c r="A215" s="472"/>
      <c r="B215" s="472"/>
      <c r="C215" s="472"/>
      <c r="D215" s="472"/>
      <c r="E215" s="472"/>
      <c r="F215" s="472"/>
      <c r="G215" s="472"/>
      <c r="H215" s="472"/>
      <c r="I215" s="472"/>
      <c r="J215" s="472"/>
      <c r="K215" s="471"/>
      <c r="L215" s="472"/>
      <c r="M215" s="472"/>
      <c r="N215" s="472"/>
      <c r="O215" s="472"/>
      <c r="P215" s="472"/>
      <c r="Q215" s="472"/>
      <c r="R215" s="472"/>
      <c r="S215" s="472"/>
      <c r="T215" s="472"/>
      <c r="U215" s="472"/>
      <c r="V215" s="472"/>
      <c r="W215" s="472"/>
      <c r="X215" s="472"/>
      <c r="Y215" s="472"/>
      <c r="Z215" s="472"/>
    </row>
    <row r="216" spans="1:26" ht="14.25" customHeight="1">
      <c r="A216" s="472"/>
      <c r="B216" s="472"/>
      <c r="C216" s="472"/>
      <c r="D216" s="472"/>
      <c r="E216" s="472"/>
      <c r="F216" s="472"/>
      <c r="G216" s="472"/>
      <c r="H216" s="472"/>
      <c r="I216" s="472"/>
      <c r="J216" s="472"/>
      <c r="K216" s="471"/>
      <c r="L216" s="472"/>
      <c r="M216" s="472"/>
      <c r="N216" s="472"/>
      <c r="O216" s="472"/>
      <c r="P216" s="472"/>
      <c r="Q216" s="472"/>
      <c r="R216" s="472"/>
      <c r="S216" s="472"/>
      <c r="T216" s="472"/>
      <c r="U216" s="472"/>
      <c r="V216" s="472"/>
      <c r="W216" s="472"/>
      <c r="X216" s="472"/>
      <c r="Y216" s="472"/>
      <c r="Z216" s="472"/>
    </row>
    <row r="217" spans="1:26" ht="14.25" customHeight="1">
      <c r="A217" s="472"/>
      <c r="B217" s="472"/>
      <c r="C217" s="472"/>
      <c r="D217" s="472"/>
      <c r="E217" s="472"/>
      <c r="F217" s="472"/>
      <c r="G217" s="472"/>
      <c r="H217" s="472"/>
      <c r="I217" s="472"/>
      <c r="J217" s="472"/>
      <c r="K217" s="471"/>
      <c r="L217" s="472"/>
      <c r="M217" s="472"/>
      <c r="N217" s="472"/>
      <c r="O217" s="472"/>
      <c r="P217" s="472"/>
      <c r="Q217" s="472"/>
      <c r="R217" s="472"/>
      <c r="S217" s="472"/>
      <c r="T217" s="472"/>
      <c r="U217" s="472"/>
      <c r="V217" s="472"/>
      <c r="W217" s="472"/>
      <c r="X217" s="472"/>
      <c r="Y217" s="472"/>
      <c r="Z217" s="472"/>
    </row>
    <row r="218" spans="1:26" ht="14.25" customHeight="1">
      <c r="A218" s="472"/>
      <c r="B218" s="472"/>
      <c r="C218" s="472"/>
      <c r="D218" s="472"/>
      <c r="E218" s="472"/>
      <c r="F218" s="472"/>
      <c r="G218" s="472"/>
      <c r="H218" s="472"/>
      <c r="I218" s="472"/>
      <c r="J218" s="472"/>
      <c r="K218" s="471"/>
      <c r="L218" s="472"/>
      <c r="M218" s="472"/>
      <c r="N218" s="472"/>
      <c r="O218" s="472"/>
      <c r="P218" s="472"/>
      <c r="Q218" s="472"/>
      <c r="R218" s="472"/>
      <c r="S218" s="472"/>
      <c r="T218" s="472"/>
      <c r="U218" s="472"/>
      <c r="V218" s="472"/>
      <c r="W218" s="472"/>
      <c r="X218" s="472"/>
      <c r="Y218" s="472"/>
      <c r="Z218" s="472"/>
    </row>
    <row r="219" spans="1:26" ht="14.25" customHeight="1">
      <c r="A219" s="472"/>
      <c r="B219" s="472"/>
      <c r="C219" s="472"/>
      <c r="D219" s="472"/>
      <c r="E219" s="472"/>
      <c r="F219" s="472"/>
      <c r="G219" s="472"/>
      <c r="H219" s="472"/>
      <c r="I219" s="472"/>
      <c r="J219" s="472"/>
      <c r="K219" s="471"/>
      <c r="L219" s="472"/>
      <c r="M219" s="472"/>
      <c r="N219" s="472"/>
      <c r="O219" s="472"/>
      <c r="P219" s="472"/>
      <c r="Q219" s="472"/>
      <c r="R219" s="472"/>
      <c r="S219" s="472"/>
      <c r="T219" s="472"/>
      <c r="U219" s="472"/>
      <c r="V219" s="472"/>
      <c r="W219" s="472"/>
      <c r="X219" s="472"/>
      <c r="Y219" s="472"/>
      <c r="Z219" s="472"/>
    </row>
    <row r="220" spans="1:26" ht="14.25" customHeight="1">
      <c r="A220" s="472"/>
      <c r="B220" s="472"/>
      <c r="C220" s="472"/>
      <c r="D220" s="472"/>
      <c r="E220" s="472"/>
      <c r="F220" s="472"/>
      <c r="G220" s="472"/>
      <c r="H220" s="472"/>
      <c r="I220" s="472"/>
      <c r="J220" s="472"/>
      <c r="K220" s="471"/>
      <c r="L220" s="472"/>
      <c r="M220" s="472"/>
      <c r="N220" s="472"/>
      <c r="O220" s="472"/>
      <c r="P220" s="472"/>
      <c r="Q220" s="472"/>
      <c r="R220" s="472"/>
      <c r="S220" s="472"/>
      <c r="T220" s="472"/>
      <c r="U220" s="472"/>
      <c r="V220" s="472"/>
      <c r="W220" s="472"/>
      <c r="X220" s="472"/>
      <c r="Y220" s="472"/>
      <c r="Z220" s="472"/>
    </row>
    <row r="221" spans="1:26" ht="14.25" customHeight="1">
      <c r="A221" s="472"/>
      <c r="B221" s="472"/>
      <c r="C221" s="472"/>
      <c r="D221" s="472"/>
      <c r="E221" s="472"/>
      <c r="F221" s="472"/>
      <c r="G221" s="472"/>
      <c r="H221" s="472"/>
      <c r="I221" s="472"/>
      <c r="J221" s="472"/>
      <c r="K221" s="471"/>
      <c r="L221" s="472"/>
      <c r="M221" s="472"/>
      <c r="N221" s="472"/>
      <c r="O221" s="472"/>
      <c r="P221" s="472"/>
      <c r="Q221" s="472"/>
      <c r="R221" s="472"/>
      <c r="S221" s="472"/>
      <c r="T221" s="472"/>
      <c r="U221" s="472"/>
      <c r="V221" s="472"/>
      <c r="W221" s="472"/>
      <c r="X221" s="472"/>
      <c r="Y221" s="472"/>
      <c r="Z221" s="472"/>
    </row>
    <row r="222" spans="1:26" ht="14.25" customHeight="1">
      <c r="A222" s="472"/>
      <c r="B222" s="472"/>
      <c r="C222" s="472"/>
      <c r="D222" s="472"/>
      <c r="E222" s="472"/>
      <c r="F222" s="472"/>
      <c r="G222" s="472"/>
      <c r="H222" s="472"/>
      <c r="I222" s="472"/>
      <c r="J222" s="472"/>
      <c r="K222" s="471"/>
      <c r="L222" s="472"/>
      <c r="M222" s="472"/>
      <c r="N222" s="472"/>
      <c r="O222" s="472"/>
      <c r="P222" s="472"/>
      <c r="Q222" s="472"/>
      <c r="R222" s="472"/>
      <c r="S222" s="472"/>
      <c r="T222" s="472"/>
      <c r="U222" s="472"/>
      <c r="V222" s="472"/>
      <c r="W222" s="472"/>
      <c r="X222" s="472"/>
      <c r="Y222" s="472"/>
      <c r="Z222" s="472"/>
    </row>
    <row r="223" spans="1:26" ht="14.25" customHeight="1">
      <c r="A223" s="472"/>
      <c r="B223" s="472"/>
      <c r="C223" s="472"/>
      <c r="D223" s="472"/>
      <c r="E223" s="472"/>
      <c r="F223" s="472"/>
      <c r="G223" s="472"/>
      <c r="H223" s="472"/>
      <c r="I223" s="472"/>
      <c r="J223" s="472"/>
      <c r="K223" s="471"/>
      <c r="L223" s="472"/>
      <c r="M223" s="472"/>
      <c r="N223" s="472"/>
      <c r="O223" s="472"/>
      <c r="P223" s="472"/>
      <c r="Q223" s="472"/>
      <c r="R223" s="472"/>
      <c r="S223" s="472"/>
      <c r="T223" s="472"/>
      <c r="U223" s="472"/>
      <c r="V223" s="472"/>
      <c r="W223" s="472"/>
      <c r="X223" s="472"/>
      <c r="Y223" s="472"/>
      <c r="Z223" s="472"/>
    </row>
    <row r="224" spans="1:26" ht="14.25" customHeight="1">
      <c r="A224" s="472"/>
      <c r="B224" s="472"/>
      <c r="C224" s="472"/>
      <c r="D224" s="472"/>
      <c r="E224" s="472"/>
      <c r="F224" s="472"/>
      <c r="G224" s="472"/>
      <c r="H224" s="472"/>
      <c r="I224" s="472"/>
      <c r="J224" s="472"/>
      <c r="K224" s="471"/>
      <c r="L224" s="472"/>
      <c r="M224" s="472"/>
      <c r="N224" s="472"/>
      <c r="O224" s="472"/>
      <c r="P224" s="472"/>
      <c r="Q224" s="472"/>
      <c r="R224" s="472"/>
      <c r="S224" s="472"/>
      <c r="T224" s="472"/>
      <c r="U224" s="472"/>
      <c r="V224" s="472"/>
      <c r="W224" s="472"/>
      <c r="X224" s="472"/>
      <c r="Y224" s="472"/>
      <c r="Z224" s="472"/>
    </row>
    <row r="225" spans="1:26" ht="14.25" customHeight="1">
      <c r="A225" s="472"/>
      <c r="B225" s="472"/>
      <c r="C225" s="472"/>
      <c r="D225" s="472"/>
      <c r="E225" s="472"/>
      <c r="F225" s="472"/>
      <c r="G225" s="472"/>
      <c r="H225" s="472"/>
      <c r="I225" s="472"/>
      <c r="J225" s="472"/>
      <c r="K225" s="471"/>
      <c r="L225" s="472"/>
      <c r="M225" s="472"/>
      <c r="N225" s="472"/>
      <c r="O225" s="472"/>
      <c r="P225" s="472"/>
      <c r="Q225" s="472"/>
      <c r="R225" s="472"/>
      <c r="S225" s="472"/>
      <c r="T225" s="472"/>
      <c r="U225" s="472"/>
      <c r="V225" s="472"/>
      <c r="W225" s="472"/>
      <c r="X225" s="472"/>
      <c r="Y225" s="472"/>
      <c r="Z225" s="472"/>
    </row>
    <row r="226" spans="1:26" ht="14.25" customHeight="1">
      <c r="A226" s="472"/>
      <c r="B226" s="472"/>
      <c r="C226" s="472"/>
      <c r="D226" s="472"/>
      <c r="E226" s="472"/>
      <c r="F226" s="472"/>
      <c r="G226" s="472"/>
      <c r="H226" s="472"/>
      <c r="I226" s="472"/>
      <c r="J226" s="472"/>
      <c r="K226" s="471"/>
      <c r="L226" s="472"/>
      <c r="M226" s="472"/>
      <c r="N226" s="472"/>
      <c r="O226" s="472"/>
      <c r="P226" s="472"/>
      <c r="Q226" s="472"/>
      <c r="R226" s="472"/>
      <c r="S226" s="472"/>
      <c r="T226" s="472"/>
      <c r="U226" s="472"/>
      <c r="V226" s="472"/>
      <c r="W226" s="472"/>
      <c r="X226" s="472"/>
      <c r="Y226" s="472"/>
      <c r="Z226" s="472"/>
    </row>
    <row r="227" spans="1:26" ht="14.25" customHeight="1">
      <c r="A227" s="472"/>
      <c r="B227" s="472"/>
      <c r="C227" s="472"/>
      <c r="D227" s="472"/>
      <c r="E227" s="472"/>
      <c r="F227" s="472"/>
      <c r="G227" s="472"/>
      <c r="H227" s="472"/>
      <c r="I227" s="472"/>
      <c r="J227" s="472"/>
      <c r="K227" s="471"/>
      <c r="L227" s="472"/>
      <c r="M227" s="472"/>
      <c r="N227" s="472"/>
      <c r="O227" s="472"/>
      <c r="P227" s="472"/>
      <c r="Q227" s="472"/>
      <c r="R227" s="472"/>
      <c r="S227" s="472"/>
      <c r="T227" s="472"/>
      <c r="U227" s="472"/>
      <c r="V227" s="472"/>
      <c r="W227" s="472"/>
      <c r="X227" s="472"/>
      <c r="Y227" s="472"/>
      <c r="Z227" s="472"/>
    </row>
    <row r="228" spans="1:26" ht="14.25" customHeight="1">
      <c r="A228" s="472"/>
      <c r="B228" s="472"/>
      <c r="C228" s="472"/>
      <c r="D228" s="472"/>
      <c r="E228" s="472"/>
      <c r="F228" s="472"/>
      <c r="G228" s="472"/>
      <c r="H228" s="472"/>
      <c r="I228" s="472"/>
      <c r="J228" s="472"/>
      <c r="K228" s="471"/>
      <c r="L228" s="472"/>
      <c r="M228" s="472"/>
      <c r="N228" s="472"/>
      <c r="O228" s="472"/>
      <c r="P228" s="472"/>
      <c r="Q228" s="472"/>
      <c r="R228" s="472"/>
      <c r="S228" s="472"/>
      <c r="T228" s="472"/>
      <c r="U228" s="472"/>
      <c r="V228" s="472"/>
      <c r="W228" s="472"/>
      <c r="X228" s="472"/>
      <c r="Y228" s="472"/>
      <c r="Z228" s="472"/>
    </row>
    <row r="229" spans="1:26" ht="14.25" customHeight="1">
      <c r="A229" s="472"/>
      <c r="B229" s="472"/>
      <c r="C229" s="472"/>
      <c r="D229" s="472"/>
      <c r="E229" s="472"/>
      <c r="F229" s="472"/>
      <c r="G229" s="472"/>
      <c r="H229" s="472"/>
      <c r="I229" s="472"/>
      <c r="J229" s="472"/>
      <c r="K229" s="471"/>
      <c r="L229" s="472"/>
      <c r="M229" s="472"/>
      <c r="N229" s="472"/>
      <c r="O229" s="472"/>
      <c r="P229" s="472"/>
      <c r="Q229" s="472"/>
      <c r="R229" s="472"/>
      <c r="S229" s="472"/>
      <c r="T229" s="472"/>
      <c r="U229" s="472"/>
      <c r="V229" s="472"/>
      <c r="W229" s="472"/>
      <c r="X229" s="472"/>
      <c r="Y229" s="472"/>
      <c r="Z229" s="472"/>
    </row>
    <row r="230" spans="1:26" ht="14.25" customHeight="1">
      <c r="A230" s="472"/>
      <c r="B230" s="472"/>
      <c r="C230" s="472"/>
      <c r="D230" s="472"/>
      <c r="E230" s="472"/>
      <c r="F230" s="472"/>
      <c r="G230" s="472"/>
      <c r="H230" s="472"/>
      <c r="I230" s="472"/>
      <c r="J230" s="472"/>
      <c r="K230" s="471"/>
      <c r="L230" s="472"/>
      <c r="M230" s="472"/>
      <c r="N230" s="472"/>
      <c r="O230" s="472"/>
      <c r="P230" s="472"/>
      <c r="Q230" s="472"/>
      <c r="R230" s="472"/>
      <c r="S230" s="472"/>
      <c r="T230" s="472"/>
      <c r="U230" s="472"/>
      <c r="V230" s="472"/>
      <c r="W230" s="472"/>
      <c r="X230" s="472"/>
      <c r="Y230" s="472"/>
      <c r="Z230" s="472"/>
    </row>
    <row r="231" spans="1:26" ht="14.25" customHeight="1">
      <c r="A231" s="472"/>
      <c r="B231" s="472"/>
      <c r="C231" s="472"/>
      <c r="D231" s="472"/>
      <c r="E231" s="472"/>
      <c r="F231" s="472"/>
      <c r="G231" s="472"/>
      <c r="H231" s="472"/>
      <c r="I231" s="472"/>
      <c r="J231" s="472"/>
      <c r="K231" s="471"/>
      <c r="L231" s="472"/>
      <c r="M231" s="472"/>
      <c r="N231" s="472"/>
      <c r="O231" s="472"/>
      <c r="P231" s="472"/>
      <c r="Q231" s="472"/>
      <c r="R231" s="472"/>
      <c r="S231" s="472"/>
      <c r="T231" s="472"/>
      <c r="U231" s="472"/>
      <c r="V231" s="472"/>
      <c r="W231" s="472"/>
      <c r="X231" s="472"/>
      <c r="Y231" s="472"/>
      <c r="Z231" s="472"/>
    </row>
    <row r="232" spans="1:26" ht="14.25" customHeight="1">
      <c r="A232" s="472"/>
      <c r="B232" s="472"/>
      <c r="C232" s="472"/>
      <c r="D232" s="472"/>
      <c r="E232" s="472"/>
      <c r="F232" s="472"/>
      <c r="G232" s="472"/>
      <c r="H232" s="472"/>
      <c r="I232" s="472"/>
      <c r="J232" s="472"/>
      <c r="K232" s="471"/>
      <c r="L232" s="472"/>
      <c r="M232" s="472"/>
      <c r="N232" s="472"/>
      <c r="O232" s="472"/>
      <c r="P232" s="472"/>
      <c r="Q232" s="472"/>
      <c r="R232" s="472"/>
      <c r="S232" s="472"/>
      <c r="T232" s="472"/>
      <c r="U232" s="472"/>
      <c r="V232" s="472"/>
      <c r="W232" s="472"/>
      <c r="X232" s="472"/>
      <c r="Y232" s="472"/>
      <c r="Z232" s="472"/>
    </row>
    <row r="233" spans="1:26" ht="14.25" customHeight="1">
      <c r="A233" s="472"/>
      <c r="B233" s="472"/>
      <c r="C233" s="472"/>
      <c r="D233" s="472"/>
      <c r="E233" s="472"/>
      <c r="F233" s="472"/>
      <c r="G233" s="472"/>
      <c r="H233" s="472"/>
      <c r="I233" s="472"/>
      <c r="J233" s="472"/>
      <c r="K233" s="471"/>
      <c r="L233" s="472"/>
      <c r="M233" s="472"/>
      <c r="N233" s="472"/>
      <c r="O233" s="472"/>
      <c r="P233" s="472"/>
      <c r="Q233" s="472"/>
      <c r="R233" s="472"/>
      <c r="S233" s="472"/>
      <c r="T233" s="472"/>
      <c r="U233" s="472"/>
      <c r="V233" s="472"/>
      <c r="W233" s="472"/>
      <c r="X233" s="472"/>
      <c r="Y233" s="472"/>
      <c r="Z233" s="472"/>
    </row>
    <row r="234" spans="1:26" ht="14.25" customHeight="1">
      <c r="A234" s="472"/>
      <c r="B234" s="472"/>
      <c r="C234" s="472"/>
      <c r="D234" s="472"/>
      <c r="E234" s="472"/>
      <c r="F234" s="472"/>
      <c r="G234" s="472"/>
      <c r="H234" s="472"/>
      <c r="I234" s="472"/>
      <c r="J234" s="472"/>
      <c r="K234" s="471"/>
      <c r="L234" s="472"/>
      <c r="M234" s="472"/>
      <c r="N234" s="472"/>
      <c r="O234" s="472"/>
      <c r="P234" s="472"/>
      <c r="Q234" s="472"/>
      <c r="R234" s="472"/>
      <c r="S234" s="472"/>
      <c r="T234" s="472"/>
      <c r="U234" s="472"/>
      <c r="V234" s="472"/>
      <c r="W234" s="472"/>
      <c r="X234" s="472"/>
      <c r="Y234" s="472"/>
      <c r="Z234" s="472"/>
    </row>
    <row r="235" spans="1:26" ht="14.25" customHeight="1">
      <c r="A235" s="472"/>
      <c r="B235" s="472"/>
      <c r="C235" s="472"/>
      <c r="D235" s="472"/>
      <c r="E235" s="472"/>
      <c r="F235" s="472"/>
      <c r="G235" s="472"/>
      <c r="H235" s="472"/>
      <c r="I235" s="472"/>
      <c r="J235" s="472"/>
      <c r="K235" s="471"/>
      <c r="L235" s="472"/>
      <c r="M235" s="472"/>
      <c r="N235" s="472"/>
      <c r="O235" s="472"/>
      <c r="P235" s="472"/>
      <c r="Q235" s="472"/>
      <c r="R235" s="472"/>
      <c r="S235" s="472"/>
      <c r="T235" s="472"/>
      <c r="U235" s="472"/>
      <c r="V235" s="472"/>
      <c r="W235" s="472"/>
      <c r="X235" s="472"/>
      <c r="Y235" s="472"/>
      <c r="Z235" s="472"/>
    </row>
    <row r="236" spans="1:26" ht="14.25" customHeight="1">
      <c r="A236" s="472"/>
      <c r="B236" s="472"/>
      <c r="C236" s="472"/>
      <c r="D236" s="472"/>
      <c r="E236" s="472"/>
      <c r="F236" s="472"/>
      <c r="G236" s="472"/>
      <c r="H236" s="472"/>
      <c r="I236" s="472"/>
      <c r="J236" s="472"/>
      <c r="K236" s="471"/>
      <c r="L236" s="472"/>
      <c r="M236" s="472"/>
      <c r="N236" s="472"/>
      <c r="O236" s="472"/>
      <c r="P236" s="472"/>
      <c r="Q236" s="472"/>
      <c r="R236" s="472"/>
      <c r="S236" s="472"/>
      <c r="T236" s="472"/>
      <c r="U236" s="472"/>
      <c r="V236" s="472"/>
      <c r="W236" s="472"/>
      <c r="X236" s="472"/>
      <c r="Y236" s="472"/>
      <c r="Z236" s="472"/>
    </row>
    <row r="237" spans="1:26" ht="14.25" customHeight="1">
      <c r="A237" s="472"/>
      <c r="B237" s="472"/>
      <c r="C237" s="472"/>
      <c r="D237" s="472"/>
      <c r="E237" s="472"/>
      <c r="F237" s="472"/>
      <c r="G237" s="472"/>
      <c r="H237" s="472"/>
      <c r="I237" s="472"/>
      <c r="J237" s="472"/>
      <c r="K237" s="471"/>
      <c r="L237" s="472"/>
      <c r="M237" s="472"/>
      <c r="N237" s="472"/>
      <c r="O237" s="472"/>
      <c r="P237" s="472"/>
      <c r="Q237" s="472"/>
      <c r="R237" s="472"/>
      <c r="S237" s="472"/>
      <c r="T237" s="472"/>
      <c r="U237" s="472"/>
      <c r="V237" s="472"/>
      <c r="W237" s="472"/>
      <c r="X237" s="472"/>
      <c r="Y237" s="472"/>
      <c r="Z237" s="472"/>
    </row>
    <row r="238" spans="1:26" ht="14.25" customHeight="1">
      <c r="A238" s="472"/>
      <c r="B238" s="472"/>
      <c r="C238" s="472"/>
      <c r="D238" s="472"/>
      <c r="E238" s="472"/>
      <c r="F238" s="472"/>
      <c r="G238" s="472"/>
      <c r="H238" s="472"/>
      <c r="I238" s="472"/>
      <c r="J238" s="472"/>
      <c r="K238" s="471"/>
      <c r="L238" s="472"/>
      <c r="M238" s="472"/>
      <c r="N238" s="472"/>
      <c r="O238" s="472"/>
      <c r="P238" s="472"/>
      <c r="Q238" s="472"/>
      <c r="R238" s="472"/>
      <c r="S238" s="472"/>
      <c r="T238" s="472"/>
      <c r="U238" s="472"/>
      <c r="V238" s="472"/>
      <c r="W238" s="472"/>
      <c r="X238" s="472"/>
      <c r="Y238" s="472"/>
      <c r="Z238" s="472"/>
    </row>
    <row r="239" spans="1:26" ht="14.25" customHeight="1">
      <c r="A239" s="472"/>
      <c r="B239" s="472"/>
      <c r="C239" s="472"/>
      <c r="D239" s="472"/>
      <c r="E239" s="472"/>
      <c r="F239" s="472"/>
      <c r="G239" s="472"/>
      <c r="H239" s="472"/>
      <c r="I239" s="472"/>
      <c r="J239" s="472"/>
      <c r="K239" s="471"/>
      <c r="L239" s="472"/>
      <c r="M239" s="472"/>
      <c r="N239" s="472"/>
      <c r="O239" s="472"/>
      <c r="P239" s="472"/>
      <c r="Q239" s="472"/>
      <c r="R239" s="472"/>
      <c r="S239" s="472"/>
      <c r="T239" s="472"/>
      <c r="U239" s="472"/>
      <c r="V239" s="472"/>
      <c r="W239" s="472"/>
      <c r="X239" s="472"/>
      <c r="Y239" s="472"/>
      <c r="Z239" s="472"/>
    </row>
    <row r="240" spans="1:26" ht="14.25" customHeight="1">
      <c r="A240" s="472"/>
      <c r="B240" s="472"/>
      <c r="C240" s="472"/>
      <c r="D240" s="472"/>
      <c r="E240" s="472"/>
      <c r="F240" s="472"/>
      <c r="G240" s="472"/>
      <c r="H240" s="472"/>
      <c r="I240" s="472"/>
      <c r="J240" s="472"/>
      <c r="K240" s="471"/>
      <c r="L240" s="472"/>
      <c r="M240" s="472"/>
      <c r="N240" s="472"/>
      <c r="O240" s="472"/>
      <c r="P240" s="472"/>
      <c r="Q240" s="472"/>
      <c r="R240" s="472"/>
      <c r="S240" s="472"/>
      <c r="T240" s="472"/>
      <c r="U240" s="472"/>
      <c r="V240" s="472"/>
      <c r="W240" s="472"/>
      <c r="X240" s="472"/>
      <c r="Y240" s="472"/>
      <c r="Z240" s="472"/>
    </row>
    <row r="241" spans="1:26" ht="14.25" customHeight="1">
      <c r="A241" s="472"/>
      <c r="B241" s="472"/>
      <c r="C241" s="472"/>
      <c r="D241" s="472"/>
      <c r="E241" s="472"/>
      <c r="F241" s="472"/>
      <c r="G241" s="472"/>
      <c r="H241" s="472"/>
      <c r="I241" s="472"/>
      <c r="J241" s="472"/>
      <c r="K241" s="471"/>
      <c r="L241" s="472"/>
      <c r="M241" s="472"/>
      <c r="N241" s="472"/>
      <c r="O241" s="472"/>
      <c r="P241" s="472"/>
      <c r="Q241" s="472"/>
      <c r="R241" s="472"/>
      <c r="S241" s="472"/>
      <c r="T241" s="472"/>
      <c r="U241" s="472"/>
      <c r="V241" s="472"/>
      <c r="W241" s="472"/>
      <c r="X241" s="472"/>
      <c r="Y241" s="472"/>
      <c r="Z241" s="472"/>
    </row>
    <row r="242" spans="1:26" ht="14.25" customHeight="1">
      <c r="A242" s="472"/>
      <c r="B242" s="472"/>
      <c r="C242" s="472"/>
      <c r="D242" s="472"/>
      <c r="E242" s="472"/>
      <c r="F242" s="472"/>
      <c r="G242" s="472"/>
      <c r="H242" s="472"/>
      <c r="I242" s="472"/>
      <c r="J242" s="472"/>
      <c r="K242" s="471"/>
      <c r="L242" s="472"/>
      <c r="M242" s="472"/>
      <c r="N242" s="472"/>
      <c r="O242" s="472"/>
      <c r="P242" s="472"/>
      <c r="Q242" s="472"/>
      <c r="R242" s="472"/>
      <c r="S242" s="472"/>
      <c r="T242" s="472"/>
      <c r="U242" s="472"/>
      <c r="V242" s="472"/>
      <c r="W242" s="472"/>
      <c r="X242" s="472"/>
      <c r="Y242" s="472"/>
      <c r="Z242" s="472"/>
    </row>
    <row r="243" spans="1:26" ht="14.25" customHeight="1">
      <c r="A243" s="472"/>
      <c r="B243" s="472"/>
      <c r="C243" s="472"/>
      <c r="D243" s="472"/>
      <c r="E243" s="472"/>
      <c r="F243" s="472"/>
      <c r="G243" s="472"/>
      <c r="H243" s="472"/>
      <c r="I243" s="472"/>
      <c r="J243" s="472"/>
      <c r="K243" s="471"/>
      <c r="L243" s="472"/>
      <c r="M243" s="472"/>
      <c r="N243" s="472"/>
      <c r="O243" s="472"/>
      <c r="P243" s="472"/>
      <c r="Q243" s="472"/>
      <c r="R243" s="472"/>
      <c r="S243" s="472"/>
      <c r="T243" s="472"/>
      <c r="U243" s="472"/>
      <c r="V243" s="472"/>
      <c r="W243" s="472"/>
      <c r="X243" s="472"/>
      <c r="Y243" s="472"/>
      <c r="Z243" s="472"/>
    </row>
    <row r="244" spans="1:26" ht="14.25" customHeight="1">
      <c r="A244" s="472"/>
      <c r="B244" s="472"/>
      <c r="C244" s="472"/>
      <c r="D244" s="472"/>
      <c r="E244" s="472"/>
      <c r="F244" s="472"/>
      <c r="G244" s="472"/>
      <c r="H244" s="472"/>
      <c r="I244" s="472"/>
      <c r="J244" s="472"/>
      <c r="K244" s="471"/>
      <c r="L244" s="472"/>
      <c r="M244" s="472"/>
      <c r="N244" s="472"/>
      <c r="O244" s="472"/>
      <c r="P244" s="472"/>
      <c r="Q244" s="472"/>
      <c r="R244" s="472"/>
      <c r="S244" s="472"/>
      <c r="T244" s="472"/>
      <c r="U244" s="472"/>
      <c r="V244" s="472"/>
      <c r="W244" s="472"/>
      <c r="X244" s="472"/>
      <c r="Y244" s="472"/>
      <c r="Z244" s="472"/>
    </row>
    <row r="245" spans="1:26" ht="14.25" customHeight="1">
      <c r="A245" s="472"/>
      <c r="B245" s="472"/>
      <c r="C245" s="472"/>
      <c r="D245" s="472"/>
      <c r="E245" s="472"/>
      <c r="F245" s="472"/>
      <c r="G245" s="472"/>
      <c r="H245" s="472"/>
      <c r="I245" s="472"/>
      <c r="J245" s="472"/>
      <c r="K245" s="471"/>
      <c r="L245" s="472"/>
      <c r="M245" s="472"/>
      <c r="N245" s="472"/>
      <c r="O245" s="472"/>
      <c r="P245" s="472"/>
      <c r="Q245" s="472"/>
      <c r="R245" s="472"/>
      <c r="S245" s="472"/>
      <c r="T245" s="472"/>
      <c r="U245" s="472"/>
      <c r="V245" s="472"/>
      <c r="W245" s="472"/>
      <c r="X245" s="472"/>
      <c r="Y245" s="472"/>
      <c r="Z245" s="472"/>
    </row>
    <row r="246" spans="1:26" ht="14.25" customHeight="1">
      <c r="A246" s="472"/>
      <c r="B246" s="472"/>
      <c r="C246" s="472"/>
      <c r="D246" s="472"/>
      <c r="E246" s="472"/>
      <c r="F246" s="472"/>
      <c r="G246" s="472"/>
      <c r="H246" s="472"/>
      <c r="I246" s="472"/>
      <c r="J246" s="472"/>
      <c r="K246" s="471"/>
      <c r="L246" s="472"/>
      <c r="M246" s="472"/>
      <c r="N246" s="472"/>
      <c r="O246" s="472"/>
      <c r="P246" s="472"/>
      <c r="Q246" s="472"/>
      <c r="R246" s="472"/>
      <c r="S246" s="472"/>
      <c r="T246" s="472"/>
      <c r="U246" s="472"/>
      <c r="V246" s="472"/>
      <c r="W246" s="472"/>
      <c r="X246" s="472"/>
      <c r="Y246" s="472"/>
      <c r="Z246" s="472"/>
    </row>
    <row r="247" spans="1:26" ht="14.25" customHeight="1">
      <c r="A247" s="472"/>
      <c r="B247" s="472"/>
      <c r="C247" s="472"/>
      <c r="D247" s="472"/>
      <c r="E247" s="472"/>
      <c r="F247" s="472"/>
      <c r="G247" s="472"/>
      <c r="H247" s="472"/>
      <c r="I247" s="472"/>
      <c r="J247" s="472"/>
      <c r="K247" s="471"/>
      <c r="L247" s="472"/>
      <c r="M247" s="472"/>
      <c r="N247" s="472"/>
      <c r="O247" s="472"/>
      <c r="P247" s="472"/>
      <c r="Q247" s="472"/>
      <c r="R247" s="472"/>
      <c r="S247" s="472"/>
      <c r="T247" s="472"/>
      <c r="U247" s="472"/>
      <c r="V247" s="472"/>
      <c r="W247" s="472"/>
      <c r="X247" s="472"/>
      <c r="Y247" s="472"/>
      <c r="Z247" s="472"/>
    </row>
    <row r="248" spans="1:26" ht="14.25" customHeight="1">
      <c r="A248" s="472"/>
      <c r="B248" s="472"/>
      <c r="C248" s="472"/>
      <c r="D248" s="472"/>
      <c r="E248" s="472"/>
      <c r="F248" s="472"/>
      <c r="G248" s="472"/>
      <c r="H248" s="472"/>
      <c r="I248" s="472"/>
      <c r="J248" s="472"/>
      <c r="K248" s="471"/>
      <c r="L248" s="472"/>
      <c r="M248" s="472"/>
      <c r="N248" s="472"/>
      <c r="O248" s="472"/>
      <c r="P248" s="472"/>
      <c r="Q248" s="472"/>
      <c r="R248" s="472"/>
      <c r="S248" s="472"/>
      <c r="T248" s="472"/>
      <c r="U248" s="472"/>
      <c r="V248" s="472"/>
      <c r="W248" s="472"/>
      <c r="X248" s="472"/>
      <c r="Y248" s="472"/>
      <c r="Z248" s="472"/>
    </row>
    <row r="249" spans="1:26" ht="14.25" customHeight="1">
      <c r="A249" s="472"/>
      <c r="B249" s="472"/>
      <c r="C249" s="472"/>
      <c r="D249" s="472"/>
      <c r="E249" s="472"/>
      <c r="F249" s="472"/>
      <c r="G249" s="472"/>
      <c r="H249" s="472"/>
      <c r="I249" s="472"/>
      <c r="J249" s="472"/>
      <c r="K249" s="471"/>
      <c r="L249" s="472"/>
      <c r="M249" s="472"/>
      <c r="N249" s="472"/>
      <c r="O249" s="472"/>
      <c r="P249" s="472"/>
      <c r="Q249" s="472"/>
      <c r="R249" s="472"/>
      <c r="S249" s="472"/>
      <c r="T249" s="472"/>
      <c r="U249" s="472"/>
      <c r="V249" s="472"/>
      <c r="W249" s="472"/>
      <c r="X249" s="472"/>
      <c r="Y249" s="472"/>
      <c r="Z249" s="472"/>
    </row>
    <row r="250" spans="1:26" ht="14.25" customHeight="1">
      <c r="A250" s="472"/>
      <c r="B250" s="472"/>
      <c r="C250" s="472"/>
      <c r="D250" s="472"/>
      <c r="E250" s="472"/>
      <c r="F250" s="472"/>
      <c r="G250" s="472"/>
      <c r="H250" s="472"/>
      <c r="I250" s="472"/>
      <c r="J250" s="472"/>
      <c r="K250" s="471"/>
      <c r="L250" s="472"/>
      <c r="M250" s="472"/>
      <c r="N250" s="472"/>
      <c r="O250" s="472"/>
      <c r="P250" s="472"/>
      <c r="Q250" s="472"/>
      <c r="R250" s="472"/>
      <c r="S250" s="472"/>
      <c r="T250" s="472"/>
      <c r="U250" s="472"/>
      <c r="V250" s="472"/>
      <c r="W250" s="472"/>
      <c r="X250" s="472"/>
      <c r="Y250" s="472"/>
      <c r="Z250" s="472"/>
    </row>
    <row r="251" spans="1:26" ht="14.25" customHeight="1">
      <c r="A251" s="472"/>
      <c r="B251" s="472"/>
      <c r="C251" s="472"/>
      <c r="D251" s="472"/>
      <c r="E251" s="472"/>
      <c r="F251" s="472"/>
      <c r="G251" s="472"/>
      <c r="H251" s="472"/>
      <c r="I251" s="472"/>
      <c r="J251" s="472"/>
      <c r="K251" s="471"/>
      <c r="L251" s="472"/>
      <c r="M251" s="472"/>
      <c r="N251" s="472"/>
      <c r="O251" s="472"/>
      <c r="P251" s="472"/>
      <c r="Q251" s="472"/>
      <c r="R251" s="472"/>
      <c r="S251" s="472"/>
      <c r="T251" s="472"/>
      <c r="U251" s="472"/>
      <c r="V251" s="472"/>
      <c r="W251" s="472"/>
      <c r="X251" s="472"/>
      <c r="Y251" s="472"/>
      <c r="Z251" s="472"/>
    </row>
    <row r="252" spans="1:26" ht="14.25" customHeight="1">
      <c r="A252" s="472"/>
      <c r="B252" s="472"/>
      <c r="C252" s="472"/>
      <c r="D252" s="472"/>
      <c r="E252" s="472"/>
      <c r="F252" s="472"/>
      <c r="G252" s="472"/>
      <c r="H252" s="472"/>
      <c r="I252" s="472"/>
      <c r="J252" s="472"/>
      <c r="K252" s="471"/>
      <c r="L252" s="472"/>
      <c r="M252" s="472"/>
      <c r="N252" s="472"/>
      <c r="O252" s="472"/>
      <c r="P252" s="472"/>
      <c r="Q252" s="472"/>
      <c r="R252" s="472"/>
      <c r="S252" s="472"/>
      <c r="T252" s="472"/>
      <c r="U252" s="472"/>
      <c r="V252" s="472"/>
      <c r="W252" s="472"/>
      <c r="X252" s="472"/>
      <c r="Y252" s="472"/>
      <c r="Z252" s="472"/>
    </row>
    <row r="253" spans="1:26" ht="14.25" customHeight="1">
      <c r="A253" s="472"/>
      <c r="B253" s="472"/>
      <c r="C253" s="472"/>
      <c r="D253" s="472"/>
      <c r="E253" s="472"/>
      <c r="F253" s="472"/>
      <c r="G253" s="472"/>
      <c r="H253" s="472"/>
      <c r="I253" s="472"/>
      <c r="J253" s="472"/>
      <c r="K253" s="471"/>
      <c r="L253" s="472"/>
      <c r="M253" s="472"/>
      <c r="N253" s="472"/>
      <c r="O253" s="472"/>
      <c r="P253" s="472"/>
      <c r="Q253" s="472"/>
      <c r="R253" s="472"/>
      <c r="S253" s="472"/>
      <c r="T253" s="472"/>
      <c r="U253" s="472"/>
      <c r="V253" s="472"/>
      <c r="W253" s="472"/>
      <c r="X253" s="472"/>
      <c r="Y253" s="472"/>
      <c r="Z253" s="472"/>
    </row>
    <row r="254" spans="1:26" ht="14.25" customHeight="1">
      <c r="A254" s="472"/>
      <c r="B254" s="472"/>
      <c r="C254" s="472"/>
      <c r="D254" s="472"/>
      <c r="E254" s="472"/>
      <c r="F254" s="472"/>
      <c r="G254" s="472"/>
      <c r="H254" s="472"/>
      <c r="I254" s="472"/>
      <c r="J254" s="472"/>
      <c r="K254" s="471"/>
      <c r="L254" s="472"/>
      <c r="M254" s="472"/>
      <c r="N254" s="472"/>
      <c r="O254" s="472"/>
      <c r="P254" s="472"/>
      <c r="Q254" s="472"/>
      <c r="R254" s="472"/>
      <c r="S254" s="472"/>
      <c r="T254" s="472"/>
      <c r="U254" s="472"/>
      <c r="V254" s="472"/>
      <c r="W254" s="472"/>
      <c r="X254" s="472"/>
      <c r="Y254" s="472"/>
      <c r="Z254" s="472"/>
    </row>
    <row r="255" spans="1:26" ht="14.25" customHeight="1">
      <c r="A255" s="472"/>
      <c r="B255" s="472"/>
      <c r="C255" s="472"/>
      <c r="D255" s="472"/>
      <c r="E255" s="472"/>
      <c r="F255" s="472"/>
      <c r="G255" s="472"/>
      <c r="H255" s="472"/>
      <c r="I255" s="472"/>
      <c r="J255" s="472"/>
      <c r="K255" s="471"/>
      <c r="L255" s="472"/>
      <c r="M255" s="472"/>
      <c r="N255" s="472"/>
      <c r="O255" s="472"/>
      <c r="P255" s="472"/>
      <c r="Q255" s="472"/>
      <c r="R255" s="472"/>
      <c r="S255" s="472"/>
      <c r="T255" s="472"/>
      <c r="U255" s="472"/>
      <c r="V255" s="472"/>
      <c r="W255" s="472"/>
      <c r="X255" s="472"/>
      <c r="Y255" s="472"/>
      <c r="Z255" s="472"/>
    </row>
    <row r="256" spans="1:26" ht="14.25" customHeight="1">
      <c r="A256" s="472"/>
      <c r="B256" s="472"/>
      <c r="C256" s="472"/>
      <c r="D256" s="472"/>
      <c r="E256" s="472"/>
      <c r="F256" s="472"/>
      <c r="G256" s="472"/>
      <c r="H256" s="472"/>
      <c r="I256" s="472"/>
      <c r="J256" s="472"/>
      <c r="K256" s="471"/>
      <c r="L256" s="472"/>
      <c r="M256" s="472"/>
      <c r="N256" s="472"/>
      <c r="O256" s="472"/>
      <c r="P256" s="472"/>
      <c r="Q256" s="472"/>
      <c r="R256" s="472"/>
      <c r="S256" s="472"/>
      <c r="T256" s="472"/>
      <c r="U256" s="472"/>
      <c r="V256" s="472"/>
      <c r="W256" s="472"/>
      <c r="X256" s="472"/>
      <c r="Y256" s="472"/>
      <c r="Z256" s="472"/>
    </row>
    <row r="257" spans="1:26" ht="14.25" customHeight="1">
      <c r="A257" s="472"/>
      <c r="B257" s="472"/>
      <c r="C257" s="472"/>
      <c r="D257" s="472"/>
      <c r="E257" s="472"/>
      <c r="F257" s="472"/>
      <c r="G257" s="472"/>
      <c r="H257" s="472"/>
      <c r="I257" s="472"/>
      <c r="J257" s="472"/>
      <c r="K257" s="471"/>
      <c r="L257" s="472"/>
      <c r="M257" s="472"/>
      <c r="N257" s="472"/>
      <c r="O257" s="472"/>
      <c r="P257" s="472"/>
      <c r="Q257" s="472"/>
      <c r="R257" s="472"/>
      <c r="S257" s="472"/>
      <c r="T257" s="472"/>
      <c r="U257" s="472"/>
      <c r="V257" s="472"/>
      <c r="W257" s="472"/>
      <c r="X257" s="472"/>
      <c r="Y257" s="472"/>
      <c r="Z257" s="472"/>
    </row>
    <row r="258" spans="1:26" ht="14.25" customHeight="1">
      <c r="A258" s="472"/>
      <c r="B258" s="472"/>
      <c r="C258" s="472"/>
      <c r="D258" s="472"/>
      <c r="E258" s="472"/>
      <c r="F258" s="472"/>
      <c r="G258" s="472"/>
      <c r="H258" s="472"/>
      <c r="I258" s="472"/>
      <c r="J258" s="472"/>
      <c r="K258" s="471"/>
      <c r="L258" s="472"/>
      <c r="M258" s="472"/>
      <c r="N258" s="472"/>
      <c r="O258" s="472"/>
      <c r="P258" s="472"/>
      <c r="Q258" s="472"/>
      <c r="R258" s="472"/>
      <c r="S258" s="472"/>
      <c r="T258" s="472"/>
      <c r="U258" s="472"/>
      <c r="V258" s="472"/>
      <c r="W258" s="472"/>
      <c r="X258" s="472"/>
      <c r="Y258" s="472"/>
      <c r="Z258" s="472"/>
    </row>
    <row r="259" spans="1:26" ht="14.25" customHeight="1">
      <c r="A259" s="472"/>
      <c r="B259" s="472"/>
      <c r="C259" s="472"/>
      <c r="D259" s="472"/>
      <c r="E259" s="472"/>
      <c r="F259" s="472"/>
      <c r="G259" s="472"/>
      <c r="H259" s="472"/>
      <c r="I259" s="472"/>
      <c r="J259" s="472"/>
      <c r="K259" s="471"/>
      <c r="L259" s="472"/>
      <c r="M259" s="472"/>
      <c r="N259" s="472"/>
      <c r="O259" s="472"/>
      <c r="P259" s="472"/>
      <c r="Q259" s="472"/>
      <c r="R259" s="472"/>
      <c r="S259" s="472"/>
      <c r="T259" s="472"/>
      <c r="U259" s="472"/>
      <c r="V259" s="472"/>
      <c r="W259" s="472"/>
      <c r="X259" s="472"/>
      <c r="Y259" s="472"/>
      <c r="Z259" s="472"/>
    </row>
    <row r="260" spans="1:26" ht="14.25" customHeight="1">
      <c r="A260" s="472"/>
      <c r="B260" s="472"/>
      <c r="C260" s="472"/>
      <c r="D260" s="472"/>
      <c r="E260" s="472"/>
      <c r="F260" s="472"/>
      <c r="G260" s="472"/>
      <c r="H260" s="472"/>
      <c r="I260" s="472"/>
      <c r="J260" s="472"/>
      <c r="K260" s="471"/>
      <c r="L260" s="472"/>
      <c r="M260" s="472"/>
      <c r="N260" s="472"/>
      <c r="O260" s="472"/>
      <c r="P260" s="472"/>
      <c r="Q260" s="472"/>
      <c r="R260" s="472"/>
      <c r="S260" s="472"/>
      <c r="T260" s="472"/>
      <c r="U260" s="472"/>
      <c r="V260" s="472"/>
      <c r="W260" s="472"/>
      <c r="X260" s="472"/>
      <c r="Y260" s="472"/>
      <c r="Z260" s="472"/>
    </row>
    <row r="261" spans="1:26" ht="14.25" customHeight="1">
      <c r="A261" s="472"/>
      <c r="B261" s="472"/>
      <c r="C261" s="472"/>
      <c r="D261" s="472"/>
      <c r="E261" s="472"/>
      <c r="F261" s="472"/>
      <c r="G261" s="472"/>
      <c r="H261" s="472"/>
      <c r="I261" s="472"/>
      <c r="J261" s="472"/>
      <c r="K261" s="471"/>
      <c r="L261" s="472"/>
      <c r="M261" s="472"/>
      <c r="N261" s="472"/>
      <c r="O261" s="472"/>
      <c r="P261" s="472"/>
      <c r="Q261" s="472"/>
      <c r="R261" s="472"/>
      <c r="S261" s="472"/>
      <c r="T261" s="472"/>
      <c r="U261" s="472"/>
      <c r="V261" s="472"/>
      <c r="W261" s="472"/>
      <c r="X261" s="472"/>
      <c r="Y261" s="472"/>
      <c r="Z261" s="472"/>
    </row>
    <row r="262" spans="1:26" ht="14.25" customHeight="1">
      <c r="A262" s="472"/>
      <c r="B262" s="472"/>
      <c r="C262" s="472"/>
      <c r="D262" s="472"/>
      <c r="E262" s="472"/>
      <c r="F262" s="472"/>
      <c r="G262" s="472"/>
      <c r="H262" s="472"/>
      <c r="I262" s="472"/>
      <c r="J262" s="472"/>
      <c r="K262" s="471"/>
      <c r="L262" s="472"/>
      <c r="M262" s="472"/>
      <c r="N262" s="472"/>
      <c r="O262" s="472"/>
      <c r="P262" s="472"/>
      <c r="Q262" s="472"/>
      <c r="R262" s="472"/>
      <c r="S262" s="472"/>
      <c r="T262" s="472"/>
      <c r="U262" s="472"/>
      <c r="V262" s="472"/>
      <c r="W262" s="472"/>
      <c r="X262" s="472"/>
      <c r="Y262" s="472"/>
      <c r="Z262" s="472"/>
    </row>
    <row r="263" spans="1:26" ht="14.25" customHeight="1">
      <c r="A263" s="472"/>
      <c r="B263" s="472"/>
      <c r="C263" s="472"/>
      <c r="D263" s="472"/>
      <c r="E263" s="472"/>
      <c r="F263" s="472"/>
      <c r="G263" s="472"/>
      <c r="H263" s="472"/>
      <c r="I263" s="472"/>
      <c r="J263" s="472"/>
      <c r="K263" s="471"/>
      <c r="L263" s="472"/>
      <c r="M263" s="472"/>
      <c r="N263" s="472"/>
      <c r="O263" s="472"/>
      <c r="P263" s="472"/>
      <c r="Q263" s="472"/>
      <c r="R263" s="472"/>
      <c r="S263" s="472"/>
      <c r="T263" s="472"/>
      <c r="U263" s="472"/>
      <c r="V263" s="472"/>
      <c r="W263" s="472"/>
      <c r="X263" s="472"/>
      <c r="Y263" s="472"/>
      <c r="Z263" s="472"/>
    </row>
    <row r="264" spans="1:26" ht="14.25" customHeight="1">
      <c r="A264" s="472"/>
      <c r="B264" s="472"/>
      <c r="C264" s="472"/>
      <c r="D264" s="472"/>
      <c r="E264" s="472"/>
      <c r="F264" s="472"/>
      <c r="G264" s="472"/>
      <c r="H264" s="472"/>
      <c r="I264" s="472"/>
      <c r="J264" s="472"/>
      <c r="K264" s="471"/>
      <c r="L264" s="472"/>
      <c r="M264" s="472"/>
      <c r="N264" s="472"/>
      <c r="O264" s="472"/>
      <c r="P264" s="472"/>
      <c r="Q264" s="472"/>
      <c r="R264" s="472"/>
      <c r="S264" s="472"/>
      <c r="T264" s="472"/>
      <c r="U264" s="472"/>
      <c r="V264" s="472"/>
      <c r="W264" s="472"/>
      <c r="X264" s="472"/>
      <c r="Y264" s="472"/>
      <c r="Z264" s="472"/>
    </row>
    <row r="265" spans="1:26" ht="14.25" customHeight="1">
      <c r="A265" s="472"/>
      <c r="B265" s="472"/>
      <c r="C265" s="472"/>
      <c r="D265" s="472"/>
      <c r="E265" s="472"/>
      <c r="F265" s="472"/>
      <c r="G265" s="472"/>
      <c r="H265" s="472"/>
      <c r="I265" s="472"/>
      <c r="J265" s="472"/>
      <c r="K265" s="471"/>
      <c r="L265" s="472"/>
      <c r="M265" s="472"/>
      <c r="N265" s="472"/>
      <c r="O265" s="472"/>
      <c r="P265" s="472"/>
      <c r="Q265" s="472"/>
      <c r="R265" s="472"/>
      <c r="S265" s="472"/>
      <c r="T265" s="472"/>
      <c r="U265" s="472"/>
      <c r="V265" s="472"/>
      <c r="W265" s="472"/>
      <c r="X265" s="472"/>
      <c r="Y265" s="472"/>
      <c r="Z265" s="472"/>
    </row>
    <row r="266" spans="1:26" ht="14.25" customHeight="1">
      <c r="A266" s="472"/>
      <c r="B266" s="472"/>
      <c r="C266" s="472"/>
      <c r="D266" s="472"/>
      <c r="E266" s="472"/>
      <c r="F266" s="472"/>
      <c r="G266" s="472"/>
      <c r="H266" s="472"/>
      <c r="I266" s="472"/>
      <c r="J266" s="472"/>
      <c r="K266" s="471"/>
      <c r="L266" s="472"/>
      <c r="M266" s="472"/>
      <c r="N266" s="472"/>
      <c r="O266" s="472"/>
      <c r="P266" s="472"/>
      <c r="Q266" s="472"/>
      <c r="R266" s="472"/>
      <c r="S266" s="472"/>
      <c r="T266" s="472"/>
      <c r="U266" s="472"/>
      <c r="V266" s="472"/>
      <c r="W266" s="472"/>
      <c r="X266" s="472"/>
      <c r="Y266" s="472"/>
      <c r="Z266" s="472"/>
    </row>
    <row r="267" spans="1:26" ht="14.25" customHeight="1">
      <c r="A267" s="472"/>
      <c r="B267" s="472"/>
      <c r="C267" s="472"/>
      <c r="D267" s="472"/>
      <c r="E267" s="472"/>
      <c r="F267" s="472"/>
      <c r="G267" s="472"/>
      <c r="H267" s="472"/>
      <c r="I267" s="472"/>
      <c r="J267" s="472"/>
      <c r="K267" s="471"/>
      <c r="L267" s="472"/>
      <c r="M267" s="472"/>
      <c r="N267" s="472"/>
      <c r="O267" s="472"/>
      <c r="P267" s="472"/>
      <c r="Q267" s="472"/>
      <c r="R267" s="472"/>
      <c r="S267" s="472"/>
      <c r="T267" s="472"/>
      <c r="U267" s="472"/>
      <c r="V267" s="472"/>
      <c r="W267" s="472"/>
      <c r="X267" s="472"/>
      <c r="Y267" s="472"/>
      <c r="Z267" s="472"/>
    </row>
    <row r="268" spans="1:26" ht="14.25" customHeight="1">
      <c r="A268" s="472"/>
      <c r="B268" s="472"/>
      <c r="C268" s="472"/>
      <c r="D268" s="472"/>
      <c r="E268" s="472"/>
      <c r="F268" s="472"/>
      <c r="G268" s="472"/>
      <c r="H268" s="472"/>
      <c r="I268" s="472"/>
      <c r="J268" s="472"/>
      <c r="K268" s="471"/>
      <c r="L268" s="472"/>
      <c r="M268" s="472"/>
      <c r="N268" s="472"/>
      <c r="O268" s="472"/>
      <c r="P268" s="472"/>
      <c r="Q268" s="472"/>
      <c r="R268" s="472"/>
      <c r="S268" s="472"/>
      <c r="T268" s="472"/>
      <c r="U268" s="472"/>
      <c r="V268" s="472"/>
      <c r="W268" s="472"/>
      <c r="X268" s="472"/>
      <c r="Y268" s="472"/>
      <c r="Z268" s="472"/>
    </row>
    <row r="269" spans="1:26" ht="14.25" customHeight="1">
      <c r="A269" s="472"/>
      <c r="B269" s="472"/>
      <c r="C269" s="472"/>
      <c r="D269" s="472"/>
      <c r="E269" s="472"/>
      <c r="F269" s="472"/>
      <c r="G269" s="472"/>
      <c r="H269" s="472"/>
      <c r="I269" s="472"/>
      <c r="J269" s="472"/>
      <c r="K269" s="471"/>
      <c r="L269" s="472"/>
      <c r="M269" s="472"/>
      <c r="N269" s="472"/>
      <c r="O269" s="472"/>
      <c r="P269" s="472"/>
      <c r="Q269" s="472"/>
      <c r="R269" s="472"/>
      <c r="S269" s="472"/>
      <c r="T269" s="472"/>
      <c r="U269" s="472"/>
      <c r="V269" s="472"/>
      <c r="W269" s="472"/>
      <c r="X269" s="472"/>
      <c r="Y269" s="472"/>
      <c r="Z269" s="472"/>
    </row>
    <row r="270" spans="1:26" ht="14.25" customHeight="1">
      <c r="A270" s="472"/>
      <c r="B270" s="472"/>
      <c r="C270" s="472"/>
      <c r="D270" s="472"/>
      <c r="E270" s="472"/>
      <c r="F270" s="472"/>
      <c r="G270" s="472"/>
      <c r="H270" s="472"/>
      <c r="I270" s="472"/>
      <c r="J270" s="472"/>
      <c r="K270" s="471"/>
      <c r="L270" s="472"/>
      <c r="M270" s="472"/>
      <c r="N270" s="472"/>
      <c r="O270" s="472"/>
      <c r="P270" s="472"/>
      <c r="Q270" s="472"/>
      <c r="R270" s="472"/>
      <c r="S270" s="472"/>
      <c r="T270" s="472"/>
      <c r="U270" s="472"/>
      <c r="V270" s="472"/>
      <c r="W270" s="472"/>
      <c r="X270" s="472"/>
      <c r="Y270" s="472"/>
      <c r="Z270" s="472"/>
    </row>
    <row r="271" spans="1:26" ht="14.25" customHeight="1">
      <c r="A271" s="472"/>
      <c r="B271" s="472"/>
      <c r="C271" s="472"/>
      <c r="D271" s="472"/>
      <c r="E271" s="472"/>
      <c r="F271" s="472"/>
      <c r="G271" s="472"/>
      <c r="H271" s="472"/>
      <c r="I271" s="472"/>
      <c r="J271" s="472"/>
      <c r="K271" s="471"/>
      <c r="L271" s="472"/>
      <c r="M271" s="472"/>
      <c r="N271" s="472"/>
      <c r="O271" s="472"/>
      <c r="P271" s="472"/>
      <c r="Q271" s="472"/>
      <c r="R271" s="472"/>
      <c r="S271" s="472"/>
      <c r="T271" s="472"/>
      <c r="U271" s="472"/>
      <c r="V271" s="472"/>
      <c r="W271" s="472"/>
      <c r="X271" s="472"/>
      <c r="Y271" s="472"/>
      <c r="Z271" s="472"/>
    </row>
    <row r="272" spans="1:26" ht="14.25" customHeight="1">
      <c r="A272" s="472"/>
      <c r="B272" s="472"/>
      <c r="C272" s="472"/>
      <c r="D272" s="472"/>
      <c r="E272" s="472"/>
      <c r="F272" s="472"/>
      <c r="G272" s="472"/>
      <c r="H272" s="472"/>
      <c r="I272" s="472"/>
      <c r="J272" s="472"/>
      <c r="K272" s="471"/>
      <c r="L272" s="472"/>
      <c r="M272" s="472"/>
      <c r="N272" s="472"/>
      <c r="O272" s="472"/>
      <c r="P272" s="472"/>
      <c r="Q272" s="472"/>
      <c r="R272" s="472"/>
      <c r="S272" s="472"/>
      <c r="T272" s="472"/>
      <c r="U272" s="472"/>
      <c r="V272" s="472"/>
      <c r="W272" s="472"/>
      <c r="X272" s="472"/>
      <c r="Y272" s="472"/>
      <c r="Z272" s="472"/>
    </row>
    <row r="273" spans="1:26" ht="14.25" customHeight="1">
      <c r="A273" s="472"/>
      <c r="B273" s="472"/>
      <c r="C273" s="472"/>
      <c r="D273" s="472"/>
      <c r="E273" s="472"/>
      <c r="F273" s="472"/>
      <c r="G273" s="472"/>
      <c r="H273" s="472"/>
      <c r="I273" s="472"/>
      <c r="J273" s="472"/>
      <c r="K273" s="471"/>
      <c r="L273" s="472"/>
      <c r="M273" s="472"/>
      <c r="N273" s="472"/>
      <c r="O273" s="472"/>
      <c r="P273" s="472"/>
      <c r="Q273" s="472"/>
      <c r="R273" s="472"/>
      <c r="S273" s="472"/>
      <c r="T273" s="472"/>
      <c r="U273" s="472"/>
      <c r="V273" s="472"/>
      <c r="W273" s="472"/>
      <c r="X273" s="472"/>
      <c r="Y273" s="472"/>
      <c r="Z273" s="472"/>
    </row>
    <row r="274" spans="1:26" ht="14.25" customHeight="1">
      <c r="A274" s="472"/>
      <c r="B274" s="472"/>
      <c r="C274" s="472"/>
      <c r="D274" s="472"/>
      <c r="E274" s="472"/>
      <c r="F274" s="472"/>
      <c r="G274" s="472"/>
      <c r="H274" s="472"/>
      <c r="I274" s="472"/>
      <c r="J274" s="472"/>
      <c r="K274" s="471"/>
      <c r="L274" s="472"/>
      <c r="M274" s="472"/>
      <c r="N274" s="472"/>
      <c r="O274" s="472"/>
      <c r="P274" s="472"/>
      <c r="Q274" s="472"/>
      <c r="R274" s="472"/>
      <c r="S274" s="472"/>
      <c r="T274" s="472"/>
      <c r="U274" s="472"/>
      <c r="V274" s="472"/>
      <c r="W274" s="472"/>
      <c r="X274" s="472"/>
      <c r="Y274" s="472"/>
      <c r="Z274" s="472"/>
    </row>
    <row r="275" spans="1:26" ht="14.25" customHeight="1">
      <c r="A275" s="472"/>
      <c r="B275" s="472"/>
      <c r="C275" s="472"/>
      <c r="D275" s="472"/>
      <c r="E275" s="472"/>
      <c r="F275" s="472"/>
      <c r="G275" s="472"/>
      <c r="H275" s="472"/>
      <c r="I275" s="472"/>
      <c r="J275" s="472"/>
      <c r="K275" s="471"/>
      <c r="L275" s="472"/>
      <c r="M275" s="472"/>
      <c r="N275" s="472"/>
      <c r="O275" s="472"/>
      <c r="P275" s="472"/>
      <c r="Q275" s="472"/>
      <c r="R275" s="472"/>
      <c r="S275" s="472"/>
      <c r="T275" s="472"/>
      <c r="U275" s="472"/>
      <c r="V275" s="472"/>
      <c r="W275" s="472"/>
      <c r="X275" s="472"/>
      <c r="Y275" s="472"/>
      <c r="Z275" s="472"/>
    </row>
    <row r="276" spans="1:26" ht="14.25" customHeight="1">
      <c r="A276" s="472"/>
      <c r="B276" s="472"/>
      <c r="C276" s="472"/>
      <c r="D276" s="472"/>
      <c r="E276" s="472"/>
      <c r="F276" s="472"/>
      <c r="G276" s="472"/>
      <c r="H276" s="472"/>
      <c r="I276" s="472"/>
      <c r="J276" s="472"/>
      <c r="K276" s="471"/>
      <c r="L276" s="472"/>
      <c r="M276" s="472"/>
      <c r="N276" s="472"/>
      <c r="O276" s="472"/>
      <c r="P276" s="472"/>
      <c r="Q276" s="472"/>
      <c r="R276" s="472"/>
      <c r="S276" s="472"/>
      <c r="T276" s="472"/>
      <c r="U276" s="472"/>
      <c r="V276" s="472"/>
      <c r="W276" s="472"/>
      <c r="X276" s="472"/>
      <c r="Y276" s="472"/>
      <c r="Z276" s="472"/>
    </row>
    <row r="277" spans="1:26" ht="14.25" customHeight="1">
      <c r="A277" s="472"/>
      <c r="B277" s="472"/>
      <c r="C277" s="472"/>
      <c r="D277" s="472"/>
      <c r="E277" s="472"/>
      <c r="F277" s="472"/>
      <c r="G277" s="472"/>
      <c r="H277" s="472"/>
      <c r="I277" s="472"/>
      <c r="J277" s="472"/>
      <c r="K277" s="471"/>
      <c r="L277" s="472"/>
      <c r="M277" s="472"/>
      <c r="N277" s="472"/>
      <c r="O277" s="472"/>
      <c r="P277" s="472"/>
      <c r="Q277" s="472"/>
      <c r="R277" s="472"/>
      <c r="S277" s="472"/>
      <c r="T277" s="472"/>
      <c r="U277" s="472"/>
      <c r="V277" s="472"/>
      <c r="W277" s="472"/>
      <c r="X277" s="472"/>
      <c r="Y277" s="472"/>
      <c r="Z277" s="472"/>
    </row>
    <row r="278" spans="1:26" ht="14.25" customHeight="1">
      <c r="A278" s="472"/>
      <c r="B278" s="472"/>
      <c r="C278" s="472"/>
      <c r="D278" s="472"/>
      <c r="E278" s="472"/>
      <c r="F278" s="472"/>
      <c r="G278" s="472"/>
      <c r="H278" s="472"/>
      <c r="I278" s="472"/>
      <c r="J278" s="472"/>
      <c r="K278" s="471"/>
      <c r="L278" s="472"/>
      <c r="M278" s="472"/>
      <c r="N278" s="472"/>
      <c r="O278" s="472"/>
      <c r="P278" s="472"/>
      <c r="Q278" s="472"/>
      <c r="R278" s="472"/>
      <c r="S278" s="472"/>
      <c r="T278" s="472"/>
      <c r="U278" s="472"/>
      <c r="V278" s="472"/>
      <c r="W278" s="472"/>
      <c r="X278" s="472"/>
      <c r="Y278" s="472"/>
      <c r="Z278" s="472"/>
    </row>
    <row r="279" spans="1:26" ht="14.25" customHeight="1">
      <c r="A279" s="472"/>
      <c r="B279" s="472"/>
      <c r="C279" s="472"/>
      <c r="D279" s="472"/>
      <c r="E279" s="472"/>
      <c r="F279" s="472"/>
      <c r="G279" s="472"/>
      <c r="H279" s="472"/>
      <c r="I279" s="472"/>
      <c r="J279" s="472"/>
      <c r="K279" s="471"/>
      <c r="L279" s="472"/>
      <c r="M279" s="472"/>
      <c r="N279" s="472"/>
      <c r="O279" s="472"/>
      <c r="P279" s="472"/>
      <c r="Q279" s="472"/>
      <c r="R279" s="472"/>
      <c r="S279" s="472"/>
      <c r="T279" s="472"/>
      <c r="U279" s="472"/>
      <c r="V279" s="472"/>
      <c r="W279" s="472"/>
      <c r="X279" s="472"/>
      <c r="Y279" s="472"/>
      <c r="Z279" s="472"/>
    </row>
    <row r="280" spans="1:26" ht="14.25" customHeight="1">
      <c r="A280" s="472"/>
      <c r="B280" s="472"/>
      <c r="C280" s="472"/>
      <c r="D280" s="472"/>
      <c r="E280" s="472"/>
      <c r="F280" s="472"/>
      <c r="G280" s="472"/>
      <c r="H280" s="472"/>
      <c r="I280" s="472"/>
      <c r="J280" s="472"/>
      <c r="K280" s="471"/>
      <c r="L280" s="472"/>
      <c r="M280" s="472"/>
      <c r="N280" s="472"/>
      <c r="O280" s="472"/>
      <c r="P280" s="472"/>
      <c r="Q280" s="472"/>
      <c r="R280" s="472"/>
      <c r="S280" s="472"/>
      <c r="T280" s="472"/>
      <c r="U280" s="472"/>
      <c r="V280" s="472"/>
      <c r="W280" s="472"/>
      <c r="X280" s="472"/>
      <c r="Y280" s="472"/>
      <c r="Z280" s="472"/>
    </row>
    <row r="281" spans="1:26" ht="14.25" customHeight="1">
      <c r="A281" s="472"/>
      <c r="B281" s="472"/>
      <c r="C281" s="472"/>
      <c r="D281" s="472"/>
      <c r="E281" s="472"/>
      <c r="F281" s="472"/>
      <c r="G281" s="472"/>
      <c r="H281" s="472"/>
      <c r="I281" s="472"/>
      <c r="J281" s="472"/>
      <c r="K281" s="471"/>
      <c r="L281" s="472"/>
      <c r="M281" s="472"/>
      <c r="N281" s="472"/>
      <c r="O281" s="472"/>
      <c r="P281" s="472"/>
      <c r="Q281" s="472"/>
      <c r="R281" s="472"/>
      <c r="S281" s="472"/>
      <c r="T281" s="472"/>
      <c r="U281" s="472"/>
      <c r="V281" s="472"/>
      <c r="W281" s="472"/>
      <c r="X281" s="472"/>
      <c r="Y281" s="472"/>
      <c r="Z281" s="472"/>
    </row>
    <row r="282" spans="1:26" ht="14.25" customHeight="1">
      <c r="A282" s="472"/>
      <c r="B282" s="472"/>
      <c r="C282" s="472"/>
      <c r="D282" s="472"/>
      <c r="E282" s="472"/>
      <c r="F282" s="472"/>
      <c r="G282" s="472"/>
      <c r="H282" s="472"/>
      <c r="I282" s="472"/>
      <c r="J282" s="472"/>
      <c r="K282" s="471"/>
      <c r="L282" s="472"/>
      <c r="M282" s="472"/>
      <c r="N282" s="472"/>
      <c r="O282" s="472"/>
      <c r="P282" s="472"/>
      <c r="Q282" s="472"/>
      <c r="R282" s="472"/>
      <c r="S282" s="472"/>
      <c r="T282" s="472"/>
      <c r="U282" s="472"/>
      <c r="V282" s="472"/>
      <c r="W282" s="472"/>
      <c r="X282" s="472"/>
      <c r="Y282" s="472"/>
      <c r="Z282" s="472"/>
    </row>
    <row r="283" spans="1:26" ht="14.25" customHeight="1">
      <c r="A283" s="472"/>
      <c r="B283" s="472"/>
      <c r="C283" s="472"/>
      <c r="D283" s="472"/>
      <c r="E283" s="472"/>
      <c r="F283" s="472"/>
      <c r="G283" s="472"/>
      <c r="H283" s="472"/>
      <c r="I283" s="472"/>
      <c r="J283" s="472"/>
      <c r="K283" s="471"/>
      <c r="L283" s="472"/>
      <c r="M283" s="472"/>
      <c r="N283" s="472"/>
      <c r="O283" s="472"/>
      <c r="P283" s="472"/>
      <c r="Q283" s="472"/>
      <c r="R283" s="472"/>
      <c r="S283" s="472"/>
      <c r="T283" s="472"/>
      <c r="U283" s="472"/>
      <c r="V283" s="472"/>
      <c r="W283" s="472"/>
      <c r="X283" s="472"/>
      <c r="Y283" s="472"/>
      <c r="Z283" s="472"/>
    </row>
    <row r="284" spans="1:26" ht="14.25" customHeight="1">
      <c r="A284" s="472"/>
      <c r="B284" s="472"/>
      <c r="C284" s="472"/>
      <c r="D284" s="472"/>
      <c r="E284" s="472"/>
      <c r="F284" s="472"/>
      <c r="G284" s="472"/>
      <c r="H284" s="472"/>
      <c r="I284" s="472"/>
      <c r="J284" s="472"/>
      <c r="K284" s="471"/>
      <c r="L284" s="472"/>
      <c r="M284" s="472"/>
      <c r="N284" s="472"/>
      <c r="O284" s="472"/>
      <c r="P284" s="472"/>
      <c r="Q284" s="472"/>
      <c r="R284" s="472"/>
      <c r="S284" s="472"/>
      <c r="T284" s="472"/>
      <c r="U284" s="472"/>
      <c r="V284" s="472"/>
      <c r="W284" s="472"/>
      <c r="X284" s="472"/>
      <c r="Y284" s="472"/>
      <c r="Z284" s="472"/>
    </row>
    <row r="285" spans="1:26" ht="14.25" customHeight="1">
      <c r="A285" s="472"/>
      <c r="B285" s="472"/>
      <c r="C285" s="472"/>
      <c r="D285" s="472"/>
      <c r="E285" s="472"/>
      <c r="F285" s="472"/>
      <c r="G285" s="472"/>
      <c r="H285" s="472"/>
      <c r="I285" s="472"/>
      <c r="J285" s="472"/>
      <c r="K285" s="471"/>
      <c r="L285" s="472"/>
      <c r="M285" s="472"/>
      <c r="N285" s="472"/>
      <c r="O285" s="472"/>
      <c r="P285" s="472"/>
      <c r="Q285" s="472"/>
      <c r="R285" s="472"/>
      <c r="S285" s="472"/>
      <c r="T285" s="472"/>
      <c r="U285" s="472"/>
      <c r="V285" s="472"/>
      <c r="W285" s="472"/>
      <c r="X285" s="472"/>
      <c r="Y285" s="472"/>
      <c r="Z285" s="472"/>
    </row>
    <row r="286" spans="1:26" ht="14.25" customHeight="1">
      <c r="A286" s="472"/>
      <c r="B286" s="472"/>
      <c r="C286" s="472"/>
      <c r="D286" s="472"/>
      <c r="E286" s="472"/>
      <c r="F286" s="472"/>
      <c r="G286" s="472"/>
      <c r="H286" s="472"/>
      <c r="I286" s="472"/>
      <c r="J286" s="472"/>
      <c r="K286" s="471"/>
      <c r="L286" s="472"/>
      <c r="M286" s="472"/>
      <c r="N286" s="472"/>
      <c r="O286" s="472"/>
      <c r="P286" s="472"/>
      <c r="Q286" s="472"/>
      <c r="R286" s="472"/>
      <c r="S286" s="472"/>
      <c r="T286" s="472"/>
      <c r="U286" s="472"/>
      <c r="V286" s="472"/>
      <c r="W286" s="472"/>
      <c r="X286" s="472"/>
      <c r="Y286" s="472"/>
      <c r="Z286" s="472"/>
    </row>
    <row r="287" spans="1:26" ht="14.25" customHeight="1">
      <c r="A287" s="472"/>
      <c r="B287" s="472"/>
      <c r="C287" s="472"/>
      <c r="D287" s="472"/>
      <c r="E287" s="472"/>
      <c r="F287" s="472"/>
      <c r="G287" s="472"/>
      <c r="H287" s="472"/>
      <c r="I287" s="472"/>
      <c r="J287" s="472"/>
      <c r="K287" s="471"/>
      <c r="L287" s="472"/>
      <c r="M287" s="472"/>
      <c r="N287" s="472"/>
      <c r="O287" s="472"/>
      <c r="P287" s="472"/>
      <c r="Q287" s="472"/>
      <c r="R287" s="472"/>
      <c r="S287" s="472"/>
      <c r="T287" s="472"/>
      <c r="U287" s="472"/>
      <c r="V287" s="472"/>
      <c r="W287" s="472"/>
      <c r="X287" s="472"/>
      <c r="Y287" s="472"/>
      <c r="Z287" s="472"/>
    </row>
    <row r="288" spans="1:26" ht="14.25" customHeight="1">
      <c r="A288" s="472"/>
      <c r="B288" s="472"/>
      <c r="C288" s="472"/>
      <c r="D288" s="472"/>
      <c r="E288" s="472"/>
      <c r="F288" s="472"/>
      <c r="G288" s="472"/>
      <c r="H288" s="472"/>
      <c r="I288" s="472"/>
      <c r="J288" s="472"/>
      <c r="K288" s="471"/>
      <c r="L288" s="472"/>
      <c r="M288" s="472"/>
      <c r="N288" s="472"/>
      <c r="O288" s="472"/>
      <c r="P288" s="472"/>
      <c r="Q288" s="472"/>
      <c r="R288" s="472"/>
      <c r="S288" s="472"/>
      <c r="T288" s="472"/>
      <c r="U288" s="472"/>
      <c r="V288" s="472"/>
      <c r="W288" s="472"/>
      <c r="X288" s="472"/>
      <c r="Y288" s="472"/>
      <c r="Z288" s="472"/>
    </row>
    <row r="289" spans="1:26" ht="14.25" customHeight="1">
      <c r="A289" s="472"/>
      <c r="B289" s="472"/>
      <c r="C289" s="472"/>
      <c r="D289" s="472"/>
      <c r="E289" s="472"/>
      <c r="F289" s="472"/>
      <c r="G289" s="472"/>
      <c r="H289" s="472"/>
      <c r="I289" s="472"/>
      <c r="J289" s="472"/>
      <c r="K289" s="471"/>
      <c r="L289" s="472"/>
      <c r="M289" s="472"/>
      <c r="N289" s="472"/>
      <c r="O289" s="472"/>
      <c r="P289" s="472"/>
      <c r="Q289" s="472"/>
      <c r="R289" s="472"/>
      <c r="S289" s="472"/>
      <c r="T289" s="472"/>
      <c r="U289" s="472"/>
      <c r="V289" s="472"/>
      <c r="W289" s="472"/>
      <c r="X289" s="472"/>
      <c r="Y289" s="472"/>
      <c r="Z289" s="472"/>
    </row>
    <row r="290" spans="1:26" ht="14.25" customHeight="1">
      <c r="A290" s="472"/>
      <c r="B290" s="472"/>
      <c r="C290" s="472"/>
      <c r="D290" s="472"/>
      <c r="E290" s="472"/>
      <c r="F290" s="472"/>
      <c r="G290" s="472"/>
      <c r="H290" s="472"/>
      <c r="I290" s="472"/>
      <c r="J290" s="472"/>
      <c r="K290" s="471"/>
      <c r="L290" s="472"/>
      <c r="M290" s="472"/>
      <c r="N290" s="472"/>
      <c r="O290" s="472"/>
      <c r="P290" s="472"/>
      <c r="Q290" s="472"/>
      <c r="R290" s="472"/>
      <c r="S290" s="472"/>
      <c r="T290" s="472"/>
      <c r="U290" s="472"/>
      <c r="V290" s="472"/>
      <c r="W290" s="472"/>
      <c r="X290" s="472"/>
      <c r="Y290" s="472"/>
      <c r="Z290" s="472"/>
    </row>
    <row r="291" spans="1:26" ht="14.25" customHeight="1">
      <c r="A291" s="472"/>
      <c r="B291" s="472"/>
      <c r="C291" s="472"/>
      <c r="D291" s="472"/>
      <c r="E291" s="472"/>
      <c r="F291" s="472"/>
      <c r="G291" s="472"/>
      <c r="H291" s="472"/>
      <c r="I291" s="472"/>
      <c r="J291" s="472"/>
      <c r="K291" s="471"/>
      <c r="L291" s="472"/>
      <c r="M291" s="472"/>
      <c r="N291" s="472"/>
      <c r="O291" s="472"/>
      <c r="P291" s="472"/>
      <c r="Q291" s="472"/>
      <c r="R291" s="472"/>
      <c r="S291" s="472"/>
      <c r="T291" s="472"/>
      <c r="U291" s="472"/>
      <c r="V291" s="472"/>
      <c r="W291" s="472"/>
      <c r="X291" s="472"/>
      <c r="Y291" s="472"/>
      <c r="Z291" s="472"/>
    </row>
    <row r="292" spans="1:26" ht="14.25" customHeight="1">
      <c r="A292" s="472"/>
      <c r="B292" s="472"/>
      <c r="C292" s="472"/>
      <c r="D292" s="472"/>
      <c r="E292" s="472"/>
      <c r="F292" s="472"/>
      <c r="G292" s="472"/>
      <c r="H292" s="472"/>
      <c r="I292" s="472"/>
      <c r="J292" s="472"/>
      <c r="K292" s="471"/>
      <c r="L292" s="472"/>
      <c r="M292" s="472"/>
      <c r="N292" s="472"/>
      <c r="O292" s="472"/>
      <c r="P292" s="472"/>
      <c r="Q292" s="472"/>
      <c r="R292" s="472"/>
      <c r="S292" s="472"/>
      <c r="T292" s="472"/>
      <c r="U292" s="472"/>
      <c r="V292" s="472"/>
      <c r="W292" s="472"/>
      <c r="X292" s="472"/>
      <c r="Y292" s="472"/>
      <c r="Z292" s="472"/>
    </row>
    <row r="293" spans="1:26" ht="14.25" customHeight="1">
      <c r="A293" s="472"/>
      <c r="B293" s="472"/>
      <c r="C293" s="472"/>
      <c r="D293" s="472"/>
      <c r="E293" s="472"/>
      <c r="F293" s="472"/>
      <c r="G293" s="472"/>
      <c r="H293" s="472"/>
      <c r="I293" s="472"/>
      <c r="J293" s="472"/>
      <c r="K293" s="471"/>
      <c r="L293" s="472"/>
      <c r="M293" s="472"/>
      <c r="N293" s="472"/>
      <c r="O293" s="472"/>
      <c r="P293" s="472"/>
      <c r="Q293" s="472"/>
      <c r="R293" s="472"/>
      <c r="S293" s="472"/>
      <c r="T293" s="472"/>
      <c r="U293" s="472"/>
      <c r="V293" s="472"/>
      <c r="W293" s="472"/>
      <c r="X293" s="472"/>
      <c r="Y293" s="472"/>
      <c r="Z293" s="472"/>
    </row>
    <row r="294" spans="1:26" ht="14.25" customHeight="1">
      <c r="A294" s="472"/>
      <c r="B294" s="472"/>
      <c r="C294" s="472"/>
      <c r="D294" s="472"/>
      <c r="E294" s="472"/>
      <c r="F294" s="472"/>
      <c r="G294" s="472"/>
      <c r="H294" s="472"/>
      <c r="I294" s="472"/>
      <c r="J294" s="472"/>
      <c r="K294" s="471"/>
      <c r="L294" s="472"/>
      <c r="M294" s="472"/>
      <c r="N294" s="472"/>
      <c r="O294" s="472"/>
      <c r="P294" s="472"/>
      <c r="Q294" s="472"/>
      <c r="R294" s="472"/>
      <c r="S294" s="472"/>
      <c r="T294" s="472"/>
      <c r="U294" s="472"/>
      <c r="V294" s="472"/>
      <c r="W294" s="472"/>
      <c r="X294" s="472"/>
      <c r="Y294" s="472"/>
      <c r="Z294" s="472"/>
    </row>
    <row r="295" spans="1:26" ht="14.25" customHeight="1">
      <c r="A295" s="472"/>
      <c r="B295" s="472"/>
      <c r="C295" s="472"/>
      <c r="D295" s="472"/>
      <c r="E295" s="472"/>
      <c r="F295" s="472"/>
      <c r="G295" s="472"/>
      <c r="H295" s="472"/>
      <c r="I295" s="472"/>
      <c r="J295" s="472"/>
      <c r="K295" s="471"/>
      <c r="L295" s="472"/>
      <c r="M295" s="472"/>
      <c r="N295" s="472"/>
      <c r="O295" s="472"/>
      <c r="P295" s="472"/>
      <c r="Q295" s="472"/>
      <c r="R295" s="472"/>
      <c r="S295" s="472"/>
      <c r="T295" s="472"/>
      <c r="U295" s="472"/>
      <c r="V295" s="472"/>
      <c r="W295" s="472"/>
      <c r="X295" s="472"/>
      <c r="Y295" s="472"/>
      <c r="Z295" s="472"/>
    </row>
    <row r="296" spans="1:26" ht="14.25" customHeight="1">
      <c r="A296" s="472"/>
      <c r="B296" s="472"/>
      <c r="C296" s="472"/>
      <c r="D296" s="472"/>
      <c r="E296" s="472"/>
      <c r="F296" s="472"/>
      <c r="G296" s="472"/>
      <c r="H296" s="472"/>
      <c r="I296" s="472"/>
      <c r="J296" s="472"/>
      <c r="K296" s="471"/>
      <c r="L296" s="472"/>
      <c r="M296" s="472"/>
      <c r="N296" s="472"/>
      <c r="O296" s="472"/>
      <c r="P296" s="472"/>
      <c r="Q296" s="472"/>
      <c r="R296" s="472"/>
      <c r="S296" s="472"/>
      <c r="T296" s="472"/>
      <c r="U296" s="472"/>
      <c r="V296" s="472"/>
      <c r="W296" s="472"/>
      <c r="X296" s="472"/>
      <c r="Y296" s="472"/>
      <c r="Z296" s="472"/>
    </row>
    <row r="297" spans="1:26" ht="14.25" customHeight="1">
      <c r="A297" s="472"/>
      <c r="B297" s="472"/>
      <c r="C297" s="472"/>
      <c r="D297" s="472"/>
      <c r="E297" s="472"/>
      <c r="F297" s="472"/>
      <c r="G297" s="472"/>
      <c r="H297" s="472"/>
      <c r="I297" s="472"/>
      <c r="J297" s="472"/>
      <c r="K297" s="471"/>
      <c r="L297" s="472"/>
      <c r="M297" s="472"/>
      <c r="N297" s="472"/>
      <c r="O297" s="472"/>
      <c r="P297" s="472"/>
      <c r="Q297" s="472"/>
      <c r="R297" s="472"/>
      <c r="S297" s="472"/>
      <c r="T297" s="472"/>
      <c r="U297" s="472"/>
      <c r="V297" s="472"/>
      <c r="W297" s="472"/>
      <c r="X297" s="472"/>
      <c r="Y297" s="472"/>
      <c r="Z297" s="472"/>
    </row>
    <row r="298" spans="1:26" ht="14.25" customHeight="1">
      <c r="A298" s="472"/>
      <c r="B298" s="472"/>
      <c r="C298" s="472"/>
      <c r="D298" s="472"/>
      <c r="E298" s="472"/>
      <c r="F298" s="472"/>
      <c r="G298" s="472"/>
      <c r="H298" s="472"/>
      <c r="I298" s="472"/>
      <c r="J298" s="472"/>
      <c r="K298" s="471"/>
      <c r="L298" s="472"/>
      <c r="M298" s="472"/>
      <c r="N298" s="472"/>
      <c r="O298" s="472"/>
      <c r="P298" s="472"/>
      <c r="Q298" s="472"/>
      <c r="R298" s="472"/>
      <c r="S298" s="472"/>
      <c r="T298" s="472"/>
      <c r="U298" s="472"/>
      <c r="V298" s="472"/>
      <c r="W298" s="472"/>
      <c r="X298" s="472"/>
      <c r="Y298" s="472"/>
      <c r="Z298" s="472"/>
    </row>
    <row r="299" spans="1:26" ht="14.25" customHeight="1">
      <c r="A299" s="472"/>
      <c r="B299" s="472"/>
      <c r="C299" s="472"/>
      <c r="D299" s="472"/>
      <c r="E299" s="472"/>
      <c r="F299" s="472"/>
      <c r="G299" s="472"/>
      <c r="H299" s="472"/>
      <c r="I299" s="472"/>
      <c r="J299" s="472"/>
      <c r="K299" s="471"/>
      <c r="L299" s="472"/>
      <c r="M299" s="472"/>
      <c r="N299" s="472"/>
      <c r="O299" s="472"/>
      <c r="P299" s="472"/>
      <c r="Q299" s="472"/>
      <c r="R299" s="472"/>
      <c r="S299" s="472"/>
      <c r="T299" s="472"/>
      <c r="U299" s="472"/>
      <c r="V299" s="472"/>
      <c r="W299" s="472"/>
      <c r="X299" s="472"/>
      <c r="Y299" s="472"/>
      <c r="Z299" s="472"/>
    </row>
    <row r="300" spans="1:26" ht="14.25" customHeight="1">
      <c r="A300" s="472"/>
      <c r="B300" s="472"/>
      <c r="C300" s="472"/>
      <c r="D300" s="472"/>
      <c r="E300" s="472"/>
      <c r="F300" s="472"/>
      <c r="G300" s="472"/>
      <c r="H300" s="472"/>
      <c r="I300" s="472"/>
      <c r="J300" s="472"/>
      <c r="K300" s="471"/>
      <c r="L300" s="472"/>
      <c r="M300" s="472"/>
      <c r="N300" s="472"/>
      <c r="O300" s="472"/>
      <c r="P300" s="472"/>
      <c r="Q300" s="472"/>
      <c r="R300" s="472"/>
      <c r="S300" s="472"/>
      <c r="T300" s="472"/>
      <c r="U300" s="472"/>
      <c r="V300" s="472"/>
      <c r="W300" s="472"/>
      <c r="X300" s="472"/>
      <c r="Y300" s="472"/>
      <c r="Z300" s="472"/>
    </row>
    <row r="301" spans="1:26" ht="14.25" customHeight="1">
      <c r="A301" s="472"/>
      <c r="B301" s="472"/>
      <c r="C301" s="472"/>
      <c r="D301" s="472"/>
      <c r="E301" s="472"/>
      <c r="F301" s="472"/>
      <c r="G301" s="472"/>
      <c r="H301" s="472"/>
      <c r="I301" s="472"/>
      <c r="J301" s="472"/>
      <c r="K301" s="471"/>
      <c r="L301" s="472"/>
      <c r="M301" s="472"/>
      <c r="N301" s="472"/>
      <c r="O301" s="472"/>
      <c r="P301" s="472"/>
      <c r="Q301" s="472"/>
      <c r="R301" s="472"/>
      <c r="S301" s="472"/>
      <c r="T301" s="472"/>
      <c r="U301" s="472"/>
      <c r="V301" s="472"/>
      <c r="W301" s="472"/>
      <c r="X301" s="472"/>
      <c r="Y301" s="472"/>
      <c r="Z301" s="472"/>
    </row>
    <row r="302" spans="1:26" ht="14.25" customHeight="1">
      <c r="A302" s="472"/>
      <c r="B302" s="472"/>
      <c r="C302" s="472"/>
      <c r="D302" s="472"/>
      <c r="E302" s="472"/>
      <c r="F302" s="472"/>
      <c r="G302" s="472"/>
      <c r="H302" s="472"/>
      <c r="I302" s="472"/>
      <c r="J302" s="472"/>
      <c r="K302" s="471"/>
      <c r="L302" s="472"/>
      <c r="M302" s="472"/>
      <c r="N302" s="472"/>
      <c r="O302" s="472"/>
      <c r="P302" s="472"/>
      <c r="Q302" s="472"/>
      <c r="R302" s="472"/>
      <c r="S302" s="472"/>
      <c r="T302" s="472"/>
      <c r="U302" s="472"/>
      <c r="V302" s="472"/>
      <c r="W302" s="472"/>
      <c r="X302" s="472"/>
      <c r="Y302" s="472"/>
      <c r="Z302" s="472"/>
    </row>
    <row r="303" spans="1:26" ht="14.25" customHeight="1">
      <c r="A303" s="472"/>
      <c r="B303" s="472"/>
      <c r="C303" s="472"/>
      <c r="D303" s="472"/>
      <c r="E303" s="472"/>
      <c r="F303" s="472"/>
      <c r="G303" s="472"/>
      <c r="H303" s="472"/>
      <c r="I303" s="472"/>
      <c r="J303" s="472"/>
      <c r="K303" s="471"/>
      <c r="L303" s="472"/>
      <c r="M303" s="472"/>
      <c r="N303" s="472"/>
      <c r="O303" s="472"/>
      <c r="P303" s="472"/>
      <c r="Q303" s="472"/>
      <c r="R303" s="472"/>
      <c r="S303" s="472"/>
      <c r="T303" s="472"/>
      <c r="U303" s="472"/>
      <c r="V303" s="472"/>
      <c r="W303" s="472"/>
      <c r="X303" s="472"/>
      <c r="Y303" s="472"/>
      <c r="Z303" s="472"/>
    </row>
    <row r="304" spans="1:26" ht="14.25" customHeight="1">
      <c r="A304" s="472"/>
      <c r="B304" s="472"/>
      <c r="C304" s="472"/>
      <c r="D304" s="472"/>
      <c r="E304" s="472"/>
      <c r="F304" s="472"/>
      <c r="G304" s="472"/>
      <c r="H304" s="472"/>
      <c r="I304" s="472"/>
      <c r="J304" s="472"/>
      <c r="K304" s="471"/>
      <c r="L304" s="472"/>
      <c r="M304" s="472"/>
      <c r="N304" s="472"/>
      <c r="O304" s="472"/>
      <c r="P304" s="472"/>
      <c r="Q304" s="472"/>
      <c r="R304" s="472"/>
      <c r="S304" s="472"/>
      <c r="T304" s="472"/>
      <c r="U304" s="472"/>
      <c r="V304" s="472"/>
      <c r="W304" s="472"/>
      <c r="X304" s="472"/>
      <c r="Y304" s="472"/>
      <c r="Z304" s="472"/>
    </row>
    <row r="305" spans="1:26" ht="14.25" customHeight="1">
      <c r="A305" s="472"/>
      <c r="B305" s="472"/>
      <c r="C305" s="472"/>
      <c r="D305" s="472"/>
      <c r="E305" s="472"/>
      <c r="F305" s="472"/>
      <c r="G305" s="472"/>
      <c r="H305" s="472"/>
      <c r="I305" s="472"/>
      <c r="J305" s="472"/>
      <c r="K305" s="471"/>
      <c r="L305" s="472"/>
      <c r="M305" s="472"/>
      <c r="N305" s="472"/>
      <c r="O305" s="472"/>
      <c r="P305" s="472"/>
      <c r="Q305" s="472"/>
      <c r="R305" s="472"/>
      <c r="S305" s="472"/>
      <c r="T305" s="472"/>
      <c r="U305" s="472"/>
      <c r="V305" s="472"/>
      <c r="W305" s="472"/>
      <c r="X305" s="472"/>
      <c r="Y305" s="472"/>
      <c r="Z305" s="472"/>
    </row>
    <row r="306" spans="1:26" ht="14.25" customHeight="1">
      <c r="A306" s="472"/>
      <c r="B306" s="472"/>
      <c r="C306" s="472"/>
      <c r="D306" s="472"/>
      <c r="E306" s="472"/>
      <c r="F306" s="472"/>
      <c r="G306" s="472"/>
      <c r="H306" s="472"/>
      <c r="I306" s="472"/>
      <c r="J306" s="472"/>
      <c r="K306" s="471"/>
      <c r="L306" s="472"/>
      <c r="M306" s="472"/>
      <c r="N306" s="472"/>
      <c r="O306" s="472"/>
      <c r="P306" s="472"/>
      <c r="Q306" s="472"/>
      <c r="R306" s="472"/>
      <c r="S306" s="472"/>
      <c r="T306" s="472"/>
      <c r="U306" s="472"/>
      <c r="V306" s="472"/>
      <c r="W306" s="472"/>
      <c r="X306" s="472"/>
      <c r="Y306" s="472"/>
      <c r="Z306" s="472"/>
    </row>
    <row r="307" spans="1:26" ht="14.25" customHeight="1">
      <c r="A307" s="472"/>
      <c r="B307" s="472"/>
      <c r="C307" s="472"/>
      <c r="D307" s="472"/>
      <c r="E307" s="472"/>
      <c r="F307" s="472"/>
      <c r="G307" s="472"/>
      <c r="H307" s="472"/>
      <c r="I307" s="472"/>
      <c r="J307" s="472"/>
      <c r="K307" s="471"/>
      <c r="L307" s="472"/>
      <c r="M307" s="472"/>
      <c r="N307" s="472"/>
      <c r="O307" s="472"/>
      <c r="P307" s="472"/>
      <c r="Q307" s="472"/>
      <c r="R307" s="472"/>
      <c r="S307" s="472"/>
      <c r="T307" s="472"/>
      <c r="U307" s="472"/>
      <c r="V307" s="472"/>
      <c r="W307" s="472"/>
      <c r="X307" s="472"/>
      <c r="Y307" s="472"/>
      <c r="Z307" s="472"/>
    </row>
    <row r="308" spans="1:26" ht="14.25" customHeight="1">
      <c r="A308" s="472"/>
      <c r="B308" s="472"/>
      <c r="C308" s="472"/>
      <c r="D308" s="472"/>
      <c r="E308" s="472"/>
      <c r="F308" s="472"/>
      <c r="G308" s="472"/>
      <c r="H308" s="472"/>
      <c r="I308" s="472"/>
      <c r="J308" s="472"/>
      <c r="K308" s="471"/>
      <c r="L308" s="472"/>
      <c r="M308" s="472"/>
      <c r="N308" s="472"/>
      <c r="O308" s="472"/>
      <c r="P308" s="472"/>
      <c r="Q308" s="472"/>
      <c r="R308" s="472"/>
      <c r="S308" s="472"/>
      <c r="T308" s="472"/>
      <c r="U308" s="472"/>
      <c r="V308" s="472"/>
      <c r="W308" s="472"/>
      <c r="X308" s="472"/>
      <c r="Y308" s="472"/>
      <c r="Z308" s="472"/>
    </row>
    <row r="309" spans="1:26" ht="14.25" customHeight="1">
      <c r="A309" s="472"/>
      <c r="B309" s="472"/>
      <c r="C309" s="472"/>
      <c r="D309" s="472"/>
      <c r="E309" s="472"/>
      <c r="F309" s="472"/>
      <c r="G309" s="472"/>
      <c r="H309" s="472"/>
      <c r="I309" s="472"/>
      <c r="J309" s="472"/>
      <c r="K309" s="471"/>
      <c r="L309" s="472"/>
      <c r="M309" s="472"/>
      <c r="N309" s="472"/>
      <c r="O309" s="472"/>
      <c r="P309" s="472"/>
      <c r="Q309" s="472"/>
      <c r="R309" s="472"/>
      <c r="S309" s="472"/>
      <c r="T309" s="472"/>
      <c r="U309" s="472"/>
      <c r="V309" s="472"/>
      <c r="W309" s="472"/>
      <c r="X309" s="472"/>
      <c r="Y309" s="472"/>
      <c r="Z309" s="472"/>
    </row>
    <row r="310" spans="1:26" ht="14.25" customHeight="1">
      <c r="A310" s="472"/>
      <c r="B310" s="472"/>
      <c r="C310" s="472"/>
      <c r="D310" s="472"/>
      <c r="E310" s="472"/>
      <c r="F310" s="472"/>
      <c r="G310" s="472"/>
      <c r="H310" s="472"/>
      <c r="I310" s="472"/>
      <c r="J310" s="472"/>
      <c r="K310" s="471"/>
      <c r="L310" s="472"/>
      <c r="M310" s="472"/>
      <c r="N310" s="472"/>
      <c r="O310" s="472"/>
      <c r="P310" s="472"/>
      <c r="Q310" s="472"/>
      <c r="R310" s="472"/>
      <c r="S310" s="472"/>
      <c r="T310" s="472"/>
      <c r="U310" s="472"/>
      <c r="V310" s="472"/>
      <c r="W310" s="472"/>
      <c r="X310" s="472"/>
      <c r="Y310" s="472"/>
      <c r="Z310" s="472"/>
    </row>
    <row r="311" spans="1:26" ht="14.25" customHeight="1">
      <c r="A311" s="472"/>
      <c r="B311" s="472"/>
      <c r="C311" s="472"/>
      <c r="D311" s="472"/>
      <c r="E311" s="472"/>
      <c r="F311" s="472"/>
      <c r="G311" s="472"/>
      <c r="H311" s="472"/>
      <c r="I311" s="472"/>
      <c r="J311" s="472"/>
      <c r="K311" s="471"/>
      <c r="L311" s="472"/>
      <c r="M311" s="472"/>
      <c r="N311" s="472"/>
      <c r="O311" s="472"/>
      <c r="P311" s="472"/>
      <c r="Q311" s="472"/>
      <c r="R311" s="472"/>
      <c r="S311" s="472"/>
      <c r="T311" s="472"/>
      <c r="U311" s="472"/>
      <c r="V311" s="472"/>
      <c r="W311" s="472"/>
      <c r="X311" s="472"/>
      <c r="Y311" s="472"/>
      <c r="Z311" s="472"/>
    </row>
    <row r="312" spans="1:26" ht="14.25" customHeight="1">
      <c r="A312" s="472"/>
      <c r="B312" s="472"/>
      <c r="C312" s="472"/>
      <c r="D312" s="472"/>
      <c r="E312" s="472"/>
      <c r="F312" s="472"/>
      <c r="G312" s="472"/>
      <c r="H312" s="472"/>
      <c r="I312" s="472"/>
      <c r="J312" s="472"/>
      <c r="K312" s="471"/>
      <c r="L312" s="472"/>
      <c r="M312" s="472"/>
      <c r="N312" s="472"/>
      <c r="O312" s="472"/>
      <c r="P312" s="472"/>
      <c r="Q312" s="472"/>
      <c r="R312" s="472"/>
      <c r="S312" s="472"/>
      <c r="T312" s="472"/>
      <c r="U312" s="472"/>
      <c r="V312" s="472"/>
      <c r="W312" s="472"/>
      <c r="X312" s="472"/>
      <c r="Y312" s="472"/>
      <c r="Z312" s="472"/>
    </row>
    <row r="313" spans="1:26" ht="14.25" customHeight="1">
      <c r="A313" s="472"/>
      <c r="B313" s="472"/>
      <c r="C313" s="472"/>
      <c r="D313" s="472"/>
      <c r="E313" s="472"/>
      <c r="F313" s="472"/>
      <c r="G313" s="472"/>
      <c r="H313" s="472"/>
      <c r="I313" s="472"/>
      <c r="J313" s="472"/>
      <c r="K313" s="471"/>
      <c r="L313" s="472"/>
      <c r="M313" s="472"/>
      <c r="N313" s="472"/>
      <c r="O313" s="472"/>
      <c r="P313" s="472"/>
      <c r="Q313" s="472"/>
      <c r="R313" s="472"/>
      <c r="S313" s="472"/>
      <c r="T313" s="472"/>
      <c r="U313" s="472"/>
      <c r="V313" s="472"/>
      <c r="W313" s="472"/>
      <c r="X313" s="472"/>
      <c r="Y313" s="472"/>
      <c r="Z313" s="472"/>
    </row>
    <row r="314" spans="1:26" ht="14.25" customHeight="1">
      <c r="A314" s="472"/>
      <c r="B314" s="472"/>
      <c r="C314" s="472"/>
      <c r="D314" s="472"/>
      <c r="E314" s="472"/>
      <c r="F314" s="472"/>
      <c r="G314" s="472"/>
      <c r="H314" s="472"/>
      <c r="I314" s="472"/>
      <c r="J314" s="472"/>
      <c r="K314" s="471"/>
      <c r="L314" s="472"/>
      <c r="M314" s="472"/>
      <c r="N314" s="472"/>
      <c r="O314" s="472"/>
      <c r="P314" s="472"/>
      <c r="Q314" s="472"/>
      <c r="R314" s="472"/>
      <c r="S314" s="472"/>
      <c r="T314" s="472"/>
      <c r="U314" s="472"/>
      <c r="V314" s="472"/>
      <c r="W314" s="472"/>
      <c r="X314" s="472"/>
      <c r="Y314" s="472"/>
      <c r="Z314" s="472"/>
    </row>
    <row r="315" spans="1:26" ht="14.25" customHeight="1">
      <c r="A315" s="472"/>
      <c r="B315" s="472"/>
      <c r="C315" s="472"/>
      <c r="D315" s="472"/>
      <c r="E315" s="472"/>
      <c r="F315" s="472"/>
      <c r="G315" s="472"/>
      <c r="H315" s="472"/>
      <c r="I315" s="472"/>
      <c r="J315" s="472"/>
      <c r="K315" s="471"/>
      <c r="L315" s="472"/>
      <c r="M315" s="472"/>
      <c r="N315" s="472"/>
      <c r="O315" s="472"/>
      <c r="P315" s="472"/>
      <c r="Q315" s="472"/>
      <c r="R315" s="472"/>
      <c r="S315" s="472"/>
      <c r="T315" s="472"/>
      <c r="U315" s="472"/>
      <c r="V315" s="472"/>
      <c r="W315" s="472"/>
      <c r="X315" s="472"/>
      <c r="Y315" s="472"/>
      <c r="Z315" s="472"/>
    </row>
    <row r="316" spans="1:26" ht="14.25" customHeight="1">
      <c r="A316" s="472"/>
      <c r="B316" s="472"/>
      <c r="C316" s="472"/>
      <c r="D316" s="472"/>
      <c r="E316" s="472"/>
      <c r="F316" s="472"/>
      <c r="G316" s="472"/>
      <c r="H316" s="472"/>
      <c r="I316" s="472"/>
      <c r="J316" s="472"/>
      <c r="K316" s="471"/>
      <c r="L316" s="472"/>
      <c r="M316" s="472"/>
      <c r="N316" s="472"/>
      <c r="O316" s="472"/>
      <c r="P316" s="472"/>
      <c r="Q316" s="472"/>
      <c r="R316" s="472"/>
      <c r="S316" s="472"/>
      <c r="T316" s="472"/>
      <c r="U316" s="472"/>
      <c r="V316" s="472"/>
      <c r="W316" s="472"/>
      <c r="X316" s="472"/>
      <c r="Y316" s="472"/>
      <c r="Z316" s="472"/>
    </row>
    <row r="317" spans="1:26" ht="14.25" customHeight="1">
      <c r="A317" s="472"/>
      <c r="B317" s="472"/>
      <c r="C317" s="472"/>
      <c r="D317" s="472"/>
      <c r="E317" s="472"/>
      <c r="F317" s="472"/>
      <c r="G317" s="472"/>
      <c r="H317" s="472"/>
      <c r="I317" s="472"/>
      <c r="J317" s="472"/>
      <c r="K317" s="471"/>
      <c r="L317" s="472"/>
      <c r="M317" s="472"/>
      <c r="N317" s="472"/>
      <c r="O317" s="472"/>
      <c r="P317" s="472"/>
      <c r="Q317" s="472"/>
      <c r="R317" s="472"/>
      <c r="S317" s="472"/>
      <c r="T317" s="472"/>
      <c r="U317" s="472"/>
      <c r="V317" s="472"/>
      <c r="W317" s="472"/>
      <c r="X317" s="472"/>
      <c r="Y317" s="472"/>
      <c r="Z317" s="472"/>
    </row>
    <row r="318" spans="1:26" ht="14.25" customHeight="1">
      <c r="A318" s="472"/>
      <c r="B318" s="472"/>
      <c r="C318" s="472"/>
      <c r="D318" s="472"/>
      <c r="E318" s="472"/>
      <c r="F318" s="472"/>
      <c r="G318" s="472"/>
      <c r="H318" s="472"/>
      <c r="I318" s="472"/>
      <c r="J318" s="472"/>
      <c r="K318" s="471"/>
      <c r="L318" s="472"/>
      <c r="M318" s="472"/>
      <c r="N318" s="472"/>
      <c r="O318" s="472"/>
      <c r="P318" s="472"/>
      <c r="Q318" s="472"/>
      <c r="R318" s="472"/>
      <c r="S318" s="472"/>
      <c r="T318" s="472"/>
      <c r="U318" s="472"/>
      <c r="V318" s="472"/>
      <c r="W318" s="472"/>
      <c r="X318" s="472"/>
      <c r="Y318" s="472"/>
      <c r="Z318" s="472"/>
    </row>
    <row r="319" spans="1:26" ht="14.25" customHeight="1">
      <c r="A319" s="472"/>
      <c r="B319" s="472"/>
      <c r="C319" s="472"/>
      <c r="D319" s="472"/>
      <c r="E319" s="472"/>
      <c r="F319" s="472"/>
      <c r="G319" s="472"/>
      <c r="H319" s="472"/>
      <c r="I319" s="472"/>
      <c r="J319" s="472"/>
      <c r="K319" s="471"/>
      <c r="L319" s="472"/>
      <c r="M319" s="472"/>
      <c r="N319" s="472"/>
      <c r="O319" s="472"/>
      <c r="P319" s="472"/>
      <c r="Q319" s="472"/>
      <c r="R319" s="472"/>
      <c r="S319" s="472"/>
      <c r="T319" s="472"/>
      <c r="U319" s="472"/>
      <c r="V319" s="472"/>
      <c r="W319" s="472"/>
      <c r="X319" s="472"/>
      <c r="Y319" s="472"/>
      <c r="Z319" s="472"/>
    </row>
    <row r="320" spans="1:26" ht="14.25" customHeight="1">
      <c r="A320" s="472"/>
      <c r="B320" s="472"/>
      <c r="C320" s="472"/>
      <c r="D320" s="472"/>
      <c r="E320" s="472"/>
      <c r="F320" s="472"/>
      <c r="G320" s="472"/>
      <c r="H320" s="472"/>
      <c r="I320" s="472"/>
      <c r="J320" s="472"/>
      <c r="K320" s="471"/>
      <c r="L320" s="472"/>
      <c r="M320" s="472"/>
      <c r="N320" s="472"/>
      <c r="O320" s="472"/>
      <c r="P320" s="472"/>
      <c r="Q320" s="472"/>
      <c r="R320" s="472"/>
      <c r="S320" s="472"/>
      <c r="T320" s="472"/>
      <c r="U320" s="472"/>
      <c r="V320" s="472"/>
      <c r="W320" s="472"/>
      <c r="X320" s="472"/>
      <c r="Y320" s="472"/>
      <c r="Z320" s="472"/>
    </row>
    <row r="321" spans="1:26" ht="14.25" customHeight="1">
      <c r="A321" s="472"/>
      <c r="B321" s="472"/>
      <c r="C321" s="472"/>
      <c r="D321" s="472"/>
      <c r="E321" s="472"/>
      <c r="F321" s="472"/>
      <c r="G321" s="472"/>
      <c r="H321" s="472"/>
      <c r="I321" s="472"/>
      <c r="J321" s="472"/>
      <c r="K321" s="471"/>
      <c r="L321" s="472"/>
      <c r="M321" s="472"/>
      <c r="N321" s="472"/>
      <c r="O321" s="472"/>
      <c r="P321" s="472"/>
      <c r="Q321" s="472"/>
      <c r="R321" s="472"/>
      <c r="S321" s="472"/>
      <c r="T321" s="472"/>
      <c r="U321" s="472"/>
      <c r="V321" s="472"/>
      <c r="W321" s="472"/>
      <c r="X321" s="472"/>
      <c r="Y321" s="472"/>
      <c r="Z321" s="472"/>
    </row>
    <row r="322" spans="1:26" ht="14.25" customHeight="1">
      <c r="A322" s="472"/>
      <c r="B322" s="472"/>
      <c r="C322" s="472"/>
      <c r="D322" s="472"/>
      <c r="E322" s="472"/>
      <c r="F322" s="472"/>
      <c r="G322" s="472"/>
      <c r="H322" s="472"/>
      <c r="I322" s="472"/>
      <c r="J322" s="472"/>
      <c r="K322" s="471"/>
      <c r="L322" s="472"/>
      <c r="M322" s="472"/>
      <c r="N322" s="472"/>
      <c r="O322" s="472"/>
      <c r="P322" s="472"/>
      <c r="Q322" s="472"/>
      <c r="R322" s="472"/>
      <c r="S322" s="472"/>
      <c r="T322" s="472"/>
      <c r="U322" s="472"/>
      <c r="V322" s="472"/>
      <c r="W322" s="472"/>
      <c r="X322" s="472"/>
      <c r="Y322" s="472"/>
      <c r="Z322" s="472"/>
    </row>
    <row r="323" spans="1:26" ht="14.25" customHeight="1">
      <c r="A323" s="472"/>
      <c r="B323" s="472"/>
      <c r="C323" s="472"/>
      <c r="D323" s="472"/>
      <c r="E323" s="472"/>
      <c r="F323" s="472"/>
      <c r="G323" s="472"/>
      <c r="H323" s="472"/>
      <c r="I323" s="472"/>
      <c r="J323" s="472"/>
      <c r="K323" s="471"/>
      <c r="L323" s="472"/>
      <c r="M323" s="472"/>
      <c r="N323" s="472"/>
      <c r="O323" s="472"/>
      <c r="P323" s="472"/>
      <c r="Q323" s="472"/>
      <c r="R323" s="472"/>
      <c r="S323" s="472"/>
      <c r="T323" s="472"/>
      <c r="U323" s="472"/>
      <c r="V323" s="472"/>
      <c r="W323" s="472"/>
      <c r="X323" s="472"/>
      <c r="Y323" s="472"/>
      <c r="Z323" s="472"/>
    </row>
    <row r="324" spans="1:26" ht="14.25" customHeight="1">
      <c r="A324" s="472"/>
      <c r="B324" s="472"/>
      <c r="C324" s="472"/>
      <c r="D324" s="472"/>
      <c r="E324" s="472"/>
      <c r="F324" s="472"/>
      <c r="G324" s="472"/>
      <c r="H324" s="472"/>
      <c r="I324" s="472"/>
      <c r="J324" s="472"/>
      <c r="K324" s="471"/>
      <c r="L324" s="472"/>
      <c r="M324" s="472"/>
      <c r="N324" s="472"/>
      <c r="O324" s="472"/>
      <c r="P324" s="472"/>
      <c r="Q324" s="472"/>
      <c r="R324" s="472"/>
      <c r="S324" s="472"/>
      <c r="T324" s="472"/>
      <c r="U324" s="472"/>
      <c r="V324" s="472"/>
      <c r="W324" s="472"/>
      <c r="X324" s="472"/>
      <c r="Y324" s="472"/>
      <c r="Z324" s="472"/>
    </row>
    <row r="325" spans="1:26" ht="14.25" customHeight="1">
      <c r="A325" s="472"/>
      <c r="B325" s="472"/>
      <c r="C325" s="472"/>
      <c r="D325" s="472"/>
      <c r="E325" s="472"/>
      <c r="F325" s="472"/>
      <c r="G325" s="472"/>
      <c r="H325" s="472"/>
      <c r="I325" s="472"/>
      <c r="J325" s="472"/>
      <c r="K325" s="471"/>
      <c r="L325" s="472"/>
      <c r="M325" s="472"/>
      <c r="N325" s="472"/>
      <c r="O325" s="472"/>
      <c r="P325" s="472"/>
      <c r="Q325" s="472"/>
      <c r="R325" s="472"/>
      <c r="S325" s="472"/>
      <c r="T325" s="472"/>
      <c r="U325" s="472"/>
      <c r="V325" s="472"/>
      <c r="W325" s="472"/>
      <c r="X325" s="472"/>
      <c r="Y325" s="472"/>
      <c r="Z325" s="472"/>
    </row>
    <row r="326" spans="1:26" ht="14.25" customHeight="1">
      <c r="A326" s="472"/>
      <c r="B326" s="472"/>
      <c r="C326" s="472"/>
      <c r="D326" s="472"/>
      <c r="E326" s="472"/>
      <c r="F326" s="472"/>
      <c r="G326" s="472"/>
      <c r="H326" s="472"/>
      <c r="I326" s="472"/>
      <c r="J326" s="472"/>
      <c r="K326" s="471"/>
      <c r="L326" s="472"/>
      <c r="M326" s="472"/>
      <c r="N326" s="472"/>
      <c r="O326" s="472"/>
      <c r="P326" s="472"/>
      <c r="Q326" s="472"/>
      <c r="R326" s="472"/>
      <c r="S326" s="472"/>
      <c r="T326" s="472"/>
      <c r="U326" s="472"/>
      <c r="V326" s="472"/>
      <c r="W326" s="472"/>
      <c r="X326" s="472"/>
      <c r="Y326" s="472"/>
      <c r="Z326" s="472"/>
    </row>
    <row r="327" spans="1:26" ht="14.25" customHeight="1">
      <c r="A327" s="472"/>
      <c r="B327" s="472"/>
      <c r="C327" s="472"/>
      <c r="D327" s="472"/>
      <c r="E327" s="472"/>
      <c r="F327" s="472"/>
      <c r="G327" s="472"/>
      <c r="H327" s="472"/>
      <c r="I327" s="472"/>
      <c r="J327" s="472"/>
      <c r="K327" s="471"/>
      <c r="L327" s="472"/>
      <c r="M327" s="472"/>
      <c r="N327" s="472"/>
      <c r="O327" s="472"/>
      <c r="P327" s="472"/>
      <c r="Q327" s="472"/>
      <c r="R327" s="472"/>
      <c r="S327" s="472"/>
      <c r="T327" s="472"/>
      <c r="U327" s="472"/>
      <c r="V327" s="472"/>
      <c r="W327" s="472"/>
      <c r="X327" s="472"/>
      <c r="Y327" s="472"/>
      <c r="Z327" s="472"/>
    </row>
    <row r="328" spans="1:26" ht="14.25" customHeight="1">
      <c r="A328" s="472"/>
      <c r="B328" s="472"/>
      <c r="C328" s="472"/>
      <c r="D328" s="472"/>
      <c r="E328" s="472"/>
      <c r="F328" s="472"/>
      <c r="G328" s="472"/>
      <c r="H328" s="472"/>
      <c r="I328" s="472"/>
      <c r="J328" s="472"/>
      <c r="K328" s="471"/>
      <c r="L328" s="472"/>
      <c r="M328" s="472"/>
      <c r="N328" s="472"/>
      <c r="O328" s="472"/>
      <c r="P328" s="472"/>
      <c r="Q328" s="472"/>
      <c r="R328" s="472"/>
      <c r="S328" s="472"/>
      <c r="T328" s="472"/>
      <c r="U328" s="472"/>
      <c r="V328" s="472"/>
      <c r="W328" s="472"/>
      <c r="X328" s="472"/>
      <c r="Y328" s="472"/>
      <c r="Z328" s="472"/>
    </row>
    <row r="329" spans="1:26" ht="14.25" customHeight="1">
      <c r="A329" s="472"/>
      <c r="B329" s="472"/>
      <c r="C329" s="472"/>
      <c r="D329" s="472"/>
      <c r="E329" s="472"/>
      <c r="F329" s="472"/>
      <c r="G329" s="472"/>
      <c r="H329" s="472"/>
      <c r="I329" s="472"/>
      <c r="J329" s="472"/>
      <c r="K329" s="471"/>
      <c r="L329" s="472"/>
      <c r="M329" s="472"/>
      <c r="N329" s="472"/>
      <c r="O329" s="472"/>
      <c r="P329" s="472"/>
      <c r="Q329" s="472"/>
      <c r="R329" s="472"/>
      <c r="S329" s="472"/>
      <c r="T329" s="472"/>
      <c r="U329" s="472"/>
      <c r="V329" s="472"/>
      <c r="W329" s="472"/>
      <c r="X329" s="472"/>
      <c r="Y329" s="472"/>
      <c r="Z329" s="472"/>
    </row>
    <row r="330" spans="1:26" ht="14.25" customHeight="1">
      <c r="A330" s="472"/>
      <c r="B330" s="472"/>
      <c r="C330" s="472"/>
      <c r="D330" s="472"/>
      <c r="E330" s="472"/>
      <c r="F330" s="472"/>
      <c r="G330" s="472"/>
      <c r="H330" s="472"/>
      <c r="I330" s="472"/>
      <c r="J330" s="472"/>
      <c r="K330" s="471"/>
      <c r="L330" s="472"/>
      <c r="M330" s="472"/>
      <c r="N330" s="472"/>
      <c r="O330" s="472"/>
      <c r="P330" s="472"/>
      <c r="Q330" s="472"/>
      <c r="R330" s="472"/>
      <c r="S330" s="472"/>
      <c r="T330" s="472"/>
      <c r="U330" s="472"/>
      <c r="V330" s="472"/>
      <c r="W330" s="472"/>
      <c r="X330" s="472"/>
      <c r="Y330" s="472"/>
      <c r="Z330" s="472"/>
    </row>
    <row r="331" spans="1:26" ht="14.25" customHeight="1">
      <c r="A331" s="472"/>
      <c r="B331" s="472"/>
      <c r="C331" s="472"/>
      <c r="D331" s="472"/>
      <c r="E331" s="472"/>
      <c r="F331" s="472"/>
      <c r="G331" s="472"/>
      <c r="H331" s="472"/>
      <c r="I331" s="472"/>
      <c r="J331" s="472"/>
      <c r="K331" s="471"/>
      <c r="L331" s="472"/>
      <c r="M331" s="472"/>
      <c r="N331" s="472"/>
      <c r="O331" s="472"/>
      <c r="P331" s="472"/>
      <c r="Q331" s="472"/>
      <c r="R331" s="472"/>
      <c r="S331" s="472"/>
      <c r="T331" s="472"/>
      <c r="U331" s="472"/>
      <c r="V331" s="472"/>
      <c r="W331" s="472"/>
      <c r="X331" s="472"/>
      <c r="Y331" s="472"/>
      <c r="Z331" s="472"/>
    </row>
    <row r="332" spans="1:26" ht="14.25" customHeight="1">
      <c r="A332" s="472"/>
      <c r="B332" s="472"/>
      <c r="C332" s="472"/>
      <c r="D332" s="472"/>
      <c r="E332" s="472"/>
      <c r="F332" s="472"/>
      <c r="G332" s="472"/>
      <c r="H332" s="472"/>
      <c r="I332" s="472"/>
      <c r="J332" s="472"/>
      <c r="K332" s="471"/>
      <c r="L332" s="472"/>
      <c r="M332" s="472"/>
      <c r="N332" s="472"/>
      <c r="O332" s="472"/>
      <c r="P332" s="472"/>
      <c r="Q332" s="472"/>
      <c r="R332" s="472"/>
      <c r="S332" s="472"/>
      <c r="T332" s="472"/>
      <c r="U332" s="472"/>
      <c r="V332" s="472"/>
      <c r="W332" s="472"/>
      <c r="X332" s="472"/>
      <c r="Y332" s="472"/>
      <c r="Z332" s="472"/>
    </row>
    <row r="333" spans="1:26" ht="14.25" customHeight="1">
      <c r="A333" s="472"/>
      <c r="B333" s="472"/>
      <c r="C333" s="472"/>
      <c r="D333" s="472"/>
      <c r="E333" s="472"/>
      <c r="F333" s="472"/>
      <c r="G333" s="472"/>
      <c r="H333" s="472"/>
      <c r="I333" s="472"/>
      <c r="J333" s="472"/>
      <c r="K333" s="471"/>
      <c r="L333" s="472"/>
      <c r="M333" s="472"/>
      <c r="N333" s="472"/>
      <c r="O333" s="472"/>
      <c r="P333" s="472"/>
      <c r="Q333" s="472"/>
      <c r="R333" s="472"/>
      <c r="S333" s="472"/>
      <c r="T333" s="472"/>
      <c r="U333" s="472"/>
      <c r="V333" s="472"/>
      <c r="W333" s="472"/>
      <c r="X333" s="472"/>
      <c r="Y333" s="472"/>
      <c r="Z333" s="472"/>
    </row>
    <row r="334" spans="1:26" ht="14.25" customHeight="1">
      <c r="A334" s="472"/>
      <c r="B334" s="472"/>
      <c r="C334" s="472"/>
      <c r="D334" s="472"/>
      <c r="E334" s="472"/>
      <c r="F334" s="472"/>
      <c r="G334" s="472"/>
      <c r="H334" s="472"/>
      <c r="I334" s="472"/>
      <c r="J334" s="472"/>
      <c r="K334" s="471"/>
      <c r="L334" s="472"/>
      <c r="M334" s="472"/>
      <c r="N334" s="472"/>
      <c r="O334" s="472"/>
      <c r="P334" s="472"/>
      <c r="Q334" s="472"/>
      <c r="R334" s="472"/>
      <c r="S334" s="472"/>
      <c r="T334" s="472"/>
      <c r="U334" s="472"/>
      <c r="V334" s="472"/>
      <c r="W334" s="472"/>
      <c r="X334" s="472"/>
      <c r="Y334" s="472"/>
      <c r="Z334" s="472"/>
    </row>
    <row r="335" spans="1:26" ht="14.25" customHeight="1">
      <c r="A335" s="472"/>
      <c r="B335" s="472"/>
      <c r="C335" s="472"/>
      <c r="D335" s="472"/>
      <c r="E335" s="472"/>
      <c r="F335" s="472"/>
      <c r="G335" s="472"/>
      <c r="H335" s="472"/>
      <c r="I335" s="472"/>
      <c r="J335" s="472"/>
      <c r="K335" s="471"/>
      <c r="L335" s="472"/>
      <c r="M335" s="472"/>
      <c r="N335" s="472"/>
      <c r="O335" s="472"/>
      <c r="P335" s="472"/>
      <c r="Q335" s="472"/>
      <c r="R335" s="472"/>
      <c r="S335" s="472"/>
      <c r="T335" s="472"/>
      <c r="U335" s="472"/>
      <c r="V335" s="472"/>
      <c r="W335" s="472"/>
      <c r="X335" s="472"/>
      <c r="Y335" s="472"/>
      <c r="Z335" s="472"/>
    </row>
    <row r="336" spans="1:26" ht="14.25" customHeight="1">
      <c r="A336" s="472"/>
      <c r="B336" s="472"/>
      <c r="C336" s="472"/>
      <c r="D336" s="472"/>
      <c r="E336" s="472"/>
      <c r="F336" s="472"/>
      <c r="G336" s="472"/>
      <c r="H336" s="472"/>
      <c r="I336" s="472"/>
      <c r="J336" s="472"/>
      <c r="K336" s="471"/>
      <c r="L336" s="472"/>
      <c r="M336" s="472"/>
      <c r="N336" s="472"/>
      <c r="O336" s="472"/>
      <c r="P336" s="472"/>
      <c r="Q336" s="472"/>
      <c r="R336" s="472"/>
      <c r="S336" s="472"/>
      <c r="T336" s="472"/>
      <c r="U336" s="472"/>
      <c r="V336" s="472"/>
      <c r="W336" s="472"/>
      <c r="X336" s="472"/>
      <c r="Y336" s="472"/>
      <c r="Z336" s="472"/>
    </row>
    <row r="337" spans="1:26" ht="14.25" customHeight="1">
      <c r="A337" s="472"/>
      <c r="B337" s="472"/>
      <c r="C337" s="472"/>
      <c r="D337" s="472"/>
      <c r="E337" s="472"/>
      <c r="F337" s="472"/>
      <c r="G337" s="472"/>
      <c r="H337" s="472"/>
      <c r="I337" s="472"/>
      <c r="J337" s="472"/>
      <c r="K337" s="471"/>
      <c r="L337" s="472"/>
      <c r="M337" s="472"/>
      <c r="N337" s="472"/>
      <c r="O337" s="472"/>
      <c r="P337" s="472"/>
      <c r="Q337" s="472"/>
      <c r="R337" s="472"/>
      <c r="S337" s="472"/>
      <c r="T337" s="472"/>
      <c r="U337" s="472"/>
      <c r="V337" s="472"/>
      <c r="W337" s="472"/>
      <c r="X337" s="472"/>
      <c r="Y337" s="472"/>
      <c r="Z337" s="472"/>
    </row>
    <row r="338" spans="1:26" ht="14.25" customHeight="1">
      <c r="A338" s="472"/>
      <c r="B338" s="472"/>
      <c r="C338" s="472"/>
      <c r="D338" s="472"/>
      <c r="E338" s="472"/>
      <c r="F338" s="472"/>
      <c r="G338" s="472"/>
      <c r="H338" s="472"/>
      <c r="I338" s="472"/>
      <c r="J338" s="472"/>
      <c r="K338" s="471"/>
      <c r="L338" s="472"/>
      <c r="M338" s="472"/>
      <c r="N338" s="472"/>
      <c r="O338" s="472"/>
      <c r="P338" s="472"/>
      <c r="Q338" s="472"/>
      <c r="R338" s="472"/>
      <c r="S338" s="472"/>
      <c r="T338" s="472"/>
      <c r="U338" s="472"/>
      <c r="V338" s="472"/>
      <c r="W338" s="472"/>
      <c r="X338" s="472"/>
      <c r="Y338" s="472"/>
      <c r="Z338" s="472"/>
    </row>
    <row r="339" spans="1:26" ht="14.25" customHeight="1">
      <c r="A339" s="472"/>
      <c r="B339" s="472"/>
      <c r="C339" s="472"/>
      <c r="D339" s="472"/>
      <c r="E339" s="472"/>
      <c r="F339" s="472"/>
      <c r="G339" s="472"/>
      <c r="H339" s="472"/>
      <c r="I339" s="472"/>
      <c r="J339" s="472"/>
      <c r="K339" s="471"/>
      <c r="L339" s="472"/>
      <c r="M339" s="472"/>
      <c r="N339" s="472"/>
      <c r="O339" s="472"/>
      <c r="P339" s="472"/>
      <c r="Q339" s="472"/>
      <c r="R339" s="472"/>
      <c r="S339" s="472"/>
      <c r="T339" s="472"/>
      <c r="U339" s="472"/>
      <c r="V339" s="472"/>
      <c r="W339" s="472"/>
      <c r="X339" s="472"/>
      <c r="Y339" s="472"/>
      <c r="Z339" s="472"/>
    </row>
    <row r="340" spans="1:26" ht="14.25" customHeight="1">
      <c r="A340" s="472"/>
      <c r="B340" s="472"/>
      <c r="C340" s="472"/>
      <c r="D340" s="472"/>
      <c r="E340" s="472"/>
      <c r="F340" s="472"/>
      <c r="G340" s="472"/>
      <c r="H340" s="472"/>
      <c r="I340" s="472"/>
      <c r="J340" s="472"/>
      <c r="K340" s="471"/>
      <c r="L340" s="472"/>
      <c r="M340" s="472"/>
      <c r="N340" s="472"/>
      <c r="O340" s="472"/>
      <c r="P340" s="472"/>
      <c r="Q340" s="472"/>
      <c r="R340" s="472"/>
      <c r="S340" s="472"/>
      <c r="T340" s="472"/>
      <c r="U340" s="472"/>
      <c r="V340" s="472"/>
      <c r="W340" s="472"/>
      <c r="X340" s="472"/>
      <c r="Y340" s="472"/>
      <c r="Z340" s="472"/>
    </row>
    <row r="341" spans="1:26" ht="14.25" customHeight="1">
      <c r="A341" s="472"/>
      <c r="B341" s="472"/>
      <c r="C341" s="472"/>
      <c r="D341" s="472"/>
      <c r="E341" s="472"/>
      <c r="F341" s="472"/>
      <c r="G341" s="472"/>
      <c r="H341" s="472"/>
      <c r="I341" s="472"/>
      <c r="J341" s="472"/>
      <c r="K341" s="471"/>
      <c r="L341" s="472"/>
      <c r="M341" s="472"/>
      <c r="N341" s="472"/>
      <c r="O341" s="472"/>
      <c r="P341" s="472"/>
      <c r="Q341" s="472"/>
      <c r="R341" s="472"/>
      <c r="S341" s="472"/>
      <c r="T341" s="472"/>
      <c r="U341" s="472"/>
      <c r="V341" s="472"/>
      <c r="W341" s="472"/>
      <c r="X341" s="472"/>
      <c r="Y341" s="472"/>
      <c r="Z341" s="472"/>
    </row>
    <row r="342" spans="1:26" ht="14.25" customHeight="1">
      <c r="A342" s="472"/>
      <c r="B342" s="472"/>
      <c r="C342" s="472"/>
      <c r="D342" s="472"/>
      <c r="E342" s="472"/>
      <c r="F342" s="472"/>
      <c r="G342" s="472"/>
      <c r="H342" s="472"/>
      <c r="I342" s="472"/>
      <c r="J342" s="472"/>
      <c r="K342" s="471"/>
      <c r="L342" s="472"/>
      <c r="M342" s="472"/>
      <c r="N342" s="472"/>
      <c r="O342" s="472"/>
      <c r="P342" s="472"/>
      <c r="Q342" s="472"/>
      <c r="R342" s="472"/>
      <c r="S342" s="472"/>
      <c r="T342" s="472"/>
      <c r="U342" s="472"/>
      <c r="V342" s="472"/>
      <c r="W342" s="472"/>
      <c r="X342" s="472"/>
      <c r="Y342" s="472"/>
      <c r="Z342" s="472"/>
    </row>
    <row r="343" spans="1:26" ht="14.25" customHeight="1">
      <c r="A343" s="472"/>
      <c r="B343" s="472"/>
      <c r="C343" s="472"/>
      <c r="D343" s="472"/>
      <c r="E343" s="472"/>
      <c r="F343" s="472"/>
      <c r="G343" s="472"/>
      <c r="H343" s="472"/>
      <c r="I343" s="472"/>
      <c r="J343" s="472"/>
      <c r="K343" s="471"/>
      <c r="L343" s="472"/>
      <c r="M343" s="472"/>
      <c r="N343" s="472"/>
      <c r="O343" s="472"/>
      <c r="P343" s="472"/>
      <c r="Q343" s="472"/>
      <c r="R343" s="472"/>
      <c r="S343" s="472"/>
      <c r="T343" s="472"/>
      <c r="U343" s="472"/>
      <c r="V343" s="472"/>
      <c r="W343" s="472"/>
      <c r="X343" s="472"/>
      <c r="Y343" s="472"/>
      <c r="Z343" s="472"/>
    </row>
    <row r="344" spans="1:26" ht="14.25" customHeight="1">
      <c r="A344" s="472"/>
      <c r="B344" s="472"/>
      <c r="C344" s="472"/>
      <c r="D344" s="472"/>
      <c r="E344" s="472"/>
      <c r="F344" s="472"/>
      <c r="G344" s="472"/>
      <c r="H344" s="472"/>
      <c r="I344" s="472"/>
      <c r="J344" s="472"/>
      <c r="K344" s="471"/>
      <c r="L344" s="472"/>
      <c r="M344" s="472"/>
      <c r="N344" s="472"/>
      <c r="O344" s="472"/>
      <c r="P344" s="472"/>
      <c r="Q344" s="472"/>
      <c r="R344" s="472"/>
      <c r="S344" s="472"/>
      <c r="T344" s="472"/>
      <c r="U344" s="472"/>
      <c r="V344" s="472"/>
      <c r="W344" s="472"/>
      <c r="X344" s="472"/>
      <c r="Y344" s="472"/>
      <c r="Z344" s="472"/>
    </row>
    <row r="345" spans="1:26" ht="14.25" customHeight="1">
      <c r="A345" s="472"/>
      <c r="B345" s="472"/>
      <c r="C345" s="472"/>
      <c r="D345" s="472"/>
      <c r="E345" s="472"/>
      <c r="F345" s="472"/>
      <c r="G345" s="472"/>
      <c r="H345" s="472"/>
      <c r="I345" s="472"/>
      <c r="J345" s="472"/>
      <c r="K345" s="471"/>
      <c r="L345" s="472"/>
      <c r="M345" s="472"/>
      <c r="N345" s="472"/>
      <c r="O345" s="472"/>
      <c r="P345" s="472"/>
      <c r="Q345" s="472"/>
      <c r="R345" s="472"/>
      <c r="S345" s="472"/>
      <c r="T345" s="472"/>
      <c r="U345" s="472"/>
      <c r="V345" s="472"/>
      <c r="W345" s="472"/>
      <c r="X345" s="472"/>
      <c r="Y345" s="472"/>
      <c r="Z345" s="472"/>
    </row>
    <row r="346" spans="1:26" ht="14.25" customHeight="1">
      <c r="A346" s="472"/>
      <c r="B346" s="472"/>
      <c r="C346" s="472"/>
      <c r="D346" s="472"/>
      <c r="E346" s="472"/>
      <c r="F346" s="472"/>
      <c r="G346" s="472"/>
      <c r="H346" s="472"/>
      <c r="I346" s="472"/>
      <c r="J346" s="472"/>
      <c r="K346" s="471"/>
      <c r="L346" s="472"/>
      <c r="M346" s="472"/>
      <c r="N346" s="472"/>
      <c r="O346" s="472"/>
      <c r="P346" s="472"/>
      <c r="Q346" s="472"/>
      <c r="R346" s="472"/>
      <c r="S346" s="472"/>
      <c r="T346" s="472"/>
      <c r="U346" s="472"/>
      <c r="V346" s="472"/>
      <c r="W346" s="472"/>
      <c r="X346" s="472"/>
      <c r="Y346" s="472"/>
      <c r="Z346" s="472"/>
    </row>
    <row r="347" spans="1:26" ht="14.25" customHeight="1">
      <c r="A347" s="472"/>
      <c r="B347" s="472"/>
      <c r="C347" s="472"/>
      <c r="D347" s="472"/>
      <c r="E347" s="472"/>
      <c r="F347" s="472"/>
      <c r="G347" s="472"/>
      <c r="H347" s="472"/>
      <c r="I347" s="472"/>
      <c r="J347" s="472"/>
      <c r="K347" s="471"/>
      <c r="L347" s="472"/>
      <c r="M347" s="472"/>
      <c r="N347" s="472"/>
      <c r="O347" s="472"/>
      <c r="P347" s="472"/>
      <c r="Q347" s="472"/>
      <c r="R347" s="472"/>
      <c r="S347" s="472"/>
      <c r="T347" s="472"/>
      <c r="U347" s="472"/>
      <c r="V347" s="472"/>
      <c r="W347" s="472"/>
      <c r="X347" s="472"/>
      <c r="Y347" s="472"/>
      <c r="Z347" s="472"/>
    </row>
    <row r="348" spans="1:26" ht="14.25" customHeight="1">
      <c r="A348" s="472"/>
      <c r="B348" s="472"/>
      <c r="C348" s="472"/>
      <c r="D348" s="472"/>
      <c r="E348" s="472"/>
      <c r="F348" s="472"/>
      <c r="G348" s="472"/>
      <c r="H348" s="472"/>
      <c r="I348" s="472"/>
      <c r="J348" s="472"/>
      <c r="K348" s="471"/>
      <c r="L348" s="472"/>
      <c r="M348" s="472"/>
      <c r="N348" s="472"/>
      <c r="O348" s="472"/>
      <c r="P348" s="472"/>
      <c r="Q348" s="472"/>
      <c r="R348" s="472"/>
      <c r="S348" s="472"/>
      <c r="T348" s="472"/>
      <c r="U348" s="472"/>
      <c r="V348" s="472"/>
      <c r="W348" s="472"/>
      <c r="X348" s="472"/>
      <c r="Y348" s="472"/>
      <c r="Z348" s="472"/>
    </row>
    <row r="349" spans="1:26" ht="14.25" customHeight="1">
      <c r="A349" s="472"/>
      <c r="B349" s="472"/>
      <c r="C349" s="472"/>
      <c r="D349" s="472"/>
      <c r="E349" s="472"/>
      <c r="F349" s="472"/>
      <c r="G349" s="472"/>
      <c r="H349" s="472"/>
      <c r="I349" s="472"/>
      <c r="J349" s="472"/>
      <c r="K349" s="471"/>
      <c r="L349" s="472"/>
      <c r="M349" s="472"/>
      <c r="N349" s="472"/>
      <c r="O349" s="472"/>
      <c r="P349" s="472"/>
      <c r="Q349" s="472"/>
      <c r="R349" s="472"/>
      <c r="S349" s="472"/>
      <c r="T349" s="472"/>
      <c r="U349" s="472"/>
      <c r="V349" s="472"/>
      <c r="W349" s="472"/>
      <c r="X349" s="472"/>
      <c r="Y349" s="472"/>
      <c r="Z349" s="472"/>
    </row>
    <row r="350" spans="1:26" ht="14.25" customHeight="1">
      <c r="A350" s="472"/>
      <c r="B350" s="472"/>
      <c r="C350" s="472"/>
      <c r="D350" s="472"/>
      <c r="E350" s="472"/>
      <c r="F350" s="472"/>
      <c r="G350" s="472"/>
      <c r="H350" s="472"/>
      <c r="I350" s="472"/>
      <c r="J350" s="472"/>
      <c r="K350" s="471"/>
      <c r="L350" s="472"/>
      <c r="M350" s="472"/>
      <c r="N350" s="472"/>
      <c r="O350" s="472"/>
      <c r="P350" s="472"/>
      <c r="Q350" s="472"/>
      <c r="R350" s="472"/>
      <c r="S350" s="472"/>
      <c r="T350" s="472"/>
      <c r="U350" s="472"/>
      <c r="V350" s="472"/>
      <c r="W350" s="472"/>
      <c r="X350" s="472"/>
      <c r="Y350" s="472"/>
      <c r="Z350" s="472"/>
    </row>
    <row r="351" spans="1:26" ht="14.25" customHeight="1">
      <c r="A351" s="472"/>
      <c r="B351" s="472"/>
      <c r="C351" s="472"/>
      <c r="D351" s="472"/>
      <c r="E351" s="472"/>
      <c r="F351" s="472"/>
      <c r="G351" s="472"/>
      <c r="H351" s="472"/>
      <c r="I351" s="472"/>
      <c r="J351" s="472"/>
      <c r="K351" s="471"/>
      <c r="L351" s="472"/>
      <c r="M351" s="472"/>
      <c r="N351" s="472"/>
      <c r="O351" s="472"/>
      <c r="P351" s="472"/>
      <c r="Q351" s="472"/>
      <c r="R351" s="472"/>
      <c r="S351" s="472"/>
      <c r="T351" s="472"/>
      <c r="U351" s="472"/>
      <c r="V351" s="472"/>
      <c r="W351" s="472"/>
      <c r="X351" s="472"/>
      <c r="Y351" s="472"/>
      <c r="Z351" s="472"/>
    </row>
    <row r="352" spans="1:26" ht="14.25" customHeight="1">
      <c r="A352" s="472"/>
      <c r="B352" s="472"/>
      <c r="C352" s="472"/>
      <c r="D352" s="472"/>
      <c r="E352" s="472"/>
      <c r="F352" s="472"/>
      <c r="G352" s="472"/>
      <c r="H352" s="472"/>
      <c r="I352" s="472"/>
      <c r="J352" s="472"/>
      <c r="K352" s="471"/>
      <c r="L352" s="472"/>
      <c r="M352" s="472"/>
      <c r="N352" s="472"/>
      <c r="O352" s="472"/>
      <c r="P352" s="472"/>
      <c r="Q352" s="472"/>
      <c r="R352" s="472"/>
      <c r="S352" s="472"/>
      <c r="T352" s="472"/>
      <c r="U352" s="472"/>
      <c r="V352" s="472"/>
      <c r="W352" s="472"/>
      <c r="X352" s="472"/>
      <c r="Y352" s="472"/>
      <c r="Z352" s="472"/>
    </row>
    <row r="353" spans="1:26" ht="14.25" customHeight="1">
      <c r="A353" s="472"/>
      <c r="B353" s="472"/>
      <c r="C353" s="472"/>
      <c r="D353" s="472"/>
      <c r="E353" s="472"/>
      <c r="F353" s="472"/>
      <c r="G353" s="472"/>
      <c r="H353" s="472"/>
      <c r="I353" s="472"/>
      <c r="J353" s="472"/>
      <c r="K353" s="471"/>
      <c r="L353" s="472"/>
      <c r="M353" s="472"/>
      <c r="N353" s="472"/>
      <c r="O353" s="472"/>
      <c r="P353" s="472"/>
      <c r="Q353" s="472"/>
      <c r="R353" s="472"/>
      <c r="S353" s="472"/>
      <c r="T353" s="472"/>
      <c r="U353" s="472"/>
      <c r="V353" s="472"/>
      <c r="W353" s="472"/>
      <c r="X353" s="472"/>
      <c r="Y353" s="472"/>
      <c r="Z353" s="472"/>
    </row>
    <row r="354" spans="1:26" ht="14.25" customHeight="1">
      <c r="A354" s="472"/>
      <c r="B354" s="472"/>
      <c r="C354" s="472"/>
      <c r="D354" s="472"/>
      <c r="E354" s="472"/>
      <c r="F354" s="472"/>
      <c r="G354" s="472"/>
      <c r="H354" s="472"/>
      <c r="I354" s="472"/>
      <c r="J354" s="472"/>
      <c r="K354" s="471"/>
      <c r="L354" s="472"/>
      <c r="M354" s="472"/>
      <c r="N354" s="472"/>
      <c r="O354" s="472"/>
      <c r="P354" s="472"/>
      <c r="Q354" s="472"/>
      <c r="R354" s="472"/>
      <c r="S354" s="472"/>
      <c r="T354" s="472"/>
      <c r="U354" s="472"/>
      <c r="V354" s="472"/>
      <c r="W354" s="472"/>
      <c r="X354" s="472"/>
      <c r="Y354" s="472"/>
      <c r="Z354" s="472"/>
    </row>
    <row r="355" spans="1:26" ht="14.25" customHeight="1">
      <c r="A355" s="472"/>
      <c r="B355" s="472"/>
      <c r="C355" s="472"/>
      <c r="D355" s="472"/>
      <c r="E355" s="472"/>
      <c r="F355" s="472"/>
      <c r="G355" s="472"/>
      <c r="H355" s="472"/>
      <c r="I355" s="472"/>
      <c r="J355" s="472"/>
      <c r="K355" s="471"/>
      <c r="L355" s="472"/>
      <c r="M355" s="472"/>
      <c r="N355" s="472"/>
      <c r="O355" s="472"/>
      <c r="P355" s="472"/>
      <c r="Q355" s="472"/>
      <c r="R355" s="472"/>
      <c r="S355" s="472"/>
      <c r="T355" s="472"/>
      <c r="U355" s="472"/>
      <c r="V355" s="472"/>
      <c r="W355" s="472"/>
      <c r="X355" s="472"/>
      <c r="Y355" s="472"/>
      <c r="Z355" s="472"/>
    </row>
    <row r="356" spans="1:26" ht="14.25" customHeight="1">
      <c r="A356" s="472"/>
      <c r="B356" s="472"/>
      <c r="C356" s="472"/>
      <c r="D356" s="472"/>
      <c r="E356" s="472"/>
      <c r="F356" s="472"/>
      <c r="G356" s="472"/>
      <c r="H356" s="472"/>
      <c r="I356" s="472"/>
      <c r="J356" s="472"/>
      <c r="K356" s="471"/>
      <c r="L356" s="472"/>
      <c r="M356" s="472"/>
      <c r="N356" s="472"/>
      <c r="O356" s="472"/>
      <c r="P356" s="472"/>
      <c r="Q356" s="472"/>
      <c r="R356" s="472"/>
      <c r="S356" s="472"/>
      <c r="T356" s="472"/>
      <c r="U356" s="472"/>
      <c r="V356" s="472"/>
      <c r="W356" s="472"/>
      <c r="X356" s="472"/>
      <c r="Y356" s="472"/>
      <c r="Z356" s="472"/>
    </row>
    <row r="357" spans="1:26" ht="14.25" customHeight="1">
      <c r="A357" s="472"/>
      <c r="B357" s="472"/>
      <c r="C357" s="472"/>
      <c r="D357" s="472"/>
      <c r="E357" s="472"/>
      <c r="F357" s="472"/>
      <c r="G357" s="472"/>
      <c r="H357" s="472"/>
      <c r="I357" s="472"/>
      <c r="J357" s="472"/>
      <c r="K357" s="471"/>
      <c r="L357" s="472"/>
      <c r="M357" s="472"/>
      <c r="N357" s="472"/>
      <c r="O357" s="472"/>
      <c r="P357" s="472"/>
      <c r="Q357" s="472"/>
      <c r="R357" s="472"/>
      <c r="S357" s="472"/>
      <c r="T357" s="472"/>
      <c r="U357" s="472"/>
      <c r="V357" s="472"/>
      <c r="W357" s="472"/>
      <c r="X357" s="472"/>
      <c r="Y357" s="472"/>
      <c r="Z357" s="472"/>
    </row>
    <row r="358" spans="1:26" ht="14.25" customHeight="1">
      <c r="A358" s="472"/>
      <c r="B358" s="472"/>
      <c r="C358" s="472"/>
      <c r="D358" s="472"/>
      <c r="E358" s="472"/>
      <c r="F358" s="472"/>
      <c r="G358" s="472"/>
      <c r="H358" s="472"/>
      <c r="I358" s="472"/>
      <c r="J358" s="472"/>
      <c r="K358" s="471"/>
      <c r="L358" s="472"/>
      <c r="M358" s="472"/>
      <c r="N358" s="472"/>
      <c r="O358" s="472"/>
      <c r="P358" s="472"/>
      <c r="Q358" s="472"/>
      <c r="R358" s="472"/>
      <c r="S358" s="472"/>
      <c r="T358" s="472"/>
      <c r="U358" s="472"/>
      <c r="V358" s="472"/>
      <c r="W358" s="472"/>
      <c r="X358" s="472"/>
      <c r="Y358" s="472"/>
      <c r="Z358" s="472"/>
    </row>
    <row r="359" spans="1:26" ht="14.25" customHeight="1">
      <c r="A359" s="472"/>
      <c r="B359" s="472"/>
      <c r="C359" s="472"/>
      <c r="D359" s="472"/>
      <c r="E359" s="472"/>
      <c r="F359" s="472"/>
      <c r="G359" s="472"/>
      <c r="H359" s="472"/>
      <c r="I359" s="472"/>
      <c r="J359" s="472"/>
      <c r="K359" s="471"/>
      <c r="L359" s="472"/>
      <c r="M359" s="472"/>
      <c r="N359" s="472"/>
      <c r="O359" s="472"/>
      <c r="P359" s="472"/>
      <c r="Q359" s="472"/>
      <c r="R359" s="472"/>
      <c r="S359" s="472"/>
      <c r="T359" s="472"/>
      <c r="U359" s="472"/>
      <c r="V359" s="472"/>
      <c r="W359" s="472"/>
      <c r="X359" s="472"/>
      <c r="Y359" s="472"/>
      <c r="Z359" s="472"/>
    </row>
    <row r="360" spans="1:26" ht="14.25" customHeight="1">
      <c r="A360" s="472"/>
      <c r="B360" s="472"/>
      <c r="C360" s="472"/>
      <c r="D360" s="472"/>
      <c r="E360" s="472"/>
      <c r="F360" s="472"/>
      <c r="G360" s="472"/>
      <c r="H360" s="472"/>
      <c r="I360" s="472"/>
      <c r="J360" s="472"/>
      <c r="K360" s="471"/>
      <c r="L360" s="472"/>
      <c r="M360" s="472"/>
      <c r="N360" s="472"/>
      <c r="O360" s="472"/>
      <c r="P360" s="472"/>
      <c r="Q360" s="472"/>
      <c r="R360" s="472"/>
      <c r="S360" s="472"/>
      <c r="T360" s="472"/>
      <c r="U360" s="472"/>
      <c r="V360" s="472"/>
      <c r="W360" s="472"/>
      <c r="X360" s="472"/>
      <c r="Y360" s="472"/>
      <c r="Z360" s="472"/>
    </row>
    <row r="361" spans="1:26" ht="14.25" customHeight="1">
      <c r="A361" s="472"/>
      <c r="B361" s="472"/>
      <c r="C361" s="472"/>
      <c r="D361" s="472"/>
      <c r="E361" s="472"/>
      <c r="F361" s="472"/>
      <c r="G361" s="472"/>
      <c r="H361" s="472"/>
      <c r="I361" s="472"/>
      <c r="J361" s="472"/>
      <c r="K361" s="471"/>
      <c r="L361" s="472"/>
      <c r="M361" s="472"/>
      <c r="N361" s="472"/>
      <c r="O361" s="472"/>
      <c r="P361" s="472"/>
      <c r="Q361" s="472"/>
      <c r="R361" s="472"/>
      <c r="S361" s="472"/>
      <c r="T361" s="472"/>
      <c r="U361" s="472"/>
      <c r="V361" s="472"/>
      <c r="W361" s="472"/>
      <c r="X361" s="472"/>
      <c r="Y361" s="472"/>
      <c r="Z361" s="472"/>
    </row>
    <row r="362" spans="1:26" ht="14.25" customHeight="1">
      <c r="A362" s="472"/>
      <c r="B362" s="472"/>
      <c r="C362" s="472"/>
      <c r="D362" s="472"/>
      <c r="E362" s="472"/>
      <c r="F362" s="472"/>
      <c r="G362" s="472"/>
      <c r="H362" s="472"/>
      <c r="I362" s="472"/>
      <c r="J362" s="472"/>
      <c r="K362" s="471"/>
      <c r="L362" s="472"/>
      <c r="M362" s="472"/>
      <c r="N362" s="472"/>
      <c r="O362" s="472"/>
      <c r="P362" s="472"/>
      <c r="Q362" s="472"/>
      <c r="R362" s="472"/>
      <c r="S362" s="472"/>
      <c r="T362" s="472"/>
      <c r="U362" s="472"/>
      <c r="V362" s="472"/>
      <c r="W362" s="472"/>
      <c r="X362" s="472"/>
      <c r="Y362" s="472"/>
      <c r="Z362" s="472"/>
    </row>
    <row r="363" spans="1:26" ht="14.25" customHeight="1">
      <c r="A363" s="472"/>
      <c r="B363" s="472"/>
      <c r="C363" s="472"/>
      <c r="D363" s="472"/>
      <c r="E363" s="472"/>
      <c r="F363" s="472"/>
      <c r="G363" s="472"/>
      <c r="H363" s="472"/>
      <c r="I363" s="472"/>
      <c r="J363" s="472"/>
      <c r="K363" s="471"/>
      <c r="L363" s="472"/>
      <c r="M363" s="472"/>
      <c r="N363" s="472"/>
      <c r="O363" s="472"/>
      <c r="P363" s="472"/>
      <c r="Q363" s="472"/>
      <c r="R363" s="472"/>
      <c r="S363" s="472"/>
      <c r="T363" s="472"/>
      <c r="U363" s="472"/>
      <c r="V363" s="472"/>
      <c r="W363" s="472"/>
      <c r="X363" s="472"/>
      <c r="Y363" s="472"/>
      <c r="Z363" s="472"/>
    </row>
    <row r="364" spans="1:26" ht="14.25" customHeight="1">
      <c r="A364" s="472"/>
      <c r="B364" s="472"/>
      <c r="C364" s="472"/>
      <c r="D364" s="472"/>
      <c r="E364" s="472"/>
      <c r="F364" s="472"/>
      <c r="G364" s="472"/>
      <c r="H364" s="472"/>
      <c r="I364" s="472"/>
      <c r="J364" s="472"/>
      <c r="K364" s="471"/>
      <c r="L364" s="472"/>
      <c r="M364" s="472"/>
      <c r="N364" s="472"/>
      <c r="O364" s="472"/>
      <c r="P364" s="472"/>
      <c r="Q364" s="472"/>
      <c r="R364" s="472"/>
      <c r="S364" s="472"/>
      <c r="T364" s="472"/>
      <c r="U364" s="472"/>
      <c r="V364" s="472"/>
      <c r="W364" s="472"/>
      <c r="X364" s="472"/>
      <c r="Y364" s="472"/>
      <c r="Z364" s="472"/>
    </row>
    <row r="365" spans="1:26" ht="14.25" customHeight="1">
      <c r="A365" s="472"/>
      <c r="B365" s="472"/>
      <c r="C365" s="472"/>
      <c r="D365" s="472"/>
      <c r="E365" s="472"/>
      <c r="F365" s="472"/>
      <c r="G365" s="472"/>
      <c r="H365" s="472"/>
      <c r="I365" s="472"/>
      <c r="J365" s="472"/>
      <c r="K365" s="471"/>
      <c r="L365" s="472"/>
      <c r="M365" s="472"/>
      <c r="N365" s="472"/>
      <c r="O365" s="472"/>
      <c r="P365" s="472"/>
      <c r="Q365" s="472"/>
      <c r="R365" s="472"/>
      <c r="S365" s="472"/>
      <c r="T365" s="472"/>
      <c r="U365" s="472"/>
      <c r="V365" s="472"/>
      <c r="W365" s="472"/>
      <c r="X365" s="472"/>
      <c r="Y365" s="472"/>
      <c r="Z365" s="472"/>
    </row>
    <row r="366" spans="1:26" ht="14.25" customHeight="1">
      <c r="A366" s="472"/>
      <c r="B366" s="472"/>
      <c r="C366" s="472"/>
      <c r="D366" s="472"/>
      <c r="E366" s="472"/>
      <c r="F366" s="472"/>
      <c r="G366" s="472"/>
      <c r="H366" s="472"/>
      <c r="I366" s="472"/>
      <c r="J366" s="472"/>
      <c r="K366" s="471"/>
      <c r="L366" s="472"/>
      <c r="M366" s="472"/>
      <c r="N366" s="472"/>
      <c r="O366" s="472"/>
      <c r="P366" s="472"/>
      <c r="Q366" s="472"/>
      <c r="R366" s="472"/>
      <c r="S366" s="472"/>
      <c r="T366" s="472"/>
      <c r="U366" s="472"/>
      <c r="V366" s="472"/>
      <c r="W366" s="472"/>
      <c r="X366" s="472"/>
      <c r="Y366" s="472"/>
      <c r="Z366" s="472"/>
    </row>
    <row r="367" spans="1:26" ht="14.25" customHeight="1">
      <c r="A367" s="472"/>
      <c r="B367" s="472"/>
      <c r="C367" s="472"/>
      <c r="D367" s="472"/>
      <c r="E367" s="472"/>
      <c r="F367" s="472"/>
      <c r="G367" s="472"/>
      <c r="H367" s="472"/>
      <c r="I367" s="472"/>
      <c r="J367" s="472"/>
      <c r="K367" s="471"/>
      <c r="L367" s="472"/>
      <c r="M367" s="472"/>
      <c r="N367" s="472"/>
      <c r="O367" s="472"/>
      <c r="P367" s="472"/>
      <c r="Q367" s="472"/>
      <c r="R367" s="472"/>
      <c r="S367" s="472"/>
      <c r="T367" s="472"/>
      <c r="U367" s="472"/>
      <c r="V367" s="472"/>
      <c r="W367" s="472"/>
      <c r="X367" s="472"/>
      <c r="Y367" s="472"/>
      <c r="Z367" s="472"/>
    </row>
    <row r="368" spans="1:26" ht="14.25" customHeight="1">
      <c r="A368" s="472"/>
      <c r="B368" s="472"/>
      <c r="C368" s="472"/>
      <c r="D368" s="472"/>
      <c r="E368" s="472"/>
      <c r="F368" s="472"/>
      <c r="G368" s="472"/>
      <c r="H368" s="472"/>
      <c r="I368" s="472"/>
      <c r="J368" s="472"/>
      <c r="K368" s="471"/>
      <c r="L368" s="472"/>
      <c r="M368" s="472"/>
      <c r="N368" s="472"/>
      <c r="O368" s="472"/>
      <c r="P368" s="472"/>
      <c r="Q368" s="472"/>
      <c r="R368" s="472"/>
      <c r="S368" s="472"/>
      <c r="T368" s="472"/>
      <c r="U368" s="472"/>
      <c r="V368" s="472"/>
      <c r="W368" s="472"/>
      <c r="X368" s="472"/>
      <c r="Y368" s="472"/>
      <c r="Z368" s="472"/>
    </row>
    <row r="369" spans="1:26" ht="14.25" customHeight="1">
      <c r="A369" s="472"/>
      <c r="B369" s="472"/>
      <c r="C369" s="472"/>
      <c r="D369" s="472"/>
      <c r="E369" s="472"/>
      <c r="F369" s="472"/>
      <c r="G369" s="472"/>
      <c r="H369" s="472"/>
      <c r="I369" s="472"/>
      <c r="J369" s="472"/>
      <c r="K369" s="471"/>
      <c r="L369" s="472"/>
      <c r="M369" s="472"/>
      <c r="N369" s="472"/>
      <c r="O369" s="472"/>
      <c r="P369" s="472"/>
      <c r="Q369" s="472"/>
      <c r="R369" s="472"/>
      <c r="S369" s="472"/>
      <c r="T369" s="472"/>
      <c r="U369" s="472"/>
      <c r="V369" s="472"/>
      <c r="W369" s="472"/>
      <c r="X369" s="472"/>
      <c r="Y369" s="472"/>
      <c r="Z369" s="472"/>
    </row>
    <row r="370" spans="1:26" ht="14.25" customHeight="1">
      <c r="A370" s="472"/>
      <c r="B370" s="472"/>
      <c r="C370" s="472"/>
      <c r="D370" s="472"/>
      <c r="E370" s="472"/>
      <c r="F370" s="472"/>
      <c r="G370" s="472"/>
      <c r="H370" s="472"/>
      <c r="I370" s="472"/>
      <c r="J370" s="472"/>
      <c r="K370" s="471"/>
      <c r="L370" s="472"/>
      <c r="M370" s="472"/>
      <c r="N370" s="472"/>
      <c r="O370" s="472"/>
      <c r="P370" s="472"/>
      <c r="Q370" s="472"/>
      <c r="R370" s="472"/>
      <c r="S370" s="472"/>
      <c r="T370" s="472"/>
      <c r="U370" s="472"/>
      <c r="V370" s="472"/>
      <c r="W370" s="472"/>
      <c r="X370" s="472"/>
      <c r="Y370" s="472"/>
      <c r="Z370" s="472"/>
    </row>
    <row r="371" spans="1:26" ht="14.25" customHeight="1">
      <c r="A371" s="472"/>
      <c r="B371" s="472"/>
      <c r="C371" s="472"/>
      <c r="D371" s="472"/>
      <c r="E371" s="472"/>
      <c r="F371" s="472"/>
      <c r="G371" s="472"/>
      <c r="H371" s="472"/>
      <c r="I371" s="472"/>
      <c r="J371" s="472"/>
      <c r="K371" s="471"/>
      <c r="L371" s="472"/>
      <c r="M371" s="472"/>
      <c r="N371" s="472"/>
      <c r="O371" s="472"/>
      <c r="P371" s="472"/>
      <c r="Q371" s="472"/>
      <c r="R371" s="472"/>
      <c r="S371" s="472"/>
      <c r="T371" s="472"/>
      <c r="U371" s="472"/>
      <c r="V371" s="472"/>
      <c r="W371" s="472"/>
      <c r="X371" s="472"/>
      <c r="Y371" s="472"/>
      <c r="Z371" s="472"/>
    </row>
    <row r="372" spans="1:26" ht="14.25" customHeight="1">
      <c r="A372" s="472"/>
      <c r="B372" s="472"/>
      <c r="C372" s="472"/>
      <c r="D372" s="472"/>
      <c r="E372" s="472"/>
      <c r="F372" s="472"/>
      <c r="G372" s="472"/>
      <c r="H372" s="472"/>
      <c r="I372" s="472"/>
      <c r="J372" s="472"/>
      <c r="K372" s="471"/>
      <c r="L372" s="472"/>
      <c r="M372" s="472"/>
      <c r="N372" s="472"/>
      <c r="O372" s="472"/>
      <c r="P372" s="472"/>
      <c r="Q372" s="472"/>
      <c r="R372" s="472"/>
      <c r="S372" s="472"/>
      <c r="T372" s="472"/>
      <c r="U372" s="472"/>
      <c r="V372" s="472"/>
      <c r="W372" s="472"/>
      <c r="X372" s="472"/>
      <c r="Y372" s="472"/>
      <c r="Z372" s="472"/>
    </row>
    <row r="373" spans="1:26" ht="14.25" customHeight="1">
      <c r="A373" s="472"/>
      <c r="B373" s="472"/>
      <c r="C373" s="472"/>
      <c r="D373" s="472"/>
      <c r="E373" s="472"/>
      <c r="F373" s="472"/>
      <c r="G373" s="472"/>
      <c r="H373" s="472"/>
      <c r="I373" s="472"/>
      <c r="J373" s="472"/>
      <c r="K373" s="471"/>
      <c r="L373" s="472"/>
      <c r="M373" s="472"/>
      <c r="N373" s="472"/>
      <c r="O373" s="472"/>
      <c r="P373" s="472"/>
      <c r="Q373" s="472"/>
      <c r="R373" s="472"/>
      <c r="S373" s="472"/>
      <c r="T373" s="472"/>
      <c r="U373" s="472"/>
      <c r="V373" s="472"/>
      <c r="W373" s="472"/>
      <c r="X373" s="472"/>
      <c r="Y373" s="472"/>
      <c r="Z373" s="472"/>
    </row>
    <row r="374" spans="1:26" ht="14.25" customHeight="1">
      <c r="A374" s="472"/>
      <c r="B374" s="472"/>
      <c r="C374" s="472"/>
      <c r="D374" s="472"/>
      <c r="E374" s="472"/>
      <c r="F374" s="472"/>
      <c r="G374" s="472"/>
      <c r="H374" s="472"/>
      <c r="I374" s="472"/>
      <c r="J374" s="472"/>
      <c r="K374" s="471"/>
      <c r="L374" s="472"/>
      <c r="M374" s="472"/>
      <c r="N374" s="472"/>
      <c r="O374" s="472"/>
      <c r="P374" s="472"/>
      <c r="Q374" s="472"/>
      <c r="R374" s="472"/>
      <c r="S374" s="472"/>
      <c r="T374" s="472"/>
      <c r="U374" s="472"/>
      <c r="V374" s="472"/>
      <c r="W374" s="472"/>
      <c r="X374" s="472"/>
      <c r="Y374" s="472"/>
      <c r="Z374" s="472"/>
    </row>
    <row r="375" spans="1:26" ht="14.25" customHeight="1">
      <c r="A375" s="472"/>
      <c r="B375" s="472"/>
      <c r="C375" s="472"/>
      <c r="D375" s="472"/>
      <c r="E375" s="472"/>
      <c r="F375" s="472"/>
      <c r="G375" s="472"/>
      <c r="H375" s="472"/>
      <c r="I375" s="472"/>
      <c r="J375" s="472"/>
      <c r="K375" s="471"/>
      <c r="L375" s="472"/>
      <c r="M375" s="472"/>
      <c r="N375" s="472"/>
      <c r="O375" s="472"/>
      <c r="P375" s="472"/>
      <c r="Q375" s="472"/>
      <c r="R375" s="472"/>
      <c r="S375" s="472"/>
      <c r="T375" s="472"/>
      <c r="U375" s="472"/>
      <c r="V375" s="472"/>
      <c r="W375" s="472"/>
      <c r="X375" s="472"/>
      <c r="Y375" s="472"/>
      <c r="Z375" s="472"/>
    </row>
    <row r="376" spans="1:26" ht="14.25" customHeight="1">
      <c r="A376" s="472"/>
      <c r="B376" s="472"/>
      <c r="C376" s="472"/>
      <c r="D376" s="472"/>
      <c r="E376" s="472"/>
      <c r="F376" s="472"/>
      <c r="G376" s="472"/>
      <c r="H376" s="472"/>
      <c r="I376" s="472"/>
      <c r="J376" s="472"/>
      <c r="K376" s="471"/>
      <c r="L376" s="472"/>
      <c r="M376" s="472"/>
      <c r="N376" s="472"/>
      <c r="O376" s="472"/>
      <c r="P376" s="472"/>
      <c r="Q376" s="472"/>
      <c r="R376" s="472"/>
      <c r="S376" s="472"/>
      <c r="T376" s="472"/>
      <c r="U376" s="472"/>
      <c r="V376" s="472"/>
      <c r="W376" s="472"/>
      <c r="X376" s="472"/>
      <c r="Y376" s="472"/>
      <c r="Z376" s="472"/>
    </row>
    <row r="377" spans="1:26" ht="14.25" customHeight="1">
      <c r="A377" s="472"/>
      <c r="B377" s="472"/>
      <c r="C377" s="472"/>
      <c r="D377" s="472"/>
      <c r="E377" s="472"/>
      <c r="F377" s="472"/>
      <c r="G377" s="472"/>
      <c r="H377" s="472"/>
      <c r="I377" s="472"/>
      <c r="J377" s="472"/>
      <c r="K377" s="471"/>
      <c r="L377" s="472"/>
      <c r="M377" s="472"/>
      <c r="N377" s="472"/>
      <c r="O377" s="472"/>
      <c r="P377" s="472"/>
      <c r="Q377" s="472"/>
      <c r="R377" s="472"/>
      <c r="S377" s="472"/>
      <c r="T377" s="472"/>
      <c r="U377" s="472"/>
      <c r="V377" s="472"/>
      <c r="W377" s="472"/>
      <c r="X377" s="472"/>
      <c r="Y377" s="472"/>
      <c r="Z377" s="472"/>
    </row>
    <row r="378" spans="1:26" ht="14.25" customHeight="1">
      <c r="A378" s="472"/>
      <c r="B378" s="472"/>
      <c r="C378" s="472"/>
      <c r="D378" s="472"/>
      <c r="E378" s="472"/>
      <c r="F378" s="472"/>
      <c r="G378" s="472"/>
      <c r="H378" s="472"/>
      <c r="I378" s="472"/>
      <c r="J378" s="472"/>
      <c r="K378" s="471"/>
      <c r="L378" s="472"/>
      <c r="M378" s="472"/>
      <c r="N378" s="472"/>
      <c r="O378" s="472"/>
      <c r="P378" s="472"/>
      <c r="Q378" s="472"/>
      <c r="R378" s="472"/>
      <c r="S378" s="472"/>
      <c r="T378" s="472"/>
      <c r="U378" s="472"/>
      <c r="V378" s="472"/>
      <c r="W378" s="472"/>
      <c r="X378" s="472"/>
      <c r="Y378" s="472"/>
      <c r="Z378" s="472"/>
    </row>
    <row r="379" spans="1:26" ht="14.25" customHeight="1">
      <c r="A379" s="472"/>
      <c r="B379" s="472"/>
      <c r="C379" s="472"/>
      <c r="D379" s="472"/>
      <c r="E379" s="472"/>
      <c r="F379" s="472"/>
      <c r="G379" s="472"/>
      <c r="H379" s="472"/>
      <c r="I379" s="472"/>
      <c r="J379" s="472"/>
      <c r="K379" s="471"/>
      <c r="L379" s="472"/>
      <c r="M379" s="472"/>
      <c r="N379" s="472"/>
      <c r="O379" s="472"/>
      <c r="P379" s="472"/>
      <c r="Q379" s="472"/>
      <c r="R379" s="472"/>
      <c r="S379" s="472"/>
      <c r="T379" s="472"/>
      <c r="U379" s="472"/>
      <c r="V379" s="472"/>
      <c r="W379" s="472"/>
      <c r="X379" s="472"/>
      <c r="Y379" s="472"/>
      <c r="Z379" s="472"/>
    </row>
    <row r="380" spans="1:26" ht="14.25" customHeight="1">
      <c r="A380" s="472"/>
      <c r="B380" s="472"/>
      <c r="C380" s="472"/>
      <c r="D380" s="472"/>
      <c r="E380" s="472"/>
      <c r="F380" s="472"/>
      <c r="G380" s="472"/>
      <c r="H380" s="472"/>
      <c r="I380" s="472"/>
      <c r="J380" s="472"/>
      <c r="K380" s="471"/>
      <c r="L380" s="472"/>
      <c r="M380" s="472"/>
      <c r="N380" s="472"/>
      <c r="O380" s="472"/>
      <c r="P380" s="472"/>
      <c r="Q380" s="472"/>
      <c r="R380" s="472"/>
      <c r="S380" s="472"/>
      <c r="T380" s="472"/>
      <c r="U380" s="472"/>
      <c r="V380" s="472"/>
      <c r="W380" s="472"/>
      <c r="X380" s="472"/>
      <c r="Y380" s="472"/>
      <c r="Z380" s="472"/>
    </row>
    <row r="381" spans="1:26" ht="14.25" customHeight="1">
      <c r="A381" s="472"/>
      <c r="B381" s="472"/>
      <c r="C381" s="472"/>
      <c r="D381" s="472"/>
      <c r="E381" s="472"/>
      <c r="F381" s="472"/>
      <c r="G381" s="472"/>
      <c r="H381" s="472"/>
      <c r="I381" s="472"/>
      <c r="J381" s="472"/>
      <c r="K381" s="471"/>
      <c r="L381" s="472"/>
      <c r="M381" s="472"/>
      <c r="N381" s="472"/>
      <c r="O381" s="472"/>
      <c r="P381" s="472"/>
      <c r="Q381" s="472"/>
      <c r="R381" s="472"/>
      <c r="S381" s="472"/>
      <c r="T381" s="472"/>
      <c r="U381" s="472"/>
      <c r="V381" s="472"/>
      <c r="W381" s="472"/>
      <c r="X381" s="472"/>
      <c r="Y381" s="472"/>
      <c r="Z381" s="472"/>
    </row>
    <row r="382" spans="1:26" ht="14.25" customHeight="1">
      <c r="A382" s="472"/>
      <c r="B382" s="472"/>
      <c r="C382" s="472"/>
      <c r="D382" s="472"/>
      <c r="E382" s="472"/>
      <c r="F382" s="472"/>
      <c r="G382" s="472"/>
      <c r="H382" s="472"/>
      <c r="I382" s="472"/>
      <c r="J382" s="472"/>
      <c r="K382" s="471"/>
      <c r="L382" s="472"/>
      <c r="M382" s="472"/>
      <c r="N382" s="472"/>
      <c r="O382" s="472"/>
      <c r="P382" s="472"/>
      <c r="Q382" s="472"/>
      <c r="R382" s="472"/>
      <c r="S382" s="472"/>
      <c r="T382" s="472"/>
      <c r="U382" s="472"/>
      <c r="V382" s="472"/>
      <c r="W382" s="472"/>
      <c r="X382" s="472"/>
      <c r="Y382" s="472"/>
      <c r="Z382" s="472"/>
    </row>
    <row r="383" spans="1:26" ht="14.25" customHeight="1">
      <c r="A383" s="472"/>
      <c r="B383" s="472"/>
      <c r="C383" s="472"/>
      <c r="D383" s="472"/>
      <c r="E383" s="472"/>
      <c r="F383" s="472"/>
      <c r="G383" s="472"/>
      <c r="H383" s="472"/>
      <c r="I383" s="472"/>
      <c r="J383" s="472"/>
      <c r="K383" s="471"/>
      <c r="L383" s="472"/>
      <c r="M383" s="472"/>
      <c r="N383" s="472"/>
      <c r="O383" s="472"/>
      <c r="P383" s="472"/>
      <c r="Q383" s="472"/>
      <c r="R383" s="472"/>
      <c r="S383" s="472"/>
      <c r="T383" s="472"/>
      <c r="U383" s="472"/>
      <c r="V383" s="472"/>
      <c r="W383" s="472"/>
      <c r="X383" s="472"/>
      <c r="Y383" s="472"/>
      <c r="Z383" s="472"/>
    </row>
    <row r="384" spans="1:26" ht="14.25" customHeight="1">
      <c r="A384" s="472"/>
      <c r="B384" s="472"/>
      <c r="C384" s="472"/>
      <c r="D384" s="472"/>
      <c r="E384" s="472"/>
      <c r="F384" s="472"/>
      <c r="G384" s="472"/>
      <c r="H384" s="472"/>
      <c r="I384" s="472"/>
      <c r="J384" s="472"/>
      <c r="K384" s="471"/>
      <c r="L384" s="472"/>
      <c r="M384" s="472"/>
      <c r="N384" s="472"/>
      <c r="O384" s="472"/>
      <c r="P384" s="472"/>
      <c r="Q384" s="472"/>
      <c r="R384" s="472"/>
      <c r="S384" s="472"/>
      <c r="T384" s="472"/>
      <c r="U384" s="472"/>
      <c r="V384" s="472"/>
      <c r="W384" s="472"/>
      <c r="X384" s="472"/>
      <c r="Y384" s="472"/>
      <c r="Z384" s="472"/>
    </row>
    <row r="385" spans="1:26" ht="14.25" customHeight="1">
      <c r="A385" s="472"/>
      <c r="B385" s="472"/>
      <c r="C385" s="472"/>
      <c r="D385" s="472"/>
      <c r="E385" s="472"/>
      <c r="F385" s="472"/>
      <c r="G385" s="472"/>
      <c r="H385" s="472"/>
      <c r="I385" s="472"/>
      <c r="J385" s="472"/>
      <c r="K385" s="471"/>
      <c r="L385" s="472"/>
      <c r="M385" s="472"/>
      <c r="N385" s="472"/>
      <c r="O385" s="472"/>
      <c r="P385" s="472"/>
      <c r="Q385" s="472"/>
      <c r="R385" s="472"/>
      <c r="S385" s="472"/>
      <c r="T385" s="472"/>
      <c r="U385" s="472"/>
      <c r="V385" s="472"/>
      <c r="W385" s="472"/>
      <c r="X385" s="472"/>
      <c r="Y385" s="472"/>
      <c r="Z385" s="472"/>
    </row>
    <row r="386" spans="1:26" ht="14.25" customHeight="1">
      <c r="A386" s="472"/>
      <c r="B386" s="472"/>
      <c r="C386" s="472"/>
      <c r="D386" s="472"/>
      <c r="E386" s="472"/>
      <c r="F386" s="472"/>
      <c r="G386" s="472"/>
      <c r="H386" s="472"/>
      <c r="I386" s="472"/>
      <c r="J386" s="472"/>
      <c r="K386" s="471"/>
      <c r="L386" s="472"/>
      <c r="M386" s="472"/>
      <c r="N386" s="472"/>
      <c r="O386" s="472"/>
      <c r="P386" s="472"/>
      <c r="Q386" s="472"/>
      <c r="R386" s="472"/>
      <c r="S386" s="472"/>
      <c r="T386" s="472"/>
      <c r="U386" s="472"/>
      <c r="V386" s="472"/>
      <c r="W386" s="472"/>
      <c r="X386" s="472"/>
      <c r="Y386" s="472"/>
      <c r="Z386" s="472"/>
    </row>
    <row r="387" spans="1:26" ht="14.25" customHeight="1">
      <c r="A387" s="472"/>
      <c r="B387" s="472"/>
      <c r="C387" s="472"/>
      <c r="D387" s="472"/>
      <c r="E387" s="472"/>
      <c r="F387" s="472"/>
      <c r="G387" s="472"/>
      <c r="H387" s="472"/>
      <c r="I387" s="472"/>
      <c r="J387" s="472"/>
      <c r="K387" s="471"/>
      <c r="L387" s="472"/>
      <c r="M387" s="472"/>
      <c r="N387" s="472"/>
      <c r="O387" s="472"/>
      <c r="P387" s="472"/>
      <c r="Q387" s="472"/>
      <c r="R387" s="472"/>
      <c r="S387" s="472"/>
      <c r="T387" s="472"/>
      <c r="U387" s="472"/>
      <c r="V387" s="472"/>
      <c r="W387" s="472"/>
      <c r="X387" s="472"/>
      <c r="Y387" s="472"/>
      <c r="Z387" s="472"/>
    </row>
    <row r="388" spans="1:26" ht="14.25" customHeight="1">
      <c r="A388" s="472"/>
      <c r="B388" s="472"/>
      <c r="C388" s="472"/>
      <c r="D388" s="472"/>
      <c r="E388" s="472"/>
      <c r="F388" s="472"/>
      <c r="G388" s="472"/>
      <c r="H388" s="472"/>
      <c r="I388" s="472"/>
      <c r="J388" s="472"/>
      <c r="K388" s="471"/>
      <c r="L388" s="472"/>
      <c r="M388" s="472"/>
      <c r="N388" s="472"/>
      <c r="O388" s="472"/>
      <c r="P388" s="472"/>
      <c r="Q388" s="472"/>
      <c r="R388" s="472"/>
      <c r="S388" s="472"/>
      <c r="T388" s="472"/>
      <c r="U388" s="472"/>
      <c r="V388" s="472"/>
      <c r="W388" s="472"/>
      <c r="X388" s="472"/>
      <c r="Y388" s="472"/>
      <c r="Z388" s="472"/>
    </row>
    <row r="389" spans="1:26" ht="14.25" customHeight="1">
      <c r="A389" s="472"/>
      <c r="B389" s="472"/>
      <c r="C389" s="472"/>
      <c r="D389" s="472"/>
      <c r="E389" s="472"/>
      <c r="F389" s="472"/>
      <c r="G389" s="472"/>
      <c r="H389" s="472"/>
      <c r="I389" s="472"/>
      <c r="J389" s="472"/>
      <c r="K389" s="471"/>
      <c r="L389" s="472"/>
      <c r="M389" s="472"/>
      <c r="N389" s="472"/>
      <c r="O389" s="472"/>
      <c r="P389" s="472"/>
      <c r="Q389" s="472"/>
      <c r="R389" s="472"/>
      <c r="S389" s="472"/>
      <c r="T389" s="472"/>
      <c r="U389" s="472"/>
      <c r="V389" s="472"/>
      <c r="W389" s="472"/>
      <c r="X389" s="472"/>
      <c r="Y389" s="472"/>
      <c r="Z389" s="472"/>
    </row>
    <row r="390" spans="1:26" ht="14.25" customHeight="1">
      <c r="A390" s="472"/>
      <c r="B390" s="472"/>
      <c r="C390" s="472"/>
      <c r="D390" s="472"/>
      <c r="E390" s="472"/>
      <c r="F390" s="472"/>
      <c r="G390" s="472"/>
      <c r="H390" s="472"/>
      <c r="I390" s="472"/>
      <c r="J390" s="472"/>
      <c r="K390" s="471"/>
      <c r="L390" s="472"/>
      <c r="M390" s="472"/>
      <c r="N390" s="472"/>
      <c r="O390" s="472"/>
      <c r="P390" s="472"/>
      <c r="Q390" s="472"/>
      <c r="R390" s="472"/>
      <c r="S390" s="472"/>
      <c r="T390" s="472"/>
      <c r="U390" s="472"/>
      <c r="V390" s="472"/>
      <c r="W390" s="472"/>
      <c r="X390" s="472"/>
      <c r="Y390" s="472"/>
      <c r="Z390" s="472"/>
    </row>
    <row r="391" spans="1:26" ht="14.25" customHeight="1">
      <c r="A391" s="472"/>
      <c r="B391" s="472"/>
      <c r="C391" s="472"/>
      <c r="D391" s="472"/>
      <c r="E391" s="472"/>
      <c r="F391" s="472"/>
      <c r="G391" s="472"/>
      <c r="H391" s="472"/>
      <c r="I391" s="472"/>
      <c r="J391" s="472"/>
      <c r="K391" s="471"/>
      <c r="L391" s="472"/>
      <c r="M391" s="472"/>
      <c r="N391" s="472"/>
      <c r="O391" s="472"/>
      <c r="P391" s="472"/>
      <c r="Q391" s="472"/>
      <c r="R391" s="472"/>
      <c r="S391" s="472"/>
      <c r="T391" s="472"/>
      <c r="U391" s="472"/>
      <c r="V391" s="472"/>
      <c r="W391" s="472"/>
      <c r="X391" s="472"/>
      <c r="Y391" s="472"/>
      <c r="Z391" s="472"/>
    </row>
    <row r="392" spans="1:26" ht="14.25" customHeight="1">
      <c r="A392" s="472"/>
      <c r="B392" s="472"/>
      <c r="C392" s="472"/>
      <c r="D392" s="472"/>
      <c r="E392" s="472"/>
      <c r="F392" s="472"/>
      <c r="G392" s="472"/>
      <c r="H392" s="472"/>
      <c r="I392" s="472"/>
      <c r="J392" s="472"/>
      <c r="K392" s="471"/>
      <c r="L392" s="472"/>
      <c r="M392" s="472"/>
      <c r="N392" s="472"/>
      <c r="O392" s="472"/>
      <c r="P392" s="472"/>
      <c r="Q392" s="472"/>
      <c r="R392" s="472"/>
      <c r="S392" s="472"/>
      <c r="T392" s="472"/>
      <c r="U392" s="472"/>
      <c r="V392" s="472"/>
      <c r="W392" s="472"/>
      <c r="X392" s="472"/>
      <c r="Y392" s="472"/>
      <c r="Z392" s="472"/>
    </row>
    <row r="393" spans="1:26" ht="14.25" customHeight="1">
      <c r="A393" s="472"/>
      <c r="B393" s="472"/>
      <c r="C393" s="472"/>
      <c r="D393" s="472"/>
      <c r="E393" s="472"/>
      <c r="F393" s="472"/>
      <c r="G393" s="472"/>
      <c r="H393" s="472"/>
      <c r="I393" s="472"/>
      <c r="J393" s="472"/>
      <c r="K393" s="471"/>
      <c r="L393" s="472"/>
      <c r="M393" s="472"/>
      <c r="N393" s="472"/>
      <c r="O393" s="472"/>
      <c r="P393" s="472"/>
      <c r="Q393" s="472"/>
      <c r="R393" s="472"/>
      <c r="S393" s="472"/>
      <c r="T393" s="472"/>
      <c r="U393" s="472"/>
      <c r="V393" s="472"/>
      <c r="W393" s="472"/>
      <c r="X393" s="472"/>
      <c r="Y393" s="472"/>
      <c r="Z393" s="472"/>
    </row>
    <row r="394" spans="1:26" ht="14.25" customHeight="1">
      <c r="A394" s="472"/>
      <c r="B394" s="472"/>
      <c r="C394" s="472"/>
      <c r="D394" s="472"/>
      <c r="E394" s="472"/>
      <c r="F394" s="472"/>
      <c r="G394" s="472"/>
      <c r="H394" s="472"/>
      <c r="I394" s="472"/>
      <c r="J394" s="472"/>
      <c r="K394" s="471"/>
      <c r="L394" s="472"/>
      <c r="M394" s="472"/>
      <c r="N394" s="472"/>
      <c r="O394" s="472"/>
      <c r="P394" s="472"/>
      <c r="Q394" s="472"/>
      <c r="R394" s="472"/>
      <c r="S394" s="472"/>
      <c r="T394" s="472"/>
      <c r="U394" s="472"/>
      <c r="V394" s="472"/>
      <c r="W394" s="472"/>
      <c r="X394" s="472"/>
      <c r="Y394" s="472"/>
      <c r="Z394" s="472"/>
    </row>
    <row r="395" spans="1:26" ht="14.25" customHeight="1">
      <c r="A395" s="472"/>
      <c r="B395" s="472"/>
      <c r="C395" s="472"/>
      <c r="D395" s="472"/>
      <c r="E395" s="472"/>
      <c r="F395" s="472"/>
      <c r="G395" s="472"/>
      <c r="H395" s="472"/>
      <c r="I395" s="472"/>
      <c r="J395" s="472"/>
      <c r="K395" s="471"/>
      <c r="L395" s="472"/>
      <c r="M395" s="472"/>
      <c r="N395" s="472"/>
      <c r="O395" s="472"/>
      <c r="P395" s="472"/>
      <c r="Q395" s="472"/>
      <c r="R395" s="472"/>
      <c r="S395" s="472"/>
      <c r="T395" s="472"/>
      <c r="U395" s="472"/>
      <c r="V395" s="472"/>
      <c r="W395" s="472"/>
      <c r="X395" s="472"/>
      <c r="Y395" s="472"/>
      <c r="Z395" s="472"/>
    </row>
    <row r="396" spans="1:26" ht="14.25" customHeight="1">
      <c r="A396" s="472"/>
      <c r="B396" s="472"/>
      <c r="C396" s="472"/>
      <c r="D396" s="472"/>
      <c r="E396" s="472"/>
      <c r="F396" s="472"/>
      <c r="G396" s="472"/>
      <c r="H396" s="472"/>
      <c r="I396" s="472"/>
      <c r="J396" s="472"/>
      <c r="K396" s="471"/>
      <c r="L396" s="472"/>
      <c r="M396" s="472"/>
      <c r="N396" s="472"/>
      <c r="O396" s="472"/>
      <c r="P396" s="472"/>
      <c r="Q396" s="472"/>
      <c r="R396" s="472"/>
      <c r="S396" s="472"/>
      <c r="T396" s="472"/>
      <c r="U396" s="472"/>
      <c r="V396" s="472"/>
      <c r="W396" s="472"/>
      <c r="X396" s="472"/>
      <c r="Y396" s="472"/>
      <c r="Z396" s="472"/>
    </row>
    <row r="397" spans="1:26" ht="14.25" customHeight="1">
      <c r="A397" s="472"/>
      <c r="B397" s="472"/>
      <c r="C397" s="472"/>
      <c r="D397" s="472"/>
      <c r="E397" s="472"/>
      <c r="F397" s="472"/>
      <c r="G397" s="472"/>
      <c r="H397" s="472"/>
      <c r="I397" s="472"/>
      <c r="J397" s="472"/>
      <c r="K397" s="471"/>
      <c r="L397" s="472"/>
      <c r="M397" s="472"/>
      <c r="N397" s="472"/>
      <c r="O397" s="472"/>
      <c r="P397" s="472"/>
      <c r="Q397" s="472"/>
      <c r="R397" s="472"/>
      <c r="S397" s="472"/>
      <c r="T397" s="472"/>
      <c r="U397" s="472"/>
      <c r="V397" s="472"/>
      <c r="W397" s="472"/>
      <c r="X397" s="472"/>
      <c r="Y397" s="472"/>
      <c r="Z397" s="472"/>
    </row>
    <row r="398" spans="1:26" ht="14.25" customHeight="1">
      <c r="A398" s="472"/>
      <c r="B398" s="472"/>
      <c r="C398" s="472"/>
      <c r="D398" s="472"/>
      <c r="E398" s="472"/>
      <c r="F398" s="472"/>
      <c r="G398" s="472"/>
      <c r="H398" s="472"/>
      <c r="I398" s="472"/>
      <c r="J398" s="472"/>
      <c r="K398" s="471"/>
      <c r="L398" s="472"/>
      <c r="M398" s="472"/>
      <c r="N398" s="472"/>
      <c r="O398" s="472"/>
      <c r="P398" s="472"/>
      <c r="Q398" s="472"/>
      <c r="R398" s="472"/>
      <c r="S398" s="472"/>
      <c r="T398" s="472"/>
      <c r="U398" s="472"/>
      <c r="V398" s="472"/>
      <c r="W398" s="472"/>
      <c r="X398" s="472"/>
      <c r="Y398" s="472"/>
      <c r="Z398" s="472"/>
    </row>
    <row r="399" spans="1:26" ht="14.25" customHeight="1">
      <c r="A399" s="472"/>
      <c r="B399" s="472"/>
      <c r="C399" s="472"/>
      <c r="D399" s="472"/>
      <c r="E399" s="472"/>
      <c r="F399" s="472"/>
      <c r="G399" s="472"/>
      <c r="H399" s="472"/>
      <c r="I399" s="472"/>
      <c r="J399" s="472"/>
      <c r="K399" s="471"/>
      <c r="L399" s="472"/>
      <c r="M399" s="472"/>
      <c r="N399" s="472"/>
      <c r="O399" s="472"/>
      <c r="P399" s="472"/>
      <c r="Q399" s="472"/>
      <c r="R399" s="472"/>
      <c r="S399" s="472"/>
      <c r="T399" s="472"/>
      <c r="U399" s="472"/>
      <c r="V399" s="472"/>
      <c r="W399" s="472"/>
      <c r="X399" s="472"/>
      <c r="Y399" s="472"/>
      <c r="Z399" s="472"/>
    </row>
    <row r="400" spans="1:26" ht="14.25" customHeight="1">
      <c r="A400" s="472"/>
      <c r="B400" s="472"/>
      <c r="C400" s="472"/>
      <c r="D400" s="472"/>
      <c r="E400" s="472"/>
      <c r="F400" s="472"/>
      <c r="G400" s="472"/>
      <c r="H400" s="472"/>
      <c r="I400" s="472"/>
      <c r="J400" s="472"/>
      <c r="K400" s="471"/>
      <c r="L400" s="472"/>
      <c r="M400" s="472"/>
      <c r="N400" s="472"/>
      <c r="O400" s="472"/>
      <c r="P400" s="472"/>
      <c r="Q400" s="472"/>
      <c r="R400" s="472"/>
      <c r="S400" s="472"/>
      <c r="T400" s="472"/>
      <c r="U400" s="472"/>
      <c r="V400" s="472"/>
      <c r="W400" s="472"/>
      <c r="X400" s="472"/>
      <c r="Y400" s="472"/>
      <c r="Z400" s="472"/>
    </row>
    <row r="401" spans="1:26" ht="14.25" customHeight="1">
      <c r="A401" s="472"/>
      <c r="B401" s="472"/>
      <c r="C401" s="472"/>
      <c r="D401" s="472"/>
      <c r="E401" s="472"/>
      <c r="F401" s="472"/>
      <c r="G401" s="472"/>
      <c r="H401" s="472"/>
      <c r="I401" s="472"/>
      <c r="J401" s="472"/>
      <c r="K401" s="471"/>
      <c r="L401" s="472"/>
      <c r="M401" s="472"/>
      <c r="N401" s="472"/>
      <c r="O401" s="472"/>
      <c r="P401" s="472"/>
      <c r="Q401" s="472"/>
      <c r="R401" s="472"/>
      <c r="S401" s="472"/>
      <c r="T401" s="472"/>
      <c r="U401" s="472"/>
      <c r="V401" s="472"/>
      <c r="W401" s="472"/>
      <c r="X401" s="472"/>
      <c r="Y401" s="472"/>
      <c r="Z401" s="472"/>
    </row>
    <row r="402" spans="1:26" ht="14.25" customHeight="1">
      <c r="A402" s="472"/>
      <c r="B402" s="472"/>
      <c r="C402" s="472"/>
      <c r="D402" s="472"/>
      <c r="E402" s="472"/>
      <c r="F402" s="472"/>
      <c r="G402" s="472"/>
      <c r="H402" s="472"/>
      <c r="I402" s="472"/>
      <c r="J402" s="472"/>
      <c r="K402" s="471"/>
      <c r="L402" s="472"/>
      <c r="M402" s="472"/>
      <c r="N402" s="472"/>
      <c r="O402" s="472"/>
      <c r="P402" s="472"/>
      <c r="Q402" s="472"/>
      <c r="R402" s="472"/>
      <c r="S402" s="472"/>
      <c r="T402" s="472"/>
      <c r="U402" s="472"/>
      <c r="V402" s="472"/>
      <c r="W402" s="472"/>
      <c r="X402" s="472"/>
      <c r="Y402" s="472"/>
      <c r="Z402" s="472"/>
    </row>
    <row r="403" spans="1:26" ht="14.25" customHeight="1">
      <c r="A403" s="472"/>
      <c r="B403" s="472"/>
      <c r="C403" s="472"/>
      <c r="D403" s="472"/>
      <c r="E403" s="472"/>
      <c r="F403" s="472"/>
      <c r="G403" s="472"/>
      <c r="H403" s="472"/>
      <c r="I403" s="472"/>
      <c r="J403" s="472"/>
      <c r="K403" s="471"/>
      <c r="L403" s="472"/>
      <c r="M403" s="472"/>
      <c r="N403" s="472"/>
      <c r="O403" s="472"/>
      <c r="P403" s="472"/>
      <c r="Q403" s="472"/>
      <c r="R403" s="472"/>
      <c r="S403" s="472"/>
      <c r="T403" s="472"/>
      <c r="U403" s="472"/>
      <c r="V403" s="472"/>
      <c r="W403" s="472"/>
      <c r="X403" s="472"/>
      <c r="Y403" s="472"/>
      <c r="Z403" s="472"/>
    </row>
    <row r="404" spans="1:26" ht="14.25" customHeight="1">
      <c r="A404" s="472"/>
      <c r="B404" s="472"/>
      <c r="C404" s="472"/>
      <c r="D404" s="472"/>
      <c r="E404" s="472"/>
      <c r="F404" s="472"/>
      <c r="G404" s="472"/>
      <c r="H404" s="472"/>
      <c r="I404" s="472"/>
      <c r="J404" s="472"/>
      <c r="K404" s="471"/>
      <c r="L404" s="472"/>
      <c r="M404" s="472"/>
      <c r="N404" s="472"/>
      <c r="O404" s="472"/>
      <c r="P404" s="472"/>
      <c r="Q404" s="472"/>
      <c r="R404" s="472"/>
      <c r="S404" s="472"/>
      <c r="T404" s="472"/>
      <c r="U404" s="472"/>
      <c r="V404" s="472"/>
      <c r="W404" s="472"/>
      <c r="X404" s="472"/>
      <c r="Y404" s="472"/>
      <c r="Z404" s="472"/>
    </row>
    <row r="405" spans="1:26" ht="14.25" customHeight="1">
      <c r="A405" s="472"/>
      <c r="B405" s="472"/>
      <c r="C405" s="472"/>
      <c r="D405" s="472"/>
      <c r="E405" s="472"/>
      <c r="F405" s="472"/>
      <c r="G405" s="472"/>
      <c r="H405" s="472"/>
      <c r="I405" s="472"/>
      <c r="J405" s="472"/>
      <c r="K405" s="471"/>
      <c r="L405" s="472"/>
      <c r="M405" s="472"/>
      <c r="N405" s="472"/>
      <c r="O405" s="472"/>
      <c r="P405" s="472"/>
      <c r="Q405" s="472"/>
      <c r="R405" s="472"/>
      <c r="S405" s="472"/>
      <c r="T405" s="472"/>
      <c r="U405" s="472"/>
      <c r="V405" s="472"/>
      <c r="W405" s="472"/>
      <c r="X405" s="472"/>
      <c r="Y405" s="472"/>
      <c r="Z405" s="472"/>
    </row>
    <row r="406" spans="1:26" ht="14.25" customHeight="1">
      <c r="A406" s="472"/>
      <c r="B406" s="472"/>
      <c r="C406" s="472"/>
      <c r="D406" s="472"/>
      <c r="E406" s="472"/>
      <c r="F406" s="472"/>
      <c r="G406" s="472"/>
      <c r="H406" s="472"/>
      <c r="I406" s="472"/>
      <c r="J406" s="472"/>
      <c r="K406" s="471"/>
      <c r="L406" s="472"/>
      <c r="M406" s="472"/>
      <c r="N406" s="472"/>
      <c r="O406" s="472"/>
      <c r="P406" s="472"/>
      <c r="Q406" s="472"/>
      <c r="R406" s="472"/>
      <c r="S406" s="472"/>
      <c r="T406" s="472"/>
      <c r="U406" s="472"/>
      <c r="V406" s="472"/>
      <c r="W406" s="472"/>
      <c r="X406" s="472"/>
      <c r="Y406" s="472"/>
      <c r="Z406" s="472"/>
    </row>
    <row r="407" spans="1:26" ht="14.25" customHeight="1">
      <c r="A407" s="472"/>
      <c r="B407" s="472"/>
      <c r="C407" s="472"/>
      <c r="D407" s="472"/>
      <c r="E407" s="472"/>
      <c r="F407" s="472"/>
      <c r="G407" s="472"/>
      <c r="H407" s="472"/>
      <c r="I407" s="472"/>
      <c r="J407" s="472"/>
      <c r="K407" s="471"/>
      <c r="L407" s="472"/>
      <c r="M407" s="472"/>
      <c r="N407" s="472"/>
      <c r="O407" s="472"/>
      <c r="P407" s="472"/>
      <c r="Q407" s="472"/>
      <c r="R407" s="472"/>
      <c r="S407" s="472"/>
      <c r="T407" s="472"/>
      <c r="U407" s="472"/>
      <c r="V407" s="472"/>
      <c r="W407" s="472"/>
      <c r="X407" s="472"/>
      <c r="Y407" s="472"/>
      <c r="Z407" s="472"/>
    </row>
    <row r="408" spans="1:26" ht="14.25" customHeight="1">
      <c r="A408" s="472"/>
      <c r="B408" s="472"/>
      <c r="C408" s="472"/>
      <c r="D408" s="472"/>
      <c r="E408" s="472"/>
      <c r="F408" s="472"/>
      <c r="G408" s="472"/>
      <c r="H408" s="472"/>
      <c r="I408" s="472"/>
      <c r="J408" s="472"/>
      <c r="K408" s="471"/>
      <c r="L408" s="472"/>
      <c r="M408" s="472"/>
      <c r="N408" s="472"/>
      <c r="O408" s="472"/>
      <c r="P408" s="472"/>
      <c r="Q408" s="472"/>
      <c r="R408" s="472"/>
      <c r="S408" s="472"/>
      <c r="T408" s="472"/>
      <c r="U408" s="472"/>
      <c r="V408" s="472"/>
      <c r="W408" s="472"/>
      <c r="X408" s="472"/>
      <c r="Y408" s="472"/>
      <c r="Z408" s="472"/>
    </row>
    <row r="409" spans="1:26" ht="14.25" customHeight="1">
      <c r="A409" s="472"/>
      <c r="B409" s="472"/>
      <c r="C409" s="472"/>
      <c r="D409" s="472"/>
      <c r="E409" s="472"/>
      <c r="F409" s="472"/>
      <c r="G409" s="472"/>
      <c r="H409" s="472"/>
      <c r="I409" s="472"/>
      <c r="J409" s="472"/>
      <c r="K409" s="471"/>
      <c r="L409" s="472"/>
      <c r="M409" s="472"/>
      <c r="N409" s="472"/>
      <c r="O409" s="472"/>
      <c r="P409" s="472"/>
      <c r="Q409" s="472"/>
      <c r="R409" s="472"/>
      <c r="S409" s="472"/>
      <c r="T409" s="472"/>
      <c r="U409" s="472"/>
      <c r="V409" s="472"/>
      <c r="W409" s="472"/>
      <c r="X409" s="472"/>
      <c r="Y409" s="472"/>
      <c r="Z409" s="472"/>
    </row>
    <row r="410" spans="1:26" ht="14.25" customHeight="1">
      <c r="A410" s="472"/>
      <c r="B410" s="472"/>
      <c r="C410" s="472"/>
      <c r="D410" s="472"/>
      <c r="E410" s="472"/>
      <c r="F410" s="472"/>
      <c r="G410" s="472"/>
      <c r="H410" s="472"/>
      <c r="I410" s="472"/>
      <c r="J410" s="472"/>
      <c r="K410" s="471"/>
      <c r="L410" s="472"/>
      <c r="M410" s="472"/>
      <c r="N410" s="472"/>
      <c r="O410" s="472"/>
      <c r="P410" s="472"/>
      <c r="Q410" s="472"/>
      <c r="R410" s="472"/>
      <c r="S410" s="472"/>
      <c r="T410" s="472"/>
      <c r="U410" s="472"/>
      <c r="V410" s="472"/>
      <c r="W410" s="472"/>
      <c r="X410" s="472"/>
      <c r="Y410" s="472"/>
      <c r="Z410" s="472"/>
    </row>
    <row r="411" spans="1:26" ht="14.25" customHeight="1">
      <c r="A411" s="472"/>
      <c r="B411" s="472"/>
      <c r="C411" s="472"/>
      <c r="D411" s="472"/>
      <c r="E411" s="472"/>
      <c r="F411" s="472"/>
      <c r="G411" s="472"/>
      <c r="H411" s="472"/>
      <c r="I411" s="472"/>
      <c r="J411" s="472"/>
      <c r="K411" s="471"/>
      <c r="L411" s="472"/>
      <c r="M411" s="472"/>
      <c r="N411" s="472"/>
      <c r="O411" s="472"/>
      <c r="P411" s="472"/>
      <c r="Q411" s="472"/>
      <c r="R411" s="472"/>
      <c r="S411" s="472"/>
      <c r="T411" s="472"/>
      <c r="U411" s="472"/>
      <c r="V411" s="472"/>
      <c r="W411" s="472"/>
      <c r="X411" s="472"/>
      <c r="Y411" s="472"/>
      <c r="Z411" s="472"/>
    </row>
    <row r="412" spans="1:26" ht="14.25" customHeight="1">
      <c r="A412" s="472"/>
      <c r="B412" s="472"/>
      <c r="C412" s="472"/>
      <c r="D412" s="472"/>
      <c r="E412" s="472"/>
      <c r="F412" s="472"/>
      <c r="G412" s="472"/>
      <c r="H412" s="472"/>
      <c r="I412" s="472"/>
      <c r="J412" s="472"/>
      <c r="K412" s="471"/>
      <c r="L412" s="472"/>
      <c r="M412" s="472"/>
      <c r="N412" s="472"/>
      <c r="O412" s="472"/>
      <c r="P412" s="472"/>
      <c r="Q412" s="472"/>
      <c r="R412" s="472"/>
      <c r="S412" s="472"/>
      <c r="T412" s="472"/>
      <c r="U412" s="472"/>
      <c r="V412" s="472"/>
      <c r="W412" s="472"/>
      <c r="X412" s="472"/>
      <c r="Y412" s="472"/>
      <c r="Z412" s="472"/>
    </row>
    <row r="413" spans="1:26" ht="14.25" customHeight="1">
      <c r="A413" s="472"/>
      <c r="B413" s="472"/>
      <c r="C413" s="472"/>
      <c r="D413" s="472"/>
      <c r="E413" s="472"/>
      <c r="F413" s="472"/>
      <c r="G413" s="472"/>
      <c r="H413" s="472"/>
      <c r="I413" s="472"/>
      <c r="J413" s="472"/>
      <c r="K413" s="471"/>
      <c r="L413" s="472"/>
      <c r="M413" s="472"/>
      <c r="N413" s="472"/>
      <c r="O413" s="472"/>
      <c r="P413" s="472"/>
      <c r="Q413" s="472"/>
      <c r="R413" s="472"/>
      <c r="S413" s="472"/>
      <c r="T413" s="472"/>
      <c r="U413" s="472"/>
      <c r="V413" s="472"/>
      <c r="W413" s="472"/>
      <c r="X413" s="472"/>
      <c r="Y413" s="472"/>
      <c r="Z413" s="472"/>
    </row>
    <row r="414" spans="1:26" ht="14.25" customHeight="1">
      <c r="A414" s="472"/>
      <c r="B414" s="472"/>
      <c r="C414" s="472"/>
      <c r="D414" s="472"/>
      <c r="E414" s="472"/>
      <c r="F414" s="472"/>
      <c r="G414" s="472"/>
      <c r="H414" s="472"/>
      <c r="I414" s="472"/>
      <c r="J414" s="472"/>
      <c r="K414" s="471"/>
      <c r="L414" s="472"/>
      <c r="M414" s="472"/>
      <c r="N414" s="472"/>
      <c r="O414" s="472"/>
      <c r="P414" s="472"/>
      <c r="Q414" s="472"/>
      <c r="R414" s="472"/>
      <c r="S414" s="472"/>
      <c r="T414" s="472"/>
      <c r="U414" s="472"/>
      <c r="V414" s="472"/>
      <c r="W414" s="472"/>
      <c r="X414" s="472"/>
      <c r="Y414" s="472"/>
      <c r="Z414" s="472"/>
    </row>
    <row r="415" spans="1:26" ht="14.25" customHeight="1">
      <c r="A415" s="472"/>
      <c r="B415" s="472"/>
      <c r="C415" s="472"/>
      <c r="D415" s="472"/>
      <c r="E415" s="472"/>
      <c r="F415" s="472"/>
      <c r="G415" s="472"/>
      <c r="H415" s="472"/>
      <c r="I415" s="472"/>
      <c r="J415" s="472"/>
      <c r="K415" s="471"/>
      <c r="L415" s="472"/>
      <c r="M415" s="472"/>
      <c r="N415" s="472"/>
      <c r="O415" s="472"/>
      <c r="P415" s="472"/>
      <c r="Q415" s="472"/>
      <c r="R415" s="472"/>
      <c r="S415" s="472"/>
      <c r="T415" s="472"/>
      <c r="U415" s="472"/>
      <c r="V415" s="472"/>
      <c r="W415" s="472"/>
      <c r="X415" s="472"/>
      <c r="Y415" s="472"/>
      <c r="Z415" s="472"/>
    </row>
    <row r="416" spans="1:26" ht="14.25" customHeight="1">
      <c r="A416" s="472"/>
      <c r="B416" s="472"/>
      <c r="C416" s="472"/>
      <c r="D416" s="472"/>
      <c r="E416" s="472"/>
      <c r="F416" s="472"/>
      <c r="G416" s="472"/>
      <c r="H416" s="472"/>
      <c r="I416" s="472"/>
      <c r="J416" s="472"/>
      <c r="K416" s="471"/>
      <c r="L416" s="472"/>
      <c r="M416" s="472"/>
      <c r="N416" s="472"/>
      <c r="O416" s="472"/>
      <c r="P416" s="472"/>
      <c r="Q416" s="472"/>
      <c r="R416" s="472"/>
      <c r="S416" s="472"/>
      <c r="T416" s="472"/>
      <c r="U416" s="472"/>
      <c r="V416" s="472"/>
      <c r="W416" s="472"/>
      <c r="X416" s="472"/>
      <c r="Y416" s="472"/>
      <c r="Z416" s="472"/>
    </row>
    <row r="417" spans="1:26" ht="14.25" customHeight="1">
      <c r="A417" s="472"/>
      <c r="B417" s="472"/>
      <c r="C417" s="472"/>
      <c r="D417" s="472"/>
      <c r="E417" s="472"/>
      <c r="F417" s="472"/>
      <c r="G417" s="472"/>
      <c r="H417" s="472"/>
      <c r="I417" s="472"/>
      <c r="J417" s="472"/>
      <c r="K417" s="471"/>
      <c r="L417" s="472"/>
      <c r="M417" s="472"/>
      <c r="N417" s="472"/>
      <c r="O417" s="472"/>
      <c r="P417" s="472"/>
      <c r="Q417" s="472"/>
      <c r="R417" s="472"/>
      <c r="S417" s="472"/>
      <c r="T417" s="472"/>
      <c r="U417" s="472"/>
      <c r="V417" s="472"/>
      <c r="W417" s="472"/>
      <c r="X417" s="472"/>
      <c r="Y417" s="472"/>
      <c r="Z417" s="472"/>
    </row>
    <row r="418" spans="1:26" ht="14.25" customHeight="1">
      <c r="A418" s="472"/>
      <c r="B418" s="472"/>
      <c r="C418" s="472"/>
      <c r="D418" s="472"/>
      <c r="E418" s="472"/>
      <c r="F418" s="472"/>
      <c r="G418" s="472"/>
      <c r="H418" s="472"/>
      <c r="I418" s="472"/>
      <c r="J418" s="472"/>
      <c r="K418" s="471"/>
      <c r="L418" s="472"/>
      <c r="M418" s="472"/>
      <c r="N418" s="472"/>
      <c r="O418" s="472"/>
      <c r="P418" s="472"/>
      <c r="Q418" s="472"/>
      <c r="R418" s="472"/>
      <c r="S418" s="472"/>
      <c r="T418" s="472"/>
      <c r="U418" s="472"/>
      <c r="V418" s="472"/>
      <c r="W418" s="472"/>
      <c r="X418" s="472"/>
      <c r="Y418" s="472"/>
      <c r="Z418" s="472"/>
    </row>
    <row r="419" spans="1:26" ht="14.25" customHeight="1">
      <c r="A419" s="472"/>
      <c r="B419" s="472"/>
      <c r="C419" s="472"/>
      <c r="D419" s="472"/>
      <c r="E419" s="472"/>
      <c r="F419" s="472"/>
      <c r="G419" s="472"/>
      <c r="H419" s="472"/>
      <c r="I419" s="472"/>
      <c r="J419" s="472"/>
      <c r="K419" s="471"/>
      <c r="L419" s="472"/>
      <c r="M419" s="472"/>
      <c r="N419" s="472"/>
      <c r="O419" s="472"/>
      <c r="P419" s="472"/>
      <c r="Q419" s="472"/>
      <c r="R419" s="472"/>
      <c r="S419" s="472"/>
      <c r="T419" s="472"/>
      <c r="U419" s="472"/>
      <c r="V419" s="472"/>
      <c r="W419" s="472"/>
      <c r="X419" s="472"/>
      <c r="Y419" s="472"/>
      <c r="Z419" s="472"/>
    </row>
    <row r="420" spans="1:26" ht="14.25" customHeight="1">
      <c r="A420" s="472"/>
      <c r="B420" s="472"/>
      <c r="C420" s="472"/>
      <c r="D420" s="472"/>
      <c r="E420" s="472"/>
      <c r="F420" s="472"/>
      <c r="G420" s="472"/>
      <c r="H420" s="472"/>
      <c r="I420" s="472"/>
      <c r="J420" s="472"/>
      <c r="K420" s="471"/>
      <c r="L420" s="472"/>
      <c r="M420" s="472"/>
      <c r="N420" s="472"/>
      <c r="O420" s="472"/>
      <c r="P420" s="472"/>
      <c r="Q420" s="472"/>
      <c r="R420" s="472"/>
      <c r="S420" s="472"/>
      <c r="T420" s="472"/>
      <c r="U420" s="472"/>
      <c r="V420" s="472"/>
      <c r="W420" s="472"/>
      <c r="X420" s="472"/>
      <c r="Y420" s="472"/>
      <c r="Z420" s="472"/>
    </row>
    <row r="421" spans="1:26" ht="14.25" customHeight="1">
      <c r="A421" s="472"/>
      <c r="B421" s="472"/>
      <c r="C421" s="472"/>
      <c r="D421" s="472"/>
      <c r="E421" s="472"/>
      <c r="F421" s="472"/>
      <c r="G421" s="472"/>
      <c r="H421" s="472"/>
      <c r="I421" s="472"/>
      <c r="J421" s="472"/>
      <c r="K421" s="471"/>
      <c r="L421" s="472"/>
      <c r="M421" s="472"/>
      <c r="N421" s="472"/>
      <c r="O421" s="472"/>
      <c r="P421" s="472"/>
      <c r="Q421" s="472"/>
      <c r="R421" s="472"/>
      <c r="S421" s="472"/>
      <c r="T421" s="472"/>
      <c r="U421" s="472"/>
      <c r="V421" s="472"/>
      <c r="W421" s="472"/>
      <c r="X421" s="472"/>
      <c r="Y421" s="472"/>
      <c r="Z421" s="472"/>
    </row>
    <row r="422" spans="1:26" ht="14.25" customHeight="1">
      <c r="A422" s="472"/>
      <c r="B422" s="472"/>
      <c r="C422" s="472"/>
      <c r="D422" s="472"/>
      <c r="E422" s="472"/>
      <c r="F422" s="472"/>
      <c r="G422" s="472"/>
      <c r="H422" s="472"/>
      <c r="I422" s="472"/>
      <c r="J422" s="472"/>
      <c r="K422" s="471"/>
      <c r="L422" s="472"/>
      <c r="M422" s="472"/>
      <c r="N422" s="472"/>
      <c r="O422" s="472"/>
      <c r="P422" s="472"/>
      <c r="Q422" s="472"/>
      <c r="R422" s="472"/>
      <c r="S422" s="472"/>
      <c r="T422" s="472"/>
      <c r="U422" s="472"/>
      <c r="V422" s="472"/>
      <c r="W422" s="472"/>
      <c r="X422" s="472"/>
      <c r="Y422" s="472"/>
      <c r="Z422" s="472"/>
    </row>
    <row r="423" spans="1:26" ht="14.25" customHeight="1">
      <c r="A423" s="472"/>
      <c r="B423" s="472"/>
      <c r="C423" s="472"/>
      <c r="D423" s="472"/>
      <c r="E423" s="472"/>
      <c r="F423" s="472"/>
      <c r="G423" s="472"/>
      <c r="H423" s="472"/>
      <c r="I423" s="472"/>
      <c r="J423" s="472"/>
      <c r="K423" s="471"/>
      <c r="L423" s="472"/>
      <c r="M423" s="472"/>
      <c r="N423" s="472"/>
      <c r="O423" s="472"/>
      <c r="P423" s="472"/>
      <c r="Q423" s="472"/>
      <c r="R423" s="472"/>
      <c r="S423" s="472"/>
      <c r="T423" s="472"/>
      <c r="U423" s="472"/>
      <c r="V423" s="472"/>
      <c r="W423" s="472"/>
      <c r="X423" s="472"/>
      <c r="Y423" s="472"/>
      <c r="Z423" s="472"/>
    </row>
    <row r="424" spans="1:26" ht="14.25" customHeight="1">
      <c r="A424" s="472"/>
      <c r="B424" s="472"/>
      <c r="C424" s="472"/>
      <c r="D424" s="472"/>
      <c r="E424" s="472"/>
      <c r="F424" s="472"/>
      <c r="G424" s="472"/>
      <c r="H424" s="472"/>
      <c r="I424" s="472"/>
      <c r="J424" s="472"/>
      <c r="K424" s="471"/>
      <c r="L424" s="472"/>
      <c r="M424" s="472"/>
      <c r="N424" s="472"/>
      <c r="O424" s="472"/>
      <c r="P424" s="472"/>
      <c r="Q424" s="472"/>
      <c r="R424" s="472"/>
      <c r="S424" s="472"/>
      <c r="T424" s="472"/>
      <c r="U424" s="472"/>
      <c r="V424" s="472"/>
      <c r="W424" s="472"/>
      <c r="X424" s="472"/>
      <c r="Y424" s="472"/>
      <c r="Z424" s="472"/>
    </row>
    <row r="425" spans="1:26" ht="14.25" customHeight="1">
      <c r="A425" s="472"/>
      <c r="B425" s="472"/>
      <c r="C425" s="472"/>
      <c r="D425" s="472"/>
      <c r="E425" s="472"/>
      <c r="F425" s="472"/>
      <c r="G425" s="472"/>
      <c r="H425" s="472"/>
      <c r="I425" s="472"/>
      <c r="J425" s="472"/>
      <c r="K425" s="471"/>
      <c r="L425" s="472"/>
      <c r="M425" s="472"/>
      <c r="N425" s="472"/>
      <c r="O425" s="472"/>
      <c r="P425" s="472"/>
      <c r="Q425" s="472"/>
      <c r="R425" s="472"/>
      <c r="S425" s="472"/>
      <c r="T425" s="472"/>
      <c r="U425" s="472"/>
      <c r="V425" s="472"/>
      <c r="W425" s="472"/>
      <c r="X425" s="472"/>
      <c r="Y425" s="472"/>
      <c r="Z425" s="472"/>
    </row>
    <row r="426" spans="1:26" ht="14.25" customHeight="1">
      <c r="A426" s="472"/>
      <c r="B426" s="472"/>
      <c r="C426" s="472"/>
      <c r="D426" s="472"/>
      <c r="E426" s="472"/>
      <c r="F426" s="472"/>
      <c r="G426" s="472"/>
      <c r="H426" s="472"/>
      <c r="I426" s="472"/>
      <c r="J426" s="472"/>
      <c r="K426" s="471"/>
      <c r="L426" s="472"/>
      <c r="M426" s="472"/>
      <c r="N426" s="472"/>
      <c r="O426" s="472"/>
      <c r="P426" s="472"/>
      <c r="Q426" s="472"/>
      <c r="R426" s="472"/>
      <c r="S426" s="472"/>
      <c r="T426" s="472"/>
      <c r="U426" s="472"/>
      <c r="V426" s="472"/>
      <c r="W426" s="472"/>
      <c r="X426" s="472"/>
      <c r="Y426" s="472"/>
      <c r="Z426" s="472"/>
    </row>
    <row r="427" spans="1:26" ht="14.25" customHeight="1">
      <c r="A427" s="472"/>
      <c r="B427" s="472"/>
      <c r="C427" s="472"/>
      <c r="D427" s="472"/>
      <c r="E427" s="472"/>
      <c r="F427" s="472"/>
      <c r="G427" s="472"/>
      <c r="H427" s="472"/>
      <c r="I427" s="472"/>
      <c r="J427" s="472"/>
      <c r="K427" s="471"/>
      <c r="L427" s="472"/>
      <c r="M427" s="472"/>
      <c r="N427" s="472"/>
      <c r="O427" s="472"/>
      <c r="P427" s="472"/>
      <c r="Q427" s="472"/>
      <c r="R427" s="472"/>
      <c r="S427" s="472"/>
      <c r="T427" s="472"/>
      <c r="U427" s="472"/>
      <c r="V427" s="472"/>
      <c r="W427" s="472"/>
      <c r="X427" s="472"/>
      <c r="Y427" s="472"/>
      <c r="Z427" s="472"/>
    </row>
    <row r="428" spans="1:26" ht="14.25" customHeight="1">
      <c r="A428" s="472"/>
      <c r="B428" s="472"/>
      <c r="C428" s="472"/>
      <c r="D428" s="472"/>
      <c r="E428" s="472"/>
      <c r="F428" s="472"/>
      <c r="G428" s="472"/>
      <c r="H428" s="472"/>
      <c r="I428" s="472"/>
      <c r="J428" s="472"/>
      <c r="K428" s="471"/>
      <c r="L428" s="472"/>
      <c r="M428" s="472"/>
      <c r="N428" s="472"/>
      <c r="O428" s="472"/>
      <c r="P428" s="472"/>
      <c r="Q428" s="472"/>
      <c r="R428" s="472"/>
      <c r="S428" s="472"/>
      <c r="T428" s="472"/>
      <c r="U428" s="472"/>
      <c r="V428" s="472"/>
      <c r="W428" s="472"/>
      <c r="X428" s="472"/>
      <c r="Y428" s="472"/>
      <c r="Z428" s="472"/>
    </row>
    <row r="429" spans="1:26" ht="14.25" customHeight="1">
      <c r="A429" s="472"/>
      <c r="B429" s="472"/>
      <c r="C429" s="472"/>
      <c r="D429" s="472"/>
      <c r="E429" s="472"/>
      <c r="F429" s="472"/>
      <c r="G429" s="472"/>
      <c r="H429" s="472"/>
      <c r="I429" s="472"/>
      <c r="J429" s="472"/>
      <c r="K429" s="471"/>
      <c r="L429" s="472"/>
      <c r="M429" s="472"/>
      <c r="N429" s="472"/>
      <c r="O429" s="472"/>
      <c r="P429" s="472"/>
      <c r="Q429" s="472"/>
      <c r="R429" s="472"/>
      <c r="S429" s="472"/>
      <c r="T429" s="472"/>
      <c r="U429" s="472"/>
      <c r="V429" s="472"/>
      <c r="W429" s="472"/>
      <c r="X429" s="472"/>
      <c r="Y429" s="472"/>
      <c r="Z429" s="472"/>
    </row>
    <row r="430" spans="1:26" ht="14.25" customHeight="1">
      <c r="A430" s="472"/>
      <c r="B430" s="472"/>
      <c r="C430" s="472"/>
      <c r="D430" s="472"/>
      <c r="E430" s="472"/>
      <c r="F430" s="472"/>
      <c r="G430" s="472"/>
      <c r="H430" s="472"/>
      <c r="I430" s="472"/>
      <c r="J430" s="472"/>
      <c r="K430" s="471"/>
      <c r="L430" s="472"/>
      <c r="M430" s="472"/>
      <c r="N430" s="472"/>
      <c r="O430" s="472"/>
      <c r="P430" s="472"/>
      <c r="Q430" s="472"/>
      <c r="R430" s="472"/>
      <c r="S430" s="472"/>
      <c r="T430" s="472"/>
      <c r="U430" s="472"/>
      <c r="V430" s="472"/>
      <c r="W430" s="472"/>
      <c r="X430" s="472"/>
      <c r="Y430" s="472"/>
      <c r="Z430" s="472"/>
    </row>
    <row r="431" spans="1:26" ht="14.25" customHeight="1">
      <c r="A431" s="472"/>
      <c r="B431" s="472"/>
      <c r="C431" s="472"/>
      <c r="D431" s="472"/>
      <c r="E431" s="472"/>
      <c r="F431" s="472"/>
      <c r="G431" s="472"/>
      <c r="H431" s="472"/>
      <c r="I431" s="472"/>
      <c r="J431" s="472"/>
      <c r="K431" s="471"/>
      <c r="L431" s="472"/>
      <c r="M431" s="472"/>
      <c r="N431" s="472"/>
      <c r="O431" s="472"/>
      <c r="P431" s="472"/>
      <c r="Q431" s="472"/>
      <c r="R431" s="472"/>
      <c r="S431" s="472"/>
      <c r="T431" s="472"/>
      <c r="U431" s="472"/>
      <c r="V431" s="472"/>
      <c r="W431" s="472"/>
      <c r="X431" s="472"/>
      <c r="Y431" s="472"/>
      <c r="Z431" s="472"/>
    </row>
    <row r="432" spans="1:26" ht="14.25" customHeight="1">
      <c r="A432" s="472"/>
      <c r="B432" s="472"/>
      <c r="C432" s="472"/>
      <c r="D432" s="472"/>
      <c r="E432" s="472"/>
      <c r="F432" s="472"/>
      <c r="G432" s="472"/>
      <c r="H432" s="472"/>
      <c r="I432" s="472"/>
      <c r="J432" s="472"/>
      <c r="K432" s="471"/>
      <c r="L432" s="472"/>
      <c r="M432" s="472"/>
      <c r="N432" s="472"/>
      <c r="O432" s="472"/>
      <c r="P432" s="472"/>
      <c r="Q432" s="472"/>
      <c r="R432" s="472"/>
      <c r="S432" s="472"/>
      <c r="T432" s="472"/>
      <c r="U432" s="472"/>
      <c r="V432" s="472"/>
      <c r="W432" s="472"/>
      <c r="X432" s="472"/>
      <c r="Y432" s="472"/>
      <c r="Z432" s="472"/>
    </row>
    <row r="433" spans="1:26" ht="14.25" customHeight="1">
      <c r="A433" s="472"/>
      <c r="B433" s="472"/>
      <c r="C433" s="472"/>
      <c r="D433" s="472"/>
      <c r="E433" s="472"/>
      <c r="F433" s="472"/>
      <c r="G433" s="472"/>
      <c r="H433" s="472"/>
      <c r="I433" s="472"/>
      <c r="J433" s="472"/>
      <c r="K433" s="471"/>
      <c r="L433" s="472"/>
      <c r="M433" s="472"/>
      <c r="N433" s="472"/>
      <c r="O433" s="472"/>
      <c r="P433" s="472"/>
      <c r="Q433" s="472"/>
      <c r="R433" s="472"/>
      <c r="S433" s="472"/>
      <c r="T433" s="472"/>
      <c r="U433" s="472"/>
      <c r="V433" s="472"/>
      <c r="W433" s="472"/>
      <c r="X433" s="472"/>
      <c r="Y433" s="472"/>
      <c r="Z433" s="472"/>
    </row>
    <row r="434" spans="1:26" ht="14.25" customHeight="1">
      <c r="A434" s="472"/>
      <c r="B434" s="472"/>
      <c r="C434" s="472"/>
      <c r="D434" s="472"/>
      <c r="E434" s="472"/>
      <c r="F434" s="472"/>
      <c r="G434" s="472"/>
      <c r="H434" s="472"/>
      <c r="I434" s="472"/>
      <c r="J434" s="472"/>
      <c r="K434" s="471"/>
      <c r="L434" s="472"/>
      <c r="M434" s="472"/>
      <c r="N434" s="472"/>
      <c r="O434" s="472"/>
      <c r="P434" s="472"/>
      <c r="Q434" s="472"/>
      <c r="R434" s="472"/>
      <c r="S434" s="472"/>
      <c r="T434" s="472"/>
      <c r="U434" s="472"/>
      <c r="V434" s="472"/>
      <c r="W434" s="472"/>
      <c r="X434" s="472"/>
      <c r="Y434" s="472"/>
      <c r="Z434" s="472"/>
    </row>
    <row r="435" spans="1:26" ht="14.25" customHeight="1">
      <c r="A435" s="472"/>
      <c r="B435" s="472"/>
      <c r="C435" s="472"/>
      <c r="D435" s="472"/>
      <c r="E435" s="472"/>
      <c r="F435" s="472"/>
      <c r="G435" s="472"/>
      <c r="H435" s="472"/>
      <c r="I435" s="472"/>
      <c r="J435" s="472"/>
      <c r="K435" s="471"/>
      <c r="L435" s="472"/>
      <c r="M435" s="472"/>
      <c r="N435" s="472"/>
      <c r="O435" s="472"/>
      <c r="P435" s="472"/>
      <c r="Q435" s="472"/>
      <c r="R435" s="472"/>
      <c r="S435" s="472"/>
      <c r="T435" s="472"/>
      <c r="U435" s="472"/>
      <c r="V435" s="472"/>
      <c r="W435" s="472"/>
      <c r="X435" s="472"/>
      <c r="Y435" s="472"/>
      <c r="Z435" s="472"/>
    </row>
    <row r="436" spans="1:26" ht="14.25" customHeight="1">
      <c r="A436" s="472"/>
      <c r="B436" s="472"/>
      <c r="C436" s="472"/>
      <c r="D436" s="472"/>
      <c r="E436" s="472"/>
      <c r="F436" s="472"/>
      <c r="G436" s="472"/>
      <c r="H436" s="472"/>
      <c r="I436" s="472"/>
      <c r="J436" s="472"/>
      <c r="K436" s="471"/>
      <c r="L436" s="472"/>
      <c r="M436" s="472"/>
      <c r="N436" s="472"/>
      <c r="O436" s="472"/>
      <c r="P436" s="472"/>
      <c r="Q436" s="472"/>
      <c r="R436" s="472"/>
      <c r="S436" s="472"/>
      <c r="T436" s="472"/>
      <c r="U436" s="472"/>
      <c r="V436" s="472"/>
      <c r="W436" s="472"/>
      <c r="X436" s="472"/>
      <c r="Y436" s="472"/>
      <c r="Z436" s="472"/>
    </row>
    <row r="437" spans="1:26" ht="14.25" customHeight="1">
      <c r="A437" s="472"/>
      <c r="B437" s="472"/>
      <c r="C437" s="472"/>
      <c r="D437" s="472"/>
      <c r="E437" s="472"/>
      <c r="F437" s="472"/>
      <c r="G437" s="472"/>
      <c r="H437" s="472"/>
      <c r="I437" s="472"/>
      <c r="J437" s="472"/>
      <c r="K437" s="471"/>
      <c r="L437" s="472"/>
      <c r="M437" s="472"/>
      <c r="N437" s="472"/>
      <c r="O437" s="472"/>
      <c r="P437" s="472"/>
      <c r="Q437" s="472"/>
      <c r="R437" s="472"/>
      <c r="S437" s="472"/>
      <c r="T437" s="472"/>
      <c r="U437" s="472"/>
      <c r="V437" s="472"/>
      <c r="W437" s="472"/>
      <c r="X437" s="472"/>
      <c r="Y437" s="472"/>
      <c r="Z437" s="472"/>
    </row>
    <row r="438" spans="1:26" ht="14.25" customHeight="1">
      <c r="A438" s="472"/>
      <c r="B438" s="472"/>
      <c r="C438" s="472"/>
      <c r="D438" s="472"/>
      <c r="E438" s="472"/>
      <c r="F438" s="472"/>
      <c r="G438" s="472"/>
      <c r="H438" s="472"/>
      <c r="I438" s="472"/>
      <c r="J438" s="472"/>
      <c r="K438" s="471"/>
      <c r="L438" s="472"/>
      <c r="M438" s="472"/>
      <c r="N438" s="472"/>
      <c r="O438" s="472"/>
      <c r="P438" s="472"/>
      <c r="Q438" s="472"/>
      <c r="R438" s="472"/>
      <c r="S438" s="472"/>
      <c r="T438" s="472"/>
      <c r="U438" s="472"/>
      <c r="V438" s="472"/>
      <c r="W438" s="472"/>
      <c r="X438" s="472"/>
      <c r="Y438" s="472"/>
      <c r="Z438" s="472"/>
    </row>
    <row r="439" spans="1:26" ht="14.25" customHeight="1">
      <c r="A439" s="472"/>
      <c r="B439" s="472"/>
      <c r="C439" s="472"/>
      <c r="D439" s="472"/>
      <c r="E439" s="472"/>
      <c r="F439" s="472"/>
      <c r="G439" s="472"/>
      <c r="H439" s="472"/>
      <c r="I439" s="472"/>
      <c r="J439" s="472"/>
      <c r="K439" s="471"/>
      <c r="L439" s="472"/>
      <c r="M439" s="472"/>
      <c r="N439" s="472"/>
      <c r="O439" s="472"/>
      <c r="P439" s="472"/>
      <c r="Q439" s="472"/>
      <c r="R439" s="472"/>
      <c r="S439" s="472"/>
      <c r="T439" s="472"/>
      <c r="U439" s="472"/>
      <c r="V439" s="472"/>
      <c r="W439" s="472"/>
      <c r="X439" s="472"/>
      <c r="Y439" s="472"/>
      <c r="Z439" s="472"/>
    </row>
    <row r="440" spans="1:26" ht="14.25" customHeight="1">
      <c r="A440" s="472"/>
      <c r="B440" s="472"/>
      <c r="C440" s="472"/>
      <c r="D440" s="472"/>
      <c r="E440" s="472"/>
      <c r="F440" s="472"/>
      <c r="G440" s="472"/>
      <c r="H440" s="472"/>
      <c r="I440" s="472"/>
      <c r="J440" s="472"/>
      <c r="K440" s="471"/>
      <c r="L440" s="472"/>
      <c r="M440" s="472"/>
      <c r="N440" s="472"/>
      <c r="O440" s="472"/>
      <c r="P440" s="472"/>
      <c r="Q440" s="472"/>
      <c r="R440" s="472"/>
      <c r="S440" s="472"/>
      <c r="T440" s="472"/>
      <c r="U440" s="472"/>
      <c r="V440" s="472"/>
      <c r="W440" s="472"/>
      <c r="X440" s="472"/>
      <c r="Y440" s="472"/>
      <c r="Z440" s="472"/>
    </row>
    <row r="441" spans="1:26" ht="14.25" customHeight="1">
      <c r="A441" s="472"/>
      <c r="B441" s="472"/>
      <c r="C441" s="472"/>
      <c r="D441" s="472"/>
      <c r="E441" s="472"/>
      <c r="F441" s="472"/>
      <c r="G441" s="472"/>
      <c r="H441" s="472"/>
      <c r="I441" s="472"/>
      <c r="J441" s="472"/>
      <c r="K441" s="471"/>
      <c r="L441" s="472"/>
      <c r="M441" s="472"/>
      <c r="N441" s="472"/>
      <c r="O441" s="472"/>
      <c r="P441" s="472"/>
      <c r="Q441" s="472"/>
      <c r="R441" s="472"/>
      <c r="S441" s="472"/>
      <c r="T441" s="472"/>
      <c r="U441" s="472"/>
      <c r="V441" s="472"/>
      <c r="W441" s="472"/>
      <c r="X441" s="472"/>
      <c r="Y441" s="472"/>
      <c r="Z441" s="472"/>
    </row>
    <row r="442" spans="1:26" ht="14.25" customHeight="1">
      <c r="A442" s="472"/>
      <c r="B442" s="472"/>
      <c r="C442" s="472"/>
      <c r="D442" s="472"/>
      <c r="E442" s="472"/>
      <c r="F442" s="472"/>
      <c r="G442" s="472"/>
      <c r="H442" s="472"/>
      <c r="I442" s="472"/>
      <c r="J442" s="472"/>
      <c r="K442" s="471"/>
      <c r="L442" s="472"/>
      <c r="M442" s="472"/>
      <c r="N442" s="472"/>
      <c r="O442" s="472"/>
      <c r="P442" s="472"/>
      <c r="Q442" s="472"/>
      <c r="R442" s="472"/>
      <c r="S442" s="472"/>
      <c r="T442" s="472"/>
      <c r="U442" s="472"/>
      <c r="V442" s="472"/>
      <c r="W442" s="472"/>
      <c r="X442" s="472"/>
      <c r="Y442" s="472"/>
      <c r="Z442" s="472"/>
    </row>
    <row r="443" spans="1:26" ht="14.25" customHeight="1">
      <c r="A443" s="472"/>
      <c r="B443" s="472"/>
      <c r="C443" s="472"/>
      <c r="D443" s="472"/>
      <c r="E443" s="472"/>
      <c r="F443" s="472"/>
      <c r="G443" s="472"/>
      <c r="H443" s="472"/>
      <c r="I443" s="472"/>
      <c r="J443" s="472"/>
      <c r="K443" s="471"/>
      <c r="L443" s="472"/>
      <c r="M443" s="472"/>
      <c r="N443" s="472"/>
      <c r="O443" s="472"/>
      <c r="P443" s="472"/>
      <c r="Q443" s="472"/>
      <c r="R443" s="472"/>
      <c r="S443" s="472"/>
      <c r="T443" s="472"/>
      <c r="U443" s="472"/>
      <c r="V443" s="472"/>
      <c r="W443" s="472"/>
      <c r="X443" s="472"/>
      <c r="Y443" s="472"/>
      <c r="Z443" s="472"/>
    </row>
    <row r="444" spans="1:26" ht="14.25" customHeight="1">
      <c r="A444" s="472"/>
      <c r="B444" s="472"/>
      <c r="C444" s="472"/>
      <c r="D444" s="472"/>
      <c r="E444" s="472"/>
      <c r="F444" s="472"/>
      <c r="G444" s="472"/>
      <c r="H444" s="472"/>
      <c r="I444" s="472"/>
      <c r="J444" s="472"/>
      <c r="K444" s="471"/>
      <c r="L444" s="472"/>
      <c r="M444" s="472"/>
      <c r="N444" s="472"/>
      <c r="O444" s="472"/>
      <c r="P444" s="472"/>
      <c r="Q444" s="472"/>
      <c r="R444" s="472"/>
      <c r="S444" s="472"/>
      <c r="T444" s="472"/>
      <c r="U444" s="472"/>
      <c r="V444" s="472"/>
      <c r="W444" s="472"/>
      <c r="X444" s="472"/>
      <c r="Y444" s="472"/>
      <c r="Z444" s="472"/>
    </row>
    <row r="445" spans="1:26" ht="14.25" customHeight="1">
      <c r="A445" s="472"/>
      <c r="B445" s="472"/>
      <c r="C445" s="472"/>
      <c r="D445" s="472"/>
      <c r="E445" s="472"/>
      <c r="F445" s="472"/>
      <c r="G445" s="472"/>
      <c r="H445" s="472"/>
      <c r="I445" s="472"/>
      <c r="J445" s="472"/>
      <c r="K445" s="471"/>
      <c r="L445" s="472"/>
      <c r="M445" s="472"/>
      <c r="N445" s="472"/>
      <c r="O445" s="472"/>
      <c r="P445" s="472"/>
      <c r="Q445" s="472"/>
      <c r="R445" s="472"/>
      <c r="S445" s="472"/>
      <c r="T445" s="472"/>
      <c r="U445" s="472"/>
      <c r="V445" s="472"/>
      <c r="W445" s="472"/>
      <c r="X445" s="472"/>
      <c r="Y445" s="472"/>
      <c r="Z445" s="472"/>
    </row>
    <row r="446" spans="1:26" ht="14.25" customHeight="1">
      <c r="A446" s="472"/>
      <c r="B446" s="472"/>
      <c r="C446" s="472"/>
      <c r="D446" s="472"/>
      <c r="E446" s="472"/>
      <c r="F446" s="472"/>
      <c r="G446" s="472"/>
      <c r="H446" s="472"/>
      <c r="I446" s="472"/>
      <c r="J446" s="472"/>
      <c r="K446" s="471"/>
      <c r="L446" s="472"/>
      <c r="M446" s="472"/>
      <c r="N446" s="472"/>
      <c r="O446" s="472"/>
      <c r="P446" s="472"/>
      <c r="Q446" s="472"/>
      <c r="R446" s="472"/>
      <c r="S446" s="472"/>
      <c r="T446" s="472"/>
      <c r="U446" s="472"/>
      <c r="V446" s="472"/>
      <c r="W446" s="472"/>
      <c r="X446" s="472"/>
      <c r="Y446" s="472"/>
      <c r="Z446" s="472"/>
    </row>
    <row r="447" spans="1:26" ht="14.25" customHeight="1">
      <c r="A447" s="472"/>
      <c r="B447" s="472"/>
      <c r="C447" s="472"/>
      <c r="D447" s="472"/>
      <c r="E447" s="472"/>
      <c r="F447" s="472"/>
      <c r="G447" s="472"/>
      <c r="H447" s="472"/>
      <c r="I447" s="472"/>
      <c r="J447" s="472"/>
      <c r="K447" s="471"/>
      <c r="L447" s="472"/>
      <c r="M447" s="472"/>
      <c r="N447" s="472"/>
      <c r="O447" s="472"/>
      <c r="P447" s="472"/>
      <c r="Q447" s="472"/>
      <c r="R447" s="472"/>
      <c r="S447" s="472"/>
      <c r="T447" s="472"/>
      <c r="U447" s="472"/>
      <c r="V447" s="472"/>
      <c r="W447" s="472"/>
      <c r="X447" s="472"/>
      <c r="Y447" s="472"/>
      <c r="Z447" s="472"/>
    </row>
    <row r="448" spans="1:26" ht="14.25" customHeight="1">
      <c r="A448" s="472"/>
      <c r="B448" s="472"/>
      <c r="C448" s="472"/>
      <c r="D448" s="472"/>
      <c r="E448" s="472"/>
      <c r="F448" s="472"/>
      <c r="G448" s="472"/>
      <c r="H448" s="472"/>
      <c r="I448" s="472"/>
      <c r="J448" s="472"/>
      <c r="K448" s="471"/>
      <c r="L448" s="472"/>
      <c r="M448" s="472"/>
      <c r="N448" s="472"/>
      <c r="O448" s="472"/>
      <c r="P448" s="472"/>
      <c r="Q448" s="472"/>
      <c r="R448" s="472"/>
      <c r="S448" s="472"/>
      <c r="T448" s="472"/>
      <c r="U448" s="472"/>
      <c r="V448" s="472"/>
      <c r="W448" s="472"/>
      <c r="X448" s="472"/>
      <c r="Y448" s="472"/>
      <c r="Z448" s="472"/>
    </row>
    <row r="449" spans="1:26" ht="14.25" customHeight="1">
      <c r="A449" s="472"/>
      <c r="B449" s="472"/>
      <c r="C449" s="472"/>
      <c r="D449" s="472"/>
      <c r="E449" s="472"/>
      <c r="F449" s="472"/>
      <c r="G449" s="472"/>
      <c r="H449" s="472"/>
      <c r="I449" s="472"/>
      <c r="J449" s="472"/>
      <c r="K449" s="471"/>
      <c r="L449" s="472"/>
      <c r="M449" s="472"/>
      <c r="N449" s="472"/>
      <c r="O449" s="472"/>
      <c r="P449" s="472"/>
      <c r="Q449" s="472"/>
      <c r="R449" s="472"/>
      <c r="S449" s="472"/>
      <c r="T449" s="472"/>
      <c r="U449" s="472"/>
      <c r="V449" s="472"/>
      <c r="W449" s="472"/>
      <c r="X449" s="472"/>
      <c r="Y449" s="472"/>
      <c r="Z449" s="472"/>
    </row>
    <row r="450" spans="1:26" ht="14.25" customHeight="1">
      <c r="A450" s="472"/>
      <c r="B450" s="472"/>
      <c r="C450" s="472"/>
      <c r="D450" s="472"/>
      <c r="E450" s="472"/>
      <c r="F450" s="472"/>
      <c r="G450" s="472"/>
      <c r="H450" s="472"/>
      <c r="I450" s="472"/>
      <c r="J450" s="472"/>
      <c r="K450" s="471"/>
      <c r="L450" s="472"/>
      <c r="M450" s="472"/>
      <c r="N450" s="472"/>
      <c r="O450" s="472"/>
      <c r="P450" s="472"/>
      <c r="Q450" s="472"/>
      <c r="R450" s="472"/>
      <c r="S450" s="472"/>
      <c r="T450" s="472"/>
      <c r="U450" s="472"/>
      <c r="V450" s="472"/>
      <c r="W450" s="472"/>
      <c r="X450" s="472"/>
      <c r="Y450" s="472"/>
      <c r="Z450" s="472"/>
    </row>
    <row r="451" spans="1:26" ht="14.25" customHeight="1">
      <c r="A451" s="472"/>
      <c r="B451" s="472"/>
      <c r="C451" s="472"/>
      <c r="D451" s="472"/>
      <c r="E451" s="472"/>
      <c r="F451" s="472"/>
      <c r="G451" s="472"/>
      <c r="H451" s="472"/>
      <c r="I451" s="472"/>
      <c r="J451" s="472"/>
      <c r="K451" s="471"/>
      <c r="L451" s="472"/>
      <c r="M451" s="472"/>
      <c r="N451" s="472"/>
      <c r="O451" s="472"/>
      <c r="P451" s="472"/>
      <c r="Q451" s="472"/>
      <c r="R451" s="472"/>
      <c r="S451" s="472"/>
      <c r="T451" s="472"/>
      <c r="U451" s="472"/>
      <c r="V451" s="472"/>
      <c r="W451" s="472"/>
      <c r="X451" s="472"/>
      <c r="Y451" s="472"/>
      <c r="Z451" s="472"/>
    </row>
    <row r="452" spans="1:26" ht="14.25" customHeight="1">
      <c r="A452" s="472"/>
      <c r="B452" s="472"/>
      <c r="C452" s="472"/>
      <c r="D452" s="472"/>
      <c r="E452" s="472"/>
      <c r="F452" s="472"/>
      <c r="G452" s="472"/>
      <c r="H452" s="472"/>
      <c r="I452" s="472"/>
      <c r="J452" s="472"/>
      <c r="K452" s="471"/>
      <c r="L452" s="472"/>
      <c r="M452" s="472"/>
      <c r="N452" s="472"/>
      <c r="O452" s="472"/>
      <c r="P452" s="472"/>
      <c r="Q452" s="472"/>
      <c r="R452" s="472"/>
      <c r="S452" s="472"/>
      <c r="T452" s="472"/>
      <c r="U452" s="472"/>
      <c r="V452" s="472"/>
      <c r="W452" s="472"/>
      <c r="X452" s="472"/>
      <c r="Y452" s="472"/>
      <c r="Z452" s="472"/>
    </row>
    <row r="453" spans="1:26" ht="14.25" customHeight="1">
      <c r="A453" s="472"/>
      <c r="B453" s="472"/>
      <c r="C453" s="472"/>
      <c r="D453" s="472"/>
      <c r="E453" s="472"/>
      <c r="F453" s="472"/>
      <c r="G453" s="472"/>
      <c r="H453" s="472"/>
      <c r="I453" s="472"/>
      <c r="J453" s="472"/>
      <c r="K453" s="471"/>
      <c r="L453" s="472"/>
      <c r="M453" s="472"/>
      <c r="N453" s="472"/>
      <c r="O453" s="472"/>
      <c r="P453" s="472"/>
      <c r="Q453" s="472"/>
      <c r="R453" s="472"/>
      <c r="S453" s="472"/>
      <c r="T453" s="472"/>
      <c r="U453" s="472"/>
      <c r="V453" s="472"/>
      <c r="W453" s="472"/>
      <c r="X453" s="472"/>
      <c r="Y453" s="472"/>
      <c r="Z453" s="472"/>
    </row>
    <row r="454" spans="1:26" ht="14.25" customHeight="1">
      <c r="A454" s="472"/>
      <c r="B454" s="472"/>
      <c r="C454" s="472"/>
      <c r="D454" s="472"/>
      <c r="E454" s="472"/>
      <c r="F454" s="472"/>
      <c r="G454" s="472"/>
      <c r="H454" s="472"/>
      <c r="I454" s="472"/>
      <c r="J454" s="472"/>
      <c r="K454" s="471"/>
      <c r="L454" s="472"/>
      <c r="M454" s="472"/>
      <c r="N454" s="472"/>
      <c r="O454" s="472"/>
      <c r="P454" s="472"/>
      <c r="Q454" s="472"/>
      <c r="R454" s="472"/>
      <c r="S454" s="472"/>
      <c r="T454" s="472"/>
      <c r="U454" s="472"/>
      <c r="V454" s="472"/>
      <c r="W454" s="472"/>
      <c r="X454" s="472"/>
      <c r="Y454" s="472"/>
      <c r="Z454" s="472"/>
    </row>
    <row r="455" spans="1:26" ht="14.25" customHeight="1">
      <c r="A455" s="472"/>
      <c r="B455" s="472"/>
      <c r="C455" s="472"/>
      <c r="D455" s="472"/>
      <c r="E455" s="472"/>
      <c r="F455" s="472"/>
      <c r="G455" s="472"/>
      <c r="H455" s="472"/>
      <c r="I455" s="472"/>
      <c r="J455" s="472"/>
      <c r="K455" s="471"/>
      <c r="L455" s="472"/>
      <c r="M455" s="472"/>
      <c r="N455" s="472"/>
      <c r="O455" s="472"/>
      <c r="P455" s="472"/>
      <c r="Q455" s="472"/>
      <c r="R455" s="472"/>
      <c r="S455" s="472"/>
      <c r="T455" s="472"/>
      <c r="U455" s="472"/>
      <c r="V455" s="472"/>
      <c r="W455" s="472"/>
      <c r="X455" s="472"/>
      <c r="Y455" s="472"/>
      <c r="Z455" s="472"/>
    </row>
    <row r="456" spans="1:26" ht="14.25" customHeight="1">
      <c r="A456" s="472"/>
      <c r="B456" s="472"/>
      <c r="C456" s="472"/>
      <c r="D456" s="472"/>
      <c r="E456" s="472"/>
      <c r="F456" s="472"/>
      <c r="G456" s="472"/>
      <c r="H456" s="472"/>
      <c r="I456" s="472"/>
      <c r="J456" s="472"/>
      <c r="K456" s="471"/>
      <c r="L456" s="472"/>
      <c r="M456" s="472"/>
      <c r="N456" s="472"/>
      <c r="O456" s="472"/>
      <c r="P456" s="472"/>
      <c r="Q456" s="472"/>
      <c r="R456" s="472"/>
      <c r="S456" s="472"/>
      <c r="T456" s="472"/>
      <c r="U456" s="472"/>
      <c r="V456" s="472"/>
      <c r="W456" s="472"/>
      <c r="X456" s="472"/>
      <c r="Y456" s="472"/>
      <c r="Z456" s="472"/>
    </row>
    <row r="457" spans="1:26" ht="14.25" customHeight="1">
      <c r="A457" s="472"/>
      <c r="B457" s="472"/>
      <c r="C457" s="472"/>
      <c r="D457" s="472"/>
      <c r="E457" s="472"/>
      <c r="F457" s="472"/>
      <c r="G457" s="472"/>
      <c r="H457" s="472"/>
      <c r="I457" s="472"/>
      <c r="J457" s="472"/>
      <c r="K457" s="471"/>
      <c r="L457" s="472"/>
      <c r="M457" s="472"/>
      <c r="N457" s="472"/>
      <c r="O457" s="472"/>
      <c r="P457" s="472"/>
      <c r="Q457" s="472"/>
      <c r="R457" s="472"/>
      <c r="S457" s="472"/>
      <c r="T457" s="472"/>
      <c r="U457" s="472"/>
      <c r="V457" s="472"/>
      <c r="W457" s="472"/>
      <c r="X457" s="472"/>
      <c r="Y457" s="472"/>
      <c r="Z457" s="472"/>
    </row>
    <row r="458" spans="1:26" ht="14.25" customHeight="1">
      <c r="A458" s="472"/>
      <c r="B458" s="472"/>
      <c r="C458" s="472"/>
      <c r="D458" s="472"/>
      <c r="E458" s="472"/>
      <c r="F458" s="472"/>
      <c r="G458" s="472"/>
      <c r="H458" s="472"/>
      <c r="I458" s="472"/>
      <c r="J458" s="472"/>
      <c r="K458" s="471"/>
      <c r="L458" s="472"/>
      <c r="M458" s="472"/>
      <c r="N458" s="472"/>
      <c r="O458" s="472"/>
      <c r="P458" s="472"/>
      <c r="Q458" s="472"/>
      <c r="R458" s="472"/>
      <c r="S458" s="472"/>
      <c r="T458" s="472"/>
      <c r="U458" s="472"/>
      <c r="V458" s="472"/>
      <c r="W458" s="472"/>
      <c r="X458" s="472"/>
      <c r="Y458" s="472"/>
      <c r="Z458" s="472"/>
    </row>
    <row r="459" spans="1:26" ht="14.25" customHeight="1">
      <c r="A459" s="472"/>
      <c r="B459" s="472"/>
      <c r="C459" s="472"/>
      <c r="D459" s="472"/>
      <c r="E459" s="472"/>
      <c r="F459" s="472"/>
      <c r="G459" s="472"/>
      <c r="H459" s="472"/>
      <c r="I459" s="472"/>
      <c r="J459" s="472"/>
      <c r="K459" s="471"/>
      <c r="L459" s="472"/>
      <c r="M459" s="472"/>
      <c r="N459" s="472"/>
      <c r="O459" s="472"/>
      <c r="P459" s="472"/>
      <c r="Q459" s="472"/>
      <c r="R459" s="472"/>
      <c r="S459" s="472"/>
      <c r="T459" s="472"/>
      <c r="U459" s="472"/>
      <c r="V459" s="472"/>
      <c r="W459" s="472"/>
      <c r="X459" s="472"/>
      <c r="Y459" s="472"/>
      <c r="Z459" s="472"/>
    </row>
    <row r="460" spans="1:26" ht="14.25" customHeight="1">
      <c r="A460" s="472"/>
      <c r="B460" s="472"/>
      <c r="C460" s="472"/>
      <c r="D460" s="472"/>
      <c r="E460" s="472"/>
      <c r="F460" s="472"/>
      <c r="G460" s="472"/>
      <c r="H460" s="472"/>
      <c r="I460" s="472"/>
      <c r="J460" s="472"/>
      <c r="K460" s="471"/>
      <c r="L460" s="472"/>
      <c r="M460" s="472"/>
      <c r="N460" s="472"/>
      <c r="O460" s="472"/>
      <c r="P460" s="472"/>
      <c r="Q460" s="472"/>
      <c r="R460" s="472"/>
      <c r="S460" s="472"/>
      <c r="T460" s="472"/>
      <c r="U460" s="472"/>
      <c r="V460" s="472"/>
      <c r="W460" s="472"/>
      <c r="X460" s="472"/>
      <c r="Y460" s="472"/>
      <c r="Z460" s="472"/>
    </row>
    <row r="461" spans="1:26" ht="14.25" customHeight="1">
      <c r="A461" s="472"/>
      <c r="B461" s="472"/>
      <c r="C461" s="472"/>
      <c r="D461" s="472"/>
      <c r="E461" s="472"/>
      <c r="F461" s="472"/>
      <c r="G461" s="472"/>
      <c r="H461" s="472"/>
      <c r="I461" s="472"/>
      <c r="J461" s="472"/>
      <c r="K461" s="471"/>
      <c r="L461" s="472"/>
      <c r="M461" s="472"/>
      <c r="N461" s="472"/>
      <c r="O461" s="472"/>
      <c r="P461" s="472"/>
      <c r="Q461" s="472"/>
      <c r="R461" s="472"/>
      <c r="S461" s="472"/>
      <c r="T461" s="472"/>
      <c r="U461" s="472"/>
      <c r="V461" s="472"/>
      <c r="W461" s="472"/>
      <c r="X461" s="472"/>
      <c r="Y461" s="472"/>
      <c r="Z461" s="472"/>
    </row>
    <row r="462" spans="1:26" ht="14.25" customHeight="1">
      <c r="A462" s="472"/>
      <c r="B462" s="472"/>
      <c r="C462" s="472"/>
      <c r="D462" s="472"/>
      <c r="E462" s="472"/>
      <c r="F462" s="472"/>
      <c r="G462" s="472"/>
      <c r="H462" s="472"/>
      <c r="I462" s="472"/>
      <c r="J462" s="472"/>
      <c r="K462" s="471"/>
      <c r="L462" s="472"/>
      <c r="M462" s="472"/>
      <c r="N462" s="472"/>
      <c r="O462" s="472"/>
      <c r="P462" s="472"/>
      <c r="Q462" s="472"/>
      <c r="R462" s="472"/>
      <c r="S462" s="472"/>
      <c r="T462" s="472"/>
      <c r="U462" s="472"/>
      <c r="V462" s="472"/>
      <c r="W462" s="472"/>
      <c r="X462" s="472"/>
      <c r="Y462" s="472"/>
      <c r="Z462" s="472"/>
    </row>
    <row r="463" spans="1:26" ht="14.25" customHeight="1">
      <c r="A463" s="472"/>
      <c r="B463" s="472"/>
      <c r="C463" s="472"/>
      <c r="D463" s="472"/>
      <c r="E463" s="472"/>
      <c r="F463" s="472"/>
      <c r="G463" s="472"/>
      <c r="H463" s="472"/>
      <c r="I463" s="472"/>
      <c r="J463" s="472"/>
      <c r="K463" s="471"/>
      <c r="L463" s="472"/>
      <c r="M463" s="472"/>
      <c r="N463" s="472"/>
      <c r="O463" s="472"/>
      <c r="P463" s="472"/>
      <c r="Q463" s="472"/>
      <c r="R463" s="472"/>
      <c r="S463" s="472"/>
      <c r="T463" s="472"/>
      <c r="U463" s="472"/>
      <c r="V463" s="472"/>
      <c r="W463" s="472"/>
      <c r="X463" s="472"/>
      <c r="Y463" s="472"/>
      <c r="Z463" s="472"/>
    </row>
    <row r="464" spans="1:26" ht="14.25" customHeight="1">
      <c r="A464" s="472"/>
      <c r="B464" s="472"/>
      <c r="C464" s="472"/>
      <c r="D464" s="472"/>
      <c r="E464" s="472"/>
      <c r="F464" s="472"/>
      <c r="G464" s="472"/>
      <c r="H464" s="472"/>
      <c r="I464" s="472"/>
      <c r="J464" s="472"/>
      <c r="K464" s="471"/>
      <c r="L464" s="472"/>
      <c r="M464" s="472"/>
      <c r="N464" s="472"/>
      <c r="O464" s="472"/>
      <c r="P464" s="472"/>
      <c r="Q464" s="472"/>
      <c r="R464" s="472"/>
      <c r="S464" s="472"/>
      <c r="T464" s="472"/>
      <c r="U464" s="472"/>
      <c r="V464" s="472"/>
      <c r="W464" s="472"/>
      <c r="X464" s="472"/>
      <c r="Y464" s="472"/>
      <c r="Z464" s="472"/>
    </row>
    <row r="465" spans="1:26" ht="14.25" customHeight="1">
      <c r="A465" s="472"/>
      <c r="B465" s="472"/>
      <c r="C465" s="472"/>
      <c r="D465" s="472"/>
      <c r="E465" s="472"/>
      <c r="F465" s="472"/>
      <c r="G465" s="472"/>
      <c r="H465" s="472"/>
      <c r="I465" s="472"/>
      <c r="J465" s="472"/>
      <c r="K465" s="471"/>
      <c r="L465" s="472"/>
      <c r="M465" s="472"/>
      <c r="N465" s="472"/>
      <c r="O465" s="472"/>
      <c r="P465" s="472"/>
      <c r="Q465" s="472"/>
      <c r="R465" s="472"/>
      <c r="S465" s="472"/>
      <c r="T465" s="472"/>
      <c r="U465" s="472"/>
      <c r="V465" s="472"/>
      <c r="W465" s="472"/>
      <c r="X465" s="472"/>
      <c r="Y465" s="472"/>
      <c r="Z465" s="472"/>
    </row>
    <row r="466" spans="1:26" ht="14.25" customHeight="1">
      <c r="A466" s="472"/>
      <c r="B466" s="472"/>
      <c r="C466" s="472"/>
      <c r="D466" s="472"/>
      <c r="E466" s="472"/>
      <c r="F466" s="472"/>
      <c r="G466" s="472"/>
      <c r="H466" s="472"/>
      <c r="I466" s="472"/>
      <c r="J466" s="472"/>
      <c r="K466" s="471"/>
      <c r="L466" s="472"/>
      <c r="M466" s="472"/>
      <c r="N466" s="472"/>
      <c r="O466" s="472"/>
      <c r="P466" s="472"/>
      <c r="Q466" s="472"/>
      <c r="R466" s="472"/>
      <c r="S466" s="472"/>
      <c r="T466" s="472"/>
      <c r="U466" s="472"/>
      <c r="V466" s="472"/>
      <c r="W466" s="472"/>
      <c r="X466" s="472"/>
      <c r="Y466" s="472"/>
      <c r="Z466" s="472"/>
    </row>
    <row r="467" spans="1:26" ht="14.25" customHeight="1">
      <c r="A467" s="472"/>
      <c r="B467" s="472"/>
      <c r="C467" s="472"/>
      <c r="D467" s="472"/>
      <c r="E467" s="472"/>
      <c r="F467" s="472"/>
      <c r="G467" s="472"/>
      <c r="H467" s="472"/>
      <c r="I467" s="472"/>
      <c r="J467" s="472"/>
      <c r="K467" s="471"/>
      <c r="L467" s="472"/>
      <c r="M467" s="472"/>
      <c r="N467" s="472"/>
      <c r="O467" s="472"/>
      <c r="P467" s="472"/>
      <c r="Q467" s="472"/>
      <c r="R467" s="472"/>
      <c r="S467" s="472"/>
      <c r="T467" s="472"/>
      <c r="U467" s="472"/>
      <c r="V467" s="472"/>
      <c r="W467" s="472"/>
      <c r="X467" s="472"/>
      <c r="Y467" s="472"/>
      <c r="Z467" s="472"/>
    </row>
    <row r="468" spans="1:26" ht="14.25" customHeight="1">
      <c r="A468" s="472"/>
      <c r="B468" s="472"/>
      <c r="C468" s="472"/>
      <c r="D468" s="472"/>
      <c r="E468" s="472"/>
      <c r="F468" s="472"/>
      <c r="G468" s="472"/>
      <c r="H468" s="472"/>
      <c r="I468" s="472"/>
      <c r="J468" s="472"/>
      <c r="K468" s="471"/>
      <c r="L468" s="472"/>
      <c r="M468" s="472"/>
      <c r="N468" s="472"/>
      <c r="O468" s="472"/>
      <c r="P468" s="472"/>
      <c r="Q468" s="472"/>
      <c r="R468" s="472"/>
      <c r="S468" s="472"/>
      <c r="T468" s="472"/>
      <c r="U468" s="472"/>
      <c r="V468" s="472"/>
      <c r="W468" s="472"/>
      <c r="X468" s="472"/>
      <c r="Y468" s="472"/>
      <c r="Z468" s="472"/>
    </row>
    <row r="469" spans="1:26" ht="14.25" customHeight="1">
      <c r="A469" s="472"/>
      <c r="B469" s="472"/>
      <c r="C469" s="472"/>
      <c r="D469" s="472"/>
      <c r="E469" s="472"/>
      <c r="F469" s="472"/>
      <c r="G469" s="472"/>
      <c r="H469" s="472"/>
      <c r="I469" s="472"/>
      <c r="J469" s="472"/>
      <c r="K469" s="471"/>
      <c r="L469" s="472"/>
      <c r="M469" s="472"/>
      <c r="N469" s="472"/>
      <c r="O469" s="472"/>
      <c r="P469" s="472"/>
      <c r="Q469" s="472"/>
      <c r="R469" s="472"/>
      <c r="S469" s="472"/>
      <c r="T469" s="472"/>
      <c r="U469" s="472"/>
      <c r="V469" s="472"/>
      <c r="W469" s="472"/>
      <c r="X469" s="472"/>
      <c r="Y469" s="472"/>
      <c r="Z469" s="472"/>
    </row>
    <row r="470" spans="1:26" ht="14.25" customHeight="1">
      <c r="A470" s="472"/>
      <c r="B470" s="472"/>
      <c r="C470" s="472"/>
      <c r="D470" s="472"/>
      <c r="E470" s="472"/>
      <c r="F470" s="472"/>
      <c r="G470" s="472"/>
      <c r="H470" s="472"/>
      <c r="I470" s="472"/>
      <c r="J470" s="472"/>
      <c r="K470" s="471"/>
      <c r="L470" s="472"/>
      <c r="M470" s="472"/>
      <c r="N470" s="472"/>
      <c r="O470" s="472"/>
      <c r="P470" s="472"/>
      <c r="Q470" s="472"/>
      <c r="R470" s="472"/>
      <c r="S470" s="472"/>
      <c r="T470" s="472"/>
      <c r="U470" s="472"/>
      <c r="V470" s="472"/>
      <c r="W470" s="472"/>
      <c r="X470" s="472"/>
      <c r="Y470" s="472"/>
      <c r="Z470" s="472"/>
    </row>
    <row r="471" spans="1:26" ht="14.25" customHeight="1">
      <c r="A471" s="472"/>
      <c r="B471" s="472"/>
      <c r="C471" s="472"/>
      <c r="D471" s="472"/>
      <c r="E471" s="472"/>
      <c r="F471" s="472"/>
      <c r="G471" s="472"/>
      <c r="H471" s="472"/>
      <c r="I471" s="472"/>
      <c r="J471" s="472"/>
      <c r="K471" s="471"/>
      <c r="L471" s="472"/>
      <c r="M471" s="472"/>
      <c r="N471" s="472"/>
      <c r="O471" s="472"/>
      <c r="P471" s="472"/>
      <c r="Q471" s="472"/>
      <c r="R471" s="472"/>
      <c r="S471" s="472"/>
      <c r="T471" s="472"/>
      <c r="U471" s="472"/>
      <c r="V471" s="472"/>
      <c r="W471" s="472"/>
      <c r="X471" s="472"/>
      <c r="Y471" s="472"/>
      <c r="Z471" s="472"/>
    </row>
    <row r="472" spans="1:26" ht="14.25" customHeight="1">
      <c r="A472" s="472"/>
      <c r="B472" s="472"/>
      <c r="C472" s="472"/>
      <c r="D472" s="472"/>
      <c r="E472" s="472"/>
      <c r="F472" s="472"/>
      <c r="G472" s="472"/>
      <c r="H472" s="472"/>
      <c r="I472" s="472"/>
      <c r="J472" s="472"/>
      <c r="K472" s="471"/>
      <c r="L472" s="472"/>
      <c r="M472" s="472"/>
      <c r="N472" s="472"/>
      <c r="O472" s="472"/>
      <c r="P472" s="472"/>
      <c r="Q472" s="472"/>
      <c r="R472" s="472"/>
      <c r="S472" s="472"/>
      <c r="T472" s="472"/>
      <c r="U472" s="472"/>
      <c r="V472" s="472"/>
      <c r="W472" s="472"/>
      <c r="X472" s="472"/>
      <c r="Y472" s="472"/>
      <c r="Z472" s="472"/>
    </row>
    <row r="473" spans="1:26" ht="14.25" customHeight="1">
      <c r="A473" s="472"/>
      <c r="B473" s="472"/>
      <c r="C473" s="472"/>
      <c r="D473" s="472"/>
      <c r="E473" s="472"/>
      <c r="F473" s="472"/>
      <c r="G473" s="472"/>
      <c r="H473" s="472"/>
      <c r="I473" s="472"/>
      <c r="J473" s="472"/>
      <c r="K473" s="471"/>
      <c r="L473" s="472"/>
      <c r="M473" s="472"/>
      <c r="N473" s="472"/>
      <c r="O473" s="472"/>
      <c r="P473" s="472"/>
      <c r="Q473" s="472"/>
      <c r="R473" s="472"/>
      <c r="S473" s="472"/>
      <c r="T473" s="472"/>
      <c r="U473" s="472"/>
      <c r="V473" s="472"/>
      <c r="W473" s="472"/>
      <c r="X473" s="472"/>
      <c r="Y473" s="472"/>
      <c r="Z473" s="472"/>
    </row>
    <row r="474" spans="1:26" ht="14.25" customHeight="1">
      <c r="A474" s="472"/>
      <c r="B474" s="472"/>
      <c r="C474" s="472"/>
      <c r="D474" s="472"/>
      <c r="E474" s="472"/>
      <c r="F474" s="472"/>
      <c r="G474" s="472"/>
      <c r="H474" s="472"/>
      <c r="I474" s="472"/>
      <c r="J474" s="472"/>
      <c r="K474" s="471"/>
      <c r="L474" s="472"/>
      <c r="M474" s="472"/>
      <c r="N474" s="472"/>
      <c r="O474" s="472"/>
      <c r="P474" s="472"/>
      <c r="Q474" s="472"/>
      <c r="R474" s="472"/>
      <c r="S474" s="472"/>
      <c r="T474" s="472"/>
      <c r="U474" s="472"/>
      <c r="V474" s="472"/>
      <c r="W474" s="472"/>
      <c r="X474" s="472"/>
      <c r="Y474" s="472"/>
      <c r="Z474" s="472"/>
    </row>
    <row r="475" spans="1:26" ht="14.25" customHeight="1">
      <c r="A475" s="472"/>
      <c r="B475" s="472"/>
      <c r="C475" s="472"/>
      <c r="D475" s="472"/>
      <c r="E475" s="472"/>
      <c r="F475" s="472"/>
      <c r="G475" s="472"/>
      <c r="H475" s="472"/>
      <c r="I475" s="472"/>
      <c r="J475" s="472"/>
      <c r="K475" s="471"/>
      <c r="L475" s="472"/>
      <c r="M475" s="472"/>
      <c r="N475" s="472"/>
      <c r="O475" s="472"/>
      <c r="P475" s="472"/>
      <c r="Q475" s="472"/>
      <c r="R475" s="472"/>
      <c r="S475" s="472"/>
      <c r="T475" s="472"/>
      <c r="U475" s="472"/>
      <c r="V475" s="472"/>
      <c r="W475" s="472"/>
      <c r="X475" s="472"/>
      <c r="Y475" s="472"/>
      <c r="Z475" s="472"/>
    </row>
    <row r="476" spans="1:26" ht="14.25" customHeight="1">
      <c r="A476" s="472"/>
      <c r="B476" s="472"/>
      <c r="C476" s="472"/>
      <c r="D476" s="472"/>
      <c r="E476" s="472"/>
      <c r="F476" s="472"/>
      <c r="G476" s="472"/>
      <c r="H476" s="472"/>
      <c r="I476" s="472"/>
      <c r="J476" s="472"/>
      <c r="K476" s="471"/>
      <c r="L476" s="472"/>
      <c r="M476" s="472"/>
      <c r="N476" s="472"/>
      <c r="O476" s="472"/>
      <c r="P476" s="472"/>
      <c r="Q476" s="472"/>
      <c r="R476" s="472"/>
      <c r="S476" s="472"/>
      <c r="T476" s="472"/>
      <c r="U476" s="472"/>
      <c r="V476" s="472"/>
      <c r="W476" s="472"/>
      <c r="X476" s="472"/>
      <c r="Y476" s="472"/>
      <c r="Z476" s="472"/>
    </row>
    <row r="477" spans="1:26" ht="14.25" customHeight="1">
      <c r="A477" s="472"/>
      <c r="B477" s="472"/>
      <c r="C477" s="472"/>
      <c r="D477" s="472"/>
      <c r="E477" s="472"/>
      <c r="F477" s="472"/>
      <c r="G477" s="472"/>
      <c r="H477" s="472"/>
      <c r="I477" s="472"/>
      <c r="J477" s="472"/>
      <c r="K477" s="471"/>
      <c r="L477" s="472"/>
      <c r="M477" s="472"/>
      <c r="N477" s="472"/>
      <c r="O477" s="472"/>
      <c r="P477" s="472"/>
      <c r="Q477" s="472"/>
      <c r="R477" s="472"/>
      <c r="S477" s="472"/>
      <c r="T477" s="472"/>
      <c r="U477" s="472"/>
      <c r="V477" s="472"/>
      <c r="W477" s="472"/>
      <c r="X477" s="472"/>
      <c r="Y477" s="472"/>
      <c r="Z477" s="472"/>
    </row>
    <row r="478" spans="1:26" ht="14.25" customHeight="1">
      <c r="A478" s="472"/>
      <c r="B478" s="472"/>
      <c r="C478" s="472"/>
      <c r="D478" s="472"/>
      <c r="E478" s="472"/>
      <c r="F478" s="472"/>
      <c r="G478" s="472"/>
      <c r="H478" s="472"/>
      <c r="I478" s="472"/>
      <c r="J478" s="472"/>
      <c r="K478" s="471"/>
      <c r="L478" s="472"/>
      <c r="M478" s="472"/>
      <c r="N478" s="472"/>
      <c r="O478" s="472"/>
      <c r="P478" s="472"/>
      <c r="Q478" s="472"/>
      <c r="R478" s="472"/>
      <c r="S478" s="472"/>
      <c r="T478" s="472"/>
      <c r="U478" s="472"/>
      <c r="V478" s="472"/>
      <c r="W478" s="472"/>
      <c r="X478" s="472"/>
      <c r="Y478" s="472"/>
      <c r="Z478" s="472"/>
    </row>
    <row r="479" spans="1:26" ht="14.25" customHeight="1">
      <c r="A479" s="472"/>
      <c r="B479" s="472"/>
      <c r="C479" s="472"/>
      <c r="D479" s="472"/>
      <c r="E479" s="472"/>
      <c r="F479" s="472"/>
      <c r="G479" s="472"/>
      <c r="H479" s="472"/>
      <c r="I479" s="472"/>
      <c r="J479" s="472"/>
      <c r="K479" s="471"/>
      <c r="L479" s="472"/>
      <c r="M479" s="472"/>
      <c r="N479" s="472"/>
      <c r="O479" s="472"/>
      <c r="P479" s="472"/>
      <c r="Q479" s="472"/>
      <c r="R479" s="472"/>
      <c r="S479" s="472"/>
      <c r="T479" s="472"/>
      <c r="U479" s="472"/>
      <c r="V479" s="472"/>
      <c r="W479" s="472"/>
      <c r="X479" s="472"/>
      <c r="Y479" s="472"/>
      <c r="Z479" s="472"/>
    </row>
    <row r="480" spans="1:26" ht="14.25" customHeight="1">
      <c r="A480" s="472"/>
      <c r="B480" s="472"/>
      <c r="C480" s="472"/>
      <c r="D480" s="472"/>
      <c r="E480" s="472"/>
      <c r="F480" s="472"/>
      <c r="G480" s="472"/>
      <c r="H480" s="472"/>
      <c r="I480" s="472"/>
      <c r="J480" s="472"/>
      <c r="K480" s="471"/>
      <c r="L480" s="472"/>
      <c r="M480" s="472"/>
      <c r="N480" s="472"/>
      <c r="O480" s="472"/>
      <c r="P480" s="472"/>
      <c r="Q480" s="472"/>
      <c r="R480" s="472"/>
      <c r="S480" s="472"/>
      <c r="T480" s="472"/>
      <c r="U480" s="472"/>
      <c r="V480" s="472"/>
      <c r="W480" s="472"/>
      <c r="X480" s="472"/>
      <c r="Y480" s="472"/>
      <c r="Z480" s="472"/>
    </row>
    <row r="481" spans="1:26" ht="14.25" customHeight="1">
      <c r="A481" s="472"/>
      <c r="B481" s="472"/>
      <c r="C481" s="472"/>
      <c r="D481" s="472"/>
      <c r="E481" s="472"/>
      <c r="F481" s="472"/>
      <c r="G481" s="472"/>
      <c r="H481" s="472"/>
      <c r="I481" s="472"/>
      <c r="J481" s="472"/>
      <c r="K481" s="471"/>
      <c r="L481" s="472"/>
      <c r="M481" s="472"/>
      <c r="N481" s="472"/>
      <c r="O481" s="472"/>
      <c r="P481" s="472"/>
      <c r="Q481" s="472"/>
      <c r="R481" s="472"/>
      <c r="S481" s="472"/>
      <c r="T481" s="472"/>
      <c r="U481" s="472"/>
      <c r="V481" s="472"/>
      <c r="W481" s="472"/>
      <c r="X481" s="472"/>
      <c r="Y481" s="472"/>
      <c r="Z481" s="472"/>
    </row>
    <row r="482" spans="1:26" ht="14.25" customHeight="1">
      <c r="A482" s="472"/>
      <c r="B482" s="472"/>
      <c r="C482" s="472"/>
      <c r="D482" s="472"/>
      <c r="E482" s="472"/>
      <c r="F482" s="472"/>
      <c r="G482" s="472"/>
      <c r="H482" s="472"/>
      <c r="I482" s="472"/>
      <c r="J482" s="472"/>
      <c r="K482" s="471"/>
      <c r="L482" s="472"/>
      <c r="M482" s="472"/>
      <c r="N482" s="472"/>
      <c r="O482" s="472"/>
      <c r="P482" s="472"/>
      <c r="Q482" s="472"/>
      <c r="R482" s="472"/>
      <c r="S482" s="472"/>
      <c r="T482" s="472"/>
      <c r="U482" s="472"/>
      <c r="V482" s="472"/>
      <c r="W482" s="472"/>
      <c r="X482" s="472"/>
      <c r="Y482" s="472"/>
      <c r="Z482" s="472"/>
    </row>
    <row r="483" spans="1:26" ht="14.25" customHeight="1">
      <c r="A483" s="472"/>
      <c r="B483" s="472"/>
      <c r="C483" s="472"/>
      <c r="D483" s="472"/>
      <c r="E483" s="472"/>
      <c r="F483" s="472"/>
      <c r="G483" s="472"/>
      <c r="H483" s="472"/>
      <c r="I483" s="472"/>
      <c r="J483" s="472"/>
      <c r="K483" s="471"/>
      <c r="L483" s="472"/>
      <c r="M483" s="472"/>
      <c r="N483" s="472"/>
      <c r="O483" s="472"/>
      <c r="P483" s="472"/>
      <c r="Q483" s="472"/>
      <c r="R483" s="472"/>
      <c r="S483" s="472"/>
      <c r="T483" s="472"/>
      <c r="U483" s="472"/>
      <c r="V483" s="472"/>
      <c r="W483" s="472"/>
      <c r="X483" s="472"/>
      <c r="Y483" s="472"/>
      <c r="Z483" s="472"/>
    </row>
    <row r="484" spans="1:26" ht="14.25" customHeight="1">
      <c r="A484" s="472"/>
      <c r="B484" s="472"/>
      <c r="C484" s="472"/>
      <c r="D484" s="472"/>
      <c r="E484" s="472"/>
      <c r="F484" s="472"/>
      <c r="G484" s="472"/>
      <c r="H484" s="472"/>
      <c r="I484" s="472"/>
      <c r="J484" s="472"/>
      <c r="K484" s="471"/>
      <c r="L484" s="472"/>
      <c r="M484" s="472"/>
      <c r="N484" s="472"/>
      <c r="O484" s="472"/>
      <c r="P484" s="472"/>
      <c r="Q484" s="472"/>
      <c r="R484" s="472"/>
      <c r="S484" s="472"/>
      <c r="T484" s="472"/>
      <c r="U484" s="472"/>
      <c r="V484" s="472"/>
      <c r="W484" s="472"/>
      <c r="X484" s="472"/>
      <c r="Y484" s="472"/>
      <c r="Z484" s="472"/>
    </row>
    <row r="485" spans="1:26" ht="14.25" customHeight="1">
      <c r="A485" s="472"/>
      <c r="B485" s="472"/>
      <c r="C485" s="472"/>
      <c r="D485" s="472"/>
      <c r="E485" s="472"/>
      <c r="F485" s="472"/>
      <c r="G485" s="472"/>
      <c r="H485" s="472"/>
      <c r="I485" s="472"/>
      <c r="J485" s="472"/>
      <c r="K485" s="471"/>
      <c r="L485" s="472"/>
      <c r="M485" s="472"/>
      <c r="N485" s="472"/>
      <c r="O485" s="472"/>
      <c r="P485" s="472"/>
      <c r="Q485" s="472"/>
      <c r="R485" s="472"/>
      <c r="S485" s="472"/>
      <c r="T485" s="472"/>
      <c r="U485" s="472"/>
      <c r="V485" s="472"/>
      <c r="W485" s="472"/>
      <c r="X485" s="472"/>
      <c r="Y485" s="472"/>
      <c r="Z485" s="472"/>
    </row>
    <row r="486" spans="1:26" ht="14.25" customHeight="1">
      <c r="A486" s="472"/>
      <c r="B486" s="472"/>
      <c r="C486" s="472"/>
      <c r="D486" s="472"/>
      <c r="E486" s="472"/>
      <c r="F486" s="472"/>
      <c r="G486" s="472"/>
      <c r="H486" s="472"/>
      <c r="I486" s="472"/>
      <c r="J486" s="472"/>
      <c r="K486" s="471"/>
      <c r="L486" s="472"/>
      <c r="M486" s="472"/>
      <c r="N486" s="472"/>
      <c r="O486" s="472"/>
      <c r="P486" s="472"/>
      <c r="Q486" s="472"/>
      <c r="R486" s="472"/>
      <c r="S486" s="472"/>
      <c r="T486" s="472"/>
      <c r="U486" s="472"/>
      <c r="V486" s="472"/>
      <c r="W486" s="472"/>
      <c r="X486" s="472"/>
      <c r="Y486" s="472"/>
      <c r="Z486" s="472"/>
    </row>
    <row r="487" spans="1:26" ht="14.25" customHeight="1">
      <c r="A487" s="472"/>
      <c r="B487" s="472"/>
      <c r="C487" s="472"/>
      <c r="D487" s="472"/>
      <c r="E487" s="472"/>
      <c r="F487" s="472"/>
      <c r="G487" s="472"/>
      <c r="H487" s="472"/>
      <c r="I487" s="472"/>
      <c r="J487" s="472"/>
      <c r="K487" s="471"/>
      <c r="L487" s="472"/>
      <c r="M487" s="472"/>
      <c r="N487" s="472"/>
      <c r="O487" s="472"/>
      <c r="P487" s="472"/>
      <c r="Q487" s="472"/>
      <c r="R487" s="472"/>
      <c r="S487" s="472"/>
      <c r="T487" s="472"/>
      <c r="U487" s="472"/>
      <c r="V487" s="472"/>
      <c r="W487" s="472"/>
      <c r="X487" s="472"/>
      <c r="Y487" s="472"/>
      <c r="Z487" s="472"/>
    </row>
    <row r="488" spans="1:26" ht="14.25" customHeight="1">
      <c r="A488" s="472"/>
      <c r="B488" s="472"/>
      <c r="C488" s="472"/>
      <c r="D488" s="472"/>
      <c r="E488" s="472"/>
      <c r="F488" s="472"/>
      <c r="G488" s="472"/>
      <c r="H488" s="472"/>
      <c r="I488" s="472"/>
      <c r="J488" s="472"/>
      <c r="K488" s="471"/>
      <c r="L488" s="472"/>
      <c r="M488" s="472"/>
      <c r="N488" s="472"/>
      <c r="O488" s="472"/>
      <c r="P488" s="472"/>
      <c r="Q488" s="472"/>
      <c r="R488" s="472"/>
      <c r="S488" s="472"/>
      <c r="T488" s="472"/>
      <c r="U488" s="472"/>
      <c r="V488" s="472"/>
      <c r="W488" s="472"/>
      <c r="X488" s="472"/>
      <c r="Y488" s="472"/>
      <c r="Z488" s="472"/>
    </row>
    <row r="489" spans="1:26" ht="14.25" customHeight="1">
      <c r="A489" s="472"/>
      <c r="B489" s="472"/>
      <c r="C489" s="472"/>
      <c r="D489" s="472"/>
      <c r="E489" s="472"/>
      <c r="F489" s="472"/>
      <c r="G489" s="472"/>
      <c r="H489" s="472"/>
      <c r="I489" s="472"/>
      <c r="J489" s="472"/>
      <c r="K489" s="471"/>
      <c r="L489" s="472"/>
      <c r="M489" s="472"/>
      <c r="N489" s="472"/>
      <c r="O489" s="472"/>
      <c r="P489" s="472"/>
      <c r="Q489" s="472"/>
      <c r="R489" s="472"/>
      <c r="S489" s="472"/>
      <c r="T489" s="472"/>
      <c r="U489" s="472"/>
      <c r="V489" s="472"/>
      <c r="W489" s="472"/>
      <c r="X489" s="472"/>
      <c r="Y489" s="472"/>
      <c r="Z489" s="472"/>
    </row>
    <row r="490" spans="1:26" ht="14.25" customHeight="1">
      <c r="A490" s="472"/>
      <c r="B490" s="472"/>
      <c r="C490" s="472"/>
      <c r="D490" s="472"/>
      <c r="E490" s="472"/>
      <c r="F490" s="472"/>
      <c r="G490" s="472"/>
      <c r="H490" s="472"/>
      <c r="I490" s="472"/>
      <c r="J490" s="472"/>
      <c r="K490" s="471"/>
      <c r="L490" s="472"/>
      <c r="M490" s="472"/>
      <c r="N490" s="472"/>
      <c r="O490" s="472"/>
      <c r="P490" s="472"/>
      <c r="Q490" s="472"/>
      <c r="R490" s="472"/>
      <c r="S490" s="472"/>
      <c r="T490" s="472"/>
      <c r="U490" s="472"/>
      <c r="V490" s="472"/>
      <c r="W490" s="472"/>
      <c r="X490" s="472"/>
      <c r="Y490" s="472"/>
      <c r="Z490" s="472"/>
    </row>
    <row r="491" spans="1:26" ht="14.25" customHeight="1">
      <c r="A491" s="472"/>
      <c r="B491" s="472"/>
      <c r="C491" s="472"/>
      <c r="D491" s="472"/>
      <c r="E491" s="472"/>
      <c r="F491" s="472"/>
      <c r="G491" s="472"/>
      <c r="H491" s="472"/>
      <c r="I491" s="472"/>
      <c r="J491" s="472"/>
      <c r="K491" s="471"/>
      <c r="L491" s="472"/>
      <c r="M491" s="472"/>
      <c r="N491" s="472"/>
      <c r="O491" s="472"/>
      <c r="P491" s="472"/>
      <c r="Q491" s="472"/>
      <c r="R491" s="472"/>
      <c r="S491" s="472"/>
      <c r="T491" s="472"/>
      <c r="U491" s="472"/>
      <c r="V491" s="472"/>
      <c r="W491" s="472"/>
      <c r="X491" s="472"/>
      <c r="Y491" s="472"/>
      <c r="Z491" s="472"/>
    </row>
    <row r="492" spans="1:26" ht="14.25" customHeight="1">
      <c r="A492" s="472"/>
      <c r="B492" s="472"/>
      <c r="C492" s="472"/>
      <c r="D492" s="472"/>
      <c r="E492" s="472"/>
      <c r="F492" s="472"/>
      <c r="G492" s="472"/>
      <c r="H492" s="472"/>
      <c r="I492" s="472"/>
      <c r="J492" s="472"/>
      <c r="K492" s="471"/>
      <c r="L492" s="472"/>
      <c r="M492" s="472"/>
      <c r="N492" s="472"/>
      <c r="O492" s="472"/>
      <c r="P492" s="472"/>
      <c r="Q492" s="472"/>
      <c r="R492" s="472"/>
      <c r="S492" s="472"/>
      <c r="T492" s="472"/>
      <c r="U492" s="472"/>
      <c r="V492" s="472"/>
      <c r="W492" s="472"/>
      <c r="X492" s="472"/>
      <c r="Y492" s="472"/>
      <c r="Z492" s="472"/>
    </row>
    <row r="493" spans="1:26" ht="14.25" customHeight="1">
      <c r="A493" s="472"/>
      <c r="B493" s="472"/>
      <c r="C493" s="472"/>
      <c r="D493" s="472"/>
      <c r="E493" s="472"/>
      <c r="F493" s="472"/>
      <c r="G493" s="472"/>
      <c r="H493" s="472"/>
      <c r="I493" s="472"/>
      <c r="J493" s="472"/>
      <c r="K493" s="471"/>
      <c r="L493" s="472"/>
      <c r="M493" s="472"/>
      <c r="N493" s="472"/>
      <c r="O493" s="472"/>
      <c r="P493" s="472"/>
      <c r="Q493" s="472"/>
      <c r="R493" s="472"/>
      <c r="S493" s="472"/>
      <c r="T493" s="472"/>
      <c r="U493" s="472"/>
      <c r="V493" s="472"/>
      <c r="W493" s="472"/>
      <c r="X493" s="472"/>
      <c r="Y493" s="472"/>
      <c r="Z493" s="472"/>
    </row>
    <row r="494" spans="1:26" ht="14.25" customHeight="1">
      <c r="A494" s="472"/>
      <c r="B494" s="472"/>
      <c r="C494" s="472"/>
      <c r="D494" s="472"/>
      <c r="E494" s="472"/>
      <c r="F494" s="472"/>
      <c r="G494" s="472"/>
      <c r="H494" s="472"/>
      <c r="I494" s="472"/>
      <c r="J494" s="472"/>
      <c r="K494" s="471"/>
      <c r="L494" s="472"/>
      <c r="M494" s="472"/>
      <c r="N494" s="472"/>
      <c r="O494" s="472"/>
      <c r="P494" s="472"/>
      <c r="Q494" s="472"/>
      <c r="R494" s="472"/>
      <c r="S494" s="472"/>
      <c r="T494" s="472"/>
      <c r="U494" s="472"/>
      <c r="V494" s="472"/>
      <c r="W494" s="472"/>
      <c r="X494" s="472"/>
      <c r="Y494" s="472"/>
      <c r="Z494" s="472"/>
    </row>
    <row r="495" spans="1:26" ht="14.25" customHeight="1">
      <c r="A495" s="472"/>
      <c r="B495" s="472"/>
      <c r="C495" s="472"/>
      <c r="D495" s="472"/>
      <c r="E495" s="472"/>
      <c r="F495" s="472"/>
      <c r="G495" s="472"/>
      <c r="H495" s="472"/>
      <c r="I495" s="472"/>
      <c r="J495" s="472"/>
      <c r="K495" s="471"/>
      <c r="L495" s="472"/>
      <c r="M495" s="472"/>
      <c r="N495" s="472"/>
      <c r="O495" s="472"/>
      <c r="P495" s="472"/>
      <c r="Q495" s="472"/>
      <c r="R495" s="472"/>
      <c r="S495" s="472"/>
      <c r="T495" s="472"/>
      <c r="U495" s="472"/>
      <c r="V495" s="472"/>
      <c r="W495" s="472"/>
      <c r="X495" s="472"/>
      <c r="Y495" s="472"/>
      <c r="Z495" s="472"/>
    </row>
    <row r="496" spans="1:26" ht="14.25" customHeight="1">
      <c r="A496" s="472"/>
      <c r="B496" s="472"/>
      <c r="C496" s="472"/>
      <c r="D496" s="472"/>
      <c r="E496" s="472"/>
      <c r="F496" s="472"/>
      <c r="G496" s="472"/>
      <c r="H496" s="472"/>
      <c r="I496" s="472"/>
      <c r="J496" s="472"/>
      <c r="K496" s="471"/>
      <c r="L496" s="472"/>
      <c r="M496" s="472"/>
      <c r="N496" s="472"/>
      <c r="O496" s="472"/>
      <c r="P496" s="472"/>
      <c r="Q496" s="472"/>
      <c r="R496" s="472"/>
      <c r="S496" s="472"/>
      <c r="T496" s="472"/>
      <c r="U496" s="472"/>
      <c r="V496" s="472"/>
      <c r="W496" s="472"/>
      <c r="X496" s="472"/>
      <c r="Y496" s="472"/>
      <c r="Z496" s="472"/>
    </row>
    <row r="497" spans="1:26" ht="14.25" customHeight="1">
      <c r="A497" s="472"/>
      <c r="B497" s="472"/>
      <c r="C497" s="472"/>
      <c r="D497" s="472"/>
      <c r="E497" s="472"/>
      <c r="F497" s="472"/>
      <c r="G497" s="472"/>
      <c r="H497" s="472"/>
      <c r="I497" s="472"/>
      <c r="J497" s="472"/>
      <c r="K497" s="471"/>
      <c r="L497" s="472"/>
      <c r="M497" s="472"/>
      <c r="N497" s="472"/>
      <c r="O497" s="472"/>
      <c r="P497" s="472"/>
      <c r="Q497" s="472"/>
      <c r="R497" s="472"/>
      <c r="S497" s="472"/>
      <c r="T497" s="472"/>
      <c r="U497" s="472"/>
      <c r="V497" s="472"/>
      <c r="W497" s="472"/>
      <c r="X497" s="472"/>
      <c r="Y497" s="472"/>
      <c r="Z497" s="472"/>
    </row>
    <row r="498" spans="1:26" ht="14.25" customHeight="1">
      <c r="A498" s="472"/>
      <c r="B498" s="472"/>
      <c r="C498" s="472"/>
      <c r="D498" s="472"/>
      <c r="E498" s="472"/>
      <c r="F498" s="472"/>
      <c r="G498" s="472"/>
      <c r="H498" s="472"/>
      <c r="I498" s="472"/>
      <c r="J498" s="472"/>
      <c r="K498" s="471"/>
      <c r="L498" s="472"/>
      <c r="M498" s="472"/>
      <c r="N498" s="472"/>
      <c r="O498" s="472"/>
      <c r="P498" s="472"/>
      <c r="Q498" s="472"/>
      <c r="R498" s="472"/>
      <c r="S498" s="472"/>
      <c r="T498" s="472"/>
      <c r="U498" s="472"/>
      <c r="V498" s="472"/>
      <c r="W498" s="472"/>
      <c r="X498" s="472"/>
      <c r="Y498" s="472"/>
      <c r="Z498" s="472"/>
    </row>
    <row r="499" spans="1:26" ht="14.25" customHeight="1">
      <c r="A499" s="472"/>
      <c r="B499" s="472"/>
      <c r="C499" s="472"/>
      <c r="D499" s="472"/>
      <c r="E499" s="472"/>
      <c r="F499" s="472"/>
      <c r="G499" s="472"/>
      <c r="H499" s="472"/>
      <c r="I499" s="472"/>
      <c r="J499" s="472"/>
      <c r="K499" s="471"/>
      <c r="L499" s="472"/>
      <c r="M499" s="472"/>
      <c r="N499" s="472"/>
      <c r="O499" s="472"/>
      <c r="P499" s="472"/>
      <c r="Q499" s="472"/>
      <c r="R499" s="472"/>
      <c r="S499" s="472"/>
      <c r="T499" s="472"/>
      <c r="U499" s="472"/>
      <c r="V499" s="472"/>
      <c r="W499" s="472"/>
      <c r="X499" s="472"/>
      <c r="Y499" s="472"/>
      <c r="Z499" s="472"/>
    </row>
    <row r="500" spans="1:26" ht="14.25" customHeight="1">
      <c r="A500" s="472"/>
      <c r="B500" s="472"/>
      <c r="C500" s="472"/>
      <c r="D500" s="472"/>
      <c r="E500" s="472"/>
      <c r="F500" s="472"/>
      <c r="G500" s="472"/>
      <c r="H500" s="472"/>
      <c r="I500" s="472"/>
      <c r="J500" s="472"/>
      <c r="K500" s="471"/>
      <c r="L500" s="472"/>
      <c r="M500" s="472"/>
      <c r="N500" s="472"/>
      <c r="O500" s="472"/>
      <c r="P500" s="472"/>
      <c r="Q500" s="472"/>
      <c r="R500" s="472"/>
      <c r="S500" s="472"/>
      <c r="T500" s="472"/>
      <c r="U500" s="472"/>
      <c r="V500" s="472"/>
      <c r="W500" s="472"/>
      <c r="X500" s="472"/>
      <c r="Y500" s="472"/>
      <c r="Z500" s="472"/>
    </row>
    <row r="501" spans="1:26" ht="14.25" customHeight="1">
      <c r="A501" s="472"/>
      <c r="B501" s="472"/>
      <c r="C501" s="472"/>
      <c r="D501" s="472"/>
      <c r="E501" s="472"/>
      <c r="F501" s="472"/>
      <c r="G501" s="472"/>
      <c r="H501" s="472"/>
      <c r="I501" s="472"/>
      <c r="J501" s="472"/>
      <c r="K501" s="471"/>
      <c r="L501" s="472"/>
      <c r="M501" s="472"/>
      <c r="N501" s="472"/>
      <c r="O501" s="472"/>
      <c r="P501" s="472"/>
      <c r="Q501" s="472"/>
      <c r="R501" s="472"/>
      <c r="S501" s="472"/>
      <c r="T501" s="472"/>
      <c r="U501" s="472"/>
      <c r="V501" s="472"/>
      <c r="W501" s="472"/>
      <c r="X501" s="472"/>
      <c r="Y501" s="472"/>
      <c r="Z501" s="472"/>
    </row>
    <row r="502" spans="1:26" ht="14.25" customHeight="1">
      <c r="A502" s="472"/>
      <c r="B502" s="472"/>
      <c r="C502" s="472"/>
      <c r="D502" s="472"/>
      <c r="E502" s="472"/>
      <c r="F502" s="472"/>
      <c r="G502" s="472"/>
      <c r="H502" s="472"/>
      <c r="I502" s="472"/>
      <c r="J502" s="472"/>
      <c r="K502" s="471"/>
      <c r="L502" s="472"/>
      <c r="M502" s="472"/>
      <c r="N502" s="472"/>
      <c r="O502" s="472"/>
      <c r="P502" s="472"/>
      <c r="Q502" s="472"/>
      <c r="R502" s="472"/>
      <c r="S502" s="472"/>
      <c r="T502" s="472"/>
      <c r="U502" s="472"/>
      <c r="V502" s="472"/>
      <c r="W502" s="472"/>
      <c r="X502" s="472"/>
      <c r="Y502" s="472"/>
      <c r="Z502" s="472"/>
    </row>
    <row r="503" spans="1:26" ht="14.25" customHeight="1">
      <c r="A503" s="472"/>
      <c r="B503" s="472"/>
      <c r="C503" s="472"/>
      <c r="D503" s="472"/>
      <c r="E503" s="472"/>
      <c r="F503" s="472"/>
      <c r="G503" s="472"/>
      <c r="H503" s="472"/>
      <c r="I503" s="472"/>
      <c r="J503" s="472"/>
      <c r="K503" s="471"/>
      <c r="L503" s="472"/>
      <c r="M503" s="472"/>
      <c r="N503" s="472"/>
      <c r="O503" s="472"/>
      <c r="P503" s="472"/>
      <c r="Q503" s="472"/>
      <c r="R503" s="472"/>
      <c r="S503" s="472"/>
      <c r="T503" s="472"/>
      <c r="U503" s="472"/>
      <c r="V503" s="472"/>
      <c r="W503" s="472"/>
      <c r="X503" s="472"/>
      <c r="Y503" s="472"/>
      <c r="Z503" s="472"/>
    </row>
    <row r="504" spans="1:26" ht="14.25" customHeight="1">
      <c r="A504" s="472"/>
      <c r="B504" s="472"/>
      <c r="C504" s="472"/>
      <c r="D504" s="472"/>
      <c r="E504" s="472"/>
      <c r="F504" s="472"/>
      <c r="G504" s="472"/>
      <c r="H504" s="472"/>
      <c r="I504" s="472"/>
      <c r="J504" s="472"/>
      <c r="K504" s="471"/>
      <c r="L504" s="472"/>
      <c r="M504" s="472"/>
      <c r="N504" s="472"/>
      <c r="O504" s="472"/>
      <c r="P504" s="472"/>
      <c r="Q504" s="472"/>
      <c r="R504" s="472"/>
      <c r="S504" s="472"/>
      <c r="T504" s="472"/>
      <c r="U504" s="472"/>
      <c r="V504" s="472"/>
      <c r="W504" s="472"/>
      <c r="X504" s="472"/>
      <c r="Y504" s="472"/>
      <c r="Z504" s="472"/>
    </row>
    <row r="505" spans="1:26" ht="14.25" customHeight="1">
      <c r="A505" s="472"/>
      <c r="B505" s="472"/>
      <c r="C505" s="472"/>
      <c r="D505" s="472"/>
      <c r="E505" s="472"/>
      <c r="F505" s="472"/>
      <c r="G505" s="472"/>
      <c r="H505" s="472"/>
      <c r="I505" s="472"/>
      <c r="J505" s="472"/>
      <c r="K505" s="471"/>
      <c r="L505" s="472"/>
      <c r="M505" s="472"/>
      <c r="N505" s="472"/>
      <c r="O505" s="472"/>
      <c r="P505" s="472"/>
      <c r="Q505" s="472"/>
      <c r="R505" s="472"/>
      <c r="S505" s="472"/>
      <c r="T505" s="472"/>
      <c r="U505" s="472"/>
      <c r="V505" s="472"/>
      <c r="W505" s="472"/>
      <c r="X505" s="472"/>
      <c r="Y505" s="472"/>
      <c r="Z505" s="472"/>
    </row>
    <row r="506" spans="1:26" ht="14.25" customHeight="1">
      <c r="A506" s="472"/>
      <c r="B506" s="472"/>
      <c r="C506" s="472"/>
      <c r="D506" s="472"/>
      <c r="E506" s="472"/>
      <c r="F506" s="472"/>
      <c r="G506" s="472"/>
      <c r="H506" s="472"/>
      <c r="I506" s="472"/>
      <c r="J506" s="472"/>
      <c r="K506" s="471"/>
      <c r="L506" s="472"/>
      <c r="M506" s="472"/>
      <c r="N506" s="472"/>
      <c r="O506" s="472"/>
      <c r="P506" s="472"/>
      <c r="Q506" s="472"/>
      <c r="R506" s="472"/>
      <c r="S506" s="472"/>
      <c r="T506" s="472"/>
      <c r="U506" s="472"/>
      <c r="V506" s="472"/>
      <c r="W506" s="472"/>
      <c r="X506" s="472"/>
      <c r="Y506" s="472"/>
      <c r="Z506" s="472"/>
    </row>
    <row r="507" spans="1:26" ht="14.25" customHeight="1">
      <c r="A507" s="472"/>
      <c r="B507" s="472"/>
      <c r="C507" s="472"/>
      <c r="D507" s="472"/>
      <c r="E507" s="472"/>
      <c r="F507" s="472"/>
      <c r="G507" s="472"/>
      <c r="H507" s="472"/>
      <c r="I507" s="472"/>
      <c r="J507" s="472"/>
      <c r="K507" s="471"/>
      <c r="L507" s="472"/>
      <c r="M507" s="472"/>
      <c r="N507" s="472"/>
      <c r="O507" s="472"/>
      <c r="P507" s="472"/>
      <c r="Q507" s="472"/>
      <c r="R507" s="472"/>
      <c r="S507" s="472"/>
      <c r="T507" s="472"/>
      <c r="U507" s="472"/>
      <c r="V507" s="472"/>
      <c r="W507" s="472"/>
      <c r="X507" s="472"/>
      <c r="Y507" s="472"/>
      <c r="Z507" s="472"/>
    </row>
    <row r="508" spans="1:26" ht="14.25" customHeight="1">
      <c r="A508" s="472"/>
      <c r="B508" s="472"/>
      <c r="C508" s="472"/>
      <c r="D508" s="472"/>
      <c r="E508" s="472"/>
      <c r="F508" s="472"/>
      <c r="G508" s="472"/>
      <c r="H508" s="472"/>
      <c r="I508" s="472"/>
      <c r="J508" s="472"/>
      <c r="K508" s="471"/>
      <c r="L508" s="472"/>
      <c r="M508" s="472"/>
      <c r="N508" s="472"/>
      <c r="O508" s="472"/>
      <c r="P508" s="472"/>
      <c r="Q508" s="472"/>
      <c r="R508" s="472"/>
      <c r="S508" s="472"/>
      <c r="T508" s="472"/>
      <c r="U508" s="472"/>
      <c r="V508" s="472"/>
      <c r="W508" s="472"/>
      <c r="X508" s="472"/>
      <c r="Y508" s="472"/>
      <c r="Z508" s="472"/>
    </row>
    <row r="509" spans="1:26" ht="14.25" customHeight="1">
      <c r="A509" s="472"/>
      <c r="B509" s="472"/>
      <c r="C509" s="472"/>
      <c r="D509" s="472"/>
      <c r="E509" s="472"/>
      <c r="F509" s="472"/>
      <c r="G509" s="472"/>
      <c r="H509" s="472"/>
      <c r="I509" s="472"/>
      <c r="J509" s="472"/>
      <c r="K509" s="471"/>
      <c r="L509" s="472"/>
      <c r="M509" s="472"/>
      <c r="N509" s="472"/>
      <c r="O509" s="472"/>
      <c r="P509" s="472"/>
      <c r="Q509" s="472"/>
      <c r="R509" s="472"/>
      <c r="S509" s="472"/>
      <c r="T509" s="472"/>
      <c r="U509" s="472"/>
      <c r="V509" s="472"/>
      <c r="W509" s="472"/>
      <c r="X509" s="472"/>
      <c r="Y509" s="472"/>
      <c r="Z509" s="472"/>
    </row>
    <row r="510" spans="1:26" ht="14.25" customHeight="1">
      <c r="A510" s="472"/>
      <c r="B510" s="472"/>
      <c r="C510" s="472"/>
      <c r="D510" s="472"/>
      <c r="E510" s="472"/>
      <c r="F510" s="472"/>
      <c r="G510" s="472"/>
      <c r="H510" s="472"/>
      <c r="I510" s="472"/>
      <c r="J510" s="472"/>
      <c r="K510" s="471"/>
      <c r="L510" s="472"/>
      <c r="M510" s="472"/>
      <c r="N510" s="472"/>
      <c r="O510" s="472"/>
      <c r="P510" s="472"/>
      <c r="Q510" s="472"/>
      <c r="R510" s="472"/>
      <c r="S510" s="472"/>
      <c r="T510" s="472"/>
      <c r="U510" s="472"/>
      <c r="V510" s="472"/>
      <c r="W510" s="472"/>
      <c r="X510" s="472"/>
      <c r="Y510" s="472"/>
      <c r="Z510" s="472"/>
    </row>
    <row r="511" spans="1:26" ht="14.25" customHeight="1">
      <c r="A511" s="472"/>
      <c r="B511" s="472"/>
      <c r="C511" s="472"/>
      <c r="D511" s="472"/>
      <c r="E511" s="472"/>
      <c r="F511" s="472"/>
      <c r="G511" s="472"/>
      <c r="H511" s="472"/>
      <c r="I511" s="472"/>
      <c r="J511" s="472"/>
      <c r="K511" s="471"/>
      <c r="L511" s="472"/>
      <c r="M511" s="472"/>
      <c r="N511" s="472"/>
      <c r="O511" s="472"/>
      <c r="P511" s="472"/>
      <c r="Q511" s="472"/>
      <c r="R511" s="472"/>
      <c r="S511" s="472"/>
      <c r="T511" s="472"/>
      <c r="U511" s="472"/>
      <c r="V511" s="472"/>
      <c r="W511" s="472"/>
      <c r="X511" s="472"/>
      <c r="Y511" s="472"/>
      <c r="Z511" s="472"/>
    </row>
    <row r="512" spans="1:26" ht="14.25" customHeight="1">
      <c r="A512" s="472"/>
      <c r="B512" s="472"/>
      <c r="C512" s="472"/>
      <c r="D512" s="472"/>
      <c r="E512" s="472"/>
      <c r="F512" s="472"/>
      <c r="G512" s="472"/>
      <c r="H512" s="472"/>
      <c r="I512" s="472"/>
      <c r="J512" s="472"/>
      <c r="K512" s="471"/>
      <c r="L512" s="472"/>
      <c r="M512" s="472"/>
      <c r="N512" s="472"/>
      <c r="O512" s="472"/>
      <c r="P512" s="472"/>
      <c r="Q512" s="472"/>
      <c r="R512" s="472"/>
      <c r="S512" s="472"/>
      <c r="T512" s="472"/>
      <c r="U512" s="472"/>
      <c r="V512" s="472"/>
      <c r="W512" s="472"/>
      <c r="X512" s="472"/>
      <c r="Y512" s="472"/>
      <c r="Z512" s="472"/>
    </row>
    <row r="513" spans="1:26" ht="14.25" customHeight="1">
      <c r="A513" s="472"/>
      <c r="B513" s="472"/>
      <c r="C513" s="472"/>
      <c r="D513" s="472"/>
      <c r="E513" s="472"/>
      <c r="F513" s="472"/>
      <c r="G513" s="472"/>
      <c r="H513" s="472"/>
      <c r="I513" s="472"/>
      <c r="J513" s="472"/>
      <c r="K513" s="471"/>
      <c r="L513" s="472"/>
      <c r="M513" s="472"/>
      <c r="N513" s="472"/>
      <c r="O513" s="472"/>
      <c r="P513" s="472"/>
      <c r="Q513" s="472"/>
      <c r="R513" s="472"/>
      <c r="S513" s="472"/>
      <c r="T513" s="472"/>
      <c r="U513" s="472"/>
      <c r="V513" s="472"/>
      <c r="W513" s="472"/>
      <c r="X513" s="472"/>
      <c r="Y513" s="472"/>
      <c r="Z513" s="472"/>
    </row>
    <row r="514" spans="1:26" ht="14.25" customHeight="1">
      <c r="A514" s="472"/>
      <c r="B514" s="472"/>
      <c r="C514" s="472"/>
      <c r="D514" s="472"/>
      <c r="E514" s="472"/>
      <c r="F514" s="472"/>
      <c r="G514" s="472"/>
      <c r="H514" s="472"/>
      <c r="I514" s="472"/>
      <c r="J514" s="472"/>
      <c r="K514" s="471"/>
      <c r="L514" s="472"/>
      <c r="M514" s="472"/>
      <c r="N514" s="472"/>
      <c r="O514" s="472"/>
      <c r="P514" s="472"/>
      <c r="Q514" s="472"/>
      <c r="R514" s="472"/>
      <c r="S514" s="472"/>
      <c r="T514" s="472"/>
      <c r="U514" s="472"/>
      <c r="V514" s="472"/>
      <c r="W514" s="472"/>
      <c r="X514" s="472"/>
      <c r="Y514" s="472"/>
      <c r="Z514" s="472"/>
    </row>
    <row r="515" spans="1:26" ht="14.25" customHeight="1">
      <c r="A515" s="472"/>
      <c r="B515" s="472"/>
      <c r="C515" s="472"/>
      <c r="D515" s="472"/>
      <c r="E515" s="472"/>
      <c r="F515" s="472"/>
      <c r="G515" s="472"/>
      <c r="H515" s="472"/>
      <c r="I515" s="472"/>
      <c r="J515" s="472"/>
      <c r="K515" s="471"/>
      <c r="L515" s="472"/>
      <c r="M515" s="472"/>
      <c r="N515" s="472"/>
      <c r="O515" s="472"/>
      <c r="P515" s="472"/>
      <c r="Q515" s="472"/>
      <c r="R515" s="472"/>
      <c r="S515" s="472"/>
      <c r="T515" s="472"/>
      <c r="U515" s="472"/>
      <c r="V515" s="472"/>
      <c r="W515" s="472"/>
      <c r="X515" s="472"/>
      <c r="Y515" s="472"/>
      <c r="Z515" s="472"/>
    </row>
    <row r="516" spans="1:26" ht="14.25" customHeight="1">
      <c r="A516" s="472"/>
      <c r="B516" s="472"/>
      <c r="C516" s="472"/>
      <c r="D516" s="472"/>
      <c r="E516" s="472"/>
      <c r="F516" s="472"/>
      <c r="G516" s="472"/>
      <c r="H516" s="472"/>
      <c r="I516" s="472"/>
      <c r="J516" s="472"/>
      <c r="K516" s="471"/>
      <c r="L516" s="472"/>
      <c r="M516" s="472"/>
      <c r="N516" s="472"/>
      <c r="O516" s="472"/>
      <c r="P516" s="472"/>
      <c r="Q516" s="472"/>
      <c r="R516" s="472"/>
      <c r="S516" s="472"/>
      <c r="T516" s="472"/>
      <c r="U516" s="472"/>
      <c r="V516" s="472"/>
      <c r="W516" s="472"/>
      <c r="X516" s="472"/>
      <c r="Y516" s="472"/>
      <c r="Z516" s="472"/>
    </row>
    <row r="517" spans="1:26" ht="14.25" customHeight="1">
      <c r="A517" s="472"/>
      <c r="B517" s="472"/>
      <c r="C517" s="472"/>
      <c r="D517" s="472"/>
      <c r="E517" s="472"/>
      <c r="F517" s="472"/>
      <c r="G517" s="472"/>
      <c r="H517" s="472"/>
      <c r="I517" s="472"/>
      <c r="J517" s="472"/>
      <c r="K517" s="471"/>
      <c r="L517" s="472"/>
      <c r="M517" s="472"/>
      <c r="N517" s="472"/>
      <c r="O517" s="472"/>
      <c r="P517" s="472"/>
      <c r="Q517" s="472"/>
      <c r="R517" s="472"/>
      <c r="S517" s="472"/>
      <c r="T517" s="472"/>
      <c r="U517" s="472"/>
      <c r="V517" s="472"/>
      <c r="W517" s="472"/>
      <c r="X517" s="472"/>
      <c r="Y517" s="472"/>
      <c r="Z517" s="472"/>
    </row>
    <row r="518" spans="1:26" ht="14.25" customHeight="1">
      <c r="A518" s="472"/>
      <c r="B518" s="472"/>
      <c r="C518" s="472"/>
      <c r="D518" s="472"/>
      <c r="E518" s="472"/>
      <c r="F518" s="472"/>
      <c r="G518" s="472"/>
      <c r="H518" s="472"/>
      <c r="I518" s="472"/>
      <c r="J518" s="472"/>
      <c r="K518" s="471"/>
      <c r="L518" s="472"/>
      <c r="M518" s="472"/>
      <c r="N518" s="472"/>
      <c r="O518" s="472"/>
      <c r="P518" s="472"/>
      <c r="Q518" s="472"/>
      <c r="R518" s="472"/>
      <c r="S518" s="472"/>
      <c r="T518" s="472"/>
      <c r="U518" s="472"/>
      <c r="V518" s="472"/>
      <c r="W518" s="472"/>
      <c r="X518" s="472"/>
      <c r="Y518" s="472"/>
      <c r="Z518" s="472"/>
    </row>
    <row r="519" spans="1:26" ht="14.25" customHeight="1">
      <c r="A519" s="472"/>
      <c r="B519" s="472"/>
      <c r="C519" s="472"/>
      <c r="D519" s="472"/>
      <c r="E519" s="472"/>
      <c r="F519" s="472"/>
      <c r="G519" s="472"/>
      <c r="H519" s="472"/>
      <c r="I519" s="472"/>
      <c r="J519" s="472"/>
      <c r="K519" s="471"/>
      <c r="L519" s="472"/>
      <c r="M519" s="472"/>
      <c r="N519" s="472"/>
      <c r="O519" s="472"/>
      <c r="P519" s="472"/>
      <c r="Q519" s="472"/>
      <c r="R519" s="472"/>
      <c r="S519" s="472"/>
      <c r="T519" s="472"/>
      <c r="U519" s="472"/>
      <c r="V519" s="472"/>
      <c r="W519" s="472"/>
      <c r="X519" s="472"/>
      <c r="Y519" s="472"/>
      <c r="Z519" s="472"/>
    </row>
    <row r="520" spans="1:26" ht="14.25" customHeight="1">
      <c r="A520" s="472"/>
      <c r="B520" s="472"/>
      <c r="C520" s="472"/>
      <c r="D520" s="472"/>
      <c r="E520" s="472"/>
      <c r="F520" s="472"/>
      <c r="G520" s="472"/>
      <c r="H520" s="472"/>
      <c r="I520" s="472"/>
      <c r="J520" s="472"/>
      <c r="K520" s="471"/>
      <c r="L520" s="472"/>
      <c r="M520" s="472"/>
      <c r="N520" s="472"/>
      <c r="O520" s="472"/>
      <c r="P520" s="472"/>
      <c r="Q520" s="472"/>
      <c r="R520" s="472"/>
      <c r="S520" s="472"/>
      <c r="T520" s="472"/>
      <c r="U520" s="472"/>
      <c r="V520" s="472"/>
      <c r="W520" s="472"/>
      <c r="X520" s="472"/>
      <c r="Y520" s="472"/>
      <c r="Z520" s="472"/>
    </row>
    <row r="521" spans="1:26" ht="14.25" customHeight="1">
      <c r="A521" s="472"/>
      <c r="B521" s="472"/>
      <c r="C521" s="472"/>
      <c r="D521" s="472"/>
      <c r="E521" s="472"/>
      <c r="F521" s="472"/>
      <c r="G521" s="472"/>
      <c r="H521" s="472"/>
      <c r="I521" s="472"/>
      <c r="J521" s="472"/>
      <c r="K521" s="471"/>
      <c r="L521" s="472"/>
      <c r="M521" s="472"/>
      <c r="N521" s="472"/>
      <c r="O521" s="472"/>
      <c r="P521" s="472"/>
      <c r="Q521" s="472"/>
      <c r="R521" s="472"/>
      <c r="S521" s="472"/>
      <c r="T521" s="472"/>
      <c r="U521" s="472"/>
      <c r="V521" s="472"/>
      <c r="W521" s="472"/>
      <c r="X521" s="472"/>
      <c r="Y521" s="472"/>
      <c r="Z521" s="472"/>
    </row>
    <row r="522" spans="1:26" ht="14.25" customHeight="1">
      <c r="A522" s="472"/>
      <c r="B522" s="472"/>
      <c r="C522" s="472"/>
      <c r="D522" s="472"/>
      <c r="E522" s="472"/>
      <c r="F522" s="472"/>
      <c r="G522" s="472"/>
      <c r="H522" s="472"/>
      <c r="I522" s="472"/>
      <c r="J522" s="472"/>
      <c r="K522" s="471"/>
      <c r="L522" s="472"/>
      <c r="M522" s="472"/>
      <c r="N522" s="472"/>
      <c r="O522" s="472"/>
      <c r="P522" s="472"/>
      <c r="Q522" s="472"/>
      <c r="R522" s="472"/>
      <c r="S522" s="472"/>
      <c r="T522" s="472"/>
      <c r="U522" s="472"/>
      <c r="V522" s="472"/>
      <c r="W522" s="472"/>
      <c r="X522" s="472"/>
      <c r="Y522" s="472"/>
      <c r="Z522" s="472"/>
    </row>
    <row r="523" spans="1:26" ht="14.25" customHeight="1">
      <c r="A523" s="472"/>
      <c r="B523" s="472"/>
      <c r="C523" s="472"/>
      <c r="D523" s="472"/>
      <c r="E523" s="472"/>
      <c r="F523" s="472"/>
      <c r="G523" s="472"/>
      <c r="H523" s="472"/>
      <c r="I523" s="472"/>
      <c r="J523" s="472"/>
      <c r="K523" s="471"/>
      <c r="L523" s="472"/>
      <c r="M523" s="472"/>
      <c r="N523" s="472"/>
      <c r="O523" s="472"/>
      <c r="P523" s="472"/>
      <c r="Q523" s="472"/>
      <c r="R523" s="472"/>
      <c r="S523" s="472"/>
      <c r="T523" s="472"/>
      <c r="U523" s="472"/>
      <c r="V523" s="472"/>
      <c r="W523" s="472"/>
      <c r="X523" s="472"/>
      <c r="Y523" s="472"/>
      <c r="Z523" s="472"/>
    </row>
    <row r="524" spans="1:26" ht="14.25" customHeight="1">
      <c r="A524" s="472"/>
      <c r="B524" s="472"/>
      <c r="C524" s="472"/>
      <c r="D524" s="472"/>
      <c r="E524" s="472"/>
      <c r="F524" s="472"/>
      <c r="G524" s="472"/>
      <c r="H524" s="472"/>
      <c r="I524" s="472"/>
      <c r="J524" s="472"/>
      <c r="K524" s="471"/>
      <c r="L524" s="472"/>
      <c r="M524" s="472"/>
      <c r="N524" s="472"/>
      <c r="O524" s="472"/>
      <c r="P524" s="472"/>
      <c r="Q524" s="472"/>
      <c r="R524" s="472"/>
      <c r="S524" s="472"/>
      <c r="T524" s="472"/>
      <c r="U524" s="472"/>
      <c r="V524" s="472"/>
      <c r="W524" s="472"/>
      <c r="X524" s="472"/>
      <c r="Y524" s="472"/>
      <c r="Z524" s="472"/>
    </row>
    <row r="525" spans="1:26" ht="14.25" customHeight="1">
      <c r="A525" s="472"/>
      <c r="B525" s="472"/>
      <c r="C525" s="472"/>
      <c r="D525" s="472"/>
      <c r="E525" s="472"/>
      <c r="F525" s="472"/>
      <c r="G525" s="472"/>
      <c r="H525" s="472"/>
      <c r="I525" s="472"/>
      <c r="J525" s="472"/>
      <c r="K525" s="471"/>
      <c r="L525" s="472"/>
      <c r="M525" s="472"/>
      <c r="N525" s="472"/>
      <c r="O525" s="472"/>
      <c r="P525" s="472"/>
      <c r="Q525" s="472"/>
      <c r="R525" s="472"/>
      <c r="S525" s="472"/>
      <c r="T525" s="472"/>
      <c r="U525" s="472"/>
      <c r="V525" s="472"/>
      <c r="W525" s="472"/>
      <c r="X525" s="472"/>
      <c r="Y525" s="472"/>
      <c r="Z525" s="472"/>
    </row>
    <row r="526" spans="1:26" ht="14.25" customHeight="1">
      <c r="A526" s="472"/>
      <c r="B526" s="472"/>
      <c r="C526" s="472"/>
      <c r="D526" s="472"/>
      <c r="E526" s="472"/>
      <c r="F526" s="472"/>
      <c r="G526" s="472"/>
      <c r="H526" s="472"/>
      <c r="I526" s="472"/>
      <c r="J526" s="472"/>
      <c r="K526" s="471"/>
      <c r="L526" s="472"/>
      <c r="M526" s="472"/>
      <c r="N526" s="472"/>
      <c r="O526" s="472"/>
      <c r="P526" s="472"/>
      <c r="Q526" s="472"/>
      <c r="R526" s="472"/>
      <c r="S526" s="472"/>
      <c r="T526" s="472"/>
      <c r="U526" s="472"/>
      <c r="V526" s="472"/>
      <c r="W526" s="472"/>
      <c r="X526" s="472"/>
      <c r="Y526" s="472"/>
      <c r="Z526" s="472"/>
    </row>
    <row r="527" spans="1:26" ht="14.25" customHeight="1">
      <c r="A527" s="472"/>
      <c r="B527" s="472"/>
      <c r="C527" s="472"/>
      <c r="D527" s="472"/>
      <c r="E527" s="472"/>
      <c r="F527" s="472"/>
      <c r="G527" s="472"/>
      <c r="H527" s="472"/>
      <c r="I527" s="472"/>
      <c r="J527" s="472"/>
      <c r="K527" s="471"/>
      <c r="L527" s="472"/>
      <c r="M527" s="472"/>
      <c r="N527" s="472"/>
      <c r="O527" s="472"/>
      <c r="P527" s="472"/>
      <c r="Q527" s="472"/>
      <c r="R527" s="472"/>
      <c r="S527" s="472"/>
      <c r="T527" s="472"/>
      <c r="U527" s="472"/>
      <c r="V527" s="472"/>
      <c r="W527" s="472"/>
      <c r="X527" s="472"/>
      <c r="Y527" s="472"/>
      <c r="Z527" s="472"/>
    </row>
    <row r="528" spans="1:26" ht="14.25" customHeight="1">
      <c r="A528" s="472"/>
      <c r="B528" s="472"/>
      <c r="C528" s="472"/>
      <c r="D528" s="472"/>
      <c r="E528" s="472"/>
      <c r="F528" s="472"/>
      <c r="G528" s="472"/>
      <c r="H528" s="472"/>
      <c r="I528" s="472"/>
      <c r="J528" s="472"/>
      <c r="K528" s="471"/>
      <c r="L528" s="472"/>
      <c r="M528" s="472"/>
      <c r="N528" s="472"/>
      <c r="O528" s="472"/>
      <c r="P528" s="472"/>
      <c r="Q528" s="472"/>
      <c r="R528" s="472"/>
      <c r="S528" s="472"/>
      <c r="T528" s="472"/>
      <c r="U528" s="472"/>
      <c r="V528" s="472"/>
      <c r="W528" s="472"/>
      <c r="X528" s="472"/>
      <c r="Y528" s="472"/>
      <c r="Z528" s="472"/>
    </row>
    <row r="529" spans="1:26" ht="14.25" customHeight="1">
      <c r="A529" s="472"/>
      <c r="B529" s="472"/>
      <c r="C529" s="472"/>
      <c r="D529" s="472"/>
      <c r="E529" s="472"/>
      <c r="F529" s="472"/>
      <c r="G529" s="472"/>
      <c r="H529" s="472"/>
      <c r="I529" s="472"/>
      <c r="J529" s="472"/>
      <c r="K529" s="471"/>
      <c r="L529" s="472"/>
      <c r="M529" s="472"/>
      <c r="N529" s="472"/>
      <c r="O529" s="472"/>
      <c r="P529" s="472"/>
      <c r="Q529" s="472"/>
      <c r="R529" s="472"/>
      <c r="S529" s="472"/>
      <c r="T529" s="472"/>
      <c r="U529" s="472"/>
      <c r="V529" s="472"/>
      <c r="W529" s="472"/>
      <c r="X529" s="472"/>
      <c r="Y529" s="472"/>
      <c r="Z529" s="472"/>
    </row>
    <row r="530" spans="1:26" ht="14.25" customHeight="1">
      <c r="A530" s="472"/>
      <c r="B530" s="472"/>
      <c r="C530" s="472"/>
      <c r="D530" s="472"/>
      <c r="E530" s="472"/>
      <c r="F530" s="472"/>
      <c r="G530" s="472"/>
      <c r="H530" s="472"/>
      <c r="I530" s="472"/>
      <c r="J530" s="472"/>
      <c r="K530" s="471"/>
      <c r="L530" s="472"/>
      <c r="M530" s="472"/>
      <c r="N530" s="472"/>
      <c r="O530" s="472"/>
      <c r="P530" s="472"/>
      <c r="Q530" s="472"/>
      <c r="R530" s="472"/>
      <c r="S530" s="472"/>
      <c r="T530" s="472"/>
      <c r="U530" s="472"/>
      <c r="V530" s="472"/>
      <c r="W530" s="472"/>
      <c r="X530" s="472"/>
      <c r="Y530" s="472"/>
      <c r="Z530" s="472"/>
    </row>
    <row r="531" spans="1:26" ht="14.25" customHeight="1">
      <c r="A531" s="472"/>
      <c r="B531" s="472"/>
      <c r="C531" s="472"/>
      <c r="D531" s="472"/>
      <c r="E531" s="472"/>
      <c r="F531" s="472"/>
      <c r="G531" s="472"/>
      <c r="H531" s="472"/>
      <c r="I531" s="472"/>
      <c r="J531" s="472"/>
      <c r="K531" s="471"/>
      <c r="L531" s="472"/>
      <c r="M531" s="472"/>
      <c r="N531" s="472"/>
      <c r="O531" s="472"/>
      <c r="P531" s="472"/>
      <c r="Q531" s="472"/>
      <c r="R531" s="472"/>
      <c r="S531" s="472"/>
      <c r="T531" s="472"/>
      <c r="U531" s="472"/>
      <c r="V531" s="472"/>
      <c r="W531" s="472"/>
      <c r="X531" s="472"/>
      <c r="Y531" s="472"/>
      <c r="Z531" s="472"/>
    </row>
    <row r="532" spans="1:26" ht="14.25" customHeight="1">
      <c r="A532" s="472"/>
      <c r="B532" s="472"/>
      <c r="C532" s="472"/>
      <c r="D532" s="472"/>
      <c r="E532" s="472"/>
      <c r="F532" s="472"/>
      <c r="G532" s="472"/>
      <c r="H532" s="472"/>
      <c r="I532" s="472"/>
      <c r="J532" s="472"/>
      <c r="K532" s="471"/>
      <c r="L532" s="472"/>
      <c r="M532" s="472"/>
      <c r="N532" s="472"/>
      <c r="O532" s="472"/>
      <c r="P532" s="472"/>
      <c r="Q532" s="472"/>
      <c r="R532" s="472"/>
      <c r="S532" s="472"/>
      <c r="T532" s="472"/>
      <c r="U532" s="472"/>
      <c r="V532" s="472"/>
      <c r="W532" s="472"/>
      <c r="X532" s="472"/>
      <c r="Y532" s="472"/>
      <c r="Z532" s="472"/>
    </row>
    <row r="533" spans="1:26" ht="14.25" customHeight="1">
      <c r="A533" s="472"/>
      <c r="B533" s="472"/>
      <c r="C533" s="472"/>
      <c r="D533" s="472"/>
      <c r="E533" s="472"/>
      <c r="F533" s="472"/>
      <c r="G533" s="472"/>
      <c r="H533" s="472"/>
      <c r="I533" s="472"/>
      <c r="J533" s="472"/>
      <c r="K533" s="471"/>
      <c r="L533" s="472"/>
      <c r="M533" s="472"/>
      <c r="N533" s="472"/>
      <c r="O533" s="472"/>
      <c r="P533" s="472"/>
      <c r="Q533" s="472"/>
      <c r="R533" s="472"/>
      <c r="S533" s="472"/>
      <c r="T533" s="472"/>
      <c r="U533" s="472"/>
      <c r="V533" s="472"/>
      <c r="W533" s="472"/>
      <c r="X533" s="472"/>
      <c r="Y533" s="472"/>
      <c r="Z533" s="472"/>
    </row>
    <row r="534" spans="1:26" ht="14.25" customHeight="1">
      <c r="A534" s="472"/>
      <c r="B534" s="472"/>
      <c r="C534" s="472"/>
      <c r="D534" s="472"/>
      <c r="E534" s="472"/>
      <c r="F534" s="472"/>
      <c r="G534" s="472"/>
      <c r="H534" s="472"/>
      <c r="I534" s="472"/>
      <c r="J534" s="472"/>
      <c r="K534" s="471"/>
      <c r="L534" s="472"/>
      <c r="M534" s="472"/>
      <c r="N534" s="472"/>
      <c r="O534" s="472"/>
      <c r="P534" s="472"/>
      <c r="Q534" s="472"/>
      <c r="R534" s="472"/>
      <c r="S534" s="472"/>
      <c r="T534" s="472"/>
      <c r="U534" s="472"/>
      <c r="V534" s="472"/>
      <c r="W534" s="472"/>
      <c r="X534" s="472"/>
      <c r="Y534" s="472"/>
      <c r="Z534" s="472"/>
    </row>
    <row r="535" spans="1:26" ht="14.25" customHeight="1">
      <c r="A535" s="472"/>
      <c r="B535" s="472"/>
      <c r="C535" s="472"/>
      <c r="D535" s="472"/>
      <c r="E535" s="472"/>
      <c r="F535" s="472"/>
      <c r="G535" s="472"/>
      <c r="H535" s="472"/>
      <c r="I535" s="472"/>
      <c r="J535" s="472"/>
      <c r="K535" s="471"/>
      <c r="L535" s="472"/>
      <c r="M535" s="472"/>
      <c r="N535" s="472"/>
      <c r="O535" s="472"/>
      <c r="P535" s="472"/>
      <c r="Q535" s="472"/>
      <c r="R535" s="472"/>
      <c r="S535" s="472"/>
      <c r="T535" s="472"/>
      <c r="U535" s="472"/>
      <c r="V535" s="472"/>
      <c r="W535" s="472"/>
      <c r="X535" s="472"/>
      <c r="Y535" s="472"/>
      <c r="Z535" s="472"/>
    </row>
    <row r="536" spans="1:26" ht="14.25" customHeight="1">
      <c r="A536" s="472"/>
      <c r="B536" s="472"/>
      <c r="C536" s="472"/>
      <c r="D536" s="472"/>
      <c r="E536" s="472"/>
      <c r="F536" s="472"/>
      <c r="G536" s="472"/>
      <c r="H536" s="472"/>
      <c r="I536" s="472"/>
      <c r="J536" s="472"/>
      <c r="K536" s="471"/>
      <c r="L536" s="472"/>
      <c r="M536" s="472"/>
      <c r="N536" s="472"/>
      <c r="O536" s="472"/>
      <c r="P536" s="472"/>
      <c r="Q536" s="472"/>
      <c r="R536" s="472"/>
      <c r="S536" s="472"/>
      <c r="T536" s="472"/>
      <c r="U536" s="472"/>
      <c r="V536" s="472"/>
      <c r="W536" s="472"/>
      <c r="X536" s="472"/>
      <c r="Y536" s="472"/>
      <c r="Z536" s="472"/>
    </row>
    <row r="537" spans="1:26" ht="14.25" customHeight="1">
      <c r="A537" s="472"/>
      <c r="B537" s="472"/>
      <c r="C537" s="472"/>
      <c r="D537" s="472"/>
      <c r="E537" s="472"/>
      <c r="F537" s="472"/>
      <c r="G537" s="472"/>
      <c r="H537" s="472"/>
      <c r="I537" s="472"/>
      <c r="J537" s="472"/>
      <c r="K537" s="471"/>
      <c r="L537" s="472"/>
      <c r="M537" s="472"/>
      <c r="N537" s="472"/>
      <c r="O537" s="472"/>
      <c r="P537" s="472"/>
      <c r="Q537" s="472"/>
      <c r="R537" s="472"/>
      <c r="S537" s="472"/>
      <c r="T537" s="472"/>
      <c r="U537" s="472"/>
      <c r="V537" s="472"/>
      <c r="W537" s="472"/>
      <c r="X537" s="472"/>
      <c r="Y537" s="472"/>
      <c r="Z537" s="472"/>
    </row>
    <row r="538" spans="1:26" ht="14.25" customHeight="1">
      <c r="A538" s="472"/>
      <c r="B538" s="472"/>
      <c r="C538" s="472"/>
      <c r="D538" s="472"/>
      <c r="E538" s="472"/>
      <c r="F538" s="472"/>
      <c r="G538" s="472"/>
      <c r="H538" s="472"/>
      <c r="I538" s="472"/>
      <c r="J538" s="472"/>
      <c r="K538" s="471"/>
      <c r="L538" s="472"/>
      <c r="M538" s="472"/>
      <c r="N538" s="472"/>
      <c r="O538" s="472"/>
      <c r="P538" s="472"/>
      <c r="Q538" s="472"/>
      <c r="R538" s="472"/>
      <c r="S538" s="472"/>
      <c r="T538" s="472"/>
      <c r="U538" s="472"/>
      <c r="V538" s="472"/>
      <c r="W538" s="472"/>
      <c r="X538" s="472"/>
      <c r="Y538" s="472"/>
      <c r="Z538" s="472"/>
    </row>
    <row r="539" spans="1:26" ht="14.25" customHeight="1">
      <c r="A539" s="472"/>
      <c r="B539" s="472"/>
      <c r="C539" s="472"/>
      <c r="D539" s="472"/>
      <c r="E539" s="472"/>
      <c r="F539" s="472"/>
      <c r="G539" s="472"/>
      <c r="H539" s="472"/>
      <c r="I539" s="472"/>
      <c r="J539" s="472"/>
      <c r="K539" s="471"/>
      <c r="L539" s="472"/>
      <c r="M539" s="472"/>
      <c r="N539" s="472"/>
      <c r="O539" s="472"/>
      <c r="P539" s="472"/>
      <c r="Q539" s="472"/>
      <c r="R539" s="472"/>
      <c r="S539" s="472"/>
      <c r="T539" s="472"/>
      <c r="U539" s="472"/>
      <c r="V539" s="472"/>
      <c r="W539" s="472"/>
      <c r="X539" s="472"/>
      <c r="Y539" s="472"/>
      <c r="Z539" s="472"/>
    </row>
    <row r="540" spans="1:26" ht="14.25" customHeight="1">
      <c r="A540" s="472"/>
      <c r="B540" s="472"/>
      <c r="C540" s="472"/>
      <c r="D540" s="472"/>
      <c r="E540" s="472"/>
      <c r="F540" s="472"/>
      <c r="G540" s="472"/>
      <c r="H540" s="472"/>
      <c r="I540" s="472"/>
      <c r="J540" s="472"/>
      <c r="K540" s="471"/>
      <c r="L540" s="472"/>
      <c r="M540" s="472"/>
      <c r="N540" s="472"/>
      <c r="O540" s="472"/>
      <c r="P540" s="472"/>
      <c r="Q540" s="472"/>
      <c r="R540" s="472"/>
      <c r="S540" s="472"/>
      <c r="T540" s="472"/>
      <c r="U540" s="472"/>
      <c r="V540" s="472"/>
      <c r="W540" s="472"/>
      <c r="X540" s="472"/>
      <c r="Y540" s="472"/>
      <c r="Z540" s="472"/>
    </row>
    <row r="541" spans="1:26" ht="14.25" customHeight="1">
      <c r="A541" s="472"/>
      <c r="B541" s="472"/>
      <c r="C541" s="472"/>
      <c r="D541" s="472"/>
      <c r="E541" s="472"/>
      <c r="F541" s="472"/>
      <c r="G541" s="472"/>
      <c r="H541" s="472"/>
      <c r="I541" s="472"/>
      <c r="J541" s="472"/>
      <c r="K541" s="471"/>
      <c r="L541" s="472"/>
      <c r="M541" s="472"/>
      <c r="N541" s="472"/>
      <c r="O541" s="472"/>
      <c r="P541" s="472"/>
      <c r="Q541" s="472"/>
      <c r="R541" s="472"/>
      <c r="S541" s="472"/>
      <c r="T541" s="472"/>
      <c r="U541" s="472"/>
      <c r="V541" s="472"/>
      <c r="W541" s="472"/>
      <c r="X541" s="472"/>
      <c r="Y541" s="472"/>
      <c r="Z541" s="472"/>
    </row>
    <row r="542" spans="1:26" ht="14.25" customHeight="1">
      <c r="A542" s="472"/>
      <c r="B542" s="472"/>
      <c r="C542" s="472"/>
      <c r="D542" s="472"/>
      <c r="E542" s="472"/>
      <c r="F542" s="472"/>
      <c r="G542" s="472"/>
      <c r="H542" s="472"/>
      <c r="I542" s="472"/>
      <c r="J542" s="472"/>
      <c r="K542" s="471"/>
      <c r="L542" s="472"/>
      <c r="M542" s="472"/>
      <c r="N542" s="472"/>
      <c r="O542" s="472"/>
      <c r="P542" s="472"/>
      <c r="Q542" s="472"/>
      <c r="R542" s="472"/>
      <c r="S542" s="472"/>
      <c r="T542" s="472"/>
      <c r="U542" s="472"/>
      <c r="V542" s="472"/>
      <c r="W542" s="472"/>
      <c r="X542" s="472"/>
      <c r="Y542" s="472"/>
      <c r="Z542" s="472"/>
    </row>
    <row r="543" spans="1:26" ht="14.25" customHeight="1">
      <c r="A543" s="472"/>
      <c r="B543" s="472"/>
      <c r="C543" s="472"/>
      <c r="D543" s="472"/>
      <c r="E543" s="472"/>
      <c r="F543" s="472"/>
      <c r="G543" s="472"/>
      <c r="H543" s="472"/>
      <c r="I543" s="472"/>
      <c r="J543" s="472"/>
      <c r="K543" s="471"/>
      <c r="L543" s="472"/>
      <c r="M543" s="472"/>
      <c r="N543" s="472"/>
      <c r="O543" s="472"/>
      <c r="P543" s="472"/>
      <c r="Q543" s="472"/>
      <c r="R543" s="472"/>
      <c r="S543" s="472"/>
      <c r="T543" s="472"/>
      <c r="U543" s="472"/>
      <c r="V543" s="472"/>
      <c r="W543" s="472"/>
      <c r="X543" s="472"/>
      <c r="Y543" s="472"/>
      <c r="Z543" s="472"/>
    </row>
    <row r="544" spans="1:26" ht="14.25" customHeight="1">
      <c r="A544" s="472"/>
      <c r="B544" s="472"/>
      <c r="C544" s="472"/>
      <c r="D544" s="472"/>
      <c r="E544" s="472"/>
      <c r="F544" s="472"/>
      <c r="G544" s="472"/>
      <c r="H544" s="472"/>
      <c r="I544" s="472"/>
      <c r="J544" s="472"/>
      <c r="K544" s="471"/>
      <c r="L544" s="472"/>
      <c r="M544" s="472"/>
      <c r="N544" s="472"/>
      <c r="O544" s="472"/>
      <c r="P544" s="472"/>
      <c r="Q544" s="472"/>
      <c r="R544" s="472"/>
      <c r="S544" s="472"/>
      <c r="T544" s="472"/>
      <c r="U544" s="472"/>
      <c r="V544" s="472"/>
      <c r="W544" s="472"/>
      <c r="X544" s="472"/>
      <c r="Y544" s="472"/>
      <c r="Z544" s="472"/>
    </row>
    <row r="545" spans="1:26" ht="14.25" customHeight="1">
      <c r="A545" s="472"/>
      <c r="B545" s="472"/>
      <c r="C545" s="472"/>
      <c r="D545" s="472"/>
      <c r="E545" s="472"/>
      <c r="F545" s="472"/>
      <c r="G545" s="472"/>
      <c r="H545" s="472"/>
      <c r="I545" s="472"/>
      <c r="J545" s="472"/>
      <c r="K545" s="471"/>
      <c r="L545" s="472"/>
      <c r="M545" s="472"/>
      <c r="N545" s="472"/>
      <c r="O545" s="472"/>
      <c r="P545" s="472"/>
      <c r="Q545" s="472"/>
      <c r="R545" s="472"/>
      <c r="S545" s="472"/>
      <c r="T545" s="472"/>
      <c r="U545" s="472"/>
      <c r="V545" s="472"/>
      <c r="W545" s="472"/>
      <c r="X545" s="472"/>
      <c r="Y545" s="472"/>
      <c r="Z545" s="472"/>
    </row>
    <row r="546" spans="1:26" ht="14.25" customHeight="1">
      <c r="A546" s="472"/>
      <c r="B546" s="472"/>
      <c r="C546" s="472"/>
      <c r="D546" s="472"/>
      <c r="E546" s="472"/>
      <c r="F546" s="472"/>
      <c r="G546" s="472"/>
      <c r="H546" s="472"/>
      <c r="I546" s="472"/>
      <c r="J546" s="472"/>
      <c r="K546" s="471"/>
      <c r="L546" s="472"/>
      <c r="M546" s="472"/>
      <c r="N546" s="472"/>
      <c r="O546" s="472"/>
      <c r="P546" s="472"/>
      <c r="Q546" s="472"/>
      <c r="R546" s="472"/>
      <c r="S546" s="472"/>
      <c r="T546" s="472"/>
      <c r="U546" s="472"/>
      <c r="V546" s="472"/>
      <c r="W546" s="472"/>
      <c r="X546" s="472"/>
      <c r="Y546" s="472"/>
      <c r="Z546" s="472"/>
    </row>
    <row r="547" spans="1:26" ht="14.25" customHeight="1">
      <c r="A547" s="472"/>
      <c r="B547" s="472"/>
      <c r="C547" s="472"/>
      <c r="D547" s="472"/>
      <c r="E547" s="472"/>
      <c r="F547" s="472"/>
      <c r="G547" s="472"/>
      <c r="H547" s="472"/>
      <c r="I547" s="472"/>
      <c r="J547" s="472"/>
      <c r="K547" s="471"/>
      <c r="L547" s="472"/>
      <c r="M547" s="472"/>
      <c r="N547" s="472"/>
      <c r="O547" s="472"/>
      <c r="P547" s="472"/>
      <c r="Q547" s="472"/>
      <c r="R547" s="472"/>
      <c r="S547" s="472"/>
      <c r="T547" s="472"/>
      <c r="U547" s="472"/>
      <c r="V547" s="472"/>
      <c r="W547" s="472"/>
      <c r="X547" s="472"/>
      <c r="Y547" s="472"/>
      <c r="Z547" s="472"/>
    </row>
    <row r="548" spans="1:26" ht="14.25" customHeight="1">
      <c r="A548" s="472"/>
      <c r="B548" s="472"/>
      <c r="C548" s="472"/>
      <c r="D548" s="472"/>
      <c r="E548" s="472"/>
      <c r="F548" s="472"/>
      <c r="G548" s="472"/>
      <c r="H548" s="472"/>
      <c r="I548" s="472"/>
      <c r="J548" s="472"/>
      <c r="K548" s="471"/>
      <c r="L548" s="472"/>
      <c r="M548" s="472"/>
      <c r="N548" s="472"/>
      <c r="O548" s="472"/>
      <c r="P548" s="472"/>
      <c r="Q548" s="472"/>
      <c r="R548" s="472"/>
      <c r="S548" s="472"/>
      <c r="T548" s="472"/>
      <c r="U548" s="472"/>
      <c r="V548" s="472"/>
      <c r="W548" s="472"/>
      <c r="X548" s="472"/>
      <c r="Y548" s="472"/>
      <c r="Z548" s="472"/>
    </row>
    <row r="549" spans="1:26" ht="14.25" customHeight="1">
      <c r="A549" s="472"/>
      <c r="B549" s="472"/>
      <c r="C549" s="472"/>
      <c r="D549" s="472"/>
      <c r="E549" s="472"/>
      <c r="F549" s="472"/>
      <c r="G549" s="472"/>
      <c r="H549" s="472"/>
      <c r="I549" s="472"/>
      <c r="J549" s="472"/>
      <c r="K549" s="471"/>
      <c r="L549" s="472"/>
      <c r="M549" s="472"/>
      <c r="N549" s="472"/>
      <c r="O549" s="472"/>
      <c r="P549" s="472"/>
      <c r="Q549" s="472"/>
      <c r="R549" s="472"/>
      <c r="S549" s="472"/>
      <c r="T549" s="472"/>
      <c r="U549" s="472"/>
      <c r="V549" s="472"/>
      <c r="W549" s="472"/>
      <c r="X549" s="472"/>
      <c r="Y549" s="472"/>
      <c r="Z549" s="472"/>
    </row>
    <row r="550" spans="1:26" ht="14.25" customHeight="1">
      <c r="A550" s="472"/>
      <c r="B550" s="472"/>
      <c r="C550" s="472"/>
      <c r="D550" s="472"/>
      <c r="E550" s="472"/>
      <c r="F550" s="472"/>
      <c r="G550" s="472"/>
      <c r="H550" s="472"/>
      <c r="I550" s="472"/>
      <c r="J550" s="472"/>
      <c r="K550" s="471"/>
      <c r="L550" s="472"/>
      <c r="M550" s="472"/>
      <c r="N550" s="472"/>
      <c r="O550" s="472"/>
      <c r="P550" s="472"/>
      <c r="Q550" s="472"/>
      <c r="R550" s="472"/>
      <c r="S550" s="472"/>
      <c r="T550" s="472"/>
      <c r="U550" s="472"/>
      <c r="V550" s="472"/>
      <c r="W550" s="472"/>
      <c r="X550" s="472"/>
      <c r="Y550" s="472"/>
      <c r="Z550" s="472"/>
    </row>
    <row r="551" spans="1:26" ht="14.25" customHeight="1">
      <c r="A551" s="472"/>
      <c r="B551" s="472"/>
      <c r="C551" s="472"/>
      <c r="D551" s="472"/>
      <c r="E551" s="472"/>
      <c r="F551" s="472"/>
      <c r="G551" s="472"/>
      <c r="H551" s="472"/>
      <c r="I551" s="472"/>
      <c r="J551" s="472"/>
      <c r="K551" s="471"/>
      <c r="L551" s="472"/>
      <c r="M551" s="472"/>
      <c r="N551" s="472"/>
      <c r="O551" s="472"/>
      <c r="P551" s="472"/>
      <c r="Q551" s="472"/>
      <c r="R551" s="472"/>
      <c r="S551" s="472"/>
      <c r="T551" s="472"/>
      <c r="U551" s="472"/>
      <c r="V551" s="472"/>
      <c r="W551" s="472"/>
      <c r="X551" s="472"/>
      <c r="Y551" s="472"/>
      <c r="Z551" s="472"/>
    </row>
    <row r="552" spans="1:26" ht="14.25" customHeight="1">
      <c r="A552" s="472"/>
      <c r="B552" s="472"/>
      <c r="C552" s="472"/>
      <c r="D552" s="472"/>
      <c r="E552" s="472"/>
      <c r="F552" s="472"/>
      <c r="G552" s="472"/>
      <c r="H552" s="472"/>
      <c r="I552" s="472"/>
      <c r="J552" s="472"/>
      <c r="K552" s="471"/>
      <c r="L552" s="472"/>
      <c r="M552" s="472"/>
      <c r="N552" s="472"/>
      <c r="O552" s="472"/>
      <c r="P552" s="472"/>
      <c r="Q552" s="472"/>
      <c r="R552" s="472"/>
      <c r="S552" s="472"/>
      <c r="T552" s="472"/>
      <c r="U552" s="472"/>
      <c r="V552" s="472"/>
      <c r="W552" s="472"/>
      <c r="X552" s="472"/>
      <c r="Y552" s="472"/>
      <c r="Z552" s="472"/>
    </row>
    <row r="553" spans="1:26" ht="14.25" customHeight="1">
      <c r="A553" s="472"/>
      <c r="B553" s="472"/>
      <c r="C553" s="472"/>
      <c r="D553" s="472"/>
      <c r="E553" s="472"/>
      <c r="F553" s="472"/>
      <c r="G553" s="472"/>
      <c r="H553" s="472"/>
      <c r="I553" s="472"/>
      <c r="J553" s="472"/>
      <c r="K553" s="471"/>
      <c r="L553" s="472"/>
      <c r="M553" s="472"/>
      <c r="N553" s="472"/>
      <c r="O553" s="472"/>
      <c r="P553" s="472"/>
      <c r="Q553" s="472"/>
      <c r="R553" s="472"/>
      <c r="S553" s="472"/>
      <c r="T553" s="472"/>
      <c r="U553" s="472"/>
      <c r="V553" s="472"/>
      <c r="W553" s="472"/>
      <c r="X553" s="472"/>
      <c r="Y553" s="472"/>
      <c r="Z553" s="472"/>
    </row>
    <row r="554" spans="1:26" ht="14.25" customHeight="1">
      <c r="A554" s="472"/>
      <c r="B554" s="472"/>
      <c r="C554" s="472"/>
      <c r="D554" s="472"/>
      <c r="E554" s="472"/>
      <c r="F554" s="472"/>
      <c r="G554" s="472"/>
      <c r="H554" s="472"/>
      <c r="I554" s="472"/>
      <c r="J554" s="472"/>
      <c r="K554" s="471"/>
      <c r="L554" s="472"/>
      <c r="M554" s="472"/>
      <c r="N554" s="472"/>
      <c r="O554" s="472"/>
      <c r="P554" s="472"/>
      <c r="Q554" s="472"/>
      <c r="R554" s="472"/>
      <c r="S554" s="472"/>
      <c r="T554" s="472"/>
      <c r="U554" s="472"/>
      <c r="V554" s="472"/>
      <c r="W554" s="472"/>
      <c r="X554" s="472"/>
      <c r="Y554" s="472"/>
      <c r="Z554" s="472"/>
    </row>
    <row r="555" spans="1:26" ht="14.25" customHeight="1">
      <c r="A555" s="472"/>
      <c r="B555" s="472"/>
      <c r="C555" s="472"/>
      <c r="D555" s="472"/>
      <c r="E555" s="472"/>
      <c r="F555" s="472"/>
      <c r="G555" s="472"/>
      <c r="H555" s="472"/>
      <c r="I555" s="472"/>
      <c r="J555" s="472"/>
      <c r="K555" s="471"/>
      <c r="L555" s="472"/>
      <c r="M555" s="472"/>
      <c r="N555" s="472"/>
      <c r="O555" s="472"/>
      <c r="P555" s="472"/>
      <c r="Q555" s="472"/>
      <c r="R555" s="472"/>
      <c r="S555" s="472"/>
      <c r="T555" s="472"/>
      <c r="U555" s="472"/>
      <c r="V555" s="472"/>
      <c r="W555" s="472"/>
      <c r="X555" s="472"/>
      <c r="Y555" s="472"/>
      <c r="Z555" s="472"/>
    </row>
    <row r="556" spans="1:26" ht="14.25" customHeight="1">
      <c r="A556" s="472"/>
      <c r="B556" s="472"/>
      <c r="C556" s="472"/>
      <c r="D556" s="472"/>
      <c r="E556" s="472"/>
      <c r="F556" s="472"/>
      <c r="G556" s="472"/>
      <c r="H556" s="472"/>
      <c r="I556" s="472"/>
      <c r="J556" s="472"/>
      <c r="K556" s="471"/>
      <c r="L556" s="472"/>
      <c r="M556" s="472"/>
      <c r="N556" s="472"/>
      <c r="O556" s="472"/>
      <c r="P556" s="472"/>
      <c r="Q556" s="472"/>
      <c r="R556" s="472"/>
      <c r="S556" s="472"/>
      <c r="T556" s="472"/>
      <c r="U556" s="472"/>
      <c r="V556" s="472"/>
      <c r="W556" s="472"/>
      <c r="X556" s="472"/>
      <c r="Y556" s="472"/>
      <c r="Z556" s="472"/>
    </row>
    <row r="557" spans="1:26" ht="14.25" customHeight="1">
      <c r="A557" s="472"/>
      <c r="B557" s="472"/>
      <c r="C557" s="472"/>
      <c r="D557" s="472"/>
      <c r="E557" s="472"/>
      <c r="F557" s="472"/>
      <c r="G557" s="472"/>
      <c r="H557" s="472"/>
      <c r="I557" s="472"/>
      <c r="J557" s="472"/>
      <c r="K557" s="471"/>
      <c r="L557" s="472"/>
      <c r="M557" s="472"/>
      <c r="N557" s="472"/>
      <c r="O557" s="472"/>
      <c r="P557" s="472"/>
      <c r="Q557" s="472"/>
      <c r="R557" s="472"/>
      <c r="S557" s="472"/>
      <c r="T557" s="472"/>
      <c r="U557" s="472"/>
      <c r="V557" s="472"/>
      <c r="W557" s="472"/>
      <c r="X557" s="472"/>
      <c r="Y557" s="472"/>
      <c r="Z557" s="472"/>
    </row>
    <row r="558" spans="1:26" ht="14.25" customHeight="1">
      <c r="A558" s="472"/>
      <c r="B558" s="472"/>
      <c r="C558" s="472"/>
      <c r="D558" s="472"/>
      <c r="E558" s="472"/>
      <c r="F558" s="472"/>
      <c r="G558" s="472"/>
      <c r="H558" s="472"/>
      <c r="I558" s="472"/>
      <c r="J558" s="472"/>
      <c r="K558" s="471"/>
      <c r="L558" s="472"/>
      <c r="M558" s="472"/>
      <c r="N558" s="472"/>
      <c r="O558" s="472"/>
      <c r="P558" s="472"/>
      <c r="Q558" s="472"/>
      <c r="R558" s="472"/>
      <c r="S558" s="472"/>
      <c r="T558" s="472"/>
      <c r="U558" s="472"/>
      <c r="V558" s="472"/>
      <c r="W558" s="472"/>
      <c r="X558" s="472"/>
      <c r="Y558" s="472"/>
      <c r="Z558" s="472"/>
    </row>
    <row r="559" spans="1:26" ht="14.25" customHeight="1">
      <c r="A559" s="472"/>
      <c r="B559" s="472"/>
      <c r="C559" s="472"/>
      <c r="D559" s="472"/>
      <c r="E559" s="472"/>
      <c r="F559" s="472"/>
      <c r="G559" s="472"/>
      <c r="H559" s="472"/>
      <c r="I559" s="472"/>
      <c r="J559" s="472"/>
      <c r="K559" s="471"/>
      <c r="L559" s="472"/>
      <c r="M559" s="472"/>
      <c r="N559" s="472"/>
      <c r="O559" s="472"/>
      <c r="P559" s="472"/>
      <c r="Q559" s="472"/>
      <c r="R559" s="472"/>
      <c r="S559" s="472"/>
      <c r="T559" s="472"/>
      <c r="U559" s="472"/>
      <c r="V559" s="472"/>
      <c r="W559" s="472"/>
      <c r="X559" s="472"/>
      <c r="Y559" s="472"/>
      <c r="Z559" s="472"/>
    </row>
    <row r="560" spans="1:26" ht="14.25" customHeight="1">
      <c r="A560" s="472"/>
      <c r="B560" s="472"/>
      <c r="C560" s="472"/>
      <c r="D560" s="472"/>
      <c r="E560" s="472"/>
      <c r="F560" s="472"/>
      <c r="G560" s="472"/>
      <c r="H560" s="472"/>
      <c r="I560" s="472"/>
      <c r="J560" s="472"/>
      <c r="K560" s="471"/>
      <c r="L560" s="472"/>
      <c r="M560" s="472"/>
      <c r="N560" s="472"/>
      <c r="O560" s="472"/>
      <c r="P560" s="472"/>
      <c r="Q560" s="472"/>
      <c r="R560" s="472"/>
      <c r="S560" s="472"/>
      <c r="T560" s="472"/>
      <c r="U560" s="472"/>
      <c r="V560" s="472"/>
      <c r="W560" s="472"/>
      <c r="X560" s="472"/>
      <c r="Y560" s="472"/>
      <c r="Z560" s="472"/>
    </row>
    <row r="561" spans="1:26" ht="14.25" customHeight="1">
      <c r="A561" s="472"/>
      <c r="B561" s="472"/>
      <c r="C561" s="472"/>
      <c r="D561" s="472"/>
      <c r="E561" s="472"/>
      <c r="F561" s="472"/>
      <c r="G561" s="472"/>
      <c r="H561" s="472"/>
      <c r="I561" s="472"/>
      <c r="J561" s="472"/>
      <c r="K561" s="471"/>
      <c r="L561" s="472"/>
      <c r="M561" s="472"/>
      <c r="N561" s="472"/>
      <c r="O561" s="472"/>
      <c r="P561" s="472"/>
      <c r="Q561" s="472"/>
      <c r="R561" s="472"/>
      <c r="S561" s="472"/>
      <c r="T561" s="472"/>
      <c r="U561" s="472"/>
      <c r="V561" s="472"/>
      <c r="W561" s="472"/>
      <c r="X561" s="472"/>
      <c r="Y561" s="472"/>
      <c r="Z561" s="472"/>
    </row>
    <row r="562" spans="1:26" ht="14.25" customHeight="1">
      <c r="A562" s="472"/>
      <c r="B562" s="472"/>
      <c r="C562" s="472"/>
      <c r="D562" s="472"/>
      <c r="E562" s="472"/>
      <c r="F562" s="472"/>
      <c r="G562" s="472"/>
      <c r="H562" s="472"/>
      <c r="I562" s="472"/>
      <c r="J562" s="472"/>
      <c r="K562" s="471"/>
      <c r="L562" s="472"/>
      <c r="M562" s="472"/>
      <c r="N562" s="472"/>
      <c r="O562" s="472"/>
      <c r="P562" s="472"/>
      <c r="Q562" s="472"/>
      <c r="R562" s="472"/>
      <c r="S562" s="472"/>
      <c r="T562" s="472"/>
      <c r="U562" s="472"/>
      <c r="V562" s="472"/>
      <c r="W562" s="472"/>
      <c r="X562" s="472"/>
      <c r="Y562" s="472"/>
      <c r="Z562" s="472"/>
    </row>
    <row r="563" spans="1:26" ht="14.25" customHeight="1">
      <c r="A563" s="472"/>
      <c r="B563" s="472"/>
      <c r="C563" s="472"/>
      <c r="D563" s="472"/>
      <c r="E563" s="472"/>
      <c r="F563" s="472"/>
      <c r="G563" s="472"/>
      <c r="H563" s="472"/>
      <c r="I563" s="472"/>
      <c r="J563" s="472"/>
      <c r="K563" s="471"/>
      <c r="L563" s="472"/>
      <c r="M563" s="472"/>
      <c r="N563" s="472"/>
      <c r="O563" s="472"/>
      <c r="P563" s="472"/>
      <c r="Q563" s="472"/>
      <c r="R563" s="472"/>
      <c r="S563" s="472"/>
      <c r="T563" s="472"/>
      <c r="U563" s="472"/>
      <c r="V563" s="472"/>
      <c r="W563" s="472"/>
      <c r="X563" s="472"/>
      <c r="Y563" s="472"/>
      <c r="Z563" s="472"/>
    </row>
    <row r="564" spans="1:26" ht="14.25" customHeight="1">
      <c r="A564" s="472"/>
      <c r="B564" s="472"/>
      <c r="C564" s="472"/>
      <c r="D564" s="472"/>
      <c r="E564" s="472"/>
      <c r="F564" s="472"/>
      <c r="G564" s="472"/>
      <c r="H564" s="472"/>
      <c r="I564" s="472"/>
      <c r="J564" s="472"/>
      <c r="K564" s="471"/>
      <c r="L564" s="472"/>
      <c r="M564" s="472"/>
      <c r="N564" s="472"/>
      <c r="O564" s="472"/>
      <c r="P564" s="472"/>
      <c r="Q564" s="472"/>
      <c r="R564" s="472"/>
      <c r="S564" s="472"/>
      <c r="T564" s="472"/>
      <c r="U564" s="472"/>
      <c r="V564" s="472"/>
      <c r="W564" s="472"/>
      <c r="X564" s="472"/>
      <c r="Y564" s="472"/>
      <c r="Z564" s="472"/>
    </row>
    <row r="565" spans="1:26" ht="14.25" customHeight="1">
      <c r="A565" s="472"/>
      <c r="B565" s="472"/>
      <c r="C565" s="472"/>
      <c r="D565" s="472"/>
      <c r="E565" s="472"/>
      <c r="F565" s="472"/>
      <c r="G565" s="472"/>
      <c r="H565" s="472"/>
      <c r="I565" s="472"/>
      <c r="J565" s="472"/>
      <c r="K565" s="471"/>
      <c r="L565" s="472"/>
      <c r="M565" s="472"/>
      <c r="N565" s="472"/>
      <c r="O565" s="472"/>
      <c r="P565" s="472"/>
      <c r="Q565" s="472"/>
      <c r="R565" s="472"/>
      <c r="S565" s="472"/>
      <c r="T565" s="472"/>
      <c r="U565" s="472"/>
      <c r="V565" s="472"/>
      <c r="W565" s="472"/>
      <c r="X565" s="472"/>
      <c r="Y565" s="472"/>
      <c r="Z565" s="472"/>
    </row>
    <row r="566" spans="1:26" ht="14.25" customHeight="1">
      <c r="A566" s="472"/>
      <c r="B566" s="472"/>
      <c r="C566" s="472"/>
      <c r="D566" s="472"/>
      <c r="E566" s="472"/>
      <c r="F566" s="472"/>
      <c r="G566" s="472"/>
      <c r="H566" s="472"/>
      <c r="I566" s="472"/>
      <c r="J566" s="472"/>
      <c r="K566" s="471"/>
      <c r="L566" s="472"/>
      <c r="M566" s="472"/>
      <c r="N566" s="472"/>
      <c r="O566" s="472"/>
      <c r="P566" s="472"/>
      <c r="Q566" s="472"/>
      <c r="R566" s="472"/>
      <c r="S566" s="472"/>
      <c r="T566" s="472"/>
      <c r="U566" s="472"/>
      <c r="V566" s="472"/>
      <c r="W566" s="472"/>
      <c r="X566" s="472"/>
      <c r="Y566" s="472"/>
      <c r="Z566" s="472"/>
    </row>
    <row r="567" spans="1:26" ht="14.25" customHeight="1">
      <c r="A567" s="472"/>
      <c r="B567" s="472"/>
      <c r="C567" s="472"/>
      <c r="D567" s="472"/>
      <c r="E567" s="472"/>
      <c r="F567" s="472"/>
      <c r="G567" s="472"/>
      <c r="H567" s="472"/>
      <c r="I567" s="472"/>
      <c r="J567" s="472"/>
      <c r="K567" s="471"/>
      <c r="L567" s="472"/>
      <c r="M567" s="472"/>
      <c r="N567" s="472"/>
      <c r="O567" s="472"/>
      <c r="P567" s="472"/>
      <c r="Q567" s="472"/>
      <c r="R567" s="472"/>
      <c r="S567" s="472"/>
      <c r="T567" s="472"/>
      <c r="U567" s="472"/>
      <c r="V567" s="472"/>
      <c r="W567" s="472"/>
      <c r="X567" s="472"/>
      <c r="Y567" s="472"/>
      <c r="Z567" s="472"/>
    </row>
    <row r="568" spans="1:26" ht="14.25" customHeight="1">
      <c r="A568" s="472"/>
      <c r="B568" s="472"/>
      <c r="C568" s="472"/>
      <c r="D568" s="472"/>
      <c r="E568" s="472"/>
      <c r="F568" s="472"/>
      <c r="G568" s="472"/>
      <c r="H568" s="472"/>
      <c r="I568" s="472"/>
      <c r="J568" s="472"/>
      <c r="K568" s="471"/>
      <c r="L568" s="472"/>
      <c r="M568" s="472"/>
      <c r="N568" s="472"/>
      <c r="O568" s="472"/>
      <c r="P568" s="472"/>
      <c r="Q568" s="472"/>
      <c r="R568" s="472"/>
      <c r="S568" s="472"/>
      <c r="T568" s="472"/>
      <c r="U568" s="472"/>
      <c r="V568" s="472"/>
      <c r="W568" s="472"/>
      <c r="X568" s="472"/>
      <c r="Y568" s="472"/>
      <c r="Z568" s="472"/>
    </row>
    <row r="569" spans="1:26" ht="14.25" customHeight="1">
      <c r="A569" s="472"/>
      <c r="B569" s="472"/>
      <c r="C569" s="472"/>
      <c r="D569" s="472"/>
      <c r="E569" s="472"/>
      <c r="F569" s="472"/>
      <c r="G569" s="472"/>
      <c r="H569" s="472"/>
      <c r="I569" s="472"/>
      <c r="J569" s="472"/>
      <c r="K569" s="471"/>
      <c r="L569" s="472"/>
      <c r="M569" s="472"/>
      <c r="N569" s="472"/>
      <c r="O569" s="472"/>
      <c r="P569" s="472"/>
      <c r="Q569" s="472"/>
      <c r="R569" s="472"/>
      <c r="S569" s="472"/>
      <c r="T569" s="472"/>
      <c r="U569" s="472"/>
      <c r="V569" s="472"/>
      <c r="W569" s="472"/>
      <c r="X569" s="472"/>
      <c r="Y569" s="472"/>
      <c r="Z569" s="472"/>
    </row>
    <row r="570" spans="1:26" ht="14.25" customHeight="1">
      <c r="A570" s="472"/>
      <c r="B570" s="472"/>
      <c r="C570" s="472"/>
      <c r="D570" s="472"/>
      <c r="E570" s="472"/>
      <c r="F570" s="472"/>
      <c r="G570" s="472"/>
      <c r="H570" s="472"/>
      <c r="I570" s="472"/>
      <c r="J570" s="472"/>
      <c r="K570" s="471"/>
      <c r="L570" s="472"/>
      <c r="M570" s="472"/>
      <c r="N570" s="472"/>
      <c r="O570" s="472"/>
      <c r="P570" s="472"/>
      <c r="Q570" s="472"/>
      <c r="R570" s="472"/>
      <c r="S570" s="472"/>
      <c r="T570" s="472"/>
      <c r="U570" s="472"/>
      <c r="V570" s="472"/>
      <c r="W570" s="472"/>
      <c r="X570" s="472"/>
      <c r="Y570" s="472"/>
      <c r="Z570" s="472"/>
    </row>
    <row r="571" spans="1:26" ht="14.25" customHeight="1">
      <c r="A571" s="472"/>
      <c r="B571" s="472"/>
      <c r="C571" s="472"/>
      <c r="D571" s="472"/>
      <c r="E571" s="472"/>
      <c r="F571" s="472"/>
      <c r="G571" s="472"/>
      <c r="H571" s="472"/>
      <c r="I571" s="472"/>
      <c r="J571" s="472"/>
      <c r="K571" s="471"/>
      <c r="L571" s="472"/>
      <c r="M571" s="472"/>
      <c r="N571" s="472"/>
      <c r="O571" s="472"/>
      <c r="P571" s="472"/>
      <c r="Q571" s="472"/>
      <c r="R571" s="472"/>
      <c r="S571" s="472"/>
      <c r="T571" s="472"/>
      <c r="U571" s="472"/>
      <c r="V571" s="472"/>
      <c r="W571" s="472"/>
      <c r="X571" s="472"/>
      <c r="Y571" s="472"/>
      <c r="Z571" s="472"/>
    </row>
    <row r="572" spans="1:26" ht="14.25" customHeight="1">
      <c r="A572" s="472"/>
      <c r="B572" s="472"/>
      <c r="C572" s="472"/>
      <c r="D572" s="472"/>
      <c r="E572" s="472"/>
      <c r="F572" s="472"/>
      <c r="G572" s="472"/>
      <c r="H572" s="472"/>
      <c r="I572" s="472"/>
      <c r="J572" s="472"/>
      <c r="K572" s="471"/>
      <c r="L572" s="472"/>
      <c r="M572" s="472"/>
      <c r="N572" s="472"/>
      <c r="O572" s="472"/>
      <c r="P572" s="472"/>
      <c r="Q572" s="472"/>
      <c r="R572" s="472"/>
      <c r="S572" s="472"/>
      <c r="T572" s="472"/>
      <c r="U572" s="472"/>
      <c r="V572" s="472"/>
      <c r="W572" s="472"/>
      <c r="X572" s="472"/>
      <c r="Y572" s="472"/>
      <c r="Z572" s="472"/>
    </row>
    <row r="573" spans="1:26" ht="14.25" customHeight="1">
      <c r="A573" s="472"/>
      <c r="B573" s="472"/>
      <c r="C573" s="472"/>
      <c r="D573" s="472"/>
      <c r="E573" s="472"/>
      <c r="F573" s="472"/>
      <c r="G573" s="472"/>
      <c r="H573" s="472"/>
      <c r="I573" s="472"/>
      <c r="J573" s="472"/>
      <c r="K573" s="471"/>
      <c r="L573" s="472"/>
      <c r="M573" s="472"/>
      <c r="N573" s="472"/>
      <c r="O573" s="472"/>
      <c r="P573" s="472"/>
      <c r="Q573" s="472"/>
      <c r="R573" s="472"/>
      <c r="S573" s="472"/>
      <c r="T573" s="472"/>
      <c r="U573" s="472"/>
      <c r="V573" s="472"/>
      <c r="W573" s="472"/>
      <c r="X573" s="472"/>
      <c r="Y573" s="472"/>
      <c r="Z573" s="472"/>
    </row>
    <row r="574" spans="1:26" ht="14.25" customHeight="1">
      <c r="A574" s="472"/>
      <c r="B574" s="472"/>
      <c r="C574" s="472"/>
      <c r="D574" s="472"/>
      <c r="E574" s="472"/>
      <c r="F574" s="472"/>
      <c r="G574" s="472"/>
      <c r="H574" s="472"/>
      <c r="I574" s="472"/>
      <c r="J574" s="472"/>
      <c r="K574" s="471"/>
      <c r="L574" s="472"/>
      <c r="M574" s="472"/>
      <c r="N574" s="472"/>
      <c r="O574" s="472"/>
      <c r="P574" s="472"/>
      <c r="Q574" s="472"/>
      <c r="R574" s="472"/>
      <c r="S574" s="472"/>
      <c r="T574" s="472"/>
      <c r="U574" s="472"/>
      <c r="V574" s="472"/>
      <c r="W574" s="472"/>
      <c r="X574" s="472"/>
      <c r="Y574" s="472"/>
      <c r="Z574" s="472"/>
    </row>
    <row r="575" spans="1:26" ht="14.25" customHeight="1">
      <c r="A575" s="472"/>
      <c r="B575" s="472"/>
      <c r="C575" s="472"/>
      <c r="D575" s="472"/>
      <c r="E575" s="472"/>
      <c r="F575" s="472"/>
      <c r="G575" s="472"/>
      <c r="H575" s="472"/>
      <c r="I575" s="472"/>
      <c r="J575" s="472"/>
      <c r="K575" s="471"/>
      <c r="L575" s="472"/>
      <c r="M575" s="472"/>
      <c r="N575" s="472"/>
      <c r="O575" s="472"/>
      <c r="P575" s="472"/>
      <c r="Q575" s="472"/>
      <c r="R575" s="472"/>
      <c r="S575" s="472"/>
      <c r="T575" s="472"/>
      <c r="U575" s="472"/>
      <c r="V575" s="472"/>
      <c r="W575" s="472"/>
      <c r="X575" s="472"/>
      <c r="Y575" s="472"/>
      <c r="Z575" s="472"/>
    </row>
    <row r="576" spans="1:26" ht="14.25" customHeight="1">
      <c r="A576" s="472"/>
      <c r="B576" s="472"/>
      <c r="C576" s="472"/>
      <c r="D576" s="472"/>
      <c r="E576" s="472"/>
      <c r="F576" s="472"/>
      <c r="G576" s="472"/>
      <c r="H576" s="472"/>
      <c r="I576" s="472"/>
      <c r="J576" s="472"/>
      <c r="K576" s="471"/>
      <c r="L576" s="472"/>
      <c r="M576" s="472"/>
      <c r="N576" s="472"/>
      <c r="O576" s="472"/>
      <c r="P576" s="472"/>
      <c r="Q576" s="472"/>
      <c r="R576" s="472"/>
      <c r="S576" s="472"/>
      <c r="T576" s="472"/>
      <c r="U576" s="472"/>
      <c r="V576" s="472"/>
      <c r="W576" s="472"/>
      <c r="X576" s="472"/>
      <c r="Y576" s="472"/>
      <c r="Z576" s="472"/>
    </row>
    <row r="577" spans="1:26" ht="14.25" customHeight="1">
      <c r="A577" s="472"/>
      <c r="B577" s="472"/>
      <c r="C577" s="472"/>
      <c r="D577" s="472"/>
      <c r="E577" s="472"/>
      <c r="F577" s="472"/>
      <c r="G577" s="472"/>
      <c r="H577" s="472"/>
      <c r="I577" s="472"/>
      <c r="J577" s="472"/>
      <c r="K577" s="471"/>
      <c r="L577" s="472"/>
      <c r="M577" s="472"/>
      <c r="N577" s="472"/>
      <c r="O577" s="472"/>
      <c r="P577" s="472"/>
      <c r="Q577" s="472"/>
      <c r="R577" s="472"/>
      <c r="S577" s="472"/>
      <c r="T577" s="472"/>
      <c r="U577" s="472"/>
      <c r="V577" s="472"/>
      <c r="W577" s="472"/>
      <c r="X577" s="472"/>
      <c r="Y577" s="472"/>
      <c r="Z577" s="472"/>
    </row>
    <row r="578" spans="1:26" ht="14.25" customHeight="1">
      <c r="A578" s="472"/>
      <c r="B578" s="472"/>
      <c r="C578" s="472"/>
      <c r="D578" s="472"/>
      <c r="E578" s="472"/>
      <c r="F578" s="472"/>
      <c r="G578" s="472"/>
      <c r="H578" s="472"/>
      <c r="I578" s="472"/>
      <c r="J578" s="472"/>
      <c r="K578" s="471"/>
      <c r="L578" s="472"/>
      <c r="M578" s="472"/>
      <c r="N578" s="472"/>
      <c r="O578" s="472"/>
      <c r="P578" s="472"/>
      <c r="Q578" s="472"/>
      <c r="R578" s="472"/>
      <c r="S578" s="472"/>
      <c r="T578" s="472"/>
      <c r="U578" s="472"/>
      <c r="V578" s="472"/>
      <c r="W578" s="472"/>
      <c r="X578" s="472"/>
      <c r="Y578" s="472"/>
      <c r="Z578" s="472"/>
    </row>
    <row r="579" spans="1:26" ht="14.25" customHeight="1">
      <c r="A579" s="472"/>
      <c r="B579" s="472"/>
      <c r="C579" s="472"/>
      <c r="D579" s="472"/>
      <c r="E579" s="472"/>
      <c r="F579" s="472"/>
      <c r="G579" s="472"/>
      <c r="H579" s="472"/>
      <c r="I579" s="472"/>
      <c r="J579" s="472"/>
      <c r="K579" s="471"/>
      <c r="L579" s="472"/>
      <c r="M579" s="472"/>
      <c r="N579" s="472"/>
      <c r="O579" s="472"/>
      <c r="P579" s="472"/>
      <c r="Q579" s="472"/>
      <c r="R579" s="472"/>
      <c r="S579" s="472"/>
      <c r="T579" s="472"/>
      <c r="U579" s="472"/>
      <c r="V579" s="472"/>
      <c r="W579" s="472"/>
      <c r="X579" s="472"/>
      <c r="Y579" s="472"/>
      <c r="Z579" s="472"/>
    </row>
    <row r="580" spans="1:26" ht="14.25" customHeight="1">
      <c r="A580" s="472"/>
      <c r="B580" s="472"/>
      <c r="C580" s="472"/>
      <c r="D580" s="472"/>
      <c r="E580" s="472"/>
      <c r="F580" s="472"/>
      <c r="G580" s="472"/>
      <c r="H580" s="472"/>
      <c r="I580" s="472"/>
      <c r="J580" s="472"/>
      <c r="K580" s="471"/>
      <c r="L580" s="472"/>
      <c r="M580" s="472"/>
      <c r="N580" s="472"/>
      <c r="O580" s="472"/>
      <c r="P580" s="472"/>
      <c r="Q580" s="472"/>
      <c r="R580" s="472"/>
      <c r="S580" s="472"/>
      <c r="T580" s="472"/>
      <c r="U580" s="472"/>
      <c r="V580" s="472"/>
      <c r="W580" s="472"/>
      <c r="X580" s="472"/>
      <c r="Y580" s="472"/>
      <c r="Z580" s="472"/>
    </row>
    <row r="581" spans="1:26" ht="14.25" customHeight="1">
      <c r="A581" s="472"/>
      <c r="B581" s="472"/>
      <c r="C581" s="472"/>
      <c r="D581" s="472"/>
      <c r="E581" s="472"/>
      <c r="F581" s="472"/>
      <c r="G581" s="472"/>
      <c r="H581" s="472"/>
      <c r="I581" s="472"/>
      <c r="J581" s="472"/>
      <c r="K581" s="471"/>
      <c r="L581" s="472"/>
      <c r="M581" s="472"/>
      <c r="N581" s="472"/>
      <c r="O581" s="472"/>
      <c r="P581" s="472"/>
      <c r="Q581" s="472"/>
      <c r="R581" s="472"/>
      <c r="S581" s="472"/>
      <c r="T581" s="472"/>
      <c r="U581" s="472"/>
      <c r="V581" s="472"/>
      <c r="W581" s="472"/>
      <c r="X581" s="472"/>
      <c r="Y581" s="472"/>
      <c r="Z581" s="472"/>
    </row>
    <row r="582" spans="1:26" ht="14.25" customHeight="1">
      <c r="A582" s="472"/>
      <c r="B582" s="472"/>
      <c r="C582" s="472"/>
      <c r="D582" s="472"/>
      <c r="E582" s="472"/>
      <c r="F582" s="472"/>
      <c r="G582" s="472"/>
      <c r="H582" s="472"/>
      <c r="I582" s="472"/>
      <c r="J582" s="472"/>
      <c r="K582" s="471"/>
      <c r="L582" s="472"/>
      <c r="M582" s="472"/>
      <c r="N582" s="472"/>
      <c r="O582" s="472"/>
      <c r="P582" s="472"/>
      <c r="Q582" s="472"/>
      <c r="R582" s="472"/>
      <c r="S582" s="472"/>
      <c r="T582" s="472"/>
      <c r="U582" s="472"/>
      <c r="V582" s="472"/>
      <c r="W582" s="472"/>
      <c r="X582" s="472"/>
      <c r="Y582" s="472"/>
      <c r="Z582" s="472"/>
    </row>
    <row r="583" spans="1:26" ht="14.25" customHeight="1">
      <c r="A583" s="472"/>
      <c r="B583" s="472"/>
      <c r="C583" s="472"/>
      <c r="D583" s="472"/>
      <c r="E583" s="472"/>
      <c r="F583" s="472"/>
      <c r="G583" s="472"/>
      <c r="H583" s="472"/>
      <c r="I583" s="472"/>
      <c r="J583" s="472"/>
      <c r="K583" s="471"/>
      <c r="L583" s="472"/>
      <c r="M583" s="472"/>
      <c r="N583" s="472"/>
      <c r="O583" s="472"/>
      <c r="P583" s="472"/>
      <c r="Q583" s="472"/>
      <c r="R583" s="472"/>
      <c r="S583" s="472"/>
      <c r="T583" s="472"/>
      <c r="U583" s="472"/>
      <c r="V583" s="472"/>
      <c r="W583" s="472"/>
      <c r="X583" s="472"/>
      <c r="Y583" s="472"/>
      <c r="Z583" s="472"/>
    </row>
    <row r="584" spans="1:26" ht="14.25" customHeight="1">
      <c r="A584" s="472"/>
      <c r="B584" s="472"/>
      <c r="C584" s="472"/>
      <c r="D584" s="472"/>
      <c r="E584" s="472"/>
      <c r="F584" s="472"/>
      <c r="G584" s="472"/>
      <c r="H584" s="472"/>
      <c r="I584" s="472"/>
      <c r="J584" s="472"/>
      <c r="K584" s="471"/>
      <c r="L584" s="472"/>
      <c r="M584" s="472"/>
      <c r="N584" s="472"/>
      <c r="O584" s="472"/>
      <c r="P584" s="472"/>
      <c r="Q584" s="472"/>
      <c r="R584" s="472"/>
      <c r="S584" s="472"/>
      <c r="T584" s="472"/>
      <c r="U584" s="472"/>
      <c r="V584" s="472"/>
      <c r="W584" s="472"/>
      <c r="X584" s="472"/>
      <c r="Y584" s="472"/>
      <c r="Z584" s="472"/>
    </row>
    <row r="585" spans="1:26" ht="14.25" customHeight="1">
      <c r="A585" s="472"/>
      <c r="B585" s="472"/>
      <c r="C585" s="472"/>
      <c r="D585" s="472"/>
      <c r="E585" s="472"/>
      <c r="F585" s="472"/>
      <c r="G585" s="472"/>
      <c r="H585" s="472"/>
      <c r="I585" s="472"/>
      <c r="J585" s="472"/>
      <c r="K585" s="471"/>
      <c r="L585" s="472"/>
      <c r="M585" s="472"/>
      <c r="N585" s="472"/>
      <c r="O585" s="472"/>
      <c r="P585" s="472"/>
      <c r="Q585" s="472"/>
      <c r="R585" s="472"/>
      <c r="S585" s="472"/>
      <c r="T585" s="472"/>
      <c r="U585" s="472"/>
      <c r="V585" s="472"/>
      <c r="W585" s="472"/>
      <c r="X585" s="472"/>
      <c r="Y585" s="472"/>
      <c r="Z585" s="472"/>
    </row>
    <row r="586" spans="1:26" ht="14.25" customHeight="1">
      <c r="A586" s="472"/>
      <c r="B586" s="472"/>
      <c r="C586" s="472"/>
      <c r="D586" s="472"/>
      <c r="E586" s="472"/>
      <c r="F586" s="472"/>
      <c r="G586" s="472"/>
      <c r="H586" s="472"/>
      <c r="I586" s="472"/>
      <c r="J586" s="472"/>
      <c r="K586" s="471"/>
      <c r="L586" s="472"/>
      <c r="M586" s="472"/>
      <c r="N586" s="472"/>
      <c r="O586" s="472"/>
      <c r="P586" s="472"/>
      <c r="Q586" s="472"/>
      <c r="R586" s="472"/>
      <c r="S586" s="472"/>
      <c r="T586" s="472"/>
      <c r="U586" s="472"/>
      <c r="V586" s="472"/>
      <c r="W586" s="472"/>
      <c r="X586" s="472"/>
      <c r="Y586" s="472"/>
      <c r="Z586" s="472"/>
    </row>
    <row r="587" spans="1:26" ht="14.25" customHeight="1">
      <c r="A587" s="472"/>
      <c r="B587" s="472"/>
      <c r="C587" s="472"/>
      <c r="D587" s="472"/>
      <c r="E587" s="472"/>
      <c r="F587" s="472"/>
      <c r="G587" s="472"/>
      <c r="H587" s="472"/>
      <c r="I587" s="472"/>
      <c r="J587" s="472"/>
      <c r="K587" s="471"/>
      <c r="L587" s="472"/>
      <c r="M587" s="472"/>
      <c r="N587" s="472"/>
      <c r="O587" s="472"/>
      <c r="P587" s="472"/>
      <c r="Q587" s="472"/>
      <c r="R587" s="472"/>
      <c r="S587" s="472"/>
      <c r="T587" s="472"/>
      <c r="U587" s="472"/>
      <c r="V587" s="472"/>
      <c r="W587" s="472"/>
      <c r="X587" s="472"/>
      <c r="Y587" s="472"/>
      <c r="Z587" s="472"/>
    </row>
    <row r="588" spans="1:26" ht="14.25" customHeight="1">
      <c r="A588" s="472"/>
      <c r="B588" s="472"/>
      <c r="C588" s="472"/>
      <c r="D588" s="472"/>
      <c r="E588" s="472"/>
      <c r="F588" s="472"/>
      <c r="G588" s="472"/>
      <c r="H588" s="472"/>
      <c r="I588" s="472"/>
      <c r="J588" s="472"/>
      <c r="K588" s="471"/>
      <c r="L588" s="472"/>
      <c r="M588" s="472"/>
      <c r="N588" s="472"/>
      <c r="O588" s="472"/>
      <c r="P588" s="472"/>
      <c r="Q588" s="472"/>
      <c r="R588" s="472"/>
      <c r="S588" s="472"/>
      <c r="T588" s="472"/>
      <c r="U588" s="472"/>
      <c r="V588" s="472"/>
      <c r="W588" s="472"/>
      <c r="X588" s="472"/>
      <c r="Y588" s="472"/>
      <c r="Z588" s="472"/>
    </row>
    <row r="589" spans="1:26" ht="14.25" customHeight="1">
      <c r="A589" s="472"/>
      <c r="B589" s="472"/>
      <c r="C589" s="472"/>
      <c r="D589" s="472"/>
      <c r="E589" s="472"/>
      <c r="F589" s="472"/>
      <c r="G589" s="472"/>
      <c r="H589" s="472"/>
      <c r="I589" s="472"/>
      <c r="J589" s="472"/>
      <c r="K589" s="471"/>
      <c r="L589" s="472"/>
      <c r="M589" s="472"/>
      <c r="N589" s="472"/>
      <c r="O589" s="472"/>
      <c r="P589" s="472"/>
      <c r="Q589" s="472"/>
      <c r="R589" s="472"/>
      <c r="S589" s="472"/>
      <c r="T589" s="472"/>
      <c r="U589" s="472"/>
      <c r="V589" s="472"/>
      <c r="W589" s="472"/>
      <c r="X589" s="472"/>
      <c r="Y589" s="472"/>
      <c r="Z589" s="472"/>
    </row>
    <row r="590" spans="1:26" ht="14.25" customHeight="1">
      <c r="A590" s="472"/>
      <c r="B590" s="472"/>
      <c r="C590" s="472"/>
      <c r="D590" s="472"/>
      <c r="E590" s="472"/>
      <c r="F590" s="472"/>
      <c r="G590" s="472"/>
      <c r="H590" s="472"/>
      <c r="I590" s="472"/>
      <c r="J590" s="472"/>
      <c r="K590" s="471"/>
      <c r="L590" s="472"/>
      <c r="M590" s="472"/>
      <c r="N590" s="472"/>
      <c r="O590" s="472"/>
      <c r="P590" s="472"/>
      <c r="Q590" s="472"/>
      <c r="R590" s="472"/>
      <c r="S590" s="472"/>
      <c r="T590" s="472"/>
      <c r="U590" s="472"/>
      <c r="V590" s="472"/>
      <c r="W590" s="472"/>
      <c r="X590" s="472"/>
      <c r="Y590" s="472"/>
      <c r="Z590" s="472"/>
    </row>
    <row r="591" spans="1:26" ht="14.25" customHeight="1">
      <c r="A591" s="472"/>
      <c r="B591" s="472"/>
      <c r="C591" s="472"/>
      <c r="D591" s="472"/>
      <c r="E591" s="472"/>
      <c r="F591" s="472"/>
      <c r="G591" s="472"/>
      <c r="H591" s="472"/>
      <c r="I591" s="472"/>
      <c r="J591" s="472"/>
      <c r="K591" s="471"/>
      <c r="L591" s="472"/>
      <c r="M591" s="472"/>
      <c r="N591" s="472"/>
      <c r="O591" s="472"/>
      <c r="P591" s="472"/>
      <c r="Q591" s="472"/>
      <c r="R591" s="472"/>
      <c r="S591" s="472"/>
      <c r="T591" s="472"/>
      <c r="U591" s="472"/>
      <c r="V591" s="472"/>
      <c r="W591" s="472"/>
      <c r="X591" s="472"/>
      <c r="Y591" s="472"/>
      <c r="Z591" s="472"/>
    </row>
    <row r="592" spans="1:26" ht="14.25" customHeight="1">
      <c r="A592" s="472"/>
      <c r="B592" s="472"/>
      <c r="C592" s="472"/>
      <c r="D592" s="472"/>
      <c r="E592" s="472"/>
      <c r="F592" s="472"/>
      <c r="G592" s="472"/>
      <c r="H592" s="472"/>
      <c r="I592" s="472"/>
      <c r="J592" s="472"/>
      <c r="K592" s="471"/>
      <c r="L592" s="472"/>
      <c r="M592" s="472"/>
      <c r="N592" s="472"/>
      <c r="O592" s="472"/>
      <c r="P592" s="472"/>
      <c r="Q592" s="472"/>
      <c r="R592" s="472"/>
      <c r="S592" s="472"/>
      <c r="T592" s="472"/>
      <c r="U592" s="472"/>
      <c r="V592" s="472"/>
      <c r="W592" s="472"/>
      <c r="X592" s="472"/>
      <c r="Y592" s="472"/>
      <c r="Z592" s="472"/>
    </row>
    <row r="593" spans="1:26" ht="14.25" customHeight="1">
      <c r="A593" s="472"/>
      <c r="B593" s="472"/>
      <c r="C593" s="472"/>
      <c r="D593" s="472"/>
      <c r="E593" s="472"/>
      <c r="F593" s="472"/>
      <c r="G593" s="472"/>
      <c r="H593" s="472"/>
      <c r="I593" s="472"/>
      <c r="J593" s="472"/>
      <c r="K593" s="471"/>
      <c r="L593" s="472"/>
      <c r="M593" s="472"/>
      <c r="N593" s="472"/>
      <c r="O593" s="472"/>
      <c r="P593" s="472"/>
      <c r="Q593" s="472"/>
      <c r="R593" s="472"/>
      <c r="S593" s="472"/>
      <c r="T593" s="472"/>
      <c r="U593" s="472"/>
      <c r="V593" s="472"/>
      <c r="W593" s="472"/>
      <c r="X593" s="472"/>
      <c r="Y593" s="472"/>
      <c r="Z593" s="472"/>
    </row>
    <row r="594" spans="1:26" ht="14.25" customHeight="1">
      <c r="A594" s="472"/>
      <c r="B594" s="472"/>
      <c r="C594" s="472"/>
      <c r="D594" s="472"/>
      <c r="E594" s="472"/>
      <c r="F594" s="472"/>
      <c r="G594" s="472"/>
      <c r="H594" s="472"/>
      <c r="I594" s="472"/>
      <c r="J594" s="472"/>
      <c r="K594" s="471"/>
      <c r="L594" s="472"/>
      <c r="M594" s="472"/>
      <c r="N594" s="472"/>
      <c r="O594" s="472"/>
      <c r="P594" s="472"/>
      <c r="Q594" s="472"/>
      <c r="R594" s="472"/>
      <c r="S594" s="472"/>
      <c r="T594" s="472"/>
      <c r="U594" s="472"/>
      <c r="V594" s="472"/>
      <c r="W594" s="472"/>
      <c r="X594" s="472"/>
      <c r="Y594" s="472"/>
      <c r="Z594" s="472"/>
    </row>
    <row r="595" spans="1:26" ht="14.25" customHeight="1">
      <c r="A595" s="472"/>
      <c r="B595" s="472"/>
      <c r="C595" s="472"/>
      <c r="D595" s="472"/>
      <c r="E595" s="472"/>
      <c r="F595" s="472"/>
      <c r="G595" s="472"/>
      <c r="H595" s="472"/>
      <c r="I595" s="472"/>
      <c r="J595" s="472"/>
      <c r="K595" s="471"/>
      <c r="L595" s="472"/>
      <c r="M595" s="472"/>
      <c r="N595" s="472"/>
      <c r="O595" s="472"/>
      <c r="P595" s="472"/>
      <c r="Q595" s="472"/>
      <c r="R595" s="472"/>
      <c r="S595" s="472"/>
      <c r="T595" s="472"/>
      <c r="U595" s="472"/>
      <c r="V595" s="472"/>
      <c r="W595" s="472"/>
      <c r="X595" s="472"/>
      <c r="Y595" s="472"/>
      <c r="Z595" s="472"/>
    </row>
    <row r="596" spans="1:26" ht="14.25" customHeight="1">
      <c r="A596" s="472"/>
      <c r="B596" s="472"/>
      <c r="C596" s="472"/>
      <c r="D596" s="472"/>
      <c r="E596" s="472"/>
      <c r="F596" s="472"/>
      <c r="G596" s="472"/>
      <c r="H596" s="472"/>
      <c r="I596" s="472"/>
      <c r="J596" s="472"/>
      <c r="K596" s="471"/>
      <c r="L596" s="472"/>
      <c r="M596" s="472"/>
      <c r="N596" s="472"/>
      <c r="O596" s="472"/>
      <c r="P596" s="472"/>
      <c r="Q596" s="472"/>
      <c r="R596" s="472"/>
      <c r="S596" s="472"/>
      <c r="T596" s="472"/>
      <c r="U596" s="472"/>
      <c r="V596" s="472"/>
      <c r="W596" s="472"/>
      <c r="X596" s="472"/>
      <c r="Y596" s="472"/>
      <c r="Z596" s="472"/>
    </row>
    <row r="597" spans="1:26" ht="14.25" customHeight="1">
      <c r="A597" s="472"/>
      <c r="B597" s="472"/>
      <c r="C597" s="472"/>
      <c r="D597" s="472"/>
      <c r="E597" s="472"/>
      <c r="F597" s="472"/>
      <c r="G597" s="472"/>
      <c r="H597" s="472"/>
      <c r="I597" s="472"/>
      <c r="J597" s="472"/>
      <c r="K597" s="471"/>
      <c r="L597" s="472"/>
      <c r="M597" s="472"/>
      <c r="N597" s="472"/>
      <c r="O597" s="472"/>
      <c r="P597" s="472"/>
      <c r="Q597" s="472"/>
      <c r="R597" s="472"/>
      <c r="S597" s="472"/>
      <c r="T597" s="472"/>
      <c r="U597" s="472"/>
      <c r="V597" s="472"/>
      <c r="W597" s="472"/>
      <c r="X597" s="472"/>
      <c r="Y597" s="472"/>
      <c r="Z597" s="472"/>
    </row>
    <row r="598" spans="1:26" ht="14.25" customHeight="1">
      <c r="A598" s="472"/>
      <c r="B598" s="472"/>
      <c r="C598" s="472"/>
      <c r="D598" s="472"/>
      <c r="E598" s="472"/>
      <c r="F598" s="472"/>
      <c r="G598" s="472"/>
      <c r="H598" s="472"/>
      <c r="I598" s="472"/>
      <c r="J598" s="472"/>
      <c r="K598" s="471"/>
      <c r="L598" s="472"/>
      <c r="M598" s="472"/>
      <c r="N598" s="472"/>
      <c r="O598" s="472"/>
      <c r="P598" s="472"/>
      <c r="Q598" s="472"/>
      <c r="R598" s="472"/>
      <c r="S598" s="472"/>
      <c r="T598" s="472"/>
      <c r="U598" s="472"/>
      <c r="V598" s="472"/>
      <c r="W598" s="472"/>
      <c r="X598" s="472"/>
      <c r="Y598" s="472"/>
      <c r="Z598" s="472"/>
    </row>
    <row r="599" spans="1:26" ht="14.25" customHeight="1">
      <c r="A599" s="472"/>
      <c r="B599" s="472"/>
      <c r="C599" s="472"/>
      <c r="D599" s="472"/>
      <c r="E599" s="472"/>
      <c r="F599" s="472"/>
      <c r="G599" s="472"/>
      <c r="H599" s="472"/>
      <c r="I599" s="472"/>
      <c r="J599" s="472"/>
      <c r="K599" s="471"/>
      <c r="L599" s="472"/>
      <c r="M599" s="472"/>
      <c r="N599" s="472"/>
      <c r="O599" s="472"/>
      <c r="P599" s="472"/>
      <c r="Q599" s="472"/>
      <c r="R599" s="472"/>
      <c r="S599" s="472"/>
      <c r="T599" s="472"/>
      <c r="U599" s="472"/>
      <c r="V599" s="472"/>
      <c r="W599" s="472"/>
      <c r="X599" s="472"/>
      <c r="Y599" s="472"/>
      <c r="Z599" s="472"/>
    </row>
    <row r="600" spans="1:26" ht="14.25" customHeight="1">
      <c r="A600" s="472"/>
      <c r="B600" s="472"/>
      <c r="C600" s="472"/>
      <c r="D600" s="472"/>
      <c r="E600" s="472"/>
      <c r="F600" s="472"/>
      <c r="G600" s="472"/>
      <c r="H600" s="472"/>
      <c r="I600" s="472"/>
      <c r="J600" s="472"/>
      <c r="K600" s="471"/>
      <c r="L600" s="472"/>
      <c r="M600" s="472"/>
      <c r="N600" s="472"/>
      <c r="O600" s="472"/>
      <c r="P600" s="472"/>
      <c r="Q600" s="472"/>
      <c r="R600" s="472"/>
      <c r="S600" s="472"/>
      <c r="T600" s="472"/>
      <c r="U600" s="472"/>
      <c r="V600" s="472"/>
      <c r="W600" s="472"/>
      <c r="X600" s="472"/>
      <c r="Y600" s="472"/>
      <c r="Z600" s="472"/>
    </row>
    <row r="601" spans="1:26" ht="14.25" customHeight="1">
      <c r="A601" s="472"/>
      <c r="B601" s="472"/>
      <c r="C601" s="472"/>
      <c r="D601" s="472"/>
      <c r="E601" s="472"/>
      <c r="F601" s="472"/>
      <c r="G601" s="472"/>
      <c r="H601" s="472"/>
      <c r="I601" s="472"/>
      <c r="J601" s="472"/>
      <c r="K601" s="471"/>
      <c r="L601" s="472"/>
      <c r="M601" s="472"/>
      <c r="N601" s="472"/>
      <c r="O601" s="472"/>
      <c r="P601" s="472"/>
      <c r="Q601" s="472"/>
      <c r="R601" s="472"/>
      <c r="S601" s="472"/>
      <c r="T601" s="472"/>
      <c r="U601" s="472"/>
      <c r="V601" s="472"/>
      <c r="W601" s="472"/>
      <c r="X601" s="472"/>
      <c r="Y601" s="472"/>
      <c r="Z601" s="472"/>
    </row>
    <row r="602" spans="1:26" ht="14.25" customHeight="1">
      <c r="A602" s="472"/>
      <c r="B602" s="472"/>
      <c r="C602" s="472"/>
      <c r="D602" s="472"/>
      <c r="E602" s="472"/>
      <c r="F602" s="472"/>
      <c r="G602" s="472"/>
      <c r="H602" s="472"/>
      <c r="I602" s="472"/>
      <c r="J602" s="472"/>
      <c r="K602" s="471"/>
      <c r="L602" s="472"/>
      <c r="M602" s="472"/>
      <c r="N602" s="472"/>
      <c r="O602" s="472"/>
      <c r="P602" s="472"/>
      <c r="Q602" s="472"/>
      <c r="R602" s="472"/>
      <c r="S602" s="472"/>
      <c r="T602" s="472"/>
      <c r="U602" s="472"/>
      <c r="V602" s="472"/>
      <c r="W602" s="472"/>
      <c r="X602" s="472"/>
      <c r="Y602" s="472"/>
      <c r="Z602" s="472"/>
    </row>
    <row r="603" spans="1:26" ht="14.25" customHeight="1">
      <c r="A603" s="472"/>
      <c r="B603" s="472"/>
      <c r="C603" s="472"/>
      <c r="D603" s="472"/>
      <c r="E603" s="472"/>
      <c r="F603" s="472"/>
      <c r="G603" s="472"/>
      <c r="H603" s="472"/>
      <c r="I603" s="472"/>
      <c r="J603" s="472"/>
      <c r="K603" s="471"/>
      <c r="L603" s="472"/>
      <c r="M603" s="472"/>
      <c r="N603" s="472"/>
      <c r="O603" s="472"/>
      <c r="P603" s="472"/>
      <c r="Q603" s="472"/>
      <c r="R603" s="472"/>
      <c r="S603" s="472"/>
      <c r="T603" s="472"/>
      <c r="U603" s="472"/>
      <c r="V603" s="472"/>
      <c r="W603" s="472"/>
      <c r="X603" s="472"/>
      <c r="Y603" s="472"/>
      <c r="Z603" s="472"/>
    </row>
    <row r="604" spans="1:26" ht="14.25" customHeight="1">
      <c r="A604" s="472"/>
      <c r="B604" s="472"/>
      <c r="C604" s="472"/>
      <c r="D604" s="472"/>
      <c r="E604" s="472"/>
      <c r="F604" s="472"/>
      <c r="G604" s="472"/>
      <c r="H604" s="472"/>
      <c r="I604" s="472"/>
      <c r="J604" s="472"/>
      <c r="K604" s="471"/>
      <c r="L604" s="472"/>
      <c r="M604" s="472"/>
      <c r="N604" s="472"/>
      <c r="O604" s="472"/>
      <c r="P604" s="472"/>
      <c r="Q604" s="472"/>
      <c r="R604" s="472"/>
      <c r="S604" s="472"/>
      <c r="T604" s="472"/>
      <c r="U604" s="472"/>
      <c r="V604" s="472"/>
      <c r="W604" s="472"/>
      <c r="X604" s="472"/>
      <c r="Y604" s="472"/>
      <c r="Z604" s="472"/>
    </row>
    <row r="605" spans="1:26" ht="14.25" customHeight="1">
      <c r="A605" s="472"/>
      <c r="B605" s="472"/>
      <c r="C605" s="472"/>
      <c r="D605" s="472"/>
      <c r="E605" s="472"/>
      <c r="F605" s="472"/>
      <c r="G605" s="472"/>
      <c r="H605" s="472"/>
      <c r="I605" s="472"/>
      <c r="J605" s="472"/>
      <c r="K605" s="471"/>
      <c r="L605" s="472"/>
      <c r="M605" s="472"/>
      <c r="N605" s="472"/>
      <c r="O605" s="472"/>
      <c r="P605" s="472"/>
      <c r="Q605" s="472"/>
      <c r="R605" s="472"/>
      <c r="S605" s="472"/>
      <c r="T605" s="472"/>
      <c r="U605" s="472"/>
      <c r="V605" s="472"/>
      <c r="W605" s="472"/>
      <c r="X605" s="472"/>
      <c r="Y605" s="472"/>
      <c r="Z605" s="472"/>
    </row>
    <row r="606" spans="1:26" ht="14.25" customHeight="1">
      <c r="A606" s="472"/>
      <c r="B606" s="472"/>
      <c r="C606" s="472"/>
      <c r="D606" s="472"/>
      <c r="E606" s="472"/>
      <c r="F606" s="472"/>
      <c r="G606" s="472"/>
      <c r="H606" s="472"/>
      <c r="I606" s="472"/>
      <c r="J606" s="472"/>
      <c r="K606" s="471"/>
      <c r="L606" s="472"/>
      <c r="M606" s="472"/>
      <c r="N606" s="472"/>
      <c r="O606" s="472"/>
      <c r="P606" s="472"/>
      <c r="Q606" s="472"/>
      <c r="R606" s="472"/>
      <c r="S606" s="472"/>
      <c r="T606" s="472"/>
      <c r="U606" s="472"/>
      <c r="V606" s="472"/>
      <c r="W606" s="472"/>
      <c r="X606" s="472"/>
      <c r="Y606" s="472"/>
      <c r="Z606" s="472"/>
    </row>
    <row r="607" spans="1:26" ht="14.25" customHeight="1">
      <c r="A607" s="472"/>
      <c r="B607" s="472"/>
      <c r="C607" s="472"/>
      <c r="D607" s="472"/>
      <c r="E607" s="472"/>
      <c r="F607" s="472"/>
      <c r="G607" s="472"/>
      <c r="H607" s="472"/>
      <c r="I607" s="472"/>
      <c r="J607" s="472"/>
      <c r="K607" s="471"/>
      <c r="L607" s="472"/>
      <c r="M607" s="472"/>
      <c r="N607" s="472"/>
      <c r="O607" s="472"/>
      <c r="P607" s="472"/>
      <c r="Q607" s="472"/>
      <c r="R607" s="472"/>
      <c r="S607" s="472"/>
      <c r="T607" s="472"/>
      <c r="U607" s="472"/>
      <c r="V607" s="472"/>
      <c r="W607" s="472"/>
      <c r="X607" s="472"/>
      <c r="Y607" s="472"/>
      <c r="Z607" s="472"/>
    </row>
    <row r="608" spans="1:26" ht="14.25" customHeight="1">
      <c r="A608" s="472"/>
      <c r="B608" s="472"/>
      <c r="C608" s="472"/>
      <c r="D608" s="472"/>
      <c r="E608" s="472"/>
      <c r="F608" s="472"/>
      <c r="G608" s="472"/>
      <c r="H608" s="472"/>
      <c r="I608" s="472"/>
      <c r="J608" s="472"/>
      <c r="K608" s="471"/>
      <c r="L608" s="472"/>
      <c r="M608" s="472"/>
      <c r="N608" s="472"/>
      <c r="O608" s="472"/>
      <c r="P608" s="472"/>
      <c r="Q608" s="472"/>
      <c r="R608" s="472"/>
      <c r="S608" s="472"/>
      <c r="T608" s="472"/>
      <c r="U608" s="472"/>
      <c r="V608" s="472"/>
      <c r="W608" s="472"/>
      <c r="X608" s="472"/>
      <c r="Y608" s="472"/>
      <c r="Z608" s="472"/>
    </row>
    <row r="609" spans="1:26" ht="14.25" customHeight="1">
      <c r="A609" s="472"/>
      <c r="B609" s="472"/>
      <c r="C609" s="472"/>
      <c r="D609" s="472"/>
      <c r="E609" s="472"/>
      <c r="F609" s="472"/>
      <c r="G609" s="472"/>
      <c r="H609" s="472"/>
      <c r="I609" s="472"/>
      <c r="J609" s="472"/>
      <c r="K609" s="471"/>
      <c r="L609" s="472"/>
      <c r="M609" s="472"/>
      <c r="N609" s="472"/>
      <c r="O609" s="472"/>
      <c r="P609" s="472"/>
      <c r="Q609" s="472"/>
      <c r="R609" s="472"/>
      <c r="S609" s="472"/>
      <c r="T609" s="472"/>
      <c r="U609" s="472"/>
      <c r="V609" s="472"/>
      <c r="W609" s="472"/>
      <c r="X609" s="472"/>
      <c r="Y609" s="472"/>
      <c r="Z609" s="472"/>
    </row>
    <row r="610" spans="1:26" ht="14.25" customHeight="1">
      <c r="A610" s="472"/>
      <c r="B610" s="472"/>
      <c r="C610" s="472"/>
      <c r="D610" s="472"/>
      <c r="E610" s="472"/>
      <c r="F610" s="472"/>
      <c r="G610" s="472"/>
      <c r="H610" s="472"/>
      <c r="I610" s="472"/>
      <c r="J610" s="472"/>
      <c r="K610" s="471"/>
      <c r="L610" s="472"/>
      <c r="M610" s="472"/>
      <c r="N610" s="472"/>
      <c r="O610" s="472"/>
      <c r="P610" s="472"/>
      <c r="Q610" s="472"/>
      <c r="R610" s="472"/>
      <c r="S610" s="472"/>
      <c r="T610" s="472"/>
      <c r="U610" s="472"/>
      <c r="V610" s="472"/>
      <c r="W610" s="472"/>
      <c r="X610" s="472"/>
      <c r="Y610" s="472"/>
      <c r="Z610" s="472"/>
    </row>
    <row r="611" spans="1:26" ht="14.25" customHeight="1">
      <c r="A611" s="472"/>
      <c r="B611" s="472"/>
      <c r="C611" s="472"/>
      <c r="D611" s="472"/>
      <c r="E611" s="472"/>
      <c r="F611" s="472"/>
      <c r="G611" s="472"/>
      <c r="H611" s="472"/>
      <c r="I611" s="472"/>
      <c r="J611" s="472"/>
      <c r="K611" s="471"/>
      <c r="L611" s="472"/>
      <c r="M611" s="472"/>
      <c r="N611" s="472"/>
      <c r="O611" s="472"/>
      <c r="P611" s="472"/>
      <c r="Q611" s="472"/>
      <c r="R611" s="472"/>
      <c r="S611" s="472"/>
      <c r="T611" s="472"/>
      <c r="U611" s="472"/>
      <c r="V611" s="472"/>
      <c r="W611" s="472"/>
      <c r="X611" s="472"/>
      <c r="Y611" s="472"/>
      <c r="Z611" s="472"/>
    </row>
    <row r="612" spans="1:26" ht="14.25" customHeight="1">
      <c r="A612" s="472"/>
      <c r="B612" s="472"/>
      <c r="C612" s="472"/>
      <c r="D612" s="472"/>
      <c r="E612" s="472"/>
      <c r="F612" s="472"/>
      <c r="G612" s="472"/>
      <c r="H612" s="472"/>
      <c r="I612" s="472"/>
      <c r="J612" s="472"/>
      <c r="K612" s="471"/>
      <c r="L612" s="472"/>
      <c r="M612" s="472"/>
      <c r="N612" s="472"/>
      <c r="O612" s="472"/>
      <c r="P612" s="472"/>
      <c r="Q612" s="472"/>
      <c r="R612" s="472"/>
      <c r="S612" s="472"/>
      <c r="T612" s="472"/>
      <c r="U612" s="472"/>
      <c r="V612" s="472"/>
      <c r="W612" s="472"/>
      <c r="X612" s="472"/>
      <c r="Y612" s="472"/>
      <c r="Z612" s="472"/>
    </row>
    <row r="613" spans="1:26" ht="14.25" customHeight="1">
      <c r="A613" s="472"/>
      <c r="B613" s="472"/>
      <c r="C613" s="472"/>
      <c r="D613" s="472"/>
      <c r="E613" s="472"/>
      <c r="F613" s="472"/>
      <c r="G613" s="472"/>
      <c r="H613" s="472"/>
      <c r="I613" s="472"/>
      <c r="J613" s="472"/>
      <c r="K613" s="471"/>
      <c r="L613" s="472"/>
      <c r="M613" s="472"/>
      <c r="N613" s="472"/>
      <c r="O613" s="472"/>
      <c r="P613" s="472"/>
      <c r="Q613" s="472"/>
      <c r="R613" s="472"/>
      <c r="S613" s="472"/>
      <c r="T613" s="472"/>
      <c r="U613" s="472"/>
      <c r="V613" s="472"/>
      <c r="W613" s="472"/>
      <c r="X613" s="472"/>
      <c r="Y613" s="472"/>
      <c r="Z613" s="472"/>
    </row>
    <row r="614" spans="1:26" ht="14.25" customHeight="1">
      <c r="A614" s="472"/>
      <c r="B614" s="472"/>
      <c r="C614" s="472"/>
      <c r="D614" s="472"/>
      <c r="E614" s="472"/>
      <c r="F614" s="472"/>
      <c r="G614" s="472"/>
      <c r="H614" s="472"/>
      <c r="I614" s="472"/>
      <c r="J614" s="472"/>
      <c r="K614" s="471"/>
      <c r="L614" s="472"/>
      <c r="M614" s="472"/>
      <c r="N614" s="472"/>
      <c r="O614" s="472"/>
      <c r="P614" s="472"/>
      <c r="Q614" s="472"/>
      <c r="R614" s="472"/>
      <c r="S614" s="472"/>
      <c r="T614" s="472"/>
      <c r="U614" s="472"/>
      <c r="V614" s="472"/>
      <c r="W614" s="472"/>
      <c r="X614" s="472"/>
      <c r="Y614" s="472"/>
      <c r="Z614" s="472"/>
    </row>
    <row r="615" spans="1:26" ht="14.25" customHeight="1">
      <c r="A615" s="472"/>
      <c r="B615" s="472"/>
      <c r="C615" s="472"/>
      <c r="D615" s="472"/>
      <c r="E615" s="472"/>
      <c r="F615" s="472"/>
      <c r="G615" s="472"/>
      <c r="H615" s="472"/>
      <c r="I615" s="472"/>
      <c r="J615" s="472"/>
      <c r="K615" s="471"/>
      <c r="L615" s="472"/>
      <c r="M615" s="472"/>
      <c r="N615" s="472"/>
      <c r="O615" s="472"/>
      <c r="P615" s="472"/>
      <c r="Q615" s="472"/>
      <c r="R615" s="472"/>
      <c r="S615" s="472"/>
      <c r="T615" s="472"/>
      <c r="U615" s="472"/>
      <c r="V615" s="472"/>
      <c r="W615" s="472"/>
      <c r="X615" s="472"/>
      <c r="Y615" s="472"/>
      <c r="Z615" s="472"/>
    </row>
    <row r="616" spans="1:26" ht="14.25" customHeight="1">
      <c r="A616" s="472"/>
      <c r="B616" s="472"/>
      <c r="C616" s="472"/>
      <c r="D616" s="472"/>
      <c r="E616" s="472"/>
      <c r="F616" s="472"/>
      <c r="G616" s="472"/>
      <c r="H616" s="472"/>
      <c r="I616" s="472"/>
      <c r="J616" s="472"/>
      <c r="K616" s="471"/>
      <c r="L616" s="472"/>
      <c r="M616" s="472"/>
      <c r="N616" s="472"/>
      <c r="O616" s="472"/>
      <c r="P616" s="472"/>
      <c r="Q616" s="472"/>
      <c r="R616" s="472"/>
      <c r="S616" s="472"/>
      <c r="T616" s="472"/>
      <c r="U616" s="472"/>
      <c r="V616" s="472"/>
      <c r="W616" s="472"/>
      <c r="X616" s="472"/>
      <c r="Y616" s="472"/>
      <c r="Z616" s="472"/>
    </row>
    <row r="617" spans="1:26" ht="14.25" customHeight="1">
      <c r="A617" s="472"/>
      <c r="B617" s="472"/>
      <c r="C617" s="472"/>
      <c r="D617" s="472"/>
      <c r="E617" s="472"/>
      <c r="F617" s="472"/>
      <c r="G617" s="472"/>
      <c r="H617" s="472"/>
      <c r="I617" s="472"/>
      <c r="J617" s="472"/>
      <c r="K617" s="471"/>
      <c r="L617" s="472"/>
      <c r="M617" s="472"/>
      <c r="N617" s="472"/>
      <c r="O617" s="472"/>
      <c r="P617" s="472"/>
      <c r="Q617" s="472"/>
      <c r="R617" s="472"/>
      <c r="S617" s="472"/>
      <c r="T617" s="472"/>
      <c r="U617" s="472"/>
      <c r="V617" s="472"/>
      <c r="W617" s="472"/>
      <c r="X617" s="472"/>
      <c r="Y617" s="472"/>
      <c r="Z617" s="472"/>
    </row>
    <row r="618" spans="1:26" ht="14.25" customHeight="1">
      <c r="A618" s="472"/>
      <c r="B618" s="472"/>
      <c r="C618" s="472"/>
      <c r="D618" s="472"/>
      <c r="E618" s="472"/>
      <c r="F618" s="472"/>
      <c r="G618" s="472"/>
      <c r="H618" s="472"/>
      <c r="I618" s="472"/>
      <c r="J618" s="472"/>
      <c r="K618" s="471"/>
      <c r="L618" s="472"/>
      <c r="M618" s="472"/>
      <c r="N618" s="472"/>
      <c r="O618" s="472"/>
      <c r="P618" s="472"/>
      <c r="Q618" s="472"/>
      <c r="R618" s="472"/>
      <c r="S618" s="472"/>
      <c r="T618" s="472"/>
      <c r="U618" s="472"/>
      <c r="V618" s="472"/>
      <c r="W618" s="472"/>
      <c r="X618" s="472"/>
      <c r="Y618" s="472"/>
      <c r="Z618" s="472"/>
    </row>
    <row r="619" spans="1:26" ht="14.25" customHeight="1">
      <c r="A619" s="472"/>
      <c r="B619" s="472"/>
      <c r="C619" s="472"/>
      <c r="D619" s="472"/>
      <c r="E619" s="472"/>
      <c r="F619" s="472"/>
      <c r="G619" s="472"/>
      <c r="H619" s="472"/>
      <c r="I619" s="472"/>
      <c r="J619" s="472"/>
      <c r="K619" s="471"/>
      <c r="L619" s="472"/>
      <c r="M619" s="472"/>
      <c r="N619" s="472"/>
      <c r="O619" s="472"/>
      <c r="P619" s="472"/>
      <c r="Q619" s="472"/>
      <c r="R619" s="472"/>
      <c r="S619" s="472"/>
      <c r="T619" s="472"/>
      <c r="U619" s="472"/>
      <c r="V619" s="472"/>
      <c r="W619" s="472"/>
      <c r="X619" s="472"/>
      <c r="Y619" s="472"/>
      <c r="Z619" s="472"/>
    </row>
    <row r="620" spans="1:26" ht="14.25" customHeight="1">
      <c r="A620" s="472"/>
      <c r="B620" s="472"/>
      <c r="C620" s="472"/>
      <c r="D620" s="472"/>
      <c r="E620" s="472"/>
      <c r="F620" s="472"/>
      <c r="G620" s="472"/>
      <c r="H620" s="472"/>
      <c r="I620" s="472"/>
      <c r="J620" s="472"/>
      <c r="K620" s="471"/>
      <c r="L620" s="472"/>
      <c r="M620" s="472"/>
      <c r="N620" s="472"/>
      <c r="O620" s="472"/>
      <c r="P620" s="472"/>
      <c r="Q620" s="472"/>
      <c r="R620" s="472"/>
      <c r="S620" s="472"/>
      <c r="T620" s="472"/>
      <c r="U620" s="472"/>
      <c r="V620" s="472"/>
      <c r="W620" s="472"/>
      <c r="X620" s="472"/>
      <c r="Y620" s="472"/>
      <c r="Z620" s="472"/>
    </row>
    <row r="621" spans="1:26" ht="14.25" customHeight="1">
      <c r="A621" s="472"/>
      <c r="B621" s="472"/>
      <c r="C621" s="472"/>
      <c r="D621" s="472"/>
      <c r="E621" s="472"/>
      <c r="F621" s="472"/>
      <c r="G621" s="472"/>
      <c r="H621" s="472"/>
      <c r="I621" s="472"/>
      <c r="J621" s="472"/>
      <c r="K621" s="471"/>
      <c r="L621" s="472"/>
      <c r="M621" s="472"/>
      <c r="N621" s="472"/>
      <c r="O621" s="472"/>
      <c r="P621" s="472"/>
      <c r="Q621" s="472"/>
      <c r="R621" s="472"/>
      <c r="S621" s="472"/>
      <c r="T621" s="472"/>
      <c r="U621" s="472"/>
      <c r="V621" s="472"/>
      <c r="W621" s="472"/>
      <c r="X621" s="472"/>
      <c r="Y621" s="472"/>
      <c r="Z621" s="472"/>
    </row>
    <row r="622" spans="1:26" ht="14.25" customHeight="1">
      <c r="A622" s="472"/>
      <c r="B622" s="472"/>
      <c r="C622" s="472"/>
      <c r="D622" s="472"/>
      <c r="E622" s="472"/>
      <c r="F622" s="472"/>
      <c r="G622" s="472"/>
      <c r="H622" s="472"/>
      <c r="I622" s="472"/>
      <c r="J622" s="472"/>
      <c r="K622" s="471"/>
      <c r="L622" s="472"/>
      <c r="M622" s="472"/>
      <c r="N622" s="472"/>
      <c r="O622" s="472"/>
      <c r="P622" s="472"/>
      <c r="Q622" s="472"/>
      <c r="R622" s="472"/>
      <c r="S622" s="472"/>
      <c r="T622" s="472"/>
      <c r="U622" s="472"/>
      <c r="V622" s="472"/>
      <c r="W622" s="472"/>
      <c r="X622" s="472"/>
      <c r="Y622" s="472"/>
      <c r="Z622" s="472"/>
    </row>
    <row r="623" spans="1:26" ht="14.25" customHeight="1">
      <c r="A623" s="472"/>
      <c r="B623" s="472"/>
      <c r="C623" s="472"/>
      <c r="D623" s="472"/>
      <c r="E623" s="472"/>
      <c r="F623" s="472"/>
      <c r="G623" s="472"/>
      <c r="H623" s="472"/>
      <c r="I623" s="472"/>
      <c r="J623" s="472"/>
      <c r="K623" s="471"/>
      <c r="L623" s="472"/>
      <c r="M623" s="472"/>
      <c r="N623" s="472"/>
      <c r="O623" s="472"/>
      <c r="P623" s="472"/>
      <c r="Q623" s="472"/>
      <c r="R623" s="472"/>
      <c r="S623" s="472"/>
      <c r="T623" s="472"/>
      <c r="U623" s="472"/>
      <c r="V623" s="472"/>
      <c r="W623" s="472"/>
      <c r="X623" s="472"/>
      <c r="Y623" s="472"/>
      <c r="Z623" s="472"/>
    </row>
    <row r="624" spans="1:26" ht="14.25" customHeight="1">
      <c r="A624" s="472"/>
      <c r="B624" s="472"/>
      <c r="C624" s="472"/>
      <c r="D624" s="472"/>
      <c r="E624" s="472"/>
      <c r="F624" s="472"/>
      <c r="G624" s="472"/>
      <c r="H624" s="472"/>
      <c r="I624" s="472"/>
      <c r="J624" s="472"/>
      <c r="K624" s="471"/>
      <c r="L624" s="472"/>
      <c r="M624" s="472"/>
      <c r="N624" s="472"/>
      <c r="O624" s="472"/>
      <c r="P624" s="472"/>
      <c r="Q624" s="472"/>
      <c r="R624" s="472"/>
      <c r="S624" s="472"/>
      <c r="T624" s="472"/>
      <c r="U624" s="472"/>
      <c r="V624" s="472"/>
      <c r="W624" s="472"/>
      <c r="X624" s="472"/>
      <c r="Y624" s="472"/>
      <c r="Z624" s="472"/>
    </row>
    <row r="625" spans="1:26" ht="14.25" customHeight="1">
      <c r="A625" s="472"/>
      <c r="B625" s="472"/>
      <c r="C625" s="472"/>
      <c r="D625" s="472"/>
      <c r="E625" s="472"/>
      <c r="F625" s="472"/>
      <c r="G625" s="472"/>
      <c r="H625" s="472"/>
      <c r="I625" s="472"/>
      <c r="J625" s="472"/>
      <c r="K625" s="471"/>
      <c r="L625" s="472"/>
      <c r="M625" s="472"/>
      <c r="N625" s="472"/>
      <c r="O625" s="472"/>
      <c r="P625" s="472"/>
      <c r="Q625" s="472"/>
      <c r="R625" s="472"/>
      <c r="S625" s="472"/>
      <c r="T625" s="472"/>
      <c r="U625" s="472"/>
      <c r="V625" s="472"/>
      <c r="W625" s="472"/>
      <c r="X625" s="472"/>
      <c r="Y625" s="472"/>
      <c r="Z625" s="472"/>
    </row>
    <row r="626" spans="1:26" ht="14.25" customHeight="1">
      <c r="A626" s="472"/>
      <c r="B626" s="472"/>
      <c r="C626" s="472"/>
      <c r="D626" s="472"/>
      <c r="E626" s="472"/>
      <c r="F626" s="472"/>
      <c r="G626" s="472"/>
      <c r="H626" s="472"/>
      <c r="I626" s="472"/>
      <c r="J626" s="472"/>
      <c r="K626" s="471"/>
      <c r="L626" s="472"/>
      <c r="M626" s="472"/>
      <c r="N626" s="472"/>
      <c r="O626" s="472"/>
      <c r="P626" s="472"/>
      <c r="Q626" s="472"/>
      <c r="R626" s="472"/>
      <c r="S626" s="472"/>
      <c r="T626" s="472"/>
      <c r="U626" s="472"/>
      <c r="V626" s="472"/>
      <c r="W626" s="472"/>
      <c r="X626" s="472"/>
      <c r="Y626" s="472"/>
      <c r="Z626" s="472"/>
    </row>
    <row r="627" spans="1:26" ht="14.25" customHeight="1">
      <c r="A627" s="472"/>
      <c r="B627" s="472"/>
      <c r="C627" s="472"/>
      <c r="D627" s="472"/>
      <c r="E627" s="472"/>
      <c r="F627" s="472"/>
      <c r="G627" s="472"/>
      <c r="H627" s="472"/>
      <c r="I627" s="472"/>
      <c r="J627" s="472"/>
      <c r="K627" s="471"/>
      <c r="L627" s="472"/>
      <c r="M627" s="472"/>
      <c r="N627" s="472"/>
      <c r="O627" s="472"/>
      <c r="P627" s="472"/>
      <c r="Q627" s="472"/>
      <c r="R627" s="472"/>
      <c r="S627" s="472"/>
      <c r="T627" s="472"/>
      <c r="U627" s="472"/>
      <c r="V627" s="472"/>
      <c r="W627" s="472"/>
      <c r="X627" s="472"/>
      <c r="Y627" s="472"/>
      <c r="Z627" s="472"/>
    </row>
    <row r="628" spans="1:26" ht="14.25" customHeight="1">
      <c r="A628" s="472"/>
      <c r="B628" s="472"/>
      <c r="C628" s="472"/>
      <c r="D628" s="472"/>
      <c r="E628" s="472"/>
      <c r="F628" s="472"/>
      <c r="G628" s="472"/>
      <c r="H628" s="472"/>
      <c r="I628" s="472"/>
      <c r="J628" s="472"/>
      <c r="K628" s="471"/>
      <c r="L628" s="472"/>
      <c r="M628" s="472"/>
      <c r="N628" s="472"/>
      <c r="O628" s="472"/>
      <c r="P628" s="472"/>
      <c r="Q628" s="472"/>
      <c r="R628" s="472"/>
      <c r="S628" s="472"/>
      <c r="T628" s="472"/>
      <c r="U628" s="472"/>
      <c r="V628" s="472"/>
      <c r="W628" s="472"/>
      <c r="X628" s="472"/>
      <c r="Y628" s="472"/>
      <c r="Z628" s="472"/>
    </row>
    <row r="629" spans="1:26" ht="14.25" customHeight="1">
      <c r="A629" s="472"/>
      <c r="B629" s="472"/>
      <c r="C629" s="472"/>
      <c r="D629" s="472"/>
      <c r="E629" s="472"/>
      <c r="F629" s="472"/>
      <c r="G629" s="472"/>
      <c r="H629" s="472"/>
      <c r="I629" s="472"/>
      <c r="J629" s="472"/>
      <c r="K629" s="471"/>
      <c r="L629" s="472"/>
      <c r="M629" s="472"/>
      <c r="N629" s="472"/>
      <c r="O629" s="472"/>
      <c r="P629" s="472"/>
      <c r="Q629" s="472"/>
      <c r="R629" s="472"/>
      <c r="S629" s="472"/>
      <c r="T629" s="472"/>
      <c r="U629" s="472"/>
      <c r="V629" s="472"/>
      <c r="W629" s="472"/>
      <c r="X629" s="472"/>
      <c r="Y629" s="472"/>
      <c r="Z629" s="472"/>
    </row>
    <row r="630" spans="1:26" ht="14.25" customHeight="1">
      <c r="A630" s="472"/>
      <c r="B630" s="472"/>
      <c r="C630" s="472"/>
      <c r="D630" s="472"/>
      <c r="E630" s="472"/>
      <c r="F630" s="472"/>
      <c r="G630" s="472"/>
      <c r="H630" s="472"/>
      <c r="I630" s="472"/>
      <c r="J630" s="472"/>
      <c r="K630" s="471"/>
      <c r="L630" s="472"/>
      <c r="M630" s="472"/>
      <c r="N630" s="472"/>
      <c r="O630" s="472"/>
      <c r="P630" s="472"/>
      <c r="Q630" s="472"/>
      <c r="R630" s="472"/>
      <c r="S630" s="472"/>
      <c r="T630" s="472"/>
      <c r="U630" s="472"/>
      <c r="V630" s="472"/>
      <c r="W630" s="472"/>
      <c r="X630" s="472"/>
      <c r="Y630" s="472"/>
      <c r="Z630" s="472"/>
    </row>
    <row r="631" spans="1:26" ht="14.25" customHeight="1">
      <c r="A631" s="472"/>
      <c r="B631" s="472"/>
      <c r="C631" s="472"/>
      <c r="D631" s="472"/>
      <c r="E631" s="472"/>
      <c r="F631" s="472"/>
      <c r="G631" s="472"/>
      <c r="H631" s="472"/>
      <c r="I631" s="472"/>
      <c r="J631" s="472"/>
      <c r="K631" s="471"/>
      <c r="L631" s="472"/>
      <c r="M631" s="472"/>
      <c r="N631" s="472"/>
      <c r="O631" s="472"/>
      <c r="P631" s="472"/>
      <c r="Q631" s="472"/>
      <c r="R631" s="472"/>
      <c r="S631" s="472"/>
      <c r="T631" s="472"/>
      <c r="U631" s="472"/>
      <c r="V631" s="472"/>
      <c r="W631" s="472"/>
      <c r="X631" s="472"/>
      <c r="Y631" s="472"/>
      <c r="Z631" s="472"/>
    </row>
    <row r="632" spans="1:26" ht="14.25" customHeight="1">
      <c r="A632" s="472"/>
      <c r="B632" s="472"/>
      <c r="C632" s="472"/>
      <c r="D632" s="472"/>
      <c r="E632" s="472"/>
      <c r="F632" s="472"/>
      <c r="G632" s="472"/>
      <c r="H632" s="472"/>
      <c r="I632" s="472"/>
      <c r="J632" s="472"/>
      <c r="K632" s="471"/>
      <c r="L632" s="472"/>
      <c r="M632" s="472"/>
      <c r="N632" s="472"/>
      <c r="O632" s="472"/>
      <c r="P632" s="472"/>
      <c r="Q632" s="472"/>
      <c r="R632" s="472"/>
      <c r="S632" s="472"/>
      <c r="T632" s="472"/>
      <c r="U632" s="472"/>
      <c r="V632" s="472"/>
      <c r="W632" s="472"/>
      <c r="X632" s="472"/>
      <c r="Y632" s="472"/>
      <c r="Z632" s="472"/>
    </row>
    <row r="633" spans="1:26" ht="14.25" customHeight="1">
      <c r="A633" s="472"/>
      <c r="B633" s="472"/>
      <c r="C633" s="472"/>
      <c r="D633" s="472"/>
      <c r="E633" s="472"/>
      <c r="F633" s="472"/>
      <c r="G633" s="472"/>
      <c r="H633" s="472"/>
      <c r="I633" s="472"/>
      <c r="J633" s="472"/>
      <c r="K633" s="471"/>
      <c r="L633" s="472"/>
      <c r="M633" s="472"/>
      <c r="N633" s="472"/>
      <c r="O633" s="472"/>
      <c r="P633" s="472"/>
      <c r="Q633" s="472"/>
      <c r="R633" s="472"/>
      <c r="S633" s="472"/>
      <c r="T633" s="472"/>
      <c r="U633" s="472"/>
      <c r="V633" s="472"/>
      <c r="W633" s="472"/>
      <c r="X633" s="472"/>
      <c r="Y633" s="472"/>
      <c r="Z633" s="472"/>
    </row>
    <row r="634" spans="1:26" ht="14.25" customHeight="1">
      <c r="A634" s="472"/>
      <c r="B634" s="472"/>
      <c r="C634" s="472"/>
      <c r="D634" s="472"/>
      <c r="E634" s="472"/>
      <c r="F634" s="472"/>
      <c r="G634" s="472"/>
      <c r="H634" s="472"/>
      <c r="I634" s="472"/>
      <c r="J634" s="472"/>
      <c r="K634" s="471"/>
      <c r="L634" s="472"/>
      <c r="M634" s="472"/>
      <c r="N634" s="472"/>
      <c r="O634" s="472"/>
      <c r="P634" s="472"/>
      <c r="Q634" s="472"/>
      <c r="R634" s="472"/>
      <c r="S634" s="472"/>
      <c r="T634" s="472"/>
      <c r="U634" s="472"/>
      <c r="V634" s="472"/>
      <c r="W634" s="472"/>
      <c r="X634" s="472"/>
      <c r="Y634" s="472"/>
      <c r="Z634" s="472"/>
    </row>
    <row r="635" spans="1:26" ht="14.25" customHeight="1">
      <c r="A635" s="472"/>
      <c r="B635" s="472"/>
      <c r="C635" s="472"/>
      <c r="D635" s="472"/>
      <c r="E635" s="472"/>
      <c r="F635" s="472"/>
      <c r="G635" s="472"/>
      <c r="H635" s="472"/>
      <c r="I635" s="472"/>
      <c r="J635" s="472"/>
      <c r="K635" s="471"/>
      <c r="L635" s="472"/>
      <c r="M635" s="472"/>
      <c r="N635" s="472"/>
      <c r="O635" s="472"/>
      <c r="P635" s="472"/>
      <c r="Q635" s="472"/>
      <c r="R635" s="472"/>
      <c r="S635" s="472"/>
      <c r="T635" s="472"/>
      <c r="U635" s="472"/>
      <c r="V635" s="472"/>
      <c r="W635" s="472"/>
      <c r="X635" s="472"/>
      <c r="Y635" s="472"/>
      <c r="Z635" s="472"/>
    </row>
    <row r="636" spans="1:26" ht="14.25" customHeight="1">
      <c r="A636" s="472"/>
      <c r="B636" s="472"/>
      <c r="C636" s="472"/>
      <c r="D636" s="472"/>
      <c r="E636" s="472"/>
      <c r="F636" s="472"/>
      <c r="G636" s="472"/>
      <c r="H636" s="472"/>
      <c r="I636" s="472"/>
      <c r="J636" s="472"/>
      <c r="K636" s="471"/>
      <c r="L636" s="472"/>
      <c r="M636" s="472"/>
      <c r="N636" s="472"/>
      <c r="O636" s="472"/>
      <c r="P636" s="472"/>
      <c r="Q636" s="472"/>
      <c r="R636" s="472"/>
      <c r="S636" s="472"/>
      <c r="T636" s="472"/>
      <c r="U636" s="472"/>
      <c r="V636" s="472"/>
      <c r="W636" s="472"/>
      <c r="X636" s="472"/>
      <c r="Y636" s="472"/>
      <c r="Z636" s="472"/>
    </row>
    <row r="637" spans="1:26" ht="14.25" customHeight="1">
      <c r="A637" s="472"/>
      <c r="B637" s="472"/>
      <c r="C637" s="472"/>
      <c r="D637" s="472"/>
      <c r="E637" s="472"/>
      <c r="F637" s="472"/>
      <c r="G637" s="472"/>
      <c r="H637" s="472"/>
      <c r="I637" s="472"/>
      <c r="J637" s="472"/>
      <c r="K637" s="471"/>
      <c r="L637" s="472"/>
      <c r="M637" s="472"/>
      <c r="N637" s="472"/>
      <c r="O637" s="472"/>
      <c r="P637" s="472"/>
      <c r="Q637" s="472"/>
      <c r="R637" s="472"/>
      <c r="S637" s="472"/>
      <c r="T637" s="472"/>
      <c r="U637" s="472"/>
      <c r="V637" s="472"/>
      <c r="W637" s="472"/>
      <c r="X637" s="472"/>
      <c r="Y637" s="472"/>
      <c r="Z637" s="472"/>
    </row>
    <row r="638" spans="1:26" ht="14.25" customHeight="1">
      <c r="A638" s="472"/>
      <c r="B638" s="472"/>
      <c r="C638" s="472"/>
      <c r="D638" s="472"/>
      <c r="E638" s="472"/>
      <c r="F638" s="472"/>
      <c r="G638" s="472"/>
      <c r="H638" s="472"/>
      <c r="I638" s="472"/>
      <c r="J638" s="472"/>
      <c r="K638" s="471"/>
      <c r="L638" s="472"/>
      <c r="M638" s="472"/>
      <c r="N638" s="472"/>
      <c r="O638" s="472"/>
      <c r="P638" s="472"/>
      <c r="Q638" s="472"/>
      <c r="R638" s="472"/>
      <c r="S638" s="472"/>
      <c r="T638" s="472"/>
      <c r="U638" s="472"/>
      <c r="V638" s="472"/>
      <c r="W638" s="472"/>
      <c r="X638" s="472"/>
      <c r="Y638" s="472"/>
      <c r="Z638" s="472"/>
    </row>
    <row r="639" spans="1:26" ht="14.25" customHeight="1">
      <c r="A639" s="472"/>
      <c r="B639" s="472"/>
      <c r="C639" s="472"/>
      <c r="D639" s="472"/>
      <c r="E639" s="472"/>
      <c r="F639" s="472"/>
      <c r="G639" s="472"/>
      <c r="H639" s="472"/>
      <c r="I639" s="472"/>
      <c r="J639" s="472"/>
      <c r="K639" s="471"/>
      <c r="L639" s="472"/>
      <c r="M639" s="472"/>
      <c r="N639" s="472"/>
      <c r="O639" s="472"/>
      <c r="P639" s="472"/>
      <c r="Q639" s="472"/>
      <c r="R639" s="472"/>
      <c r="S639" s="472"/>
      <c r="T639" s="472"/>
      <c r="U639" s="472"/>
      <c r="V639" s="472"/>
      <c r="W639" s="472"/>
      <c r="X639" s="472"/>
      <c r="Y639" s="472"/>
      <c r="Z639" s="472"/>
    </row>
    <row r="640" spans="1:26" ht="14.25" customHeight="1">
      <c r="A640" s="472"/>
      <c r="B640" s="472"/>
      <c r="C640" s="472"/>
      <c r="D640" s="472"/>
      <c r="E640" s="472"/>
      <c r="F640" s="472"/>
      <c r="G640" s="472"/>
      <c r="H640" s="472"/>
      <c r="I640" s="472"/>
      <c r="J640" s="472"/>
      <c r="K640" s="471"/>
      <c r="L640" s="472"/>
      <c r="M640" s="472"/>
      <c r="N640" s="472"/>
      <c r="O640" s="472"/>
      <c r="P640" s="472"/>
      <c r="Q640" s="472"/>
      <c r="R640" s="472"/>
      <c r="S640" s="472"/>
      <c r="T640" s="472"/>
      <c r="U640" s="472"/>
      <c r="V640" s="472"/>
      <c r="W640" s="472"/>
      <c r="X640" s="472"/>
      <c r="Y640" s="472"/>
      <c r="Z640" s="472"/>
    </row>
    <row r="641" spans="1:26" ht="14.25" customHeight="1">
      <c r="A641" s="472"/>
      <c r="B641" s="472"/>
      <c r="C641" s="472"/>
      <c r="D641" s="472"/>
      <c r="E641" s="472"/>
      <c r="F641" s="472"/>
      <c r="G641" s="472"/>
      <c r="H641" s="472"/>
      <c r="I641" s="472"/>
      <c r="J641" s="472"/>
      <c r="K641" s="471"/>
      <c r="L641" s="472"/>
      <c r="M641" s="472"/>
      <c r="N641" s="472"/>
      <c r="O641" s="472"/>
      <c r="P641" s="472"/>
      <c r="Q641" s="472"/>
      <c r="R641" s="472"/>
      <c r="S641" s="472"/>
      <c r="T641" s="472"/>
      <c r="U641" s="472"/>
      <c r="V641" s="472"/>
      <c r="W641" s="472"/>
      <c r="X641" s="472"/>
      <c r="Y641" s="472"/>
      <c r="Z641" s="472"/>
    </row>
    <row r="642" spans="1:26" ht="14.25" customHeight="1">
      <c r="A642" s="472"/>
      <c r="B642" s="472"/>
      <c r="C642" s="472"/>
      <c r="D642" s="472"/>
      <c r="E642" s="472"/>
      <c r="F642" s="472"/>
      <c r="G642" s="472"/>
      <c r="H642" s="472"/>
      <c r="I642" s="472"/>
      <c r="J642" s="472"/>
      <c r="K642" s="471"/>
      <c r="L642" s="472"/>
      <c r="M642" s="472"/>
      <c r="N642" s="472"/>
      <c r="O642" s="472"/>
      <c r="P642" s="472"/>
      <c r="Q642" s="472"/>
      <c r="R642" s="472"/>
      <c r="S642" s="472"/>
      <c r="T642" s="472"/>
      <c r="U642" s="472"/>
      <c r="V642" s="472"/>
      <c r="W642" s="472"/>
      <c r="X642" s="472"/>
      <c r="Y642" s="472"/>
      <c r="Z642" s="472"/>
    </row>
    <row r="643" spans="1:26" ht="14.25" customHeight="1">
      <c r="A643" s="472"/>
      <c r="B643" s="472"/>
      <c r="C643" s="472"/>
      <c r="D643" s="472"/>
      <c r="E643" s="472"/>
      <c r="F643" s="472"/>
      <c r="G643" s="472"/>
      <c r="H643" s="472"/>
      <c r="I643" s="472"/>
      <c r="J643" s="472"/>
      <c r="K643" s="471"/>
      <c r="L643" s="472"/>
      <c r="M643" s="472"/>
      <c r="N643" s="472"/>
      <c r="O643" s="472"/>
      <c r="P643" s="472"/>
      <c r="Q643" s="472"/>
      <c r="R643" s="472"/>
      <c r="S643" s="472"/>
      <c r="T643" s="472"/>
      <c r="U643" s="472"/>
      <c r="V643" s="472"/>
      <c r="W643" s="472"/>
      <c r="X643" s="472"/>
      <c r="Y643" s="472"/>
      <c r="Z643" s="472"/>
    </row>
    <row r="644" spans="1:26" ht="14.25" customHeight="1">
      <c r="A644" s="472"/>
      <c r="B644" s="472"/>
      <c r="C644" s="472"/>
      <c r="D644" s="472"/>
      <c r="E644" s="472"/>
      <c r="F644" s="472"/>
      <c r="G644" s="472"/>
      <c r="H644" s="472"/>
      <c r="I644" s="472"/>
      <c r="J644" s="472"/>
      <c r="K644" s="471"/>
      <c r="L644" s="472"/>
      <c r="M644" s="472"/>
      <c r="N644" s="472"/>
      <c r="O644" s="472"/>
      <c r="P644" s="472"/>
      <c r="Q644" s="472"/>
      <c r="R644" s="472"/>
      <c r="S644" s="472"/>
      <c r="T644" s="472"/>
      <c r="U644" s="472"/>
      <c r="V644" s="472"/>
      <c r="W644" s="472"/>
      <c r="X644" s="472"/>
      <c r="Y644" s="472"/>
      <c r="Z644" s="472"/>
    </row>
    <row r="645" spans="1:26" ht="14.25" customHeight="1">
      <c r="A645" s="472"/>
      <c r="B645" s="472"/>
      <c r="C645" s="472"/>
      <c r="D645" s="472"/>
      <c r="E645" s="472"/>
      <c r="F645" s="472"/>
      <c r="G645" s="472"/>
      <c r="H645" s="472"/>
      <c r="I645" s="472"/>
      <c r="J645" s="472"/>
      <c r="K645" s="471"/>
      <c r="L645" s="472"/>
      <c r="M645" s="472"/>
      <c r="N645" s="472"/>
      <c r="O645" s="472"/>
      <c r="P645" s="472"/>
      <c r="Q645" s="472"/>
      <c r="R645" s="472"/>
      <c r="S645" s="472"/>
      <c r="T645" s="472"/>
      <c r="U645" s="472"/>
      <c r="V645" s="472"/>
      <c r="W645" s="472"/>
      <c r="X645" s="472"/>
      <c r="Y645" s="472"/>
      <c r="Z645" s="472"/>
    </row>
    <row r="646" spans="1:26" ht="14.25" customHeight="1">
      <c r="A646" s="472"/>
      <c r="B646" s="472"/>
      <c r="C646" s="472"/>
      <c r="D646" s="472"/>
      <c r="E646" s="472"/>
      <c r="F646" s="472"/>
      <c r="G646" s="472"/>
      <c r="H646" s="472"/>
      <c r="I646" s="472"/>
      <c r="J646" s="472"/>
      <c r="K646" s="471"/>
      <c r="L646" s="472"/>
      <c r="M646" s="472"/>
      <c r="N646" s="472"/>
      <c r="O646" s="472"/>
      <c r="P646" s="472"/>
      <c r="Q646" s="472"/>
      <c r="R646" s="472"/>
      <c r="S646" s="472"/>
      <c r="T646" s="472"/>
      <c r="U646" s="472"/>
      <c r="V646" s="472"/>
      <c r="W646" s="472"/>
      <c r="X646" s="472"/>
      <c r="Y646" s="472"/>
      <c r="Z646" s="472"/>
    </row>
    <row r="647" spans="1:26" ht="14.25" customHeight="1">
      <c r="A647" s="472"/>
      <c r="B647" s="472"/>
      <c r="C647" s="472"/>
      <c r="D647" s="472"/>
      <c r="E647" s="472"/>
      <c r="F647" s="472"/>
      <c r="G647" s="472"/>
      <c r="H647" s="472"/>
      <c r="I647" s="472"/>
      <c r="J647" s="472"/>
      <c r="K647" s="471"/>
      <c r="L647" s="472"/>
      <c r="M647" s="472"/>
      <c r="N647" s="472"/>
      <c r="O647" s="472"/>
      <c r="P647" s="472"/>
      <c r="Q647" s="472"/>
      <c r="R647" s="472"/>
      <c r="S647" s="472"/>
      <c r="T647" s="472"/>
      <c r="U647" s="472"/>
      <c r="V647" s="472"/>
      <c r="W647" s="472"/>
      <c r="X647" s="472"/>
      <c r="Y647" s="472"/>
      <c r="Z647" s="472"/>
    </row>
    <row r="648" spans="1:26" ht="14.25" customHeight="1">
      <c r="A648" s="472"/>
      <c r="B648" s="472"/>
      <c r="C648" s="472"/>
      <c r="D648" s="472"/>
      <c r="E648" s="472"/>
      <c r="F648" s="472"/>
      <c r="G648" s="472"/>
      <c r="H648" s="472"/>
      <c r="I648" s="472"/>
      <c r="J648" s="472"/>
      <c r="K648" s="471"/>
      <c r="L648" s="472"/>
      <c r="M648" s="472"/>
      <c r="N648" s="472"/>
      <c r="O648" s="472"/>
      <c r="P648" s="472"/>
      <c r="Q648" s="472"/>
      <c r="R648" s="472"/>
      <c r="S648" s="472"/>
      <c r="T648" s="472"/>
      <c r="U648" s="472"/>
      <c r="V648" s="472"/>
      <c r="W648" s="472"/>
      <c r="X648" s="472"/>
      <c r="Y648" s="472"/>
      <c r="Z648" s="472"/>
    </row>
    <row r="649" spans="1:26" ht="14.25" customHeight="1">
      <c r="A649" s="472"/>
      <c r="B649" s="472"/>
      <c r="C649" s="472"/>
      <c r="D649" s="472"/>
      <c r="E649" s="472"/>
      <c r="F649" s="472"/>
      <c r="G649" s="472"/>
      <c r="H649" s="472"/>
      <c r="I649" s="472"/>
      <c r="J649" s="472"/>
      <c r="K649" s="471"/>
      <c r="L649" s="472"/>
      <c r="M649" s="472"/>
      <c r="N649" s="472"/>
      <c r="O649" s="472"/>
      <c r="P649" s="472"/>
      <c r="Q649" s="472"/>
      <c r="R649" s="472"/>
      <c r="S649" s="472"/>
      <c r="T649" s="472"/>
      <c r="U649" s="472"/>
      <c r="V649" s="472"/>
      <c r="W649" s="472"/>
      <c r="X649" s="472"/>
      <c r="Y649" s="472"/>
      <c r="Z649" s="472"/>
    </row>
    <row r="650" spans="1:26" ht="14.25" customHeight="1">
      <c r="A650" s="472"/>
      <c r="B650" s="472"/>
      <c r="C650" s="472"/>
      <c r="D650" s="472"/>
      <c r="E650" s="472"/>
      <c r="F650" s="472"/>
      <c r="G650" s="472"/>
      <c r="H650" s="472"/>
      <c r="I650" s="472"/>
      <c r="J650" s="472"/>
      <c r="K650" s="471"/>
      <c r="L650" s="472"/>
      <c r="M650" s="472"/>
      <c r="N650" s="472"/>
      <c r="O650" s="472"/>
      <c r="P650" s="472"/>
      <c r="Q650" s="472"/>
      <c r="R650" s="472"/>
      <c r="S650" s="472"/>
      <c r="T650" s="472"/>
      <c r="U650" s="472"/>
      <c r="V650" s="472"/>
      <c r="W650" s="472"/>
      <c r="X650" s="472"/>
      <c r="Y650" s="472"/>
      <c r="Z650" s="472"/>
    </row>
    <row r="651" spans="1:26" ht="14.25" customHeight="1">
      <c r="A651" s="472"/>
      <c r="B651" s="472"/>
      <c r="C651" s="472"/>
      <c r="D651" s="472"/>
      <c r="E651" s="472"/>
      <c r="F651" s="472"/>
      <c r="G651" s="472"/>
      <c r="H651" s="472"/>
      <c r="I651" s="472"/>
      <c r="J651" s="472"/>
      <c r="K651" s="471"/>
      <c r="L651" s="472"/>
      <c r="M651" s="472"/>
      <c r="N651" s="472"/>
      <c r="O651" s="472"/>
      <c r="P651" s="472"/>
      <c r="Q651" s="472"/>
      <c r="R651" s="472"/>
      <c r="S651" s="472"/>
      <c r="T651" s="472"/>
      <c r="U651" s="472"/>
      <c r="V651" s="472"/>
      <c r="W651" s="472"/>
      <c r="X651" s="472"/>
      <c r="Y651" s="472"/>
      <c r="Z651" s="472"/>
    </row>
    <row r="652" spans="1:26" ht="14.25" customHeight="1">
      <c r="A652" s="472"/>
      <c r="B652" s="472"/>
      <c r="C652" s="472"/>
      <c r="D652" s="472"/>
      <c r="E652" s="472"/>
      <c r="F652" s="472"/>
      <c r="G652" s="472"/>
      <c r="H652" s="472"/>
      <c r="I652" s="472"/>
      <c r="J652" s="472"/>
      <c r="K652" s="471"/>
      <c r="L652" s="472"/>
      <c r="M652" s="472"/>
      <c r="N652" s="472"/>
      <c r="O652" s="472"/>
      <c r="P652" s="472"/>
      <c r="Q652" s="472"/>
      <c r="R652" s="472"/>
      <c r="S652" s="472"/>
      <c r="T652" s="472"/>
      <c r="U652" s="472"/>
      <c r="V652" s="472"/>
      <c r="W652" s="472"/>
      <c r="X652" s="472"/>
      <c r="Y652" s="472"/>
      <c r="Z652" s="472"/>
    </row>
    <row r="653" spans="1:26" ht="14.25" customHeight="1">
      <c r="A653" s="472"/>
      <c r="B653" s="472"/>
      <c r="C653" s="472"/>
      <c r="D653" s="472"/>
      <c r="E653" s="472"/>
      <c r="F653" s="472"/>
      <c r="G653" s="472"/>
      <c r="H653" s="472"/>
      <c r="I653" s="472"/>
      <c r="J653" s="472"/>
      <c r="K653" s="471"/>
      <c r="L653" s="472"/>
      <c r="M653" s="472"/>
      <c r="N653" s="472"/>
      <c r="O653" s="472"/>
      <c r="P653" s="472"/>
      <c r="Q653" s="472"/>
      <c r="R653" s="472"/>
      <c r="S653" s="472"/>
      <c r="T653" s="472"/>
      <c r="U653" s="472"/>
      <c r="V653" s="472"/>
      <c r="W653" s="472"/>
      <c r="X653" s="472"/>
      <c r="Y653" s="472"/>
      <c r="Z653" s="472"/>
    </row>
    <row r="654" spans="1:26" ht="14.25" customHeight="1">
      <c r="A654" s="472"/>
      <c r="B654" s="472"/>
      <c r="C654" s="472"/>
      <c r="D654" s="472"/>
      <c r="E654" s="472"/>
      <c r="F654" s="472"/>
      <c r="G654" s="472"/>
      <c r="H654" s="472"/>
      <c r="I654" s="472"/>
      <c r="J654" s="472"/>
      <c r="K654" s="471"/>
      <c r="L654" s="472"/>
      <c r="M654" s="472"/>
      <c r="N654" s="472"/>
      <c r="O654" s="472"/>
      <c r="P654" s="472"/>
      <c r="Q654" s="472"/>
      <c r="R654" s="472"/>
      <c r="S654" s="472"/>
      <c r="T654" s="472"/>
      <c r="U654" s="472"/>
      <c r="V654" s="472"/>
      <c r="W654" s="472"/>
      <c r="X654" s="472"/>
      <c r="Y654" s="472"/>
      <c r="Z654" s="472"/>
    </row>
    <row r="655" spans="1:26" ht="14.25" customHeight="1">
      <c r="A655" s="472"/>
      <c r="B655" s="472"/>
      <c r="C655" s="472"/>
      <c r="D655" s="472"/>
      <c r="E655" s="472"/>
      <c r="F655" s="472"/>
      <c r="G655" s="472"/>
      <c r="H655" s="472"/>
      <c r="I655" s="472"/>
      <c r="J655" s="472"/>
      <c r="K655" s="471"/>
      <c r="L655" s="472"/>
      <c r="M655" s="472"/>
      <c r="N655" s="472"/>
      <c r="O655" s="472"/>
      <c r="P655" s="472"/>
      <c r="Q655" s="472"/>
      <c r="R655" s="472"/>
      <c r="S655" s="472"/>
      <c r="T655" s="472"/>
      <c r="U655" s="472"/>
      <c r="V655" s="472"/>
      <c r="W655" s="472"/>
      <c r="X655" s="472"/>
      <c r="Y655" s="472"/>
      <c r="Z655" s="472"/>
    </row>
    <row r="656" spans="1:26" ht="14.25" customHeight="1">
      <c r="A656" s="472"/>
      <c r="B656" s="472"/>
      <c r="C656" s="472"/>
      <c r="D656" s="472"/>
      <c r="E656" s="472"/>
      <c r="F656" s="472"/>
      <c r="G656" s="472"/>
      <c r="H656" s="472"/>
      <c r="I656" s="472"/>
      <c r="J656" s="472"/>
      <c r="K656" s="471"/>
      <c r="L656" s="472"/>
      <c r="M656" s="472"/>
      <c r="N656" s="472"/>
      <c r="O656" s="472"/>
      <c r="P656" s="472"/>
      <c r="Q656" s="472"/>
      <c r="R656" s="472"/>
      <c r="S656" s="472"/>
      <c r="T656" s="472"/>
      <c r="U656" s="472"/>
      <c r="V656" s="472"/>
      <c r="W656" s="472"/>
      <c r="X656" s="472"/>
      <c r="Y656" s="472"/>
      <c r="Z656" s="472"/>
    </row>
    <row r="657" spans="1:26" ht="14.25" customHeight="1">
      <c r="A657" s="472"/>
      <c r="B657" s="472"/>
      <c r="C657" s="472"/>
      <c r="D657" s="472"/>
      <c r="E657" s="472"/>
      <c r="F657" s="472"/>
      <c r="G657" s="472"/>
      <c r="H657" s="472"/>
      <c r="I657" s="472"/>
      <c r="J657" s="472"/>
      <c r="K657" s="471"/>
      <c r="L657" s="472"/>
      <c r="M657" s="472"/>
      <c r="N657" s="472"/>
      <c r="O657" s="472"/>
      <c r="P657" s="472"/>
      <c r="Q657" s="472"/>
      <c r="R657" s="472"/>
      <c r="S657" s="472"/>
      <c r="T657" s="472"/>
      <c r="U657" s="472"/>
      <c r="V657" s="472"/>
      <c r="W657" s="472"/>
      <c r="X657" s="472"/>
      <c r="Y657" s="472"/>
      <c r="Z657" s="472"/>
    </row>
    <row r="658" spans="1:26" ht="14.25" customHeight="1">
      <c r="A658" s="472"/>
      <c r="B658" s="472"/>
      <c r="C658" s="472"/>
      <c r="D658" s="472"/>
      <c r="E658" s="472"/>
      <c r="F658" s="472"/>
      <c r="G658" s="472"/>
      <c r="H658" s="472"/>
      <c r="I658" s="472"/>
      <c r="J658" s="472"/>
      <c r="K658" s="471"/>
      <c r="L658" s="472"/>
      <c r="M658" s="472"/>
      <c r="N658" s="472"/>
      <c r="O658" s="472"/>
      <c r="P658" s="472"/>
      <c r="Q658" s="472"/>
      <c r="R658" s="472"/>
      <c r="S658" s="472"/>
      <c r="T658" s="472"/>
      <c r="U658" s="472"/>
      <c r="V658" s="472"/>
      <c r="W658" s="472"/>
      <c r="X658" s="472"/>
      <c r="Y658" s="472"/>
      <c r="Z658" s="472"/>
    </row>
    <row r="659" spans="1:26" ht="14.25" customHeight="1">
      <c r="A659" s="472"/>
      <c r="B659" s="472"/>
      <c r="C659" s="472"/>
      <c r="D659" s="472"/>
      <c r="E659" s="472"/>
      <c r="F659" s="472"/>
      <c r="G659" s="472"/>
      <c r="H659" s="472"/>
      <c r="I659" s="472"/>
      <c r="J659" s="472"/>
      <c r="K659" s="471"/>
      <c r="L659" s="472"/>
      <c r="M659" s="472"/>
      <c r="N659" s="472"/>
      <c r="O659" s="472"/>
      <c r="P659" s="472"/>
      <c r="Q659" s="472"/>
      <c r="R659" s="472"/>
      <c r="S659" s="472"/>
      <c r="T659" s="472"/>
      <c r="U659" s="472"/>
      <c r="V659" s="472"/>
      <c r="W659" s="472"/>
      <c r="X659" s="472"/>
      <c r="Y659" s="472"/>
      <c r="Z659" s="472"/>
    </row>
    <row r="660" spans="1:26" ht="14.25" customHeight="1">
      <c r="A660" s="472"/>
      <c r="B660" s="472"/>
      <c r="C660" s="472"/>
      <c r="D660" s="472"/>
      <c r="E660" s="472"/>
      <c r="F660" s="472"/>
      <c r="G660" s="472"/>
      <c r="H660" s="472"/>
      <c r="I660" s="472"/>
      <c r="J660" s="472"/>
      <c r="K660" s="471"/>
      <c r="L660" s="472"/>
      <c r="M660" s="472"/>
      <c r="N660" s="472"/>
      <c r="O660" s="472"/>
      <c r="P660" s="472"/>
      <c r="Q660" s="472"/>
      <c r="R660" s="472"/>
      <c r="S660" s="472"/>
      <c r="T660" s="472"/>
      <c r="U660" s="472"/>
      <c r="V660" s="472"/>
      <c r="W660" s="472"/>
      <c r="X660" s="472"/>
      <c r="Y660" s="472"/>
      <c r="Z660" s="472"/>
    </row>
    <row r="661" spans="1:26" ht="14.25" customHeight="1">
      <c r="A661" s="472"/>
      <c r="B661" s="472"/>
      <c r="C661" s="472"/>
      <c r="D661" s="472"/>
      <c r="E661" s="472"/>
      <c r="F661" s="472"/>
      <c r="G661" s="472"/>
      <c r="H661" s="472"/>
      <c r="I661" s="472"/>
      <c r="J661" s="472"/>
      <c r="K661" s="471"/>
      <c r="L661" s="472"/>
      <c r="M661" s="472"/>
      <c r="N661" s="472"/>
      <c r="O661" s="472"/>
      <c r="P661" s="472"/>
      <c r="Q661" s="472"/>
      <c r="R661" s="472"/>
      <c r="S661" s="472"/>
      <c r="T661" s="472"/>
      <c r="U661" s="472"/>
      <c r="V661" s="472"/>
      <c r="W661" s="472"/>
      <c r="X661" s="472"/>
      <c r="Y661" s="472"/>
      <c r="Z661" s="472"/>
    </row>
    <row r="662" spans="1:26" ht="14.25" customHeight="1">
      <c r="A662" s="472"/>
      <c r="B662" s="472"/>
      <c r="C662" s="472"/>
      <c r="D662" s="472"/>
      <c r="E662" s="472"/>
      <c r="F662" s="472"/>
      <c r="G662" s="472"/>
      <c r="H662" s="472"/>
      <c r="I662" s="472"/>
      <c r="J662" s="472"/>
      <c r="K662" s="471"/>
      <c r="L662" s="472"/>
      <c r="M662" s="472"/>
      <c r="N662" s="472"/>
      <c r="O662" s="472"/>
      <c r="P662" s="472"/>
      <c r="Q662" s="472"/>
      <c r="R662" s="472"/>
      <c r="S662" s="472"/>
      <c r="T662" s="472"/>
      <c r="U662" s="472"/>
      <c r="V662" s="472"/>
      <c r="W662" s="472"/>
      <c r="X662" s="472"/>
      <c r="Y662" s="472"/>
      <c r="Z662" s="472"/>
    </row>
    <row r="663" spans="1:26" ht="14.25" customHeight="1">
      <c r="A663" s="472"/>
      <c r="B663" s="472"/>
      <c r="C663" s="472"/>
      <c r="D663" s="472"/>
      <c r="E663" s="472"/>
      <c r="F663" s="472"/>
      <c r="G663" s="472"/>
      <c r="H663" s="472"/>
      <c r="I663" s="472"/>
      <c r="J663" s="472"/>
      <c r="K663" s="471"/>
      <c r="L663" s="472"/>
      <c r="M663" s="472"/>
      <c r="N663" s="472"/>
      <c r="O663" s="472"/>
      <c r="P663" s="472"/>
      <c r="Q663" s="472"/>
      <c r="R663" s="472"/>
      <c r="S663" s="472"/>
      <c r="T663" s="472"/>
      <c r="U663" s="472"/>
      <c r="V663" s="472"/>
      <c r="W663" s="472"/>
      <c r="X663" s="472"/>
      <c r="Y663" s="472"/>
      <c r="Z663" s="472"/>
    </row>
    <row r="664" spans="1:26" ht="14.25" customHeight="1">
      <c r="A664" s="472"/>
      <c r="B664" s="472"/>
      <c r="C664" s="472"/>
      <c r="D664" s="472"/>
      <c r="E664" s="472"/>
      <c r="F664" s="472"/>
      <c r="G664" s="472"/>
      <c r="H664" s="472"/>
      <c r="I664" s="472"/>
      <c r="J664" s="472"/>
      <c r="K664" s="471"/>
      <c r="L664" s="472"/>
      <c r="M664" s="472"/>
      <c r="N664" s="472"/>
      <c r="O664" s="472"/>
      <c r="P664" s="472"/>
      <c r="Q664" s="472"/>
      <c r="R664" s="472"/>
      <c r="S664" s="472"/>
      <c r="T664" s="472"/>
      <c r="U664" s="472"/>
      <c r="V664" s="472"/>
      <c r="W664" s="472"/>
      <c r="X664" s="472"/>
      <c r="Y664" s="472"/>
      <c r="Z664" s="472"/>
    </row>
    <row r="665" spans="1:26" ht="14.25" customHeight="1">
      <c r="A665" s="472"/>
      <c r="B665" s="472"/>
      <c r="C665" s="472"/>
      <c r="D665" s="472"/>
      <c r="E665" s="472"/>
      <c r="F665" s="472"/>
      <c r="G665" s="472"/>
      <c r="H665" s="472"/>
      <c r="I665" s="472"/>
      <c r="J665" s="472"/>
      <c r="K665" s="471"/>
      <c r="L665" s="472"/>
      <c r="M665" s="472"/>
      <c r="N665" s="472"/>
      <c r="O665" s="472"/>
      <c r="P665" s="472"/>
      <c r="Q665" s="472"/>
      <c r="R665" s="472"/>
      <c r="S665" s="472"/>
      <c r="T665" s="472"/>
      <c r="U665" s="472"/>
      <c r="V665" s="472"/>
      <c r="W665" s="472"/>
      <c r="X665" s="472"/>
      <c r="Y665" s="472"/>
      <c r="Z665" s="472"/>
    </row>
    <row r="666" spans="1:26" ht="14.25" customHeight="1">
      <c r="A666" s="472"/>
      <c r="B666" s="472"/>
      <c r="C666" s="472"/>
      <c r="D666" s="472"/>
      <c r="E666" s="472"/>
      <c r="F666" s="472"/>
      <c r="G666" s="472"/>
      <c r="H666" s="472"/>
      <c r="I666" s="472"/>
      <c r="J666" s="472"/>
      <c r="K666" s="471"/>
      <c r="L666" s="472"/>
      <c r="M666" s="472"/>
      <c r="N666" s="472"/>
      <c r="O666" s="472"/>
      <c r="P666" s="472"/>
      <c r="Q666" s="472"/>
      <c r="R666" s="472"/>
      <c r="S666" s="472"/>
      <c r="T666" s="472"/>
      <c r="U666" s="472"/>
      <c r="V666" s="472"/>
      <c r="W666" s="472"/>
      <c r="X666" s="472"/>
      <c r="Y666" s="472"/>
      <c r="Z666" s="472"/>
    </row>
    <row r="667" spans="1:26" ht="14.25" customHeight="1">
      <c r="A667" s="472"/>
      <c r="B667" s="472"/>
      <c r="C667" s="472"/>
      <c r="D667" s="472"/>
      <c r="E667" s="472"/>
      <c r="F667" s="472"/>
      <c r="G667" s="472"/>
      <c r="H667" s="472"/>
      <c r="I667" s="472"/>
      <c r="J667" s="472"/>
      <c r="K667" s="471"/>
      <c r="L667" s="472"/>
      <c r="M667" s="472"/>
      <c r="N667" s="472"/>
      <c r="O667" s="472"/>
      <c r="P667" s="472"/>
      <c r="Q667" s="472"/>
      <c r="R667" s="472"/>
      <c r="S667" s="472"/>
      <c r="T667" s="472"/>
      <c r="U667" s="472"/>
      <c r="V667" s="472"/>
      <c r="W667" s="472"/>
      <c r="X667" s="472"/>
      <c r="Y667" s="472"/>
      <c r="Z667" s="472"/>
    </row>
    <row r="668" spans="1:26" ht="14.25" customHeight="1">
      <c r="A668" s="472"/>
      <c r="B668" s="472"/>
      <c r="C668" s="472"/>
      <c r="D668" s="472"/>
      <c r="E668" s="472"/>
      <c r="F668" s="472"/>
      <c r="G668" s="472"/>
      <c r="H668" s="472"/>
      <c r="I668" s="472"/>
      <c r="J668" s="472"/>
      <c r="K668" s="471"/>
      <c r="L668" s="472"/>
      <c r="M668" s="472"/>
      <c r="N668" s="472"/>
      <c r="O668" s="472"/>
      <c r="P668" s="472"/>
      <c r="Q668" s="472"/>
      <c r="R668" s="472"/>
      <c r="S668" s="472"/>
      <c r="T668" s="472"/>
      <c r="U668" s="472"/>
      <c r="V668" s="472"/>
      <c r="W668" s="472"/>
      <c r="X668" s="472"/>
      <c r="Y668" s="472"/>
      <c r="Z668" s="472"/>
    </row>
    <row r="669" spans="1:26" ht="14.25" customHeight="1">
      <c r="A669" s="472"/>
      <c r="B669" s="472"/>
      <c r="C669" s="472"/>
      <c r="D669" s="472"/>
      <c r="E669" s="472"/>
      <c r="F669" s="472"/>
      <c r="G669" s="472"/>
      <c r="H669" s="472"/>
      <c r="I669" s="472"/>
      <c r="J669" s="472"/>
      <c r="K669" s="471"/>
      <c r="L669" s="472"/>
      <c r="M669" s="472"/>
      <c r="N669" s="472"/>
      <c r="O669" s="472"/>
      <c r="P669" s="472"/>
      <c r="Q669" s="472"/>
      <c r="R669" s="472"/>
      <c r="S669" s="472"/>
      <c r="T669" s="472"/>
      <c r="U669" s="472"/>
      <c r="V669" s="472"/>
      <c r="W669" s="472"/>
      <c r="X669" s="472"/>
      <c r="Y669" s="472"/>
      <c r="Z669" s="472"/>
    </row>
    <row r="670" spans="1:26" ht="14.25" customHeight="1">
      <c r="A670" s="472"/>
      <c r="B670" s="472"/>
      <c r="C670" s="472"/>
      <c r="D670" s="472"/>
      <c r="E670" s="472"/>
      <c r="F670" s="472"/>
      <c r="G670" s="472"/>
      <c r="H670" s="472"/>
      <c r="I670" s="472"/>
      <c r="J670" s="472"/>
      <c r="K670" s="471"/>
      <c r="L670" s="472"/>
      <c r="M670" s="472"/>
      <c r="N670" s="472"/>
      <c r="O670" s="472"/>
      <c r="P670" s="472"/>
      <c r="Q670" s="472"/>
      <c r="R670" s="472"/>
      <c r="S670" s="472"/>
      <c r="T670" s="472"/>
      <c r="U670" s="472"/>
      <c r="V670" s="472"/>
      <c r="W670" s="472"/>
      <c r="X670" s="472"/>
      <c r="Y670" s="472"/>
      <c r="Z670" s="472"/>
    </row>
    <row r="671" spans="1:26" ht="14.25" customHeight="1">
      <c r="A671" s="472"/>
      <c r="B671" s="472"/>
      <c r="C671" s="472"/>
      <c r="D671" s="472"/>
      <c r="E671" s="472"/>
      <c r="F671" s="472"/>
      <c r="G671" s="472"/>
      <c r="H671" s="472"/>
      <c r="I671" s="472"/>
      <c r="J671" s="472"/>
      <c r="K671" s="471"/>
      <c r="L671" s="472"/>
      <c r="M671" s="472"/>
      <c r="N671" s="472"/>
      <c r="O671" s="472"/>
      <c r="P671" s="472"/>
      <c r="Q671" s="472"/>
      <c r="R671" s="472"/>
      <c r="S671" s="472"/>
      <c r="T671" s="472"/>
      <c r="U671" s="472"/>
      <c r="V671" s="472"/>
      <c r="W671" s="472"/>
      <c r="X671" s="472"/>
      <c r="Y671" s="472"/>
      <c r="Z671" s="472"/>
    </row>
    <row r="672" spans="1:26" ht="14.25" customHeight="1">
      <c r="A672" s="472"/>
      <c r="B672" s="472"/>
      <c r="C672" s="472"/>
      <c r="D672" s="472"/>
      <c r="E672" s="472"/>
      <c r="F672" s="472"/>
      <c r="G672" s="472"/>
      <c r="H672" s="472"/>
      <c r="I672" s="472"/>
      <c r="J672" s="472"/>
      <c r="K672" s="471"/>
      <c r="L672" s="472"/>
      <c r="M672" s="472"/>
      <c r="N672" s="472"/>
      <c r="O672" s="472"/>
      <c r="P672" s="472"/>
      <c r="Q672" s="472"/>
      <c r="R672" s="472"/>
      <c r="S672" s="472"/>
      <c r="T672" s="472"/>
      <c r="U672" s="472"/>
      <c r="V672" s="472"/>
      <c r="W672" s="472"/>
      <c r="X672" s="472"/>
      <c r="Y672" s="472"/>
      <c r="Z672" s="472"/>
    </row>
    <row r="673" spans="1:26" ht="14.25" customHeight="1">
      <c r="A673" s="472"/>
      <c r="B673" s="472"/>
      <c r="C673" s="472"/>
      <c r="D673" s="472"/>
      <c r="E673" s="472"/>
      <c r="F673" s="472"/>
      <c r="G673" s="472"/>
      <c r="H673" s="472"/>
      <c r="I673" s="472"/>
      <c r="J673" s="472"/>
      <c r="K673" s="471"/>
      <c r="L673" s="472"/>
      <c r="M673" s="472"/>
      <c r="N673" s="472"/>
      <c r="O673" s="472"/>
      <c r="P673" s="472"/>
      <c r="Q673" s="472"/>
      <c r="R673" s="472"/>
      <c r="S673" s="472"/>
      <c r="T673" s="472"/>
      <c r="U673" s="472"/>
      <c r="V673" s="472"/>
      <c r="W673" s="472"/>
      <c r="X673" s="472"/>
      <c r="Y673" s="472"/>
      <c r="Z673" s="472"/>
    </row>
    <row r="674" spans="1:26" ht="14.25" customHeight="1">
      <c r="A674" s="472"/>
      <c r="B674" s="472"/>
      <c r="C674" s="472"/>
      <c r="D674" s="472"/>
      <c r="E674" s="472"/>
      <c r="F674" s="472"/>
      <c r="G674" s="472"/>
      <c r="H674" s="472"/>
      <c r="I674" s="472"/>
      <c r="J674" s="472"/>
      <c r="K674" s="471"/>
      <c r="L674" s="472"/>
      <c r="M674" s="472"/>
      <c r="N674" s="472"/>
      <c r="O674" s="472"/>
      <c r="P674" s="472"/>
      <c r="Q674" s="472"/>
      <c r="R674" s="472"/>
      <c r="S674" s="472"/>
      <c r="T674" s="472"/>
      <c r="U674" s="472"/>
      <c r="V674" s="472"/>
      <c r="W674" s="472"/>
      <c r="X674" s="472"/>
      <c r="Y674" s="472"/>
      <c r="Z674" s="472"/>
    </row>
    <row r="675" spans="1:26" ht="14.25" customHeight="1">
      <c r="A675" s="472"/>
      <c r="B675" s="472"/>
      <c r="C675" s="472"/>
      <c r="D675" s="472"/>
      <c r="E675" s="472"/>
      <c r="F675" s="472"/>
      <c r="G675" s="472"/>
      <c r="H675" s="472"/>
      <c r="I675" s="472"/>
      <c r="J675" s="472"/>
      <c r="K675" s="471"/>
      <c r="L675" s="472"/>
      <c r="M675" s="472"/>
      <c r="N675" s="472"/>
      <c r="O675" s="472"/>
      <c r="P675" s="472"/>
      <c r="Q675" s="472"/>
      <c r="R675" s="472"/>
      <c r="S675" s="472"/>
      <c r="T675" s="472"/>
      <c r="U675" s="472"/>
      <c r="V675" s="472"/>
      <c r="W675" s="472"/>
      <c r="X675" s="472"/>
      <c r="Y675" s="472"/>
      <c r="Z675" s="472"/>
    </row>
    <row r="676" spans="1:26" ht="14.25" customHeight="1">
      <c r="A676" s="472"/>
      <c r="B676" s="472"/>
      <c r="C676" s="472"/>
      <c r="D676" s="472"/>
      <c r="E676" s="472"/>
      <c r="F676" s="472"/>
      <c r="G676" s="472"/>
      <c r="H676" s="472"/>
      <c r="I676" s="472"/>
      <c r="J676" s="472"/>
      <c r="K676" s="471"/>
      <c r="L676" s="472"/>
      <c r="M676" s="472"/>
      <c r="N676" s="472"/>
      <c r="O676" s="472"/>
      <c r="P676" s="472"/>
      <c r="Q676" s="472"/>
      <c r="R676" s="472"/>
      <c r="S676" s="472"/>
      <c r="T676" s="472"/>
      <c r="U676" s="472"/>
      <c r="V676" s="472"/>
      <c r="W676" s="472"/>
      <c r="X676" s="472"/>
      <c r="Y676" s="472"/>
      <c r="Z676" s="472"/>
    </row>
    <row r="677" spans="1:26" ht="14.25" customHeight="1">
      <c r="A677" s="472"/>
      <c r="B677" s="472"/>
      <c r="C677" s="472"/>
      <c r="D677" s="472"/>
      <c r="E677" s="472"/>
      <c r="F677" s="472"/>
      <c r="G677" s="472"/>
      <c r="H677" s="472"/>
      <c r="I677" s="472"/>
      <c r="J677" s="472"/>
      <c r="K677" s="471"/>
      <c r="L677" s="472"/>
      <c r="M677" s="472"/>
      <c r="N677" s="472"/>
      <c r="O677" s="472"/>
      <c r="P677" s="472"/>
      <c r="Q677" s="472"/>
      <c r="R677" s="472"/>
      <c r="S677" s="472"/>
      <c r="T677" s="472"/>
      <c r="U677" s="472"/>
      <c r="V677" s="472"/>
      <c r="W677" s="472"/>
      <c r="X677" s="472"/>
      <c r="Y677" s="472"/>
      <c r="Z677" s="472"/>
    </row>
    <row r="678" spans="1:26" ht="14.25" customHeight="1">
      <c r="A678" s="472"/>
      <c r="B678" s="472"/>
      <c r="C678" s="472"/>
      <c r="D678" s="472"/>
      <c r="E678" s="472"/>
      <c r="F678" s="472"/>
      <c r="G678" s="472"/>
      <c r="H678" s="472"/>
      <c r="I678" s="472"/>
      <c r="J678" s="472"/>
      <c r="K678" s="471"/>
      <c r="L678" s="472"/>
      <c r="M678" s="472"/>
      <c r="N678" s="472"/>
      <c r="O678" s="472"/>
      <c r="P678" s="472"/>
      <c r="Q678" s="472"/>
      <c r="R678" s="472"/>
      <c r="S678" s="472"/>
      <c r="T678" s="472"/>
      <c r="U678" s="472"/>
      <c r="V678" s="472"/>
      <c r="W678" s="472"/>
      <c r="X678" s="472"/>
      <c r="Y678" s="472"/>
      <c r="Z678" s="472"/>
    </row>
    <row r="679" spans="1:26" ht="14.25" customHeight="1">
      <c r="A679" s="472"/>
      <c r="B679" s="472"/>
      <c r="C679" s="472"/>
      <c r="D679" s="472"/>
      <c r="E679" s="472"/>
      <c r="F679" s="472"/>
      <c r="G679" s="472"/>
      <c r="H679" s="472"/>
      <c r="I679" s="472"/>
      <c r="J679" s="472"/>
      <c r="K679" s="471"/>
      <c r="L679" s="472"/>
      <c r="M679" s="472"/>
      <c r="N679" s="472"/>
      <c r="O679" s="472"/>
      <c r="P679" s="472"/>
      <c r="Q679" s="472"/>
      <c r="R679" s="472"/>
      <c r="S679" s="472"/>
      <c r="T679" s="472"/>
      <c r="U679" s="472"/>
      <c r="V679" s="472"/>
      <c r="W679" s="472"/>
      <c r="X679" s="472"/>
      <c r="Y679" s="472"/>
      <c r="Z679" s="472"/>
    </row>
    <row r="680" spans="1:26" ht="14.25" customHeight="1">
      <c r="A680" s="472"/>
      <c r="B680" s="472"/>
      <c r="C680" s="472"/>
      <c r="D680" s="472"/>
      <c r="E680" s="472"/>
      <c r="F680" s="472"/>
      <c r="G680" s="472"/>
      <c r="H680" s="472"/>
      <c r="I680" s="472"/>
      <c r="J680" s="472"/>
      <c r="K680" s="471"/>
      <c r="L680" s="472"/>
      <c r="M680" s="472"/>
      <c r="N680" s="472"/>
      <c r="O680" s="472"/>
      <c r="P680" s="472"/>
      <c r="Q680" s="472"/>
      <c r="R680" s="472"/>
      <c r="S680" s="472"/>
      <c r="T680" s="472"/>
      <c r="U680" s="472"/>
      <c r="V680" s="472"/>
      <c r="W680" s="472"/>
      <c r="X680" s="472"/>
      <c r="Y680" s="472"/>
      <c r="Z680" s="472"/>
    </row>
    <row r="681" spans="1:26" ht="14.25" customHeight="1">
      <c r="A681" s="472"/>
      <c r="B681" s="472"/>
      <c r="C681" s="472"/>
      <c r="D681" s="472"/>
      <c r="E681" s="472"/>
      <c r="F681" s="472"/>
      <c r="G681" s="472"/>
      <c r="H681" s="472"/>
      <c r="I681" s="472"/>
      <c r="J681" s="472"/>
      <c r="K681" s="471"/>
      <c r="L681" s="472"/>
      <c r="M681" s="472"/>
      <c r="N681" s="472"/>
      <c r="O681" s="472"/>
      <c r="P681" s="472"/>
      <c r="Q681" s="472"/>
      <c r="R681" s="472"/>
      <c r="S681" s="472"/>
      <c r="T681" s="472"/>
      <c r="U681" s="472"/>
      <c r="V681" s="472"/>
      <c r="W681" s="472"/>
      <c r="X681" s="472"/>
      <c r="Y681" s="472"/>
      <c r="Z681" s="472"/>
    </row>
    <row r="682" spans="1:26" ht="14.25" customHeight="1">
      <c r="A682" s="472"/>
      <c r="B682" s="472"/>
      <c r="C682" s="472"/>
      <c r="D682" s="472"/>
      <c r="E682" s="472"/>
      <c r="F682" s="472"/>
      <c r="G682" s="472"/>
      <c r="H682" s="472"/>
      <c r="I682" s="472"/>
      <c r="J682" s="472"/>
      <c r="K682" s="471"/>
      <c r="L682" s="472"/>
      <c r="M682" s="472"/>
      <c r="N682" s="472"/>
      <c r="O682" s="472"/>
      <c r="P682" s="472"/>
      <c r="Q682" s="472"/>
      <c r="R682" s="472"/>
      <c r="S682" s="472"/>
      <c r="T682" s="472"/>
      <c r="U682" s="472"/>
      <c r="V682" s="472"/>
      <c r="W682" s="472"/>
      <c r="X682" s="472"/>
      <c r="Y682" s="472"/>
      <c r="Z682" s="472"/>
    </row>
    <row r="683" spans="1:26" ht="14.25" customHeight="1">
      <c r="A683" s="472"/>
      <c r="B683" s="472"/>
      <c r="C683" s="472"/>
      <c r="D683" s="472"/>
      <c r="E683" s="472"/>
      <c r="F683" s="472"/>
      <c r="G683" s="472"/>
      <c r="H683" s="472"/>
      <c r="I683" s="472"/>
      <c r="J683" s="472"/>
      <c r="K683" s="471"/>
      <c r="L683" s="472"/>
      <c r="M683" s="472"/>
      <c r="N683" s="472"/>
      <c r="O683" s="472"/>
      <c r="P683" s="472"/>
      <c r="Q683" s="472"/>
      <c r="R683" s="472"/>
      <c r="S683" s="472"/>
      <c r="T683" s="472"/>
      <c r="U683" s="472"/>
      <c r="V683" s="472"/>
      <c r="W683" s="472"/>
      <c r="X683" s="472"/>
      <c r="Y683" s="472"/>
      <c r="Z683" s="472"/>
    </row>
    <row r="684" spans="1:26" ht="14.25" customHeight="1">
      <c r="A684" s="472"/>
      <c r="B684" s="472"/>
      <c r="C684" s="472"/>
      <c r="D684" s="472"/>
      <c r="E684" s="472"/>
      <c r="F684" s="472"/>
      <c r="G684" s="472"/>
      <c r="H684" s="472"/>
      <c r="I684" s="472"/>
      <c r="J684" s="472"/>
      <c r="K684" s="471"/>
      <c r="L684" s="472"/>
      <c r="M684" s="472"/>
      <c r="N684" s="472"/>
      <c r="O684" s="472"/>
      <c r="P684" s="472"/>
      <c r="Q684" s="472"/>
      <c r="R684" s="472"/>
      <c r="S684" s="472"/>
      <c r="T684" s="472"/>
      <c r="U684" s="472"/>
      <c r="V684" s="472"/>
      <c r="W684" s="472"/>
      <c r="X684" s="472"/>
      <c r="Y684" s="472"/>
      <c r="Z684" s="472"/>
    </row>
    <row r="685" spans="1:26" ht="14.25" customHeight="1">
      <c r="A685" s="472"/>
      <c r="B685" s="472"/>
      <c r="C685" s="472"/>
      <c r="D685" s="472"/>
      <c r="E685" s="472"/>
      <c r="F685" s="472"/>
      <c r="G685" s="472"/>
      <c r="H685" s="472"/>
      <c r="I685" s="472"/>
      <c r="J685" s="472"/>
      <c r="K685" s="471"/>
      <c r="L685" s="472"/>
      <c r="M685" s="472"/>
      <c r="N685" s="472"/>
      <c r="O685" s="472"/>
      <c r="P685" s="472"/>
      <c r="Q685" s="472"/>
      <c r="R685" s="472"/>
      <c r="S685" s="472"/>
      <c r="T685" s="472"/>
      <c r="U685" s="472"/>
      <c r="V685" s="472"/>
      <c r="W685" s="472"/>
      <c r="X685" s="472"/>
      <c r="Y685" s="472"/>
      <c r="Z685" s="472"/>
    </row>
    <row r="686" spans="1:26" ht="14.25" customHeight="1">
      <c r="A686" s="472"/>
      <c r="B686" s="472"/>
      <c r="C686" s="472"/>
      <c r="D686" s="472"/>
      <c r="E686" s="472"/>
      <c r="F686" s="472"/>
      <c r="G686" s="472"/>
      <c r="H686" s="472"/>
      <c r="I686" s="472"/>
      <c r="J686" s="472"/>
      <c r="K686" s="471"/>
      <c r="L686" s="472"/>
      <c r="M686" s="472"/>
      <c r="N686" s="472"/>
      <c r="O686" s="472"/>
      <c r="P686" s="472"/>
      <c r="Q686" s="472"/>
      <c r="R686" s="472"/>
      <c r="S686" s="472"/>
      <c r="T686" s="472"/>
      <c r="U686" s="472"/>
      <c r="V686" s="472"/>
      <c r="W686" s="472"/>
      <c r="X686" s="472"/>
      <c r="Y686" s="472"/>
      <c r="Z686" s="472"/>
    </row>
    <row r="687" spans="1:26" ht="14.25" customHeight="1">
      <c r="A687" s="472"/>
      <c r="B687" s="472"/>
      <c r="C687" s="472"/>
      <c r="D687" s="472"/>
      <c r="E687" s="472"/>
      <c r="F687" s="472"/>
      <c r="G687" s="472"/>
      <c r="H687" s="472"/>
      <c r="I687" s="472"/>
      <c r="J687" s="472"/>
      <c r="K687" s="471"/>
      <c r="L687" s="472"/>
      <c r="M687" s="472"/>
      <c r="N687" s="472"/>
      <c r="O687" s="472"/>
      <c r="P687" s="472"/>
      <c r="Q687" s="472"/>
      <c r="R687" s="472"/>
      <c r="S687" s="472"/>
      <c r="T687" s="472"/>
      <c r="U687" s="472"/>
      <c r="V687" s="472"/>
      <c r="W687" s="472"/>
      <c r="X687" s="472"/>
      <c r="Y687" s="472"/>
      <c r="Z687" s="472"/>
    </row>
    <row r="688" spans="1:26" ht="14.25" customHeight="1">
      <c r="A688" s="472"/>
      <c r="B688" s="472"/>
      <c r="C688" s="472"/>
      <c r="D688" s="472"/>
      <c r="E688" s="472"/>
      <c r="F688" s="472"/>
      <c r="G688" s="472"/>
      <c r="H688" s="472"/>
      <c r="I688" s="472"/>
      <c r="J688" s="472"/>
      <c r="K688" s="471"/>
      <c r="L688" s="472"/>
      <c r="M688" s="472"/>
      <c r="N688" s="472"/>
      <c r="O688" s="472"/>
      <c r="P688" s="472"/>
      <c r="Q688" s="472"/>
      <c r="R688" s="472"/>
      <c r="S688" s="472"/>
      <c r="T688" s="472"/>
      <c r="U688" s="472"/>
      <c r="V688" s="472"/>
      <c r="W688" s="472"/>
      <c r="X688" s="472"/>
      <c r="Y688" s="472"/>
      <c r="Z688" s="472"/>
    </row>
    <row r="689" spans="1:26" ht="14.25" customHeight="1">
      <c r="A689" s="472"/>
      <c r="B689" s="472"/>
      <c r="C689" s="472"/>
      <c r="D689" s="472"/>
      <c r="E689" s="472"/>
      <c r="F689" s="472"/>
      <c r="G689" s="472"/>
      <c r="H689" s="472"/>
      <c r="I689" s="472"/>
      <c r="J689" s="472"/>
      <c r="K689" s="471"/>
      <c r="L689" s="472"/>
      <c r="M689" s="472"/>
      <c r="N689" s="472"/>
      <c r="O689" s="472"/>
      <c r="P689" s="472"/>
      <c r="Q689" s="472"/>
      <c r="R689" s="472"/>
      <c r="S689" s="472"/>
      <c r="T689" s="472"/>
      <c r="U689" s="472"/>
      <c r="V689" s="472"/>
      <c r="W689" s="472"/>
      <c r="X689" s="472"/>
      <c r="Y689" s="472"/>
      <c r="Z689" s="472"/>
    </row>
    <row r="690" spans="1:26" ht="14.25" customHeight="1">
      <c r="A690" s="472"/>
      <c r="B690" s="472"/>
      <c r="C690" s="472"/>
      <c r="D690" s="472"/>
      <c r="E690" s="472"/>
      <c r="F690" s="472"/>
      <c r="G690" s="472"/>
      <c r="H690" s="472"/>
      <c r="I690" s="472"/>
      <c r="J690" s="472"/>
      <c r="K690" s="471"/>
      <c r="L690" s="472"/>
      <c r="M690" s="472"/>
      <c r="N690" s="472"/>
      <c r="O690" s="472"/>
      <c r="P690" s="472"/>
      <c r="Q690" s="472"/>
      <c r="R690" s="472"/>
      <c r="S690" s="472"/>
      <c r="T690" s="472"/>
      <c r="U690" s="472"/>
      <c r="V690" s="472"/>
      <c r="W690" s="472"/>
      <c r="X690" s="472"/>
      <c r="Y690" s="472"/>
      <c r="Z690" s="472"/>
    </row>
    <row r="691" spans="1:26" ht="14.25" customHeight="1">
      <c r="A691" s="472"/>
      <c r="B691" s="472"/>
      <c r="C691" s="472"/>
      <c r="D691" s="472"/>
      <c r="E691" s="472"/>
      <c r="F691" s="472"/>
      <c r="G691" s="472"/>
      <c r="H691" s="472"/>
      <c r="I691" s="472"/>
      <c r="J691" s="472"/>
      <c r="K691" s="471"/>
      <c r="L691" s="472"/>
      <c r="M691" s="472"/>
      <c r="N691" s="472"/>
      <c r="O691" s="472"/>
      <c r="P691" s="472"/>
      <c r="Q691" s="472"/>
      <c r="R691" s="472"/>
      <c r="S691" s="472"/>
      <c r="T691" s="472"/>
      <c r="U691" s="472"/>
      <c r="V691" s="472"/>
      <c r="W691" s="472"/>
      <c r="X691" s="472"/>
      <c r="Y691" s="472"/>
      <c r="Z691" s="472"/>
    </row>
    <row r="692" spans="1:26" ht="14.25" customHeight="1">
      <c r="A692" s="472"/>
      <c r="B692" s="472"/>
      <c r="C692" s="472"/>
      <c r="D692" s="472"/>
      <c r="E692" s="472"/>
      <c r="F692" s="472"/>
      <c r="G692" s="472"/>
      <c r="H692" s="472"/>
      <c r="I692" s="472"/>
      <c r="J692" s="472"/>
      <c r="K692" s="471"/>
      <c r="L692" s="472"/>
      <c r="M692" s="472"/>
      <c r="N692" s="472"/>
      <c r="O692" s="472"/>
      <c r="P692" s="472"/>
      <c r="Q692" s="472"/>
      <c r="R692" s="472"/>
      <c r="S692" s="472"/>
      <c r="T692" s="472"/>
      <c r="U692" s="472"/>
      <c r="V692" s="472"/>
      <c r="W692" s="472"/>
      <c r="X692" s="472"/>
      <c r="Y692" s="472"/>
      <c r="Z692" s="472"/>
    </row>
    <row r="693" spans="1:26" ht="14.25" customHeight="1">
      <c r="A693" s="472"/>
      <c r="B693" s="472"/>
      <c r="C693" s="472"/>
      <c r="D693" s="472"/>
      <c r="E693" s="472"/>
      <c r="F693" s="472"/>
      <c r="G693" s="472"/>
      <c r="H693" s="472"/>
      <c r="I693" s="472"/>
      <c r="J693" s="472"/>
      <c r="K693" s="471"/>
      <c r="L693" s="472"/>
      <c r="M693" s="472"/>
      <c r="N693" s="472"/>
      <c r="O693" s="472"/>
      <c r="P693" s="472"/>
      <c r="Q693" s="472"/>
      <c r="R693" s="472"/>
      <c r="S693" s="472"/>
      <c r="T693" s="472"/>
      <c r="U693" s="472"/>
      <c r="V693" s="472"/>
      <c r="W693" s="472"/>
      <c r="X693" s="472"/>
      <c r="Y693" s="472"/>
      <c r="Z693" s="472"/>
    </row>
    <row r="694" spans="1:26" ht="14.25" customHeight="1">
      <c r="A694" s="472"/>
      <c r="B694" s="472"/>
      <c r="C694" s="472"/>
      <c r="D694" s="472"/>
      <c r="E694" s="472"/>
      <c r="F694" s="472"/>
      <c r="G694" s="472"/>
      <c r="H694" s="472"/>
      <c r="I694" s="472"/>
      <c r="J694" s="472"/>
      <c r="K694" s="471"/>
      <c r="L694" s="472"/>
      <c r="M694" s="472"/>
      <c r="N694" s="472"/>
      <c r="O694" s="472"/>
      <c r="P694" s="472"/>
      <c r="Q694" s="472"/>
      <c r="R694" s="472"/>
      <c r="S694" s="472"/>
      <c r="T694" s="472"/>
      <c r="U694" s="472"/>
      <c r="V694" s="472"/>
      <c r="W694" s="472"/>
      <c r="X694" s="472"/>
      <c r="Y694" s="472"/>
      <c r="Z694" s="472"/>
    </row>
    <row r="695" spans="1:26" ht="14.25" customHeight="1">
      <c r="A695" s="472"/>
      <c r="B695" s="472"/>
      <c r="C695" s="472"/>
      <c r="D695" s="472"/>
      <c r="E695" s="472"/>
      <c r="F695" s="472"/>
      <c r="G695" s="472"/>
      <c r="H695" s="472"/>
      <c r="I695" s="472"/>
      <c r="J695" s="472"/>
      <c r="K695" s="471"/>
      <c r="L695" s="472"/>
      <c r="M695" s="472"/>
      <c r="N695" s="472"/>
      <c r="O695" s="472"/>
      <c r="P695" s="472"/>
      <c r="Q695" s="472"/>
      <c r="R695" s="472"/>
      <c r="S695" s="472"/>
      <c r="T695" s="472"/>
      <c r="U695" s="472"/>
      <c r="V695" s="472"/>
      <c r="W695" s="472"/>
      <c r="X695" s="472"/>
      <c r="Y695" s="472"/>
      <c r="Z695" s="472"/>
    </row>
    <row r="696" spans="1:26" ht="14.25" customHeight="1">
      <c r="A696" s="472"/>
      <c r="B696" s="472"/>
      <c r="C696" s="472"/>
      <c r="D696" s="472"/>
      <c r="E696" s="472"/>
      <c r="F696" s="472"/>
      <c r="G696" s="472"/>
      <c r="H696" s="472"/>
      <c r="I696" s="472"/>
      <c r="J696" s="472"/>
      <c r="K696" s="471"/>
      <c r="L696" s="472"/>
      <c r="M696" s="472"/>
      <c r="N696" s="472"/>
      <c r="O696" s="472"/>
      <c r="P696" s="472"/>
      <c r="Q696" s="472"/>
      <c r="R696" s="472"/>
      <c r="S696" s="472"/>
      <c r="T696" s="472"/>
      <c r="U696" s="472"/>
      <c r="V696" s="472"/>
      <c r="W696" s="472"/>
      <c r="X696" s="472"/>
      <c r="Y696" s="472"/>
      <c r="Z696" s="472"/>
    </row>
    <row r="697" spans="1:26" ht="14.25" customHeight="1">
      <c r="A697" s="472"/>
      <c r="B697" s="472"/>
      <c r="C697" s="472"/>
      <c r="D697" s="472"/>
      <c r="E697" s="472"/>
      <c r="F697" s="472"/>
      <c r="G697" s="472"/>
      <c r="H697" s="472"/>
      <c r="I697" s="472"/>
      <c r="J697" s="472"/>
      <c r="K697" s="471"/>
      <c r="L697" s="472"/>
      <c r="M697" s="472"/>
      <c r="N697" s="472"/>
      <c r="O697" s="472"/>
      <c r="P697" s="472"/>
      <c r="Q697" s="472"/>
      <c r="R697" s="472"/>
      <c r="S697" s="472"/>
      <c r="T697" s="472"/>
      <c r="U697" s="472"/>
      <c r="V697" s="472"/>
      <c r="W697" s="472"/>
      <c r="X697" s="472"/>
      <c r="Y697" s="472"/>
      <c r="Z697" s="472"/>
    </row>
    <row r="698" spans="1:26" ht="14.25" customHeight="1">
      <c r="A698" s="472"/>
      <c r="B698" s="472"/>
      <c r="C698" s="472"/>
      <c r="D698" s="472"/>
      <c r="E698" s="472"/>
      <c r="F698" s="472"/>
      <c r="G698" s="472"/>
      <c r="H698" s="472"/>
      <c r="I698" s="472"/>
      <c r="J698" s="472"/>
      <c r="K698" s="471"/>
      <c r="L698" s="472"/>
      <c r="M698" s="472"/>
      <c r="N698" s="472"/>
      <c r="O698" s="472"/>
      <c r="P698" s="472"/>
      <c r="Q698" s="472"/>
      <c r="R698" s="472"/>
      <c r="S698" s="472"/>
      <c r="T698" s="472"/>
      <c r="U698" s="472"/>
      <c r="V698" s="472"/>
      <c r="W698" s="472"/>
      <c r="X698" s="472"/>
      <c r="Y698" s="472"/>
      <c r="Z698" s="472"/>
    </row>
    <row r="699" spans="1:26" ht="14.25" customHeight="1">
      <c r="A699" s="472"/>
      <c r="B699" s="472"/>
      <c r="C699" s="472"/>
      <c r="D699" s="472"/>
      <c r="E699" s="472"/>
      <c r="F699" s="472"/>
      <c r="G699" s="472"/>
      <c r="H699" s="472"/>
      <c r="I699" s="472"/>
      <c r="J699" s="472"/>
      <c r="K699" s="471"/>
      <c r="L699" s="472"/>
      <c r="M699" s="472"/>
      <c r="N699" s="472"/>
      <c r="O699" s="472"/>
      <c r="P699" s="472"/>
      <c r="Q699" s="472"/>
      <c r="R699" s="472"/>
      <c r="S699" s="472"/>
      <c r="T699" s="472"/>
      <c r="U699" s="472"/>
      <c r="V699" s="472"/>
      <c r="W699" s="472"/>
      <c r="X699" s="472"/>
      <c r="Y699" s="472"/>
      <c r="Z699" s="472"/>
    </row>
    <row r="700" spans="1:26" ht="14.25" customHeight="1">
      <c r="A700" s="472"/>
      <c r="B700" s="472"/>
      <c r="C700" s="472"/>
      <c r="D700" s="472"/>
      <c r="E700" s="472"/>
      <c r="F700" s="472"/>
      <c r="G700" s="472"/>
      <c r="H700" s="472"/>
      <c r="I700" s="472"/>
      <c r="J700" s="472"/>
      <c r="K700" s="471"/>
      <c r="L700" s="472"/>
      <c r="M700" s="472"/>
      <c r="N700" s="472"/>
      <c r="O700" s="472"/>
      <c r="P700" s="472"/>
      <c r="Q700" s="472"/>
      <c r="R700" s="472"/>
      <c r="S700" s="472"/>
      <c r="T700" s="472"/>
      <c r="U700" s="472"/>
      <c r="V700" s="472"/>
      <c r="W700" s="472"/>
      <c r="X700" s="472"/>
      <c r="Y700" s="472"/>
      <c r="Z700" s="472"/>
    </row>
    <row r="701" spans="1:26" ht="14.25" customHeight="1">
      <c r="A701" s="472"/>
      <c r="B701" s="472"/>
      <c r="C701" s="472"/>
      <c r="D701" s="472"/>
      <c r="E701" s="472"/>
      <c r="F701" s="472"/>
      <c r="G701" s="472"/>
      <c r="H701" s="472"/>
      <c r="I701" s="472"/>
      <c r="J701" s="472"/>
      <c r="K701" s="471"/>
      <c r="L701" s="472"/>
      <c r="M701" s="472"/>
      <c r="N701" s="472"/>
      <c r="O701" s="472"/>
      <c r="P701" s="472"/>
      <c r="Q701" s="472"/>
      <c r="R701" s="472"/>
      <c r="S701" s="472"/>
      <c r="T701" s="472"/>
      <c r="U701" s="472"/>
      <c r="V701" s="472"/>
      <c r="W701" s="472"/>
      <c r="X701" s="472"/>
      <c r="Y701" s="472"/>
      <c r="Z701" s="472"/>
    </row>
    <row r="702" spans="1:26" ht="14.25" customHeight="1">
      <c r="A702" s="472"/>
      <c r="B702" s="472"/>
      <c r="C702" s="472"/>
      <c r="D702" s="472"/>
      <c r="E702" s="472"/>
      <c r="F702" s="472"/>
      <c r="G702" s="472"/>
      <c r="H702" s="472"/>
      <c r="I702" s="472"/>
      <c r="J702" s="472"/>
      <c r="K702" s="471"/>
      <c r="L702" s="472"/>
      <c r="M702" s="472"/>
      <c r="N702" s="472"/>
      <c r="O702" s="472"/>
      <c r="P702" s="472"/>
      <c r="Q702" s="472"/>
      <c r="R702" s="472"/>
      <c r="S702" s="472"/>
      <c r="T702" s="472"/>
      <c r="U702" s="472"/>
      <c r="V702" s="472"/>
      <c r="W702" s="472"/>
      <c r="X702" s="472"/>
      <c r="Y702" s="472"/>
      <c r="Z702" s="472"/>
    </row>
    <row r="703" spans="1:26" ht="14.25" customHeight="1">
      <c r="A703" s="472"/>
      <c r="B703" s="472"/>
      <c r="C703" s="472"/>
      <c r="D703" s="472"/>
      <c r="E703" s="472"/>
      <c r="F703" s="472"/>
      <c r="G703" s="472"/>
      <c r="H703" s="472"/>
      <c r="I703" s="472"/>
      <c r="J703" s="472"/>
      <c r="K703" s="471"/>
      <c r="L703" s="472"/>
      <c r="M703" s="472"/>
      <c r="N703" s="472"/>
      <c r="O703" s="472"/>
      <c r="P703" s="472"/>
      <c r="Q703" s="472"/>
      <c r="R703" s="472"/>
      <c r="S703" s="472"/>
      <c r="T703" s="472"/>
      <c r="U703" s="472"/>
      <c r="V703" s="472"/>
      <c r="W703" s="472"/>
      <c r="X703" s="472"/>
      <c r="Y703" s="472"/>
      <c r="Z703" s="472"/>
    </row>
    <row r="704" spans="1:26" ht="14.25" customHeight="1">
      <c r="A704" s="472"/>
      <c r="B704" s="472"/>
      <c r="C704" s="472"/>
      <c r="D704" s="472"/>
      <c r="E704" s="472"/>
      <c r="F704" s="472"/>
      <c r="G704" s="472"/>
      <c r="H704" s="472"/>
      <c r="I704" s="472"/>
      <c r="J704" s="472"/>
      <c r="K704" s="471"/>
      <c r="L704" s="472"/>
      <c r="M704" s="472"/>
      <c r="N704" s="472"/>
      <c r="O704" s="472"/>
      <c r="P704" s="472"/>
      <c r="Q704" s="472"/>
      <c r="R704" s="472"/>
      <c r="S704" s="472"/>
      <c r="T704" s="472"/>
      <c r="U704" s="472"/>
      <c r="V704" s="472"/>
      <c r="W704" s="472"/>
      <c r="X704" s="472"/>
      <c r="Y704" s="472"/>
      <c r="Z704" s="472"/>
    </row>
    <row r="705" spans="1:26" ht="14.25" customHeight="1">
      <c r="A705" s="472"/>
      <c r="B705" s="472"/>
      <c r="C705" s="472"/>
      <c r="D705" s="472"/>
      <c r="E705" s="472"/>
      <c r="F705" s="472"/>
      <c r="G705" s="472"/>
      <c r="H705" s="472"/>
      <c r="I705" s="472"/>
      <c r="J705" s="472"/>
      <c r="K705" s="471"/>
      <c r="L705" s="472"/>
      <c r="M705" s="472"/>
      <c r="N705" s="472"/>
      <c r="O705" s="472"/>
      <c r="P705" s="472"/>
      <c r="Q705" s="472"/>
      <c r="R705" s="472"/>
      <c r="S705" s="472"/>
      <c r="T705" s="472"/>
      <c r="U705" s="472"/>
      <c r="V705" s="472"/>
      <c r="W705" s="472"/>
      <c r="X705" s="472"/>
      <c r="Y705" s="472"/>
      <c r="Z705" s="472"/>
    </row>
    <row r="706" spans="1:26" ht="14.25" customHeight="1">
      <c r="A706" s="472"/>
      <c r="B706" s="472"/>
      <c r="C706" s="472"/>
      <c r="D706" s="472"/>
      <c r="E706" s="472"/>
      <c r="F706" s="472"/>
      <c r="G706" s="472"/>
      <c r="H706" s="472"/>
      <c r="I706" s="472"/>
      <c r="J706" s="472"/>
      <c r="K706" s="471"/>
      <c r="L706" s="472"/>
      <c r="M706" s="472"/>
      <c r="N706" s="472"/>
      <c r="O706" s="472"/>
      <c r="P706" s="472"/>
      <c r="Q706" s="472"/>
      <c r="R706" s="472"/>
      <c r="S706" s="472"/>
      <c r="T706" s="472"/>
      <c r="U706" s="472"/>
      <c r="V706" s="472"/>
      <c r="W706" s="472"/>
      <c r="X706" s="472"/>
      <c r="Y706" s="472"/>
      <c r="Z706" s="472"/>
    </row>
    <row r="707" spans="1:26" ht="14.25" customHeight="1">
      <c r="A707" s="472"/>
      <c r="B707" s="472"/>
      <c r="C707" s="472"/>
      <c r="D707" s="472"/>
      <c r="E707" s="472"/>
      <c r="F707" s="472"/>
      <c r="G707" s="472"/>
      <c r="H707" s="472"/>
      <c r="I707" s="472"/>
      <c r="J707" s="472"/>
      <c r="K707" s="471"/>
      <c r="L707" s="472"/>
      <c r="M707" s="472"/>
      <c r="N707" s="472"/>
      <c r="O707" s="472"/>
      <c r="P707" s="472"/>
      <c r="Q707" s="472"/>
      <c r="R707" s="472"/>
      <c r="S707" s="472"/>
      <c r="T707" s="472"/>
      <c r="U707" s="472"/>
      <c r="V707" s="472"/>
      <c r="W707" s="472"/>
      <c r="X707" s="472"/>
      <c r="Y707" s="472"/>
      <c r="Z707" s="472"/>
    </row>
    <row r="708" spans="1:26" ht="14.25" customHeight="1">
      <c r="A708" s="472"/>
      <c r="B708" s="472"/>
      <c r="C708" s="472"/>
      <c r="D708" s="472"/>
      <c r="E708" s="472"/>
      <c r="F708" s="472"/>
      <c r="G708" s="472"/>
      <c r="H708" s="472"/>
      <c r="I708" s="472"/>
      <c r="J708" s="472"/>
      <c r="K708" s="471"/>
      <c r="L708" s="472"/>
      <c r="M708" s="472"/>
      <c r="N708" s="472"/>
      <c r="O708" s="472"/>
      <c r="P708" s="472"/>
      <c r="Q708" s="472"/>
      <c r="R708" s="472"/>
      <c r="S708" s="472"/>
      <c r="T708" s="472"/>
      <c r="U708" s="472"/>
      <c r="V708" s="472"/>
      <c r="W708" s="472"/>
      <c r="X708" s="472"/>
      <c r="Y708" s="472"/>
      <c r="Z708" s="472"/>
    </row>
    <row r="709" spans="1:26" ht="14.25" customHeight="1">
      <c r="A709" s="472"/>
      <c r="B709" s="472"/>
      <c r="C709" s="472"/>
      <c r="D709" s="472"/>
      <c r="E709" s="472"/>
      <c r="F709" s="472"/>
      <c r="G709" s="472"/>
      <c r="H709" s="472"/>
      <c r="I709" s="472"/>
      <c r="J709" s="472"/>
      <c r="K709" s="471"/>
      <c r="L709" s="472"/>
      <c r="M709" s="472"/>
      <c r="N709" s="472"/>
      <c r="O709" s="472"/>
      <c r="P709" s="472"/>
      <c r="Q709" s="472"/>
      <c r="R709" s="472"/>
      <c r="S709" s="472"/>
      <c r="T709" s="472"/>
      <c r="U709" s="472"/>
      <c r="V709" s="472"/>
      <c r="W709" s="472"/>
      <c r="X709" s="472"/>
      <c r="Y709" s="472"/>
      <c r="Z709" s="472"/>
    </row>
    <row r="710" spans="1:26" ht="14.25" customHeight="1">
      <c r="A710" s="472"/>
      <c r="B710" s="472"/>
      <c r="C710" s="472"/>
      <c r="D710" s="472"/>
      <c r="E710" s="472"/>
      <c r="F710" s="472"/>
      <c r="G710" s="472"/>
      <c r="H710" s="472"/>
      <c r="I710" s="472"/>
      <c r="J710" s="472"/>
      <c r="K710" s="471"/>
      <c r="L710" s="472"/>
      <c r="M710" s="472"/>
      <c r="N710" s="472"/>
      <c r="O710" s="472"/>
      <c r="P710" s="472"/>
      <c r="Q710" s="472"/>
      <c r="R710" s="472"/>
      <c r="S710" s="472"/>
      <c r="T710" s="472"/>
      <c r="U710" s="472"/>
      <c r="V710" s="472"/>
      <c r="W710" s="472"/>
      <c r="X710" s="472"/>
      <c r="Y710" s="472"/>
      <c r="Z710" s="472"/>
    </row>
    <row r="711" spans="1:26" ht="14.25" customHeight="1">
      <c r="A711" s="472"/>
      <c r="B711" s="472"/>
      <c r="C711" s="472"/>
      <c r="D711" s="472"/>
      <c r="E711" s="472"/>
      <c r="F711" s="472"/>
      <c r="G711" s="472"/>
      <c r="H711" s="472"/>
      <c r="I711" s="472"/>
      <c r="J711" s="472"/>
      <c r="K711" s="471"/>
      <c r="L711" s="472"/>
      <c r="M711" s="472"/>
      <c r="N711" s="472"/>
      <c r="O711" s="472"/>
      <c r="P711" s="472"/>
      <c r="Q711" s="472"/>
      <c r="R711" s="472"/>
      <c r="S711" s="472"/>
      <c r="T711" s="472"/>
      <c r="U711" s="472"/>
      <c r="V711" s="472"/>
      <c r="W711" s="472"/>
      <c r="X711" s="472"/>
      <c r="Y711" s="472"/>
      <c r="Z711" s="472"/>
    </row>
    <row r="712" spans="1:26" ht="14.25" customHeight="1">
      <c r="A712" s="472"/>
      <c r="B712" s="472"/>
      <c r="C712" s="472"/>
      <c r="D712" s="472"/>
      <c r="E712" s="472"/>
      <c r="F712" s="472"/>
      <c r="G712" s="472"/>
      <c r="H712" s="472"/>
      <c r="I712" s="472"/>
      <c r="J712" s="472"/>
      <c r="K712" s="471"/>
      <c r="L712" s="472"/>
      <c r="M712" s="472"/>
      <c r="N712" s="472"/>
      <c r="O712" s="472"/>
      <c r="P712" s="472"/>
      <c r="Q712" s="472"/>
      <c r="R712" s="472"/>
      <c r="S712" s="472"/>
      <c r="T712" s="472"/>
      <c r="U712" s="472"/>
      <c r="V712" s="472"/>
      <c r="W712" s="472"/>
      <c r="X712" s="472"/>
      <c r="Y712" s="472"/>
      <c r="Z712" s="472"/>
    </row>
    <row r="713" spans="1:26" ht="14.25" customHeight="1">
      <c r="A713" s="472"/>
      <c r="B713" s="472"/>
      <c r="C713" s="472"/>
      <c r="D713" s="472"/>
      <c r="E713" s="472"/>
      <c r="F713" s="472"/>
      <c r="G713" s="472"/>
      <c r="H713" s="472"/>
      <c r="I713" s="472"/>
      <c r="J713" s="472"/>
      <c r="K713" s="471"/>
      <c r="L713" s="472"/>
      <c r="M713" s="472"/>
      <c r="N713" s="472"/>
      <c r="O713" s="472"/>
      <c r="P713" s="472"/>
      <c r="Q713" s="472"/>
      <c r="R713" s="472"/>
      <c r="S713" s="472"/>
      <c r="T713" s="472"/>
      <c r="U713" s="472"/>
      <c r="V713" s="472"/>
      <c r="W713" s="472"/>
      <c r="X713" s="472"/>
      <c r="Y713" s="472"/>
      <c r="Z713" s="472"/>
    </row>
    <row r="714" spans="1:26" ht="14.25" customHeight="1">
      <c r="A714" s="472"/>
      <c r="B714" s="472"/>
      <c r="C714" s="472"/>
      <c r="D714" s="472"/>
      <c r="E714" s="472"/>
      <c r="F714" s="472"/>
      <c r="G714" s="472"/>
      <c r="H714" s="472"/>
      <c r="I714" s="472"/>
      <c r="J714" s="472"/>
      <c r="K714" s="471"/>
      <c r="L714" s="472"/>
      <c r="M714" s="472"/>
      <c r="N714" s="472"/>
      <c r="O714" s="472"/>
      <c r="P714" s="472"/>
      <c r="Q714" s="472"/>
      <c r="R714" s="472"/>
      <c r="S714" s="472"/>
      <c r="T714" s="472"/>
      <c r="U714" s="472"/>
      <c r="V714" s="472"/>
      <c r="W714" s="472"/>
      <c r="X714" s="472"/>
      <c r="Y714" s="472"/>
      <c r="Z714" s="472"/>
    </row>
    <row r="715" spans="1:26" ht="14.25" customHeight="1">
      <c r="A715" s="472"/>
      <c r="B715" s="472"/>
      <c r="C715" s="472"/>
      <c r="D715" s="472"/>
      <c r="E715" s="472"/>
      <c r="F715" s="472"/>
      <c r="G715" s="472"/>
      <c r="H715" s="472"/>
      <c r="I715" s="472"/>
      <c r="J715" s="472"/>
      <c r="K715" s="471"/>
      <c r="L715" s="472"/>
      <c r="M715" s="472"/>
      <c r="N715" s="472"/>
      <c r="O715" s="472"/>
      <c r="P715" s="472"/>
      <c r="Q715" s="472"/>
      <c r="R715" s="472"/>
      <c r="S715" s="472"/>
      <c r="T715" s="472"/>
      <c r="U715" s="472"/>
      <c r="V715" s="472"/>
      <c r="W715" s="472"/>
      <c r="X715" s="472"/>
      <c r="Y715" s="472"/>
      <c r="Z715" s="472"/>
    </row>
    <row r="716" spans="1:26" ht="14.25" customHeight="1">
      <c r="A716" s="472"/>
      <c r="B716" s="472"/>
      <c r="C716" s="472"/>
      <c r="D716" s="472"/>
      <c r="E716" s="472"/>
      <c r="F716" s="472"/>
      <c r="G716" s="472"/>
      <c r="H716" s="472"/>
      <c r="I716" s="472"/>
      <c r="J716" s="472"/>
      <c r="K716" s="471"/>
      <c r="L716" s="472"/>
      <c r="M716" s="472"/>
      <c r="N716" s="472"/>
      <c r="O716" s="472"/>
      <c r="P716" s="472"/>
      <c r="Q716" s="472"/>
      <c r="R716" s="472"/>
      <c r="S716" s="472"/>
      <c r="T716" s="472"/>
      <c r="U716" s="472"/>
      <c r="V716" s="472"/>
      <c r="W716" s="472"/>
      <c r="X716" s="472"/>
      <c r="Y716" s="472"/>
      <c r="Z716" s="472"/>
    </row>
    <row r="717" spans="1:26" ht="14.25" customHeight="1">
      <c r="A717" s="472"/>
      <c r="B717" s="472"/>
      <c r="C717" s="472"/>
      <c r="D717" s="472"/>
      <c r="E717" s="472"/>
      <c r="F717" s="472"/>
      <c r="G717" s="472"/>
      <c r="H717" s="472"/>
      <c r="I717" s="472"/>
      <c r="J717" s="472"/>
      <c r="K717" s="471"/>
      <c r="L717" s="472"/>
      <c r="M717" s="472"/>
      <c r="N717" s="472"/>
      <c r="O717" s="472"/>
      <c r="P717" s="472"/>
      <c r="Q717" s="472"/>
      <c r="R717" s="472"/>
      <c r="S717" s="472"/>
      <c r="T717" s="472"/>
      <c r="U717" s="472"/>
      <c r="V717" s="472"/>
      <c r="W717" s="472"/>
      <c r="X717" s="472"/>
      <c r="Y717" s="472"/>
      <c r="Z717" s="472"/>
    </row>
    <row r="718" spans="1:26" ht="14.25" customHeight="1">
      <c r="A718" s="472"/>
      <c r="B718" s="472"/>
      <c r="C718" s="472"/>
      <c r="D718" s="472"/>
      <c r="E718" s="472"/>
      <c r="F718" s="472"/>
      <c r="G718" s="472"/>
      <c r="H718" s="472"/>
      <c r="I718" s="472"/>
      <c r="J718" s="472"/>
      <c r="K718" s="471"/>
      <c r="L718" s="472"/>
      <c r="M718" s="472"/>
      <c r="N718" s="472"/>
      <c r="O718" s="472"/>
      <c r="P718" s="472"/>
      <c r="Q718" s="472"/>
      <c r="R718" s="472"/>
      <c r="S718" s="472"/>
      <c r="T718" s="472"/>
      <c r="U718" s="472"/>
      <c r="V718" s="472"/>
      <c r="W718" s="472"/>
      <c r="X718" s="472"/>
      <c r="Y718" s="472"/>
      <c r="Z718" s="472"/>
    </row>
    <row r="719" spans="1:26" ht="14.25" customHeight="1">
      <c r="A719" s="472"/>
      <c r="B719" s="472"/>
      <c r="C719" s="472"/>
      <c r="D719" s="472"/>
      <c r="E719" s="472"/>
      <c r="F719" s="472"/>
      <c r="G719" s="472"/>
      <c r="H719" s="472"/>
      <c r="I719" s="472"/>
      <c r="J719" s="472"/>
      <c r="K719" s="471"/>
      <c r="L719" s="472"/>
      <c r="M719" s="472"/>
      <c r="N719" s="472"/>
      <c r="O719" s="472"/>
      <c r="P719" s="472"/>
      <c r="Q719" s="472"/>
      <c r="R719" s="472"/>
      <c r="S719" s="472"/>
      <c r="T719" s="472"/>
      <c r="U719" s="472"/>
      <c r="V719" s="472"/>
      <c r="W719" s="472"/>
      <c r="X719" s="472"/>
      <c r="Y719" s="472"/>
      <c r="Z719" s="472"/>
    </row>
    <row r="720" spans="1:26" ht="14.25" customHeight="1">
      <c r="A720" s="472"/>
      <c r="B720" s="472"/>
      <c r="C720" s="472"/>
      <c r="D720" s="472"/>
      <c r="E720" s="472"/>
      <c r="F720" s="472"/>
      <c r="G720" s="472"/>
      <c r="H720" s="472"/>
      <c r="I720" s="472"/>
      <c r="J720" s="472"/>
      <c r="K720" s="471"/>
      <c r="L720" s="472"/>
      <c r="M720" s="472"/>
      <c r="N720" s="472"/>
      <c r="O720" s="472"/>
      <c r="P720" s="472"/>
      <c r="Q720" s="472"/>
      <c r="R720" s="472"/>
      <c r="S720" s="472"/>
      <c r="T720" s="472"/>
      <c r="U720" s="472"/>
      <c r="V720" s="472"/>
      <c r="W720" s="472"/>
      <c r="X720" s="472"/>
      <c r="Y720" s="472"/>
      <c r="Z720" s="472"/>
    </row>
    <row r="721" spans="1:26" ht="14.25" customHeight="1">
      <c r="A721" s="472"/>
      <c r="B721" s="472"/>
      <c r="C721" s="472"/>
      <c r="D721" s="472"/>
      <c r="E721" s="472"/>
      <c r="F721" s="472"/>
      <c r="G721" s="472"/>
      <c r="H721" s="472"/>
      <c r="I721" s="472"/>
      <c r="J721" s="472"/>
      <c r="K721" s="471"/>
      <c r="L721" s="472"/>
      <c r="M721" s="472"/>
      <c r="N721" s="472"/>
      <c r="O721" s="472"/>
      <c r="P721" s="472"/>
      <c r="Q721" s="472"/>
      <c r="R721" s="472"/>
      <c r="S721" s="472"/>
      <c r="T721" s="472"/>
      <c r="U721" s="472"/>
      <c r="V721" s="472"/>
      <c r="W721" s="472"/>
      <c r="X721" s="472"/>
      <c r="Y721" s="472"/>
      <c r="Z721" s="472"/>
    </row>
    <row r="722" spans="1:26" ht="14.25" customHeight="1">
      <c r="A722" s="472"/>
      <c r="B722" s="472"/>
      <c r="C722" s="472"/>
      <c r="D722" s="472"/>
      <c r="E722" s="472"/>
      <c r="F722" s="472"/>
      <c r="G722" s="472"/>
      <c r="H722" s="472"/>
      <c r="I722" s="472"/>
      <c r="J722" s="472"/>
      <c r="K722" s="471"/>
      <c r="L722" s="472"/>
      <c r="M722" s="472"/>
      <c r="N722" s="472"/>
      <c r="O722" s="472"/>
      <c r="P722" s="472"/>
      <c r="Q722" s="472"/>
      <c r="R722" s="472"/>
      <c r="S722" s="472"/>
      <c r="T722" s="472"/>
      <c r="U722" s="472"/>
      <c r="V722" s="472"/>
      <c r="W722" s="472"/>
      <c r="X722" s="472"/>
      <c r="Y722" s="472"/>
      <c r="Z722" s="472"/>
    </row>
    <row r="723" spans="1:26" ht="14.25" customHeight="1">
      <c r="A723" s="472"/>
      <c r="B723" s="472"/>
      <c r="C723" s="472"/>
      <c r="D723" s="472"/>
      <c r="E723" s="472"/>
      <c r="F723" s="472"/>
      <c r="G723" s="472"/>
      <c r="H723" s="472"/>
      <c r="I723" s="472"/>
      <c r="J723" s="472"/>
      <c r="K723" s="471"/>
      <c r="L723" s="472"/>
      <c r="M723" s="472"/>
      <c r="N723" s="472"/>
      <c r="O723" s="472"/>
      <c r="P723" s="472"/>
      <c r="Q723" s="472"/>
      <c r="R723" s="472"/>
      <c r="S723" s="472"/>
      <c r="T723" s="472"/>
      <c r="U723" s="472"/>
      <c r="V723" s="472"/>
      <c r="W723" s="472"/>
      <c r="X723" s="472"/>
      <c r="Y723" s="472"/>
      <c r="Z723" s="472"/>
    </row>
    <row r="724" spans="1:26" ht="14.25" customHeight="1">
      <c r="A724" s="472"/>
      <c r="B724" s="472"/>
      <c r="C724" s="472"/>
      <c r="D724" s="472"/>
      <c r="E724" s="472"/>
      <c r="F724" s="472"/>
      <c r="G724" s="472"/>
      <c r="H724" s="472"/>
      <c r="I724" s="472"/>
      <c r="J724" s="472"/>
      <c r="K724" s="471"/>
      <c r="L724" s="472"/>
      <c r="M724" s="472"/>
      <c r="N724" s="472"/>
      <c r="O724" s="472"/>
      <c r="P724" s="472"/>
      <c r="Q724" s="472"/>
      <c r="R724" s="472"/>
      <c r="S724" s="472"/>
      <c r="T724" s="472"/>
      <c r="U724" s="472"/>
      <c r="V724" s="472"/>
      <c r="W724" s="472"/>
      <c r="X724" s="472"/>
      <c r="Y724" s="472"/>
      <c r="Z724" s="472"/>
    </row>
    <row r="725" spans="1:26" ht="14.25" customHeight="1">
      <c r="A725" s="472"/>
      <c r="B725" s="472"/>
      <c r="C725" s="472"/>
      <c r="D725" s="472"/>
      <c r="E725" s="472"/>
      <c r="F725" s="472"/>
      <c r="G725" s="472"/>
      <c r="H725" s="472"/>
      <c r="I725" s="472"/>
      <c r="J725" s="472"/>
      <c r="K725" s="471"/>
      <c r="L725" s="472"/>
      <c r="M725" s="472"/>
      <c r="N725" s="472"/>
      <c r="O725" s="472"/>
      <c r="P725" s="472"/>
      <c r="Q725" s="472"/>
      <c r="R725" s="472"/>
      <c r="S725" s="472"/>
      <c r="T725" s="472"/>
      <c r="U725" s="472"/>
      <c r="V725" s="472"/>
      <c r="W725" s="472"/>
      <c r="X725" s="472"/>
      <c r="Y725" s="472"/>
      <c r="Z725" s="472"/>
    </row>
    <row r="726" spans="1:26" ht="14.25" customHeight="1">
      <c r="A726" s="472"/>
      <c r="B726" s="472"/>
      <c r="C726" s="472"/>
      <c r="D726" s="472"/>
      <c r="E726" s="472"/>
      <c r="F726" s="472"/>
      <c r="G726" s="472"/>
      <c r="H726" s="472"/>
      <c r="I726" s="472"/>
      <c r="J726" s="472"/>
      <c r="K726" s="471"/>
      <c r="L726" s="472"/>
      <c r="M726" s="472"/>
      <c r="N726" s="472"/>
      <c r="O726" s="472"/>
      <c r="P726" s="472"/>
      <c r="Q726" s="472"/>
      <c r="R726" s="472"/>
      <c r="S726" s="472"/>
      <c r="T726" s="472"/>
      <c r="U726" s="472"/>
      <c r="V726" s="472"/>
      <c r="W726" s="472"/>
      <c r="X726" s="472"/>
      <c r="Y726" s="472"/>
      <c r="Z726" s="472"/>
    </row>
    <row r="727" spans="1:26" ht="14.25" customHeight="1">
      <c r="A727" s="472"/>
      <c r="B727" s="472"/>
      <c r="C727" s="472"/>
      <c r="D727" s="472"/>
      <c r="E727" s="472"/>
      <c r="F727" s="472"/>
      <c r="G727" s="472"/>
      <c r="H727" s="472"/>
      <c r="I727" s="472"/>
      <c r="J727" s="472"/>
      <c r="K727" s="471"/>
      <c r="L727" s="472"/>
      <c r="M727" s="472"/>
      <c r="N727" s="472"/>
      <c r="O727" s="472"/>
      <c r="P727" s="472"/>
      <c r="Q727" s="472"/>
      <c r="R727" s="472"/>
      <c r="S727" s="472"/>
      <c r="T727" s="472"/>
      <c r="U727" s="472"/>
      <c r="V727" s="472"/>
      <c r="W727" s="472"/>
      <c r="X727" s="472"/>
      <c r="Y727" s="472"/>
      <c r="Z727" s="472"/>
    </row>
    <row r="728" spans="1:26" ht="14.25" customHeight="1">
      <c r="A728" s="472"/>
      <c r="B728" s="472"/>
      <c r="C728" s="472"/>
      <c r="D728" s="472"/>
      <c r="E728" s="472"/>
      <c r="F728" s="472"/>
      <c r="G728" s="472"/>
      <c r="H728" s="472"/>
      <c r="I728" s="472"/>
      <c r="J728" s="472"/>
      <c r="K728" s="471"/>
      <c r="L728" s="472"/>
      <c r="M728" s="472"/>
      <c r="N728" s="472"/>
      <c r="O728" s="472"/>
      <c r="P728" s="472"/>
      <c r="Q728" s="472"/>
      <c r="R728" s="472"/>
      <c r="S728" s="472"/>
      <c r="T728" s="472"/>
      <c r="U728" s="472"/>
      <c r="V728" s="472"/>
      <c r="W728" s="472"/>
      <c r="X728" s="472"/>
      <c r="Y728" s="472"/>
      <c r="Z728" s="472"/>
    </row>
    <row r="729" spans="1:26" ht="14.25" customHeight="1">
      <c r="A729" s="472"/>
      <c r="B729" s="472"/>
      <c r="C729" s="472"/>
      <c r="D729" s="472"/>
      <c r="E729" s="472"/>
      <c r="F729" s="472"/>
      <c r="G729" s="472"/>
      <c r="H729" s="472"/>
      <c r="I729" s="472"/>
      <c r="J729" s="472"/>
      <c r="K729" s="471"/>
      <c r="L729" s="472"/>
      <c r="M729" s="472"/>
      <c r="N729" s="472"/>
      <c r="O729" s="472"/>
      <c r="P729" s="472"/>
      <c r="Q729" s="472"/>
      <c r="R729" s="472"/>
      <c r="S729" s="472"/>
      <c r="T729" s="472"/>
      <c r="U729" s="472"/>
      <c r="V729" s="472"/>
      <c r="W729" s="472"/>
      <c r="X729" s="472"/>
      <c r="Y729" s="472"/>
      <c r="Z729" s="472"/>
    </row>
    <row r="730" spans="1:26" ht="14.25" customHeight="1">
      <c r="A730" s="472"/>
      <c r="B730" s="472"/>
      <c r="C730" s="472"/>
      <c r="D730" s="472"/>
      <c r="E730" s="472"/>
      <c r="F730" s="472"/>
      <c r="G730" s="472"/>
      <c r="H730" s="472"/>
      <c r="I730" s="472"/>
      <c r="J730" s="472"/>
      <c r="K730" s="471"/>
      <c r="L730" s="472"/>
      <c r="M730" s="472"/>
      <c r="N730" s="472"/>
      <c r="O730" s="472"/>
      <c r="P730" s="472"/>
      <c r="Q730" s="472"/>
      <c r="R730" s="472"/>
      <c r="S730" s="472"/>
      <c r="T730" s="472"/>
      <c r="U730" s="472"/>
      <c r="V730" s="472"/>
      <c r="W730" s="472"/>
      <c r="X730" s="472"/>
      <c r="Y730" s="472"/>
      <c r="Z730" s="472"/>
    </row>
    <row r="731" spans="1:26" ht="14.25" customHeight="1">
      <c r="A731" s="472"/>
      <c r="B731" s="472"/>
      <c r="C731" s="472"/>
      <c r="D731" s="472"/>
      <c r="E731" s="472"/>
      <c r="F731" s="472"/>
      <c r="G731" s="472"/>
      <c r="H731" s="472"/>
      <c r="I731" s="472"/>
      <c r="J731" s="472"/>
      <c r="K731" s="471"/>
      <c r="L731" s="472"/>
      <c r="M731" s="472"/>
      <c r="N731" s="472"/>
      <c r="O731" s="472"/>
      <c r="P731" s="472"/>
      <c r="Q731" s="472"/>
      <c r="R731" s="472"/>
      <c r="S731" s="472"/>
      <c r="T731" s="472"/>
      <c r="U731" s="472"/>
      <c r="V731" s="472"/>
      <c r="W731" s="472"/>
      <c r="X731" s="472"/>
      <c r="Y731" s="472"/>
      <c r="Z731" s="472"/>
    </row>
    <row r="732" spans="1:26" ht="14.25" customHeight="1">
      <c r="A732" s="472"/>
      <c r="B732" s="472"/>
      <c r="C732" s="472"/>
      <c r="D732" s="472"/>
      <c r="E732" s="472"/>
      <c r="F732" s="472"/>
      <c r="G732" s="472"/>
      <c r="H732" s="472"/>
      <c r="I732" s="472"/>
      <c r="J732" s="472"/>
      <c r="K732" s="471"/>
      <c r="L732" s="472"/>
      <c r="M732" s="472"/>
      <c r="N732" s="472"/>
      <c r="O732" s="472"/>
      <c r="P732" s="472"/>
      <c r="Q732" s="472"/>
      <c r="R732" s="472"/>
      <c r="S732" s="472"/>
      <c r="T732" s="472"/>
      <c r="U732" s="472"/>
      <c r="V732" s="472"/>
      <c r="W732" s="472"/>
      <c r="X732" s="472"/>
      <c r="Y732" s="472"/>
      <c r="Z732" s="472"/>
    </row>
    <row r="733" spans="1:26" ht="14.25" customHeight="1">
      <c r="A733" s="472"/>
      <c r="B733" s="472"/>
      <c r="C733" s="472"/>
      <c r="D733" s="472"/>
      <c r="E733" s="472"/>
      <c r="F733" s="472"/>
      <c r="G733" s="472"/>
      <c r="H733" s="472"/>
      <c r="I733" s="472"/>
      <c r="J733" s="472"/>
      <c r="K733" s="471"/>
      <c r="L733" s="472"/>
      <c r="M733" s="472"/>
      <c r="N733" s="472"/>
      <c r="O733" s="472"/>
      <c r="P733" s="472"/>
      <c r="Q733" s="472"/>
      <c r="R733" s="472"/>
      <c r="S733" s="472"/>
      <c r="T733" s="472"/>
      <c r="U733" s="472"/>
      <c r="V733" s="472"/>
      <c r="W733" s="472"/>
      <c r="X733" s="472"/>
      <c r="Y733" s="472"/>
      <c r="Z733" s="472"/>
    </row>
    <row r="734" spans="1:26" ht="14.25" customHeight="1">
      <c r="A734" s="472"/>
      <c r="B734" s="472"/>
      <c r="C734" s="472"/>
      <c r="D734" s="472"/>
      <c r="E734" s="472"/>
      <c r="F734" s="472"/>
      <c r="G734" s="472"/>
      <c r="H734" s="472"/>
      <c r="I734" s="472"/>
      <c r="J734" s="472"/>
      <c r="K734" s="471"/>
      <c r="L734" s="472"/>
      <c r="M734" s="472"/>
      <c r="N734" s="472"/>
      <c r="O734" s="472"/>
      <c r="P734" s="472"/>
      <c r="Q734" s="472"/>
      <c r="R734" s="472"/>
      <c r="S734" s="472"/>
      <c r="T734" s="472"/>
      <c r="U734" s="472"/>
      <c r="V734" s="472"/>
      <c r="W734" s="472"/>
      <c r="X734" s="472"/>
      <c r="Y734" s="472"/>
      <c r="Z734" s="472"/>
    </row>
    <row r="735" spans="1:26" ht="14.25" customHeight="1">
      <c r="A735" s="472"/>
      <c r="B735" s="472"/>
      <c r="C735" s="472"/>
      <c r="D735" s="472"/>
      <c r="E735" s="472"/>
      <c r="F735" s="472"/>
      <c r="G735" s="472"/>
      <c r="H735" s="472"/>
      <c r="I735" s="472"/>
      <c r="J735" s="472"/>
      <c r="K735" s="471"/>
      <c r="L735" s="472"/>
      <c r="M735" s="472"/>
      <c r="N735" s="472"/>
      <c r="O735" s="472"/>
      <c r="P735" s="472"/>
      <c r="Q735" s="472"/>
      <c r="R735" s="472"/>
      <c r="S735" s="472"/>
      <c r="T735" s="472"/>
      <c r="U735" s="472"/>
      <c r="V735" s="472"/>
      <c r="W735" s="472"/>
      <c r="X735" s="472"/>
      <c r="Y735" s="472"/>
      <c r="Z735" s="472"/>
    </row>
    <row r="736" spans="1:26" ht="14.25" customHeight="1">
      <c r="A736" s="472"/>
      <c r="B736" s="472"/>
      <c r="C736" s="472"/>
      <c r="D736" s="472"/>
      <c r="E736" s="472"/>
      <c r="F736" s="472"/>
      <c r="G736" s="472"/>
      <c r="H736" s="472"/>
      <c r="I736" s="472"/>
      <c r="J736" s="472"/>
      <c r="K736" s="471"/>
      <c r="L736" s="472"/>
      <c r="M736" s="472"/>
      <c r="N736" s="472"/>
      <c r="O736" s="472"/>
      <c r="P736" s="472"/>
      <c r="Q736" s="472"/>
      <c r="R736" s="472"/>
      <c r="S736" s="472"/>
      <c r="T736" s="472"/>
      <c r="U736" s="472"/>
      <c r="V736" s="472"/>
      <c r="W736" s="472"/>
      <c r="X736" s="472"/>
      <c r="Y736" s="472"/>
      <c r="Z736" s="472"/>
    </row>
    <row r="737" spans="1:26" ht="14.25" customHeight="1">
      <c r="A737" s="472"/>
      <c r="B737" s="472"/>
      <c r="C737" s="472"/>
      <c r="D737" s="472"/>
      <c r="E737" s="472"/>
      <c r="F737" s="472"/>
      <c r="G737" s="472"/>
      <c r="H737" s="472"/>
      <c r="I737" s="472"/>
      <c r="J737" s="472"/>
      <c r="K737" s="471"/>
      <c r="L737" s="472"/>
      <c r="M737" s="472"/>
      <c r="N737" s="472"/>
      <c r="O737" s="472"/>
      <c r="P737" s="472"/>
      <c r="Q737" s="472"/>
      <c r="R737" s="472"/>
      <c r="S737" s="472"/>
      <c r="T737" s="472"/>
      <c r="U737" s="472"/>
      <c r="V737" s="472"/>
      <c r="W737" s="472"/>
      <c r="X737" s="472"/>
      <c r="Y737" s="472"/>
      <c r="Z737" s="472"/>
    </row>
    <row r="738" spans="1:26" ht="14.25" customHeight="1">
      <c r="A738" s="472"/>
      <c r="B738" s="472"/>
      <c r="C738" s="472"/>
      <c r="D738" s="472"/>
      <c r="E738" s="472"/>
      <c r="F738" s="472"/>
      <c r="G738" s="472"/>
      <c r="H738" s="472"/>
      <c r="I738" s="472"/>
      <c r="J738" s="472"/>
      <c r="K738" s="471"/>
      <c r="L738" s="472"/>
      <c r="M738" s="472"/>
      <c r="N738" s="472"/>
      <c r="O738" s="472"/>
      <c r="P738" s="472"/>
      <c r="Q738" s="472"/>
      <c r="R738" s="472"/>
      <c r="S738" s="472"/>
      <c r="T738" s="472"/>
      <c r="U738" s="472"/>
      <c r="V738" s="472"/>
      <c r="W738" s="472"/>
      <c r="X738" s="472"/>
      <c r="Y738" s="472"/>
      <c r="Z738" s="472"/>
    </row>
    <row r="739" spans="1:26" ht="14.25" customHeight="1">
      <c r="A739" s="472"/>
      <c r="B739" s="472"/>
      <c r="C739" s="472"/>
      <c r="D739" s="472"/>
      <c r="E739" s="472"/>
      <c r="F739" s="472"/>
      <c r="G739" s="472"/>
      <c r="H739" s="472"/>
      <c r="I739" s="472"/>
      <c r="J739" s="472"/>
      <c r="K739" s="471"/>
      <c r="L739" s="472"/>
      <c r="M739" s="472"/>
      <c r="N739" s="472"/>
      <c r="O739" s="472"/>
      <c r="P739" s="472"/>
      <c r="Q739" s="472"/>
      <c r="R739" s="472"/>
      <c r="S739" s="472"/>
      <c r="T739" s="472"/>
      <c r="U739" s="472"/>
      <c r="V739" s="472"/>
      <c r="W739" s="472"/>
      <c r="X739" s="472"/>
      <c r="Y739" s="472"/>
      <c r="Z739" s="472"/>
    </row>
    <row r="740" spans="1:26" ht="14.25" customHeight="1">
      <c r="A740" s="472"/>
      <c r="B740" s="472"/>
      <c r="C740" s="472"/>
      <c r="D740" s="472"/>
      <c r="E740" s="472"/>
      <c r="F740" s="472"/>
      <c r="G740" s="472"/>
      <c r="H740" s="472"/>
      <c r="I740" s="472"/>
      <c r="J740" s="472"/>
      <c r="K740" s="471"/>
      <c r="L740" s="472"/>
      <c r="M740" s="472"/>
      <c r="N740" s="472"/>
      <c r="O740" s="472"/>
      <c r="P740" s="472"/>
      <c r="Q740" s="472"/>
      <c r="R740" s="472"/>
      <c r="S740" s="472"/>
      <c r="T740" s="472"/>
      <c r="U740" s="472"/>
      <c r="V740" s="472"/>
      <c r="W740" s="472"/>
      <c r="X740" s="472"/>
      <c r="Y740" s="472"/>
      <c r="Z740" s="472"/>
    </row>
    <row r="741" spans="1:26" ht="14.25" customHeight="1">
      <c r="A741" s="472"/>
      <c r="B741" s="472"/>
      <c r="C741" s="472"/>
      <c r="D741" s="472"/>
      <c r="E741" s="472"/>
      <c r="F741" s="472"/>
      <c r="G741" s="472"/>
      <c r="H741" s="472"/>
      <c r="I741" s="472"/>
      <c r="J741" s="472"/>
      <c r="K741" s="471"/>
      <c r="L741" s="472"/>
      <c r="M741" s="472"/>
      <c r="N741" s="472"/>
      <c r="O741" s="472"/>
      <c r="P741" s="472"/>
      <c r="Q741" s="472"/>
      <c r="R741" s="472"/>
      <c r="S741" s="472"/>
      <c r="T741" s="472"/>
      <c r="U741" s="472"/>
      <c r="V741" s="472"/>
      <c r="W741" s="472"/>
      <c r="X741" s="472"/>
      <c r="Y741" s="472"/>
      <c r="Z741" s="472"/>
    </row>
    <row r="742" spans="1:26" ht="14.25" customHeight="1">
      <c r="A742" s="472"/>
      <c r="B742" s="472"/>
      <c r="C742" s="472"/>
      <c r="D742" s="472"/>
      <c r="E742" s="472"/>
      <c r="F742" s="472"/>
      <c r="G742" s="472"/>
      <c r="H742" s="472"/>
      <c r="I742" s="472"/>
      <c r="J742" s="472"/>
      <c r="K742" s="471"/>
      <c r="L742" s="472"/>
      <c r="M742" s="472"/>
      <c r="N742" s="472"/>
      <c r="O742" s="472"/>
      <c r="P742" s="472"/>
      <c r="Q742" s="472"/>
      <c r="R742" s="472"/>
      <c r="S742" s="472"/>
      <c r="T742" s="472"/>
      <c r="U742" s="472"/>
      <c r="V742" s="472"/>
      <c r="W742" s="472"/>
      <c r="X742" s="472"/>
      <c r="Y742" s="472"/>
      <c r="Z742" s="472"/>
    </row>
    <row r="743" spans="1:26" ht="14.25" customHeight="1">
      <c r="A743" s="472"/>
      <c r="B743" s="472"/>
      <c r="C743" s="472"/>
      <c r="D743" s="472"/>
      <c r="E743" s="472"/>
      <c r="F743" s="472"/>
      <c r="G743" s="472"/>
      <c r="H743" s="472"/>
      <c r="I743" s="472"/>
      <c r="J743" s="472"/>
      <c r="K743" s="471"/>
      <c r="L743" s="472"/>
      <c r="M743" s="472"/>
      <c r="N743" s="472"/>
      <c r="O743" s="472"/>
      <c r="P743" s="472"/>
      <c r="Q743" s="472"/>
      <c r="R743" s="472"/>
      <c r="S743" s="472"/>
      <c r="T743" s="472"/>
      <c r="U743" s="472"/>
      <c r="V743" s="472"/>
      <c r="W743" s="472"/>
      <c r="X743" s="472"/>
      <c r="Y743" s="472"/>
      <c r="Z743" s="472"/>
    </row>
    <row r="744" spans="1:26" ht="14.25" customHeight="1">
      <c r="A744" s="472"/>
      <c r="B744" s="472"/>
      <c r="C744" s="472"/>
      <c r="D744" s="472"/>
      <c r="E744" s="472"/>
      <c r="F744" s="472"/>
      <c r="G744" s="472"/>
      <c r="H744" s="472"/>
      <c r="I744" s="472"/>
      <c r="J744" s="472"/>
      <c r="K744" s="471"/>
      <c r="L744" s="472"/>
      <c r="M744" s="472"/>
      <c r="N744" s="472"/>
      <c r="O744" s="472"/>
      <c r="P744" s="472"/>
      <c r="Q744" s="472"/>
      <c r="R744" s="472"/>
      <c r="S744" s="472"/>
      <c r="T744" s="472"/>
      <c r="U744" s="472"/>
      <c r="V744" s="472"/>
      <c r="W744" s="472"/>
      <c r="X744" s="472"/>
      <c r="Y744" s="472"/>
      <c r="Z744" s="472"/>
    </row>
    <row r="745" spans="1:26" ht="14.25" customHeight="1">
      <c r="A745" s="472"/>
      <c r="B745" s="472"/>
      <c r="C745" s="472"/>
      <c r="D745" s="472"/>
      <c r="E745" s="472"/>
      <c r="F745" s="472"/>
      <c r="G745" s="472"/>
      <c r="H745" s="472"/>
      <c r="I745" s="472"/>
      <c r="J745" s="472"/>
      <c r="K745" s="471"/>
      <c r="L745" s="472"/>
      <c r="M745" s="472"/>
      <c r="N745" s="472"/>
      <c r="O745" s="472"/>
      <c r="P745" s="472"/>
      <c r="Q745" s="472"/>
      <c r="R745" s="472"/>
      <c r="S745" s="472"/>
      <c r="T745" s="472"/>
      <c r="U745" s="472"/>
      <c r="V745" s="472"/>
      <c r="W745" s="472"/>
      <c r="X745" s="472"/>
      <c r="Y745" s="472"/>
      <c r="Z745" s="472"/>
    </row>
    <row r="746" spans="1:26" ht="14.25" customHeight="1">
      <c r="A746" s="472"/>
      <c r="B746" s="472"/>
      <c r="C746" s="472"/>
      <c r="D746" s="472"/>
      <c r="E746" s="472"/>
      <c r="F746" s="472"/>
      <c r="G746" s="472"/>
      <c r="H746" s="472"/>
      <c r="I746" s="472"/>
      <c r="J746" s="472"/>
      <c r="K746" s="471"/>
      <c r="L746" s="472"/>
      <c r="M746" s="472"/>
      <c r="N746" s="472"/>
      <c r="O746" s="472"/>
      <c r="P746" s="472"/>
      <c r="Q746" s="472"/>
      <c r="R746" s="472"/>
      <c r="S746" s="472"/>
      <c r="T746" s="472"/>
      <c r="U746" s="472"/>
      <c r="V746" s="472"/>
      <c r="W746" s="472"/>
      <c r="X746" s="472"/>
      <c r="Y746" s="472"/>
      <c r="Z746" s="472"/>
    </row>
    <row r="747" spans="1:26" ht="14.25" customHeight="1">
      <c r="A747" s="472"/>
      <c r="B747" s="472"/>
      <c r="C747" s="472"/>
      <c r="D747" s="472"/>
      <c r="E747" s="472"/>
      <c r="F747" s="472"/>
      <c r="G747" s="472"/>
      <c r="H747" s="472"/>
      <c r="I747" s="472"/>
      <c r="J747" s="472"/>
      <c r="K747" s="471"/>
      <c r="L747" s="472"/>
      <c r="M747" s="472"/>
      <c r="N747" s="472"/>
      <c r="O747" s="472"/>
      <c r="P747" s="472"/>
      <c r="Q747" s="472"/>
      <c r="R747" s="472"/>
      <c r="S747" s="472"/>
      <c r="T747" s="472"/>
      <c r="U747" s="472"/>
      <c r="V747" s="472"/>
      <c r="W747" s="472"/>
      <c r="X747" s="472"/>
      <c r="Y747" s="472"/>
      <c r="Z747" s="472"/>
    </row>
    <row r="748" spans="1:26" ht="14.25" customHeight="1">
      <c r="A748" s="472"/>
      <c r="B748" s="472"/>
      <c r="C748" s="472"/>
      <c r="D748" s="472"/>
      <c r="E748" s="472"/>
      <c r="F748" s="472"/>
      <c r="G748" s="472"/>
      <c r="H748" s="472"/>
      <c r="I748" s="472"/>
      <c r="J748" s="472"/>
      <c r="K748" s="471"/>
      <c r="L748" s="472"/>
      <c r="M748" s="472"/>
      <c r="N748" s="472"/>
      <c r="O748" s="472"/>
      <c r="P748" s="472"/>
      <c r="Q748" s="472"/>
      <c r="R748" s="472"/>
      <c r="S748" s="472"/>
      <c r="T748" s="472"/>
      <c r="U748" s="472"/>
      <c r="V748" s="472"/>
      <c r="W748" s="472"/>
      <c r="X748" s="472"/>
      <c r="Y748" s="472"/>
      <c r="Z748" s="472"/>
    </row>
    <row r="749" spans="1:26" ht="14.25" customHeight="1">
      <c r="A749" s="472"/>
      <c r="B749" s="472"/>
      <c r="C749" s="472"/>
      <c r="D749" s="472"/>
      <c r="E749" s="472"/>
      <c r="F749" s="472"/>
      <c r="G749" s="472"/>
      <c r="H749" s="472"/>
      <c r="I749" s="472"/>
      <c r="J749" s="472"/>
      <c r="K749" s="471"/>
      <c r="L749" s="472"/>
      <c r="M749" s="472"/>
      <c r="N749" s="472"/>
      <c r="O749" s="472"/>
      <c r="P749" s="472"/>
      <c r="Q749" s="472"/>
      <c r="R749" s="472"/>
      <c r="S749" s="472"/>
      <c r="T749" s="472"/>
      <c r="U749" s="472"/>
      <c r="V749" s="472"/>
      <c r="W749" s="472"/>
      <c r="X749" s="472"/>
      <c r="Y749" s="472"/>
      <c r="Z749" s="472"/>
    </row>
    <row r="750" spans="1:26" ht="14.25" customHeight="1">
      <c r="A750" s="472"/>
      <c r="B750" s="472"/>
      <c r="C750" s="472"/>
      <c r="D750" s="472"/>
      <c r="E750" s="472"/>
      <c r="F750" s="472"/>
      <c r="G750" s="472"/>
      <c r="H750" s="472"/>
      <c r="I750" s="472"/>
      <c r="J750" s="472"/>
      <c r="K750" s="471"/>
      <c r="L750" s="472"/>
      <c r="M750" s="472"/>
      <c r="N750" s="472"/>
      <c r="O750" s="472"/>
      <c r="P750" s="472"/>
      <c r="Q750" s="472"/>
      <c r="R750" s="472"/>
      <c r="S750" s="472"/>
      <c r="T750" s="472"/>
      <c r="U750" s="472"/>
      <c r="V750" s="472"/>
      <c r="W750" s="472"/>
      <c r="X750" s="472"/>
      <c r="Y750" s="472"/>
      <c r="Z750" s="472"/>
    </row>
    <row r="751" spans="1:26" ht="14.25" customHeight="1">
      <c r="A751" s="472"/>
      <c r="B751" s="472"/>
      <c r="C751" s="472"/>
      <c r="D751" s="472"/>
      <c r="E751" s="472"/>
      <c r="F751" s="472"/>
      <c r="G751" s="472"/>
      <c r="H751" s="472"/>
      <c r="I751" s="472"/>
      <c r="J751" s="472"/>
      <c r="K751" s="471"/>
      <c r="L751" s="472"/>
      <c r="M751" s="472"/>
      <c r="N751" s="472"/>
      <c r="O751" s="472"/>
      <c r="P751" s="472"/>
      <c r="Q751" s="472"/>
      <c r="R751" s="472"/>
      <c r="S751" s="472"/>
      <c r="T751" s="472"/>
      <c r="U751" s="472"/>
      <c r="V751" s="472"/>
      <c r="W751" s="472"/>
      <c r="X751" s="472"/>
      <c r="Y751" s="472"/>
      <c r="Z751" s="472"/>
    </row>
    <row r="752" spans="1:26" ht="14.25" customHeight="1">
      <c r="A752" s="472"/>
      <c r="B752" s="472"/>
      <c r="C752" s="472"/>
      <c r="D752" s="472"/>
      <c r="E752" s="472"/>
      <c r="F752" s="472"/>
      <c r="G752" s="472"/>
      <c r="H752" s="472"/>
      <c r="I752" s="472"/>
      <c r="J752" s="472"/>
      <c r="K752" s="471"/>
      <c r="L752" s="472"/>
      <c r="M752" s="472"/>
      <c r="N752" s="472"/>
      <c r="O752" s="472"/>
      <c r="P752" s="472"/>
      <c r="Q752" s="472"/>
      <c r="R752" s="472"/>
      <c r="S752" s="472"/>
      <c r="T752" s="472"/>
      <c r="U752" s="472"/>
      <c r="V752" s="472"/>
      <c r="W752" s="472"/>
      <c r="X752" s="472"/>
      <c r="Y752" s="472"/>
      <c r="Z752" s="472"/>
    </row>
    <row r="753" spans="1:26" ht="14.25" customHeight="1">
      <c r="A753" s="472"/>
      <c r="B753" s="472"/>
      <c r="C753" s="472"/>
      <c r="D753" s="472"/>
      <c r="E753" s="472"/>
      <c r="F753" s="472"/>
      <c r="G753" s="472"/>
      <c r="H753" s="472"/>
      <c r="I753" s="472"/>
      <c r="J753" s="472"/>
      <c r="K753" s="471"/>
      <c r="L753" s="472"/>
      <c r="M753" s="472"/>
      <c r="N753" s="472"/>
      <c r="O753" s="472"/>
      <c r="P753" s="472"/>
      <c r="Q753" s="472"/>
      <c r="R753" s="472"/>
      <c r="S753" s="472"/>
      <c r="T753" s="472"/>
      <c r="U753" s="472"/>
      <c r="V753" s="472"/>
      <c r="W753" s="472"/>
      <c r="X753" s="472"/>
      <c r="Y753" s="472"/>
      <c r="Z753" s="472"/>
    </row>
    <row r="754" spans="1:26" ht="14.25" customHeight="1">
      <c r="A754" s="472"/>
      <c r="B754" s="472"/>
      <c r="C754" s="472"/>
      <c r="D754" s="472"/>
      <c r="E754" s="472"/>
      <c r="F754" s="472"/>
      <c r="G754" s="472"/>
      <c r="H754" s="472"/>
      <c r="I754" s="472"/>
      <c r="J754" s="472"/>
      <c r="K754" s="471"/>
      <c r="L754" s="472"/>
      <c r="M754" s="472"/>
      <c r="N754" s="472"/>
      <c r="O754" s="472"/>
      <c r="P754" s="472"/>
      <c r="Q754" s="472"/>
      <c r="R754" s="472"/>
      <c r="S754" s="472"/>
      <c r="T754" s="472"/>
      <c r="U754" s="472"/>
      <c r="V754" s="472"/>
      <c r="W754" s="472"/>
      <c r="X754" s="472"/>
      <c r="Y754" s="472"/>
      <c r="Z754" s="472"/>
    </row>
    <row r="755" spans="1:26" ht="14.25" customHeight="1">
      <c r="A755" s="472"/>
      <c r="B755" s="472"/>
      <c r="C755" s="472"/>
      <c r="D755" s="472"/>
      <c r="E755" s="472"/>
      <c r="F755" s="472"/>
      <c r="G755" s="472"/>
      <c r="H755" s="472"/>
      <c r="I755" s="472"/>
      <c r="J755" s="472"/>
      <c r="K755" s="471"/>
      <c r="L755" s="472"/>
      <c r="M755" s="472"/>
      <c r="N755" s="472"/>
      <c r="O755" s="472"/>
      <c r="P755" s="472"/>
      <c r="Q755" s="472"/>
      <c r="R755" s="472"/>
      <c r="S755" s="472"/>
      <c r="T755" s="472"/>
      <c r="U755" s="472"/>
      <c r="V755" s="472"/>
      <c r="W755" s="472"/>
      <c r="X755" s="472"/>
      <c r="Y755" s="472"/>
      <c r="Z755" s="472"/>
    </row>
    <row r="756" spans="1:26" ht="14.25" customHeight="1">
      <c r="A756" s="472"/>
      <c r="B756" s="472"/>
      <c r="C756" s="472"/>
      <c r="D756" s="472"/>
      <c r="E756" s="472"/>
      <c r="F756" s="472"/>
      <c r="G756" s="472"/>
      <c r="H756" s="472"/>
      <c r="I756" s="472"/>
      <c r="J756" s="472"/>
      <c r="K756" s="471"/>
      <c r="L756" s="472"/>
      <c r="M756" s="472"/>
      <c r="N756" s="472"/>
      <c r="O756" s="472"/>
      <c r="P756" s="472"/>
      <c r="Q756" s="472"/>
      <c r="R756" s="472"/>
      <c r="S756" s="472"/>
      <c r="T756" s="472"/>
      <c r="U756" s="472"/>
      <c r="V756" s="472"/>
      <c r="W756" s="472"/>
      <c r="X756" s="472"/>
      <c r="Y756" s="472"/>
      <c r="Z756" s="472"/>
    </row>
    <row r="757" spans="1:26" ht="14.25" customHeight="1">
      <c r="A757" s="472"/>
      <c r="B757" s="472"/>
      <c r="C757" s="472"/>
      <c r="D757" s="472"/>
      <c r="E757" s="472"/>
      <c r="F757" s="472"/>
      <c r="G757" s="472"/>
      <c r="H757" s="472"/>
      <c r="I757" s="472"/>
      <c r="J757" s="472"/>
      <c r="K757" s="471"/>
      <c r="L757" s="472"/>
      <c r="M757" s="472"/>
      <c r="N757" s="472"/>
      <c r="O757" s="472"/>
      <c r="P757" s="472"/>
      <c r="Q757" s="472"/>
      <c r="R757" s="472"/>
      <c r="S757" s="472"/>
      <c r="T757" s="472"/>
      <c r="U757" s="472"/>
      <c r="V757" s="472"/>
      <c r="W757" s="472"/>
      <c r="X757" s="472"/>
      <c r="Y757" s="472"/>
      <c r="Z757" s="472"/>
    </row>
    <row r="758" spans="1:26" ht="14.25" customHeight="1">
      <c r="A758" s="472"/>
      <c r="B758" s="472"/>
      <c r="C758" s="472"/>
      <c r="D758" s="472"/>
      <c r="E758" s="472"/>
      <c r="F758" s="472"/>
      <c r="G758" s="472"/>
      <c r="H758" s="472"/>
      <c r="I758" s="472"/>
      <c r="J758" s="472"/>
      <c r="K758" s="471"/>
      <c r="L758" s="472"/>
      <c r="M758" s="472"/>
      <c r="N758" s="472"/>
      <c r="O758" s="472"/>
      <c r="P758" s="472"/>
      <c r="Q758" s="472"/>
      <c r="R758" s="472"/>
      <c r="S758" s="472"/>
      <c r="T758" s="472"/>
      <c r="U758" s="472"/>
      <c r="V758" s="472"/>
      <c r="W758" s="472"/>
      <c r="X758" s="472"/>
      <c r="Y758" s="472"/>
      <c r="Z758" s="472"/>
    </row>
    <row r="759" spans="1:26" ht="14.25" customHeight="1">
      <c r="A759" s="472"/>
      <c r="B759" s="472"/>
      <c r="C759" s="472"/>
      <c r="D759" s="472"/>
      <c r="E759" s="472"/>
      <c r="F759" s="472"/>
      <c r="G759" s="472"/>
      <c r="H759" s="472"/>
      <c r="I759" s="472"/>
      <c r="J759" s="472"/>
      <c r="K759" s="471"/>
      <c r="L759" s="472"/>
      <c r="M759" s="472"/>
      <c r="N759" s="472"/>
      <c r="O759" s="472"/>
      <c r="P759" s="472"/>
      <c r="Q759" s="472"/>
      <c r="R759" s="472"/>
      <c r="S759" s="472"/>
      <c r="T759" s="472"/>
      <c r="U759" s="472"/>
      <c r="V759" s="472"/>
      <c r="W759" s="472"/>
      <c r="X759" s="472"/>
      <c r="Y759" s="472"/>
      <c r="Z759" s="472"/>
    </row>
    <row r="760" spans="1:26" ht="14.25" customHeight="1">
      <c r="A760" s="472"/>
      <c r="B760" s="472"/>
      <c r="C760" s="472"/>
      <c r="D760" s="472"/>
      <c r="E760" s="472"/>
      <c r="F760" s="472"/>
      <c r="G760" s="472"/>
      <c r="H760" s="472"/>
      <c r="I760" s="472"/>
      <c r="J760" s="472"/>
      <c r="K760" s="471"/>
      <c r="L760" s="472"/>
      <c r="M760" s="472"/>
      <c r="N760" s="472"/>
      <c r="O760" s="472"/>
      <c r="P760" s="472"/>
      <c r="Q760" s="472"/>
      <c r="R760" s="472"/>
      <c r="S760" s="472"/>
      <c r="T760" s="472"/>
      <c r="U760" s="472"/>
      <c r="V760" s="472"/>
      <c r="W760" s="472"/>
      <c r="X760" s="472"/>
      <c r="Y760" s="472"/>
      <c r="Z760" s="472"/>
    </row>
    <row r="761" spans="1:26" ht="14.25" customHeight="1">
      <c r="A761" s="472"/>
      <c r="B761" s="472"/>
      <c r="C761" s="472"/>
      <c r="D761" s="472"/>
      <c r="E761" s="472"/>
      <c r="F761" s="472"/>
      <c r="G761" s="472"/>
      <c r="H761" s="472"/>
      <c r="I761" s="472"/>
      <c r="J761" s="472"/>
      <c r="K761" s="471"/>
      <c r="L761" s="472"/>
      <c r="M761" s="472"/>
      <c r="N761" s="472"/>
      <c r="O761" s="472"/>
      <c r="P761" s="472"/>
      <c r="Q761" s="472"/>
      <c r="R761" s="472"/>
      <c r="S761" s="472"/>
      <c r="T761" s="472"/>
      <c r="U761" s="472"/>
      <c r="V761" s="472"/>
      <c r="W761" s="472"/>
      <c r="X761" s="472"/>
      <c r="Y761" s="472"/>
      <c r="Z761" s="472"/>
    </row>
    <row r="762" spans="1:26" ht="14.25" customHeight="1">
      <c r="A762" s="472"/>
      <c r="B762" s="472"/>
      <c r="C762" s="472"/>
      <c r="D762" s="472"/>
      <c r="E762" s="472"/>
      <c r="F762" s="472"/>
      <c r="G762" s="472"/>
      <c r="H762" s="472"/>
      <c r="I762" s="472"/>
      <c r="J762" s="472"/>
      <c r="K762" s="471"/>
      <c r="L762" s="472"/>
      <c r="M762" s="472"/>
      <c r="N762" s="472"/>
      <c r="O762" s="472"/>
      <c r="P762" s="472"/>
      <c r="Q762" s="472"/>
      <c r="R762" s="472"/>
      <c r="S762" s="472"/>
      <c r="T762" s="472"/>
      <c r="U762" s="472"/>
      <c r="V762" s="472"/>
      <c r="W762" s="472"/>
      <c r="X762" s="472"/>
      <c r="Y762" s="472"/>
      <c r="Z762" s="472"/>
    </row>
    <row r="763" spans="1:26" ht="14.25" customHeight="1">
      <c r="A763" s="472"/>
      <c r="B763" s="472"/>
      <c r="C763" s="472"/>
      <c r="D763" s="472"/>
      <c r="E763" s="472"/>
      <c r="F763" s="472"/>
      <c r="G763" s="472"/>
      <c r="H763" s="472"/>
      <c r="I763" s="472"/>
      <c r="J763" s="472"/>
      <c r="K763" s="471"/>
      <c r="L763" s="472"/>
      <c r="M763" s="472"/>
      <c r="N763" s="472"/>
      <c r="O763" s="472"/>
      <c r="P763" s="472"/>
      <c r="Q763" s="472"/>
      <c r="R763" s="472"/>
      <c r="S763" s="472"/>
      <c r="T763" s="472"/>
      <c r="U763" s="472"/>
      <c r="V763" s="472"/>
      <c r="W763" s="472"/>
      <c r="X763" s="472"/>
      <c r="Y763" s="472"/>
      <c r="Z763" s="472"/>
    </row>
    <row r="764" spans="1:26" ht="14.25" customHeight="1">
      <c r="A764" s="472"/>
      <c r="B764" s="472"/>
      <c r="C764" s="472"/>
      <c r="D764" s="472"/>
      <c r="E764" s="472"/>
      <c r="F764" s="472"/>
      <c r="G764" s="472"/>
      <c r="H764" s="472"/>
      <c r="I764" s="472"/>
      <c r="J764" s="472"/>
      <c r="K764" s="471"/>
      <c r="L764" s="472"/>
      <c r="M764" s="472"/>
      <c r="N764" s="472"/>
      <c r="O764" s="472"/>
      <c r="P764" s="472"/>
      <c r="Q764" s="472"/>
      <c r="R764" s="472"/>
      <c r="S764" s="472"/>
      <c r="T764" s="472"/>
      <c r="U764" s="472"/>
      <c r="V764" s="472"/>
      <c r="W764" s="472"/>
      <c r="X764" s="472"/>
      <c r="Y764" s="472"/>
      <c r="Z764" s="472"/>
    </row>
    <row r="765" spans="1:26" ht="14.25" customHeight="1">
      <c r="A765" s="472"/>
      <c r="B765" s="472"/>
      <c r="C765" s="472"/>
      <c r="D765" s="472"/>
      <c r="E765" s="472"/>
      <c r="F765" s="472"/>
      <c r="G765" s="472"/>
      <c r="H765" s="472"/>
      <c r="I765" s="472"/>
      <c r="J765" s="472"/>
      <c r="K765" s="471"/>
      <c r="L765" s="472"/>
      <c r="M765" s="472"/>
      <c r="N765" s="472"/>
      <c r="O765" s="472"/>
      <c r="P765" s="472"/>
      <c r="Q765" s="472"/>
      <c r="R765" s="472"/>
      <c r="S765" s="472"/>
      <c r="T765" s="472"/>
      <c r="U765" s="472"/>
      <c r="V765" s="472"/>
      <c r="W765" s="472"/>
      <c r="X765" s="472"/>
      <c r="Y765" s="472"/>
      <c r="Z765" s="472"/>
    </row>
    <row r="766" spans="1:26" ht="14.25" customHeight="1">
      <c r="A766" s="472"/>
      <c r="B766" s="472"/>
      <c r="C766" s="472"/>
      <c r="D766" s="472"/>
      <c r="E766" s="472"/>
      <c r="F766" s="472"/>
      <c r="G766" s="472"/>
      <c r="H766" s="472"/>
      <c r="I766" s="472"/>
      <c r="J766" s="472"/>
      <c r="K766" s="471"/>
      <c r="L766" s="472"/>
      <c r="M766" s="472"/>
      <c r="N766" s="472"/>
      <c r="O766" s="472"/>
      <c r="P766" s="472"/>
      <c r="Q766" s="472"/>
      <c r="R766" s="472"/>
      <c r="S766" s="472"/>
      <c r="T766" s="472"/>
      <c r="U766" s="472"/>
      <c r="V766" s="472"/>
      <c r="W766" s="472"/>
      <c r="X766" s="472"/>
      <c r="Y766" s="472"/>
      <c r="Z766" s="472"/>
    </row>
    <row r="767" spans="1:26" ht="14.25" customHeight="1">
      <c r="A767" s="472"/>
      <c r="B767" s="472"/>
      <c r="C767" s="472"/>
      <c r="D767" s="472"/>
      <c r="E767" s="472"/>
      <c r="F767" s="472"/>
      <c r="G767" s="472"/>
      <c r="H767" s="472"/>
      <c r="I767" s="472"/>
      <c r="J767" s="472"/>
      <c r="K767" s="471"/>
      <c r="L767" s="472"/>
      <c r="M767" s="472"/>
      <c r="N767" s="472"/>
      <c r="O767" s="472"/>
      <c r="P767" s="472"/>
      <c r="Q767" s="472"/>
      <c r="R767" s="472"/>
      <c r="S767" s="472"/>
      <c r="T767" s="472"/>
      <c r="U767" s="472"/>
      <c r="V767" s="472"/>
      <c r="W767" s="472"/>
      <c r="X767" s="472"/>
      <c r="Y767" s="472"/>
      <c r="Z767" s="472"/>
    </row>
    <row r="768" spans="1:26" ht="14.25" customHeight="1">
      <c r="A768" s="472"/>
      <c r="B768" s="472"/>
      <c r="C768" s="472"/>
      <c r="D768" s="472"/>
      <c r="E768" s="472"/>
      <c r="F768" s="472"/>
      <c r="G768" s="472"/>
      <c r="H768" s="472"/>
      <c r="I768" s="472"/>
      <c r="J768" s="472"/>
      <c r="K768" s="471"/>
      <c r="L768" s="472"/>
      <c r="M768" s="472"/>
      <c r="N768" s="472"/>
      <c r="O768" s="472"/>
      <c r="P768" s="472"/>
      <c r="Q768" s="472"/>
      <c r="R768" s="472"/>
      <c r="S768" s="472"/>
      <c r="T768" s="472"/>
      <c r="U768" s="472"/>
      <c r="V768" s="472"/>
      <c r="W768" s="472"/>
      <c r="X768" s="472"/>
      <c r="Y768" s="472"/>
      <c r="Z768" s="472"/>
    </row>
    <row r="769" spans="1:26" ht="14.25" customHeight="1">
      <c r="A769" s="472"/>
      <c r="B769" s="472"/>
      <c r="C769" s="472"/>
      <c r="D769" s="472"/>
      <c r="E769" s="472"/>
      <c r="F769" s="472"/>
      <c r="G769" s="472"/>
      <c r="H769" s="472"/>
      <c r="I769" s="472"/>
      <c r="J769" s="472"/>
      <c r="K769" s="471"/>
      <c r="L769" s="472"/>
      <c r="M769" s="472"/>
      <c r="N769" s="472"/>
      <c r="O769" s="472"/>
      <c r="P769" s="472"/>
      <c r="Q769" s="472"/>
      <c r="R769" s="472"/>
      <c r="S769" s="472"/>
      <c r="T769" s="472"/>
      <c r="U769" s="472"/>
      <c r="V769" s="472"/>
      <c r="W769" s="472"/>
      <c r="X769" s="472"/>
      <c r="Y769" s="472"/>
      <c r="Z769" s="472"/>
    </row>
    <row r="770" spans="1:26" ht="14.25" customHeight="1">
      <c r="A770" s="472"/>
      <c r="B770" s="472"/>
      <c r="C770" s="472"/>
      <c r="D770" s="472"/>
      <c r="E770" s="472"/>
      <c r="F770" s="472"/>
      <c r="G770" s="472"/>
      <c r="H770" s="472"/>
      <c r="I770" s="472"/>
      <c r="J770" s="472"/>
      <c r="K770" s="471"/>
      <c r="L770" s="472"/>
      <c r="M770" s="472"/>
      <c r="N770" s="472"/>
      <c r="O770" s="472"/>
      <c r="P770" s="472"/>
      <c r="Q770" s="472"/>
      <c r="R770" s="472"/>
      <c r="S770" s="472"/>
      <c r="T770" s="472"/>
      <c r="U770" s="472"/>
      <c r="V770" s="472"/>
      <c r="W770" s="472"/>
      <c r="X770" s="472"/>
      <c r="Y770" s="472"/>
      <c r="Z770" s="472"/>
    </row>
    <row r="771" spans="1:26" ht="14.25" customHeight="1">
      <c r="A771" s="472"/>
      <c r="B771" s="472"/>
      <c r="C771" s="472"/>
      <c r="D771" s="472"/>
      <c r="E771" s="472"/>
      <c r="F771" s="472"/>
      <c r="G771" s="472"/>
      <c r="H771" s="472"/>
      <c r="I771" s="472"/>
      <c r="J771" s="472"/>
      <c r="K771" s="471"/>
      <c r="L771" s="472"/>
      <c r="M771" s="472"/>
      <c r="N771" s="472"/>
      <c r="O771" s="472"/>
      <c r="P771" s="472"/>
      <c r="Q771" s="472"/>
      <c r="R771" s="472"/>
      <c r="S771" s="472"/>
      <c r="T771" s="472"/>
      <c r="U771" s="472"/>
      <c r="V771" s="472"/>
      <c r="W771" s="472"/>
      <c r="X771" s="472"/>
      <c r="Y771" s="472"/>
      <c r="Z771" s="472"/>
    </row>
    <row r="772" spans="1:26" ht="14.25" customHeight="1">
      <c r="A772" s="472"/>
      <c r="B772" s="472"/>
      <c r="C772" s="472"/>
      <c r="D772" s="472"/>
      <c r="E772" s="472"/>
      <c r="F772" s="472"/>
      <c r="G772" s="472"/>
      <c r="H772" s="472"/>
      <c r="I772" s="472"/>
      <c r="J772" s="472"/>
      <c r="K772" s="471"/>
      <c r="L772" s="472"/>
      <c r="M772" s="472"/>
      <c r="N772" s="472"/>
      <c r="O772" s="472"/>
      <c r="P772" s="472"/>
      <c r="Q772" s="472"/>
      <c r="R772" s="472"/>
      <c r="S772" s="472"/>
      <c r="T772" s="472"/>
      <c r="U772" s="472"/>
      <c r="V772" s="472"/>
      <c r="W772" s="472"/>
      <c r="X772" s="472"/>
      <c r="Y772" s="472"/>
      <c r="Z772" s="472"/>
    </row>
    <row r="773" spans="1:26" ht="14.25" customHeight="1">
      <c r="A773" s="472"/>
      <c r="B773" s="472"/>
      <c r="C773" s="472"/>
      <c r="D773" s="472"/>
      <c r="E773" s="472"/>
      <c r="F773" s="472"/>
      <c r="G773" s="472"/>
      <c r="H773" s="472"/>
      <c r="I773" s="472"/>
      <c r="J773" s="472"/>
      <c r="K773" s="471"/>
      <c r="L773" s="472"/>
      <c r="M773" s="472"/>
      <c r="N773" s="472"/>
      <c r="O773" s="472"/>
      <c r="P773" s="472"/>
      <c r="Q773" s="472"/>
      <c r="R773" s="472"/>
      <c r="S773" s="472"/>
      <c r="T773" s="472"/>
      <c r="U773" s="472"/>
      <c r="V773" s="472"/>
      <c r="W773" s="472"/>
      <c r="X773" s="472"/>
      <c r="Y773" s="472"/>
      <c r="Z773" s="472"/>
    </row>
    <row r="774" spans="1:26" ht="14.25" customHeight="1">
      <c r="A774" s="472"/>
      <c r="B774" s="472"/>
      <c r="C774" s="472"/>
      <c r="D774" s="472"/>
      <c r="E774" s="472"/>
      <c r="F774" s="472"/>
      <c r="G774" s="472"/>
      <c r="H774" s="472"/>
      <c r="I774" s="472"/>
      <c r="J774" s="472"/>
      <c r="K774" s="471"/>
      <c r="L774" s="472"/>
      <c r="M774" s="472"/>
      <c r="N774" s="472"/>
      <c r="O774" s="472"/>
      <c r="P774" s="472"/>
      <c r="Q774" s="472"/>
      <c r="R774" s="472"/>
      <c r="S774" s="472"/>
      <c r="T774" s="472"/>
      <c r="U774" s="472"/>
      <c r="V774" s="472"/>
      <c r="W774" s="472"/>
      <c r="X774" s="472"/>
      <c r="Y774" s="472"/>
      <c r="Z774" s="472"/>
    </row>
    <row r="775" spans="1:26" ht="14.25" customHeight="1">
      <c r="A775" s="472"/>
      <c r="B775" s="472"/>
      <c r="C775" s="472"/>
      <c r="D775" s="472"/>
      <c r="E775" s="472"/>
      <c r="F775" s="472"/>
      <c r="G775" s="472"/>
      <c r="H775" s="472"/>
      <c r="I775" s="472"/>
      <c r="J775" s="472"/>
      <c r="K775" s="471"/>
      <c r="L775" s="472"/>
      <c r="M775" s="472"/>
      <c r="N775" s="472"/>
      <c r="O775" s="472"/>
      <c r="P775" s="472"/>
      <c r="Q775" s="472"/>
      <c r="R775" s="472"/>
      <c r="S775" s="472"/>
      <c r="T775" s="472"/>
      <c r="U775" s="472"/>
      <c r="V775" s="472"/>
      <c r="W775" s="472"/>
      <c r="X775" s="472"/>
      <c r="Y775" s="472"/>
      <c r="Z775" s="472"/>
    </row>
    <row r="776" spans="1:26" ht="14.25" customHeight="1">
      <c r="A776" s="472"/>
      <c r="B776" s="472"/>
      <c r="C776" s="472"/>
      <c r="D776" s="472"/>
      <c r="E776" s="472"/>
      <c r="F776" s="472"/>
      <c r="G776" s="472"/>
      <c r="H776" s="472"/>
      <c r="I776" s="472"/>
      <c r="J776" s="472"/>
      <c r="K776" s="471"/>
      <c r="L776" s="472"/>
      <c r="M776" s="472"/>
      <c r="N776" s="472"/>
      <c r="O776" s="472"/>
      <c r="P776" s="472"/>
      <c r="Q776" s="472"/>
      <c r="R776" s="472"/>
      <c r="S776" s="472"/>
      <c r="T776" s="472"/>
      <c r="U776" s="472"/>
      <c r="V776" s="472"/>
      <c r="W776" s="472"/>
      <c r="X776" s="472"/>
      <c r="Y776" s="472"/>
      <c r="Z776" s="472"/>
    </row>
    <row r="777" spans="1:26" ht="14.25" customHeight="1">
      <c r="A777" s="472"/>
      <c r="B777" s="472"/>
      <c r="C777" s="472"/>
      <c r="D777" s="472"/>
      <c r="E777" s="472"/>
      <c r="F777" s="472"/>
      <c r="G777" s="472"/>
      <c r="H777" s="472"/>
      <c r="I777" s="472"/>
      <c r="J777" s="472"/>
      <c r="K777" s="471"/>
      <c r="L777" s="472"/>
      <c r="M777" s="472"/>
      <c r="N777" s="472"/>
      <c r="O777" s="472"/>
      <c r="P777" s="472"/>
      <c r="Q777" s="472"/>
      <c r="R777" s="472"/>
      <c r="S777" s="472"/>
      <c r="T777" s="472"/>
      <c r="U777" s="472"/>
      <c r="V777" s="472"/>
      <c r="W777" s="472"/>
      <c r="X777" s="472"/>
      <c r="Y777" s="472"/>
      <c r="Z777" s="472"/>
    </row>
    <row r="778" spans="1:26" ht="14.25" customHeight="1">
      <c r="A778" s="472"/>
      <c r="B778" s="472"/>
      <c r="C778" s="472"/>
      <c r="D778" s="472"/>
      <c r="E778" s="472"/>
      <c r="F778" s="472"/>
      <c r="G778" s="472"/>
      <c r="H778" s="472"/>
      <c r="I778" s="472"/>
      <c r="J778" s="472"/>
      <c r="K778" s="471"/>
      <c r="L778" s="472"/>
      <c r="M778" s="472"/>
      <c r="N778" s="472"/>
      <c r="O778" s="472"/>
      <c r="P778" s="472"/>
      <c r="Q778" s="472"/>
      <c r="R778" s="472"/>
      <c r="S778" s="472"/>
      <c r="T778" s="472"/>
      <c r="U778" s="472"/>
      <c r="V778" s="472"/>
      <c r="W778" s="472"/>
      <c r="X778" s="472"/>
      <c r="Y778" s="472"/>
      <c r="Z778" s="472"/>
    </row>
    <row r="779" spans="1:26" ht="14.25" customHeight="1">
      <c r="A779" s="472"/>
      <c r="B779" s="472"/>
      <c r="C779" s="472"/>
      <c r="D779" s="472"/>
      <c r="E779" s="472"/>
      <c r="F779" s="472"/>
      <c r="G779" s="472"/>
      <c r="H779" s="472"/>
      <c r="I779" s="472"/>
      <c r="J779" s="472"/>
      <c r="K779" s="471"/>
      <c r="L779" s="472"/>
      <c r="M779" s="472"/>
      <c r="N779" s="472"/>
      <c r="O779" s="472"/>
      <c r="P779" s="472"/>
      <c r="Q779" s="472"/>
      <c r="R779" s="472"/>
      <c r="S779" s="472"/>
      <c r="T779" s="472"/>
      <c r="U779" s="472"/>
      <c r="V779" s="472"/>
      <c r="W779" s="472"/>
      <c r="X779" s="472"/>
      <c r="Y779" s="472"/>
      <c r="Z779" s="472"/>
    </row>
    <row r="780" spans="1:26" ht="14.25" customHeight="1">
      <c r="A780" s="472"/>
      <c r="B780" s="472"/>
      <c r="C780" s="472"/>
      <c r="D780" s="472"/>
      <c r="E780" s="472"/>
      <c r="F780" s="472"/>
      <c r="G780" s="472"/>
      <c r="H780" s="472"/>
      <c r="I780" s="472"/>
      <c r="J780" s="472"/>
      <c r="K780" s="471"/>
      <c r="L780" s="472"/>
      <c r="M780" s="472"/>
      <c r="N780" s="472"/>
      <c r="O780" s="472"/>
      <c r="P780" s="472"/>
      <c r="Q780" s="472"/>
      <c r="R780" s="472"/>
      <c r="S780" s="472"/>
      <c r="T780" s="472"/>
      <c r="U780" s="472"/>
      <c r="V780" s="472"/>
      <c r="W780" s="472"/>
      <c r="X780" s="472"/>
      <c r="Y780" s="472"/>
      <c r="Z780" s="472"/>
    </row>
    <row r="781" spans="1:26" ht="14.25" customHeight="1">
      <c r="A781" s="472"/>
      <c r="B781" s="472"/>
      <c r="C781" s="472"/>
      <c r="D781" s="472"/>
      <c r="E781" s="472"/>
      <c r="F781" s="472"/>
      <c r="G781" s="472"/>
      <c r="H781" s="472"/>
      <c r="I781" s="472"/>
      <c r="J781" s="472"/>
      <c r="K781" s="471"/>
      <c r="L781" s="472"/>
      <c r="M781" s="472"/>
      <c r="N781" s="472"/>
      <c r="O781" s="472"/>
      <c r="P781" s="472"/>
      <c r="Q781" s="472"/>
      <c r="R781" s="472"/>
      <c r="S781" s="472"/>
      <c r="T781" s="472"/>
      <c r="U781" s="472"/>
      <c r="V781" s="472"/>
      <c r="W781" s="472"/>
      <c r="X781" s="472"/>
      <c r="Y781" s="472"/>
      <c r="Z781" s="472"/>
    </row>
    <row r="782" spans="1:26" ht="14.25" customHeight="1">
      <c r="A782" s="472"/>
      <c r="B782" s="472"/>
      <c r="C782" s="472"/>
      <c r="D782" s="472"/>
      <c r="E782" s="472"/>
      <c r="F782" s="472"/>
      <c r="G782" s="472"/>
      <c r="H782" s="472"/>
      <c r="I782" s="472"/>
      <c r="J782" s="472"/>
      <c r="K782" s="471"/>
      <c r="L782" s="472"/>
      <c r="M782" s="472"/>
      <c r="N782" s="472"/>
      <c r="O782" s="472"/>
      <c r="P782" s="472"/>
      <c r="Q782" s="472"/>
      <c r="R782" s="472"/>
      <c r="S782" s="472"/>
      <c r="T782" s="472"/>
      <c r="U782" s="472"/>
      <c r="V782" s="472"/>
      <c r="W782" s="472"/>
      <c r="X782" s="472"/>
      <c r="Y782" s="472"/>
      <c r="Z782" s="472"/>
    </row>
    <row r="783" spans="1:26" ht="14.25" customHeight="1">
      <c r="A783" s="472"/>
      <c r="B783" s="472"/>
      <c r="C783" s="472"/>
      <c r="D783" s="472"/>
      <c r="E783" s="472"/>
      <c r="F783" s="472"/>
      <c r="G783" s="472"/>
      <c r="H783" s="472"/>
      <c r="I783" s="472"/>
      <c r="J783" s="472"/>
      <c r="K783" s="471"/>
      <c r="L783" s="472"/>
      <c r="M783" s="472"/>
      <c r="N783" s="472"/>
      <c r="O783" s="472"/>
      <c r="P783" s="472"/>
      <c r="Q783" s="472"/>
      <c r="R783" s="472"/>
      <c r="S783" s="472"/>
      <c r="T783" s="472"/>
      <c r="U783" s="472"/>
      <c r="V783" s="472"/>
      <c r="W783" s="472"/>
      <c r="X783" s="472"/>
      <c r="Y783" s="472"/>
      <c r="Z783" s="472"/>
    </row>
    <row r="784" spans="1:26" ht="14.25" customHeight="1">
      <c r="A784" s="472"/>
      <c r="B784" s="472"/>
      <c r="C784" s="472"/>
      <c r="D784" s="472"/>
      <c r="E784" s="472"/>
      <c r="F784" s="472"/>
      <c r="G784" s="472"/>
      <c r="H784" s="472"/>
      <c r="I784" s="472"/>
      <c r="J784" s="472"/>
      <c r="K784" s="471"/>
      <c r="L784" s="472"/>
      <c r="M784" s="472"/>
      <c r="N784" s="472"/>
      <c r="O784" s="472"/>
      <c r="P784" s="472"/>
      <c r="Q784" s="472"/>
      <c r="R784" s="472"/>
      <c r="S784" s="472"/>
      <c r="T784" s="472"/>
      <c r="U784" s="472"/>
      <c r="V784" s="472"/>
      <c r="W784" s="472"/>
      <c r="X784" s="472"/>
      <c r="Y784" s="472"/>
      <c r="Z784" s="472"/>
    </row>
    <row r="785" spans="1:26" ht="14.25" customHeight="1">
      <c r="A785" s="472"/>
      <c r="B785" s="472"/>
      <c r="C785" s="472"/>
      <c r="D785" s="472"/>
      <c r="E785" s="472"/>
      <c r="F785" s="472"/>
      <c r="G785" s="472"/>
      <c r="H785" s="472"/>
      <c r="I785" s="472"/>
      <c r="J785" s="472"/>
      <c r="K785" s="471"/>
      <c r="L785" s="472"/>
      <c r="M785" s="472"/>
      <c r="N785" s="472"/>
      <c r="O785" s="472"/>
      <c r="P785" s="472"/>
      <c r="Q785" s="472"/>
      <c r="R785" s="472"/>
      <c r="S785" s="472"/>
      <c r="T785" s="472"/>
      <c r="U785" s="472"/>
      <c r="V785" s="472"/>
      <c r="W785" s="472"/>
      <c r="X785" s="472"/>
      <c r="Y785" s="472"/>
      <c r="Z785" s="472"/>
    </row>
    <row r="786" spans="1:26" ht="14.25" customHeight="1">
      <c r="A786" s="472"/>
      <c r="B786" s="472"/>
      <c r="C786" s="472"/>
      <c r="D786" s="472"/>
      <c r="E786" s="472"/>
      <c r="F786" s="472"/>
      <c r="G786" s="472"/>
      <c r="H786" s="472"/>
      <c r="I786" s="472"/>
      <c r="J786" s="472"/>
      <c r="K786" s="471"/>
      <c r="L786" s="472"/>
      <c r="M786" s="472"/>
      <c r="N786" s="472"/>
      <c r="O786" s="472"/>
      <c r="P786" s="472"/>
      <c r="Q786" s="472"/>
      <c r="R786" s="472"/>
      <c r="S786" s="472"/>
      <c r="T786" s="472"/>
      <c r="U786" s="472"/>
      <c r="V786" s="472"/>
      <c r="W786" s="472"/>
      <c r="X786" s="472"/>
      <c r="Y786" s="472"/>
      <c r="Z786" s="472"/>
    </row>
    <row r="787" spans="1:26" ht="14.25" customHeight="1">
      <c r="A787" s="472"/>
      <c r="B787" s="472"/>
      <c r="C787" s="472"/>
      <c r="D787" s="472"/>
      <c r="E787" s="472"/>
      <c r="F787" s="472"/>
      <c r="G787" s="472"/>
      <c r="H787" s="472"/>
      <c r="I787" s="472"/>
      <c r="J787" s="472"/>
      <c r="K787" s="471"/>
      <c r="L787" s="472"/>
      <c r="M787" s="472"/>
      <c r="N787" s="472"/>
      <c r="O787" s="472"/>
      <c r="P787" s="472"/>
      <c r="Q787" s="472"/>
      <c r="R787" s="472"/>
      <c r="S787" s="472"/>
      <c r="T787" s="472"/>
      <c r="U787" s="472"/>
      <c r="V787" s="472"/>
      <c r="W787" s="472"/>
      <c r="X787" s="472"/>
      <c r="Y787" s="472"/>
      <c r="Z787" s="472"/>
    </row>
    <row r="788" spans="1:26" ht="14.25" customHeight="1">
      <c r="A788" s="472"/>
      <c r="B788" s="472"/>
      <c r="C788" s="472"/>
      <c r="D788" s="472"/>
      <c r="E788" s="472"/>
      <c r="F788" s="472"/>
      <c r="G788" s="472"/>
      <c r="H788" s="472"/>
      <c r="I788" s="472"/>
      <c r="J788" s="472"/>
      <c r="K788" s="471"/>
      <c r="L788" s="472"/>
      <c r="M788" s="472"/>
      <c r="N788" s="472"/>
      <c r="O788" s="472"/>
      <c r="P788" s="472"/>
      <c r="Q788" s="472"/>
      <c r="R788" s="472"/>
      <c r="S788" s="472"/>
      <c r="T788" s="472"/>
      <c r="U788" s="472"/>
      <c r="V788" s="472"/>
      <c r="W788" s="472"/>
      <c r="X788" s="472"/>
      <c r="Y788" s="472"/>
      <c r="Z788" s="472"/>
    </row>
    <row r="789" spans="1:26" ht="14.25" customHeight="1">
      <c r="A789" s="472"/>
      <c r="B789" s="472"/>
      <c r="C789" s="472"/>
      <c r="D789" s="472"/>
      <c r="E789" s="472"/>
      <c r="F789" s="472"/>
      <c r="G789" s="472"/>
      <c r="H789" s="472"/>
      <c r="I789" s="472"/>
      <c r="J789" s="472"/>
      <c r="K789" s="471"/>
      <c r="L789" s="472"/>
      <c r="M789" s="472"/>
      <c r="N789" s="472"/>
      <c r="O789" s="472"/>
      <c r="P789" s="472"/>
      <c r="Q789" s="472"/>
      <c r="R789" s="472"/>
      <c r="S789" s="472"/>
      <c r="T789" s="472"/>
      <c r="U789" s="472"/>
      <c r="V789" s="472"/>
      <c r="W789" s="472"/>
      <c r="X789" s="472"/>
      <c r="Y789" s="472"/>
      <c r="Z789" s="472"/>
    </row>
    <row r="790" spans="1:26" ht="14.25" customHeight="1">
      <c r="A790" s="472"/>
      <c r="B790" s="472"/>
      <c r="C790" s="472"/>
      <c r="D790" s="472"/>
      <c r="E790" s="472"/>
      <c r="F790" s="472"/>
      <c r="G790" s="472"/>
      <c r="H790" s="472"/>
      <c r="I790" s="472"/>
      <c r="J790" s="472"/>
      <c r="K790" s="471"/>
      <c r="L790" s="472"/>
      <c r="M790" s="472"/>
      <c r="N790" s="472"/>
      <c r="O790" s="472"/>
      <c r="P790" s="472"/>
      <c r="Q790" s="472"/>
      <c r="R790" s="472"/>
      <c r="S790" s="472"/>
      <c r="T790" s="472"/>
      <c r="U790" s="472"/>
      <c r="V790" s="472"/>
      <c r="W790" s="472"/>
      <c r="X790" s="472"/>
      <c r="Y790" s="472"/>
      <c r="Z790" s="472"/>
    </row>
    <row r="791" spans="1:26" ht="14.25" customHeight="1">
      <c r="A791" s="472"/>
      <c r="B791" s="472"/>
      <c r="C791" s="472"/>
      <c r="D791" s="472"/>
      <c r="E791" s="472"/>
      <c r="F791" s="472"/>
      <c r="G791" s="472"/>
      <c r="H791" s="472"/>
      <c r="I791" s="472"/>
      <c r="J791" s="472"/>
      <c r="K791" s="471"/>
      <c r="L791" s="472"/>
      <c r="M791" s="472"/>
      <c r="N791" s="472"/>
      <c r="O791" s="472"/>
      <c r="P791" s="472"/>
      <c r="Q791" s="472"/>
      <c r="R791" s="472"/>
      <c r="S791" s="472"/>
      <c r="T791" s="472"/>
      <c r="U791" s="472"/>
      <c r="V791" s="472"/>
      <c r="W791" s="472"/>
      <c r="X791" s="472"/>
      <c r="Y791" s="472"/>
      <c r="Z791" s="472"/>
    </row>
    <row r="792" spans="1:26" ht="14.25" customHeight="1">
      <c r="A792" s="472"/>
      <c r="B792" s="472"/>
      <c r="C792" s="472"/>
      <c r="D792" s="472"/>
      <c r="E792" s="472"/>
      <c r="F792" s="472"/>
      <c r="G792" s="472"/>
      <c r="H792" s="472"/>
      <c r="I792" s="472"/>
      <c r="J792" s="472"/>
      <c r="K792" s="471"/>
      <c r="L792" s="472"/>
      <c r="M792" s="472"/>
      <c r="N792" s="472"/>
      <c r="O792" s="472"/>
      <c r="P792" s="472"/>
      <c r="Q792" s="472"/>
      <c r="R792" s="472"/>
      <c r="S792" s="472"/>
      <c r="T792" s="472"/>
      <c r="U792" s="472"/>
      <c r="V792" s="472"/>
      <c r="W792" s="472"/>
      <c r="X792" s="472"/>
      <c r="Y792" s="472"/>
      <c r="Z792" s="472"/>
    </row>
    <row r="793" spans="1:26" ht="14.25" customHeight="1">
      <c r="A793" s="472"/>
      <c r="B793" s="472"/>
      <c r="C793" s="472"/>
      <c r="D793" s="472"/>
      <c r="E793" s="472"/>
      <c r="F793" s="472"/>
      <c r="G793" s="472"/>
      <c r="H793" s="472"/>
      <c r="I793" s="472"/>
      <c r="J793" s="472"/>
      <c r="K793" s="471"/>
      <c r="L793" s="472"/>
      <c r="M793" s="472"/>
      <c r="N793" s="472"/>
      <c r="O793" s="472"/>
      <c r="P793" s="472"/>
      <c r="Q793" s="472"/>
      <c r="R793" s="472"/>
      <c r="S793" s="472"/>
      <c r="T793" s="472"/>
      <c r="U793" s="472"/>
      <c r="V793" s="472"/>
      <c r="W793" s="472"/>
      <c r="X793" s="472"/>
      <c r="Y793" s="472"/>
      <c r="Z793" s="472"/>
    </row>
    <row r="794" spans="1:26" ht="14.25" customHeight="1">
      <c r="A794" s="472"/>
      <c r="B794" s="472"/>
      <c r="C794" s="472"/>
      <c r="D794" s="472"/>
      <c r="E794" s="472"/>
      <c r="F794" s="472"/>
      <c r="G794" s="472"/>
      <c r="H794" s="472"/>
      <c r="I794" s="472"/>
      <c r="J794" s="472"/>
      <c r="K794" s="471"/>
      <c r="L794" s="472"/>
      <c r="M794" s="472"/>
      <c r="N794" s="472"/>
      <c r="O794" s="472"/>
      <c r="P794" s="472"/>
      <c r="Q794" s="472"/>
      <c r="R794" s="472"/>
      <c r="S794" s="472"/>
      <c r="T794" s="472"/>
      <c r="U794" s="472"/>
      <c r="V794" s="472"/>
      <c r="W794" s="472"/>
      <c r="X794" s="472"/>
      <c r="Y794" s="472"/>
      <c r="Z794" s="472"/>
    </row>
    <row r="795" spans="1:26" ht="14.25" customHeight="1">
      <c r="A795" s="472"/>
      <c r="B795" s="472"/>
      <c r="C795" s="472"/>
      <c r="D795" s="472"/>
      <c r="E795" s="472"/>
      <c r="F795" s="472"/>
      <c r="G795" s="472"/>
      <c r="H795" s="472"/>
      <c r="I795" s="472"/>
      <c r="J795" s="472"/>
      <c r="K795" s="471"/>
      <c r="L795" s="472"/>
      <c r="M795" s="472"/>
      <c r="N795" s="472"/>
      <c r="O795" s="472"/>
      <c r="P795" s="472"/>
      <c r="Q795" s="472"/>
      <c r="R795" s="472"/>
      <c r="S795" s="472"/>
      <c r="T795" s="472"/>
      <c r="U795" s="472"/>
      <c r="V795" s="472"/>
      <c r="W795" s="472"/>
      <c r="X795" s="472"/>
      <c r="Y795" s="472"/>
      <c r="Z795" s="472"/>
    </row>
    <row r="796" spans="1:26" ht="14.25" customHeight="1">
      <c r="A796" s="472"/>
      <c r="B796" s="472"/>
      <c r="C796" s="472"/>
      <c r="D796" s="472"/>
      <c r="E796" s="472"/>
      <c r="F796" s="472"/>
      <c r="G796" s="472"/>
      <c r="H796" s="472"/>
      <c r="I796" s="472"/>
      <c r="J796" s="472"/>
      <c r="K796" s="471"/>
      <c r="L796" s="472"/>
      <c r="M796" s="472"/>
      <c r="N796" s="472"/>
      <c r="O796" s="472"/>
      <c r="P796" s="472"/>
      <c r="Q796" s="472"/>
      <c r="R796" s="472"/>
      <c r="S796" s="472"/>
      <c r="T796" s="472"/>
      <c r="U796" s="472"/>
      <c r="V796" s="472"/>
      <c r="W796" s="472"/>
      <c r="X796" s="472"/>
      <c r="Y796" s="472"/>
      <c r="Z796" s="472"/>
    </row>
    <row r="797" spans="1:26" ht="14.25" customHeight="1">
      <c r="A797" s="472"/>
      <c r="B797" s="472"/>
      <c r="C797" s="472"/>
      <c r="D797" s="472"/>
      <c r="E797" s="472"/>
      <c r="F797" s="472"/>
      <c r="G797" s="472"/>
      <c r="H797" s="472"/>
      <c r="I797" s="472"/>
      <c r="J797" s="472"/>
      <c r="K797" s="471"/>
      <c r="L797" s="472"/>
      <c r="M797" s="472"/>
      <c r="N797" s="472"/>
      <c r="O797" s="472"/>
      <c r="P797" s="472"/>
      <c r="Q797" s="472"/>
      <c r="R797" s="472"/>
      <c r="S797" s="472"/>
      <c r="T797" s="472"/>
      <c r="U797" s="472"/>
      <c r="V797" s="472"/>
      <c r="W797" s="472"/>
      <c r="X797" s="472"/>
      <c r="Y797" s="472"/>
      <c r="Z797" s="472"/>
    </row>
    <row r="798" spans="1:26" ht="14.25" customHeight="1">
      <c r="A798" s="472"/>
      <c r="B798" s="472"/>
      <c r="C798" s="472"/>
      <c r="D798" s="472"/>
      <c r="E798" s="472"/>
      <c r="F798" s="472"/>
      <c r="G798" s="472"/>
      <c r="H798" s="472"/>
      <c r="I798" s="472"/>
      <c r="J798" s="472"/>
      <c r="K798" s="471"/>
      <c r="L798" s="472"/>
      <c r="M798" s="472"/>
      <c r="N798" s="472"/>
      <c r="O798" s="472"/>
      <c r="P798" s="472"/>
      <c r="Q798" s="472"/>
      <c r="R798" s="472"/>
      <c r="S798" s="472"/>
      <c r="T798" s="472"/>
      <c r="U798" s="472"/>
      <c r="V798" s="472"/>
      <c r="W798" s="472"/>
      <c r="X798" s="472"/>
      <c r="Y798" s="472"/>
      <c r="Z798" s="472"/>
    </row>
    <row r="799" spans="1:26" ht="14.25" customHeight="1">
      <c r="A799" s="472"/>
      <c r="B799" s="472"/>
      <c r="C799" s="472"/>
      <c r="D799" s="472"/>
      <c r="E799" s="472"/>
      <c r="F799" s="472"/>
      <c r="G799" s="472"/>
      <c r="H799" s="472"/>
      <c r="I799" s="472"/>
      <c r="J799" s="472"/>
      <c r="K799" s="471"/>
      <c r="L799" s="472"/>
      <c r="M799" s="472"/>
      <c r="N799" s="472"/>
      <c r="O799" s="472"/>
      <c r="P799" s="472"/>
      <c r="Q799" s="472"/>
      <c r="R799" s="472"/>
      <c r="S799" s="472"/>
      <c r="T799" s="472"/>
      <c r="U799" s="472"/>
      <c r="V799" s="472"/>
      <c r="W799" s="472"/>
      <c r="X799" s="472"/>
      <c r="Y799" s="472"/>
      <c r="Z799" s="472"/>
    </row>
    <row r="800" spans="1:26" ht="14.25" customHeight="1">
      <c r="A800" s="472"/>
      <c r="B800" s="472"/>
      <c r="C800" s="472"/>
      <c r="D800" s="472"/>
      <c r="E800" s="472"/>
      <c r="F800" s="472"/>
      <c r="G800" s="472"/>
      <c r="H800" s="472"/>
      <c r="I800" s="472"/>
      <c r="J800" s="472"/>
      <c r="K800" s="471"/>
      <c r="L800" s="472"/>
      <c r="M800" s="472"/>
      <c r="N800" s="472"/>
      <c r="O800" s="472"/>
      <c r="P800" s="472"/>
      <c r="Q800" s="472"/>
      <c r="R800" s="472"/>
      <c r="S800" s="472"/>
      <c r="T800" s="472"/>
      <c r="U800" s="472"/>
      <c r="V800" s="472"/>
      <c r="W800" s="472"/>
      <c r="X800" s="472"/>
      <c r="Y800" s="472"/>
      <c r="Z800" s="472"/>
    </row>
    <row r="801" spans="1:26" ht="14.25" customHeight="1">
      <c r="A801" s="472"/>
      <c r="B801" s="472"/>
      <c r="C801" s="472"/>
      <c r="D801" s="472"/>
      <c r="E801" s="472"/>
      <c r="F801" s="472"/>
      <c r="G801" s="472"/>
      <c r="H801" s="472"/>
      <c r="I801" s="472"/>
      <c r="J801" s="472"/>
      <c r="K801" s="471"/>
      <c r="L801" s="472"/>
      <c r="M801" s="472"/>
      <c r="N801" s="472"/>
      <c r="O801" s="472"/>
      <c r="P801" s="472"/>
      <c r="Q801" s="472"/>
      <c r="R801" s="472"/>
      <c r="S801" s="472"/>
      <c r="T801" s="472"/>
      <c r="U801" s="472"/>
      <c r="V801" s="472"/>
      <c r="W801" s="472"/>
      <c r="X801" s="472"/>
      <c r="Y801" s="472"/>
      <c r="Z801" s="472"/>
    </row>
    <row r="802" spans="1:26" ht="14.25" customHeight="1">
      <c r="A802" s="472"/>
      <c r="B802" s="472"/>
      <c r="C802" s="472"/>
      <c r="D802" s="472"/>
      <c r="E802" s="472"/>
      <c r="F802" s="472"/>
      <c r="G802" s="472"/>
      <c r="H802" s="472"/>
      <c r="I802" s="472"/>
      <c r="J802" s="472"/>
      <c r="K802" s="471"/>
      <c r="L802" s="472"/>
      <c r="M802" s="472"/>
      <c r="N802" s="472"/>
      <c r="O802" s="472"/>
      <c r="P802" s="472"/>
      <c r="Q802" s="472"/>
      <c r="R802" s="472"/>
      <c r="S802" s="472"/>
      <c r="T802" s="472"/>
      <c r="U802" s="472"/>
      <c r="V802" s="472"/>
      <c r="W802" s="472"/>
      <c r="X802" s="472"/>
      <c r="Y802" s="472"/>
      <c r="Z802" s="472"/>
    </row>
    <row r="803" spans="1:26" ht="14.25" customHeight="1">
      <c r="A803" s="472"/>
      <c r="B803" s="472"/>
      <c r="C803" s="472"/>
      <c r="D803" s="472"/>
      <c r="E803" s="472"/>
      <c r="F803" s="472"/>
      <c r="G803" s="472"/>
      <c r="H803" s="472"/>
      <c r="I803" s="472"/>
      <c r="J803" s="472"/>
      <c r="K803" s="471"/>
      <c r="L803" s="472"/>
      <c r="M803" s="472"/>
      <c r="N803" s="472"/>
      <c r="O803" s="472"/>
      <c r="P803" s="472"/>
      <c r="Q803" s="472"/>
      <c r="R803" s="472"/>
      <c r="S803" s="472"/>
      <c r="T803" s="472"/>
      <c r="U803" s="472"/>
      <c r="V803" s="472"/>
      <c r="W803" s="472"/>
      <c r="X803" s="472"/>
      <c r="Y803" s="472"/>
      <c r="Z803" s="472"/>
    </row>
    <row r="804" spans="1:26" ht="14.25" customHeight="1">
      <c r="A804" s="472"/>
      <c r="B804" s="472"/>
      <c r="C804" s="472"/>
      <c r="D804" s="472"/>
      <c r="E804" s="472"/>
      <c r="F804" s="472"/>
      <c r="G804" s="472"/>
      <c r="H804" s="472"/>
      <c r="I804" s="472"/>
      <c r="J804" s="472"/>
      <c r="K804" s="471"/>
      <c r="L804" s="472"/>
      <c r="M804" s="472"/>
      <c r="N804" s="472"/>
      <c r="O804" s="472"/>
      <c r="P804" s="472"/>
      <c r="Q804" s="472"/>
      <c r="R804" s="472"/>
      <c r="S804" s="472"/>
      <c r="T804" s="472"/>
      <c r="U804" s="472"/>
      <c r="V804" s="472"/>
      <c r="W804" s="472"/>
      <c r="X804" s="472"/>
      <c r="Y804" s="472"/>
      <c r="Z804" s="472"/>
    </row>
    <row r="805" spans="1:26" ht="14.25" customHeight="1">
      <c r="A805" s="472"/>
      <c r="B805" s="472"/>
      <c r="C805" s="472"/>
      <c r="D805" s="472"/>
      <c r="E805" s="472"/>
      <c r="F805" s="472"/>
      <c r="G805" s="472"/>
      <c r="H805" s="472"/>
      <c r="I805" s="472"/>
      <c r="J805" s="472"/>
      <c r="K805" s="471"/>
      <c r="L805" s="472"/>
      <c r="M805" s="472"/>
      <c r="N805" s="472"/>
      <c r="O805" s="472"/>
      <c r="P805" s="472"/>
      <c r="Q805" s="472"/>
      <c r="R805" s="472"/>
      <c r="S805" s="472"/>
      <c r="T805" s="472"/>
      <c r="U805" s="472"/>
      <c r="V805" s="472"/>
      <c r="W805" s="472"/>
      <c r="X805" s="472"/>
      <c r="Y805" s="472"/>
      <c r="Z805" s="472"/>
    </row>
    <row r="806" spans="1:26" ht="14.25" customHeight="1">
      <c r="A806" s="472"/>
      <c r="B806" s="472"/>
      <c r="C806" s="472"/>
      <c r="D806" s="472"/>
      <c r="E806" s="472"/>
      <c r="F806" s="472"/>
      <c r="G806" s="472"/>
      <c r="H806" s="472"/>
      <c r="I806" s="472"/>
      <c r="J806" s="472"/>
      <c r="K806" s="471"/>
      <c r="L806" s="472"/>
      <c r="M806" s="472"/>
      <c r="N806" s="472"/>
      <c r="O806" s="472"/>
      <c r="P806" s="472"/>
      <c r="Q806" s="472"/>
      <c r="R806" s="472"/>
      <c r="S806" s="472"/>
      <c r="T806" s="472"/>
      <c r="U806" s="472"/>
      <c r="V806" s="472"/>
      <c r="W806" s="472"/>
      <c r="X806" s="472"/>
      <c r="Y806" s="472"/>
      <c r="Z806" s="472"/>
    </row>
    <row r="807" spans="1:26" ht="14.25" customHeight="1">
      <c r="A807" s="472"/>
      <c r="B807" s="472"/>
      <c r="C807" s="472"/>
      <c r="D807" s="472"/>
      <c r="E807" s="472"/>
      <c r="F807" s="472"/>
      <c r="G807" s="472"/>
      <c r="H807" s="472"/>
      <c r="I807" s="472"/>
      <c r="J807" s="472"/>
      <c r="K807" s="471"/>
      <c r="L807" s="472"/>
      <c r="M807" s="472"/>
      <c r="N807" s="472"/>
      <c r="O807" s="472"/>
      <c r="P807" s="472"/>
      <c r="Q807" s="472"/>
      <c r="R807" s="472"/>
      <c r="S807" s="472"/>
      <c r="T807" s="472"/>
      <c r="U807" s="472"/>
      <c r="V807" s="472"/>
      <c r="W807" s="472"/>
      <c r="X807" s="472"/>
      <c r="Y807" s="472"/>
      <c r="Z807" s="472"/>
    </row>
    <row r="808" spans="1:26" ht="14.25" customHeight="1">
      <c r="A808" s="472"/>
      <c r="B808" s="472"/>
      <c r="C808" s="472"/>
      <c r="D808" s="472"/>
      <c r="E808" s="472"/>
      <c r="F808" s="472"/>
      <c r="G808" s="472"/>
      <c r="H808" s="472"/>
      <c r="I808" s="472"/>
      <c r="J808" s="472"/>
      <c r="K808" s="471"/>
      <c r="L808" s="472"/>
      <c r="M808" s="472"/>
      <c r="N808" s="472"/>
      <c r="O808" s="472"/>
      <c r="P808" s="472"/>
      <c r="Q808" s="472"/>
      <c r="R808" s="472"/>
      <c r="S808" s="472"/>
      <c r="T808" s="472"/>
      <c r="U808" s="472"/>
      <c r="V808" s="472"/>
      <c r="W808" s="472"/>
      <c r="X808" s="472"/>
      <c r="Y808" s="472"/>
      <c r="Z808" s="472"/>
    </row>
    <row r="809" spans="1:26" ht="14.25" customHeight="1">
      <c r="A809" s="472"/>
      <c r="B809" s="472"/>
      <c r="C809" s="472"/>
      <c r="D809" s="472"/>
      <c r="E809" s="472"/>
      <c r="F809" s="472"/>
      <c r="G809" s="472"/>
      <c r="H809" s="472"/>
      <c r="I809" s="472"/>
      <c r="J809" s="472"/>
      <c r="K809" s="471"/>
      <c r="L809" s="472"/>
      <c r="M809" s="472"/>
      <c r="N809" s="472"/>
      <c r="O809" s="472"/>
      <c r="P809" s="472"/>
      <c r="Q809" s="472"/>
      <c r="R809" s="472"/>
      <c r="S809" s="472"/>
      <c r="T809" s="472"/>
      <c r="U809" s="472"/>
      <c r="V809" s="472"/>
      <c r="W809" s="472"/>
      <c r="X809" s="472"/>
      <c r="Y809" s="472"/>
      <c r="Z809" s="472"/>
    </row>
    <row r="810" spans="1:26" ht="14.25" customHeight="1">
      <c r="A810" s="472"/>
      <c r="B810" s="472"/>
      <c r="C810" s="472"/>
      <c r="D810" s="472"/>
      <c r="E810" s="472"/>
      <c r="F810" s="472"/>
      <c r="G810" s="472"/>
      <c r="H810" s="472"/>
      <c r="I810" s="472"/>
      <c r="J810" s="472"/>
      <c r="K810" s="471"/>
      <c r="L810" s="472"/>
      <c r="M810" s="472"/>
      <c r="N810" s="472"/>
      <c r="O810" s="472"/>
      <c r="P810" s="472"/>
      <c r="Q810" s="472"/>
      <c r="R810" s="472"/>
      <c r="S810" s="472"/>
      <c r="T810" s="472"/>
      <c r="U810" s="472"/>
      <c r="V810" s="472"/>
      <c r="W810" s="472"/>
      <c r="X810" s="472"/>
      <c r="Y810" s="472"/>
      <c r="Z810" s="472"/>
    </row>
    <row r="811" spans="1:26" ht="14.25" customHeight="1">
      <c r="A811" s="472"/>
      <c r="B811" s="472"/>
      <c r="C811" s="472"/>
      <c r="D811" s="472"/>
      <c r="E811" s="472"/>
      <c r="F811" s="472"/>
      <c r="G811" s="472"/>
      <c r="H811" s="472"/>
      <c r="I811" s="472"/>
      <c r="J811" s="472"/>
      <c r="K811" s="471"/>
      <c r="L811" s="472"/>
      <c r="M811" s="472"/>
      <c r="N811" s="472"/>
      <c r="O811" s="472"/>
      <c r="P811" s="472"/>
      <c r="Q811" s="472"/>
      <c r="R811" s="472"/>
      <c r="S811" s="472"/>
      <c r="T811" s="472"/>
      <c r="U811" s="472"/>
      <c r="V811" s="472"/>
      <c r="W811" s="472"/>
      <c r="X811" s="472"/>
      <c r="Y811" s="472"/>
      <c r="Z811" s="472"/>
    </row>
    <row r="812" spans="1:26" ht="14.25" customHeight="1">
      <c r="A812" s="472"/>
      <c r="B812" s="472"/>
      <c r="C812" s="472"/>
      <c r="D812" s="472"/>
      <c r="E812" s="472"/>
      <c r="F812" s="472"/>
      <c r="G812" s="472"/>
      <c r="H812" s="472"/>
      <c r="I812" s="472"/>
      <c r="J812" s="472"/>
      <c r="K812" s="471"/>
      <c r="L812" s="472"/>
      <c r="M812" s="472"/>
      <c r="N812" s="472"/>
      <c r="O812" s="472"/>
      <c r="P812" s="472"/>
      <c r="Q812" s="472"/>
      <c r="R812" s="472"/>
      <c r="S812" s="472"/>
      <c r="T812" s="472"/>
      <c r="U812" s="472"/>
      <c r="V812" s="472"/>
      <c r="W812" s="472"/>
      <c r="X812" s="472"/>
      <c r="Y812" s="472"/>
      <c r="Z812" s="472"/>
    </row>
    <row r="813" spans="1:26" ht="14.25" customHeight="1">
      <c r="A813" s="472"/>
      <c r="B813" s="472"/>
      <c r="C813" s="472"/>
      <c r="D813" s="472"/>
      <c r="E813" s="472"/>
      <c r="F813" s="472"/>
      <c r="G813" s="472"/>
      <c r="H813" s="472"/>
      <c r="I813" s="472"/>
      <c r="J813" s="472"/>
      <c r="K813" s="471"/>
      <c r="L813" s="472"/>
      <c r="M813" s="472"/>
      <c r="N813" s="472"/>
      <c r="O813" s="472"/>
      <c r="P813" s="472"/>
      <c r="Q813" s="472"/>
      <c r="R813" s="472"/>
      <c r="S813" s="472"/>
      <c r="T813" s="472"/>
      <c r="U813" s="472"/>
      <c r="V813" s="472"/>
      <c r="W813" s="472"/>
      <c r="X813" s="472"/>
      <c r="Y813" s="472"/>
      <c r="Z813" s="472"/>
    </row>
    <row r="814" spans="1:26" ht="14.25" customHeight="1">
      <c r="A814" s="472"/>
      <c r="B814" s="472"/>
      <c r="C814" s="472"/>
      <c r="D814" s="472"/>
      <c r="E814" s="472"/>
      <c r="F814" s="472"/>
      <c r="G814" s="472"/>
      <c r="H814" s="472"/>
      <c r="I814" s="472"/>
      <c r="J814" s="472"/>
      <c r="K814" s="471"/>
      <c r="L814" s="472"/>
      <c r="M814" s="472"/>
      <c r="N814" s="472"/>
      <c r="O814" s="472"/>
      <c r="P814" s="472"/>
      <c r="Q814" s="472"/>
      <c r="R814" s="472"/>
      <c r="S814" s="472"/>
      <c r="T814" s="472"/>
      <c r="U814" s="472"/>
      <c r="V814" s="472"/>
      <c r="W814" s="472"/>
      <c r="X814" s="472"/>
      <c r="Y814" s="472"/>
      <c r="Z814" s="472"/>
    </row>
    <row r="815" spans="1:26" ht="14.25" customHeight="1">
      <c r="A815" s="472"/>
      <c r="B815" s="472"/>
      <c r="C815" s="472"/>
      <c r="D815" s="472"/>
      <c r="E815" s="472"/>
      <c r="F815" s="472"/>
      <c r="G815" s="472"/>
      <c r="H815" s="472"/>
      <c r="I815" s="472"/>
      <c r="J815" s="472"/>
      <c r="K815" s="471"/>
      <c r="L815" s="472"/>
      <c r="M815" s="472"/>
      <c r="N815" s="472"/>
      <c r="O815" s="472"/>
      <c r="P815" s="472"/>
      <c r="Q815" s="472"/>
      <c r="R815" s="472"/>
      <c r="S815" s="472"/>
      <c r="T815" s="472"/>
      <c r="U815" s="472"/>
      <c r="V815" s="472"/>
      <c r="W815" s="472"/>
      <c r="X815" s="472"/>
      <c r="Y815" s="472"/>
      <c r="Z815" s="472"/>
    </row>
    <row r="816" spans="1:26" ht="14.25" customHeight="1">
      <c r="A816" s="472"/>
      <c r="B816" s="472"/>
      <c r="C816" s="472"/>
      <c r="D816" s="472"/>
      <c r="E816" s="472"/>
      <c r="F816" s="472"/>
      <c r="G816" s="472"/>
      <c r="H816" s="472"/>
      <c r="I816" s="472"/>
      <c r="J816" s="472"/>
      <c r="K816" s="471"/>
      <c r="L816" s="472"/>
      <c r="M816" s="472"/>
      <c r="N816" s="472"/>
      <c r="O816" s="472"/>
      <c r="P816" s="472"/>
      <c r="Q816" s="472"/>
      <c r="R816" s="472"/>
      <c r="S816" s="472"/>
      <c r="T816" s="472"/>
      <c r="U816" s="472"/>
      <c r="V816" s="472"/>
      <c r="W816" s="472"/>
      <c r="X816" s="472"/>
      <c r="Y816" s="472"/>
      <c r="Z816" s="472"/>
    </row>
    <row r="817" spans="1:26" ht="14.25" customHeight="1">
      <c r="A817" s="472"/>
      <c r="B817" s="472"/>
      <c r="C817" s="472"/>
      <c r="D817" s="472"/>
      <c r="E817" s="472"/>
      <c r="F817" s="472"/>
      <c r="G817" s="472"/>
      <c r="H817" s="472"/>
      <c r="I817" s="472"/>
      <c r="J817" s="472"/>
      <c r="K817" s="471"/>
      <c r="L817" s="472"/>
      <c r="M817" s="472"/>
      <c r="N817" s="472"/>
      <c r="O817" s="472"/>
      <c r="P817" s="472"/>
      <c r="Q817" s="472"/>
      <c r="R817" s="472"/>
      <c r="S817" s="472"/>
      <c r="T817" s="472"/>
      <c r="U817" s="472"/>
      <c r="V817" s="472"/>
      <c r="W817" s="472"/>
      <c r="X817" s="472"/>
      <c r="Y817" s="472"/>
      <c r="Z817" s="472"/>
    </row>
    <row r="818" spans="1:26" ht="14.25" customHeight="1">
      <c r="A818" s="472"/>
      <c r="B818" s="472"/>
      <c r="C818" s="472"/>
      <c r="D818" s="472"/>
      <c r="E818" s="472"/>
      <c r="F818" s="472"/>
      <c r="G818" s="472"/>
      <c r="H818" s="472"/>
      <c r="I818" s="472"/>
      <c r="J818" s="472"/>
      <c r="K818" s="471"/>
      <c r="L818" s="472"/>
      <c r="M818" s="472"/>
      <c r="N818" s="472"/>
      <c r="O818" s="472"/>
      <c r="P818" s="472"/>
      <c r="Q818" s="472"/>
      <c r="R818" s="472"/>
      <c r="S818" s="472"/>
      <c r="T818" s="472"/>
      <c r="U818" s="472"/>
      <c r="V818" s="472"/>
      <c r="W818" s="472"/>
      <c r="X818" s="472"/>
      <c r="Y818" s="472"/>
      <c r="Z818" s="472"/>
    </row>
    <row r="819" spans="1:26" ht="14.25" customHeight="1">
      <c r="A819" s="472"/>
      <c r="B819" s="472"/>
      <c r="C819" s="472"/>
      <c r="D819" s="472"/>
      <c r="E819" s="472"/>
      <c r="F819" s="472"/>
      <c r="G819" s="472"/>
      <c r="H819" s="472"/>
      <c r="I819" s="472"/>
      <c r="J819" s="472"/>
      <c r="K819" s="471"/>
      <c r="L819" s="472"/>
      <c r="M819" s="472"/>
      <c r="N819" s="472"/>
      <c r="O819" s="472"/>
      <c r="P819" s="472"/>
      <c r="Q819" s="472"/>
      <c r="R819" s="472"/>
      <c r="S819" s="472"/>
      <c r="T819" s="472"/>
      <c r="U819" s="472"/>
      <c r="V819" s="472"/>
      <c r="W819" s="472"/>
      <c r="X819" s="472"/>
      <c r="Y819" s="472"/>
      <c r="Z819" s="472"/>
    </row>
    <row r="820" spans="1:26" ht="14.25" customHeight="1">
      <c r="A820" s="472"/>
      <c r="B820" s="472"/>
      <c r="C820" s="472"/>
      <c r="D820" s="472"/>
      <c r="E820" s="472"/>
      <c r="F820" s="472"/>
      <c r="G820" s="472"/>
      <c r="H820" s="472"/>
      <c r="I820" s="472"/>
      <c r="J820" s="472"/>
      <c r="K820" s="471"/>
      <c r="L820" s="472"/>
      <c r="M820" s="472"/>
      <c r="N820" s="472"/>
      <c r="O820" s="472"/>
      <c r="P820" s="472"/>
      <c r="Q820" s="472"/>
      <c r="R820" s="472"/>
      <c r="S820" s="472"/>
      <c r="T820" s="472"/>
      <c r="U820" s="472"/>
      <c r="V820" s="472"/>
      <c r="W820" s="472"/>
      <c r="X820" s="472"/>
      <c r="Y820" s="472"/>
      <c r="Z820" s="472"/>
    </row>
    <row r="821" spans="1:26" ht="14.25" customHeight="1">
      <c r="A821" s="472"/>
      <c r="B821" s="472"/>
      <c r="C821" s="472"/>
      <c r="D821" s="472"/>
      <c r="E821" s="472"/>
      <c r="F821" s="472"/>
      <c r="G821" s="472"/>
      <c r="H821" s="472"/>
      <c r="I821" s="472"/>
      <c r="J821" s="472"/>
      <c r="K821" s="471"/>
      <c r="L821" s="472"/>
      <c r="M821" s="472"/>
      <c r="N821" s="472"/>
      <c r="O821" s="472"/>
      <c r="P821" s="472"/>
      <c r="Q821" s="472"/>
      <c r="R821" s="472"/>
      <c r="S821" s="472"/>
      <c r="T821" s="472"/>
      <c r="U821" s="472"/>
      <c r="V821" s="472"/>
      <c r="W821" s="472"/>
      <c r="X821" s="472"/>
      <c r="Y821" s="472"/>
      <c r="Z821" s="472"/>
    </row>
    <row r="822" spans="1:26" ht="14.25" customHeight="1">
      <c r="A822" s="472"/>
      <c r="B822" s="472"/>
      <c r="C822" s="472"/>
      <c r="D822" s="472"/>
      <c r="E822" s="472"/>
      <c r="F822" s="472"/>
      <c r="G822" s="472"/>
      <c r="H822" s="472"/>
      <c r="I822" s="472"/>
      <c r="J822" s="472"/>
      <c r="K822" s="471"/>
      <c r="L822" s="472"/>
      <c r="M822" s="472"/>
      <c r="N822" s="472"/>
      <c r="O822" s="472"/>
      <c r="P822" s="472"/>
      <c r="Q822" s="472"/>
      <c r="R822" s="472"/>
      <c r="S822" s="472"/>
      <c r="T822" s="472"/>
      <c r="U822" s="472"/>
      <c r="V822" s="472"/>
      <c r="W822" s="472"/>
      <c r="X822" s="472"/>
      <c r="Y822" s="472"/>
      <c r="Z822" s="472"/>
    </row>
    <row r="823" spans="1:26" ht="14.25" customHeight="1">
      <c r="A823" s="472"/>
      <c r="B823" s="472"/>
      <c r="C823" s="472"/>
      <c r="D823" s="472"/>
      <c r="E823" s="472"/>
      <c r="F823" s="472"/>
      <c r="G823" s="472"/>
      <c r="H823" s="472"/>
      <c r="I823" s="472"/>
      <c r="J823" s="472"/>
      <c r="K823" s="471"/>
      <c r="L823" s="472"/>
      <c r="M823" s="472"/>
      <c r="N823" s="472"/>
      <c r="O823" s="472"/>
      <c r="P823" s="472"/>
      <c r="Q823" s="472"/>
      <c r="R823" s="472"/>
      <c r="S823" s="472"/>
      <c r="T823" s="472"/>
      <c r="U823" s="472"/>
      <c r="V823" s="472"/>
      <c r="W823" s="472"/>
      <c r="X823" s="472"/>
      <c r="Y823" s="472"/>
      <c r="Z823" s="472"/>
    </row>
    <row r="824" spans="1:26" ht="14.25" customHeight="1">
      <c r="A824" s="472"/>
      <c r="B824" s="472"/>
      <c r="C824" s="472"/>
      <c r="D824" s="472"/>
      <c r="E824" s="472"/>
      <c r="F824" s="472"/>
      <c r="G824" s="472"/>
      <c r="H824" s="472"/>
      <c r="I824" s="472"/>
      <c r="J824" s="472"/>
      <c r="K824" s="471"/>
      <c r="L824" s="472"/>
      <c r="M824" s="472"/>
      <c r="N824" s="472"/>
      <c r="O824" s="472"/>
      <c r="P824" s="472"/>
      <c r="Q824" s="472"/>
      <c r="R824" s="472"/>
      <c r="S824" s="472"/>
      <c r="T824" s="472"/>
      <c r="U824" s="472"/>
      <c r="V824" s="472"/>
      <c r="W824" s="472"/>
      <c r="X824" s="472"/>
      <c r="Y824" s="472"/>
      <c r="Z824" s="472"/>
    </row>
    <row r="825" spans="1:26" ht="14.25" customHeight="1">
      <c r="A825" s="472"/>
      <c r="B825" s="472"/>
      <c r="C825" s="472"/>
      <c r="D825" s="472"/>
      <c r="E825" s="472"/>
      <c r="F825" s="472"/>
      <c r="G825" s="472"/>
      <c r="H825" s="472"/>
      <c r="I825" s="472"/>
      <c r="J825" s="472"/>
      <c r="K825" s="471"/>
      <c r="L825" s="472"/>
      <c r="M825" s="472"/>
      <c r="N825" s="472"/>
      <c r="O825" s="472"/>
      <c r="P825" s="472"/>
      <c r="Q825" s="472"/>
      <c r="R825" s="472"/>
      <c r="S825" s="472"/>
      <c r="T825" s="472"/>
      <c r="U825" s="472"/>
      <c r="V825" s="472"/>
      <c r="W825" s="472"/>
      <c r="X825" s="472"/>
      <c r="Y825" s="472"/>
      <c r="Z825" s="472"/>
    </row>
    <row r="826" spans="1:26" ht="14.25" customHeight="1">
      <c r="A826" s="472"/>
      <c r="B826" s="472"/>
      <c r="C826" s="472"/>
      <c r="D826" s="472"/>
      <c r="E826" s="472"/>
      <c r="F826" s="472"/>
      <c r="G826" s="472"/>
      <c r="H826" s="472"/>
      <c r="I826" s="472"/>
      <c r="J826" s="472"/>
      <c r="K826" s="471"/>
      <c r="L826" s="472"/>
      <c r="M826" s="472"/>
      <c r="N826" s="472"/>
      <c r="O826" s="472"/>
      <c r="P826" s="472"/>
      <c r="Q826" s="472"/>
      <c r="R826" s="472"/>
      <c r="S826" s="472"/>
      <c r="T826" s="472"/>
      <c r="U826" s="472"/>
      <c r="V826" s="472"/>
      <c r="W826" s="472"/>
      <c r="X826" s="472"/>
      <c r="Y826" s="472"/>
      <c r="Z826" s="472"/>
    </row>
    <row r="827" spans="1:26" ht="14.25" customHeight="1">
      <c r="A827" s="472"/>
      <c r="B827" s="472"/>
      <c r="C827" s="472"/>
      <c r="D827" s="472"/>
      <c r="E827" s="472"/>
      <c r="F827" s="472"/>
      <c r="G827" s="472"/>
      <c r="H827" s="472"/>
      <c r="I827" s="472"/>
      <c r="J827" s="472"/>
      <c r="K827" s="471"/>
      <c r="L827" s="472"/>
      <c r="M827" s="472"/>
      <c r="N827" s="472"/>
      <c r="O827" s="472"/>
      <c r="P827" s="472"/>
      <c r="Q827" s="472"/>
      <c r="R827" s="472"/>
      <c r="S827" s="472"/>
      <c r="T827" s="472"/>
      <c r="U827" s="472"/>
      <c r="V827" s="472"/>
      <c r="W827" s="472"/>
      <c r="X827" s="472"/>
      <c r="Y827" s="472"/>
      <c r="Z827" s="472"/>
    </row>
    <row r="828" spans="1:26" ht="14.25" customHeight="1">
      <c r="A828" s="472"/>
      <c r="B828" s="472"/>
      <c r="C828" s="472"/>
      <c r="D828" s="472"/>
      <c r="E828" s="472"/>
      <c r="F828" s="472"/>
      <c r="G828" s="472"/>
      <c r="H828" s="472"/>
      <c r="I828" s="472"/>
      <c r="J828" s="472"/>
      <c r="K828" s="471"/>
      <c r="L828" s="472"/>
      <c r="M828" s="472"/>
      <c r="N828" s="472"/>
      <c r="O828" s="472"/>
      <c r="P828" s="472"/>
      <c r="Q828" s="472"/>
      <c r="R828" s="472"/>
      <c r="S828" s="472"/>
      <c r="T828" s="472"/>
      <c r="U828" s="472"/>
      <c r="V828" s="472"/>
      <c r="W828" s="472"/>
      <c r="X828" s="472"/>
      <c r="Y828" s="472"/>
      <c r="Z828" s="472"/>
    </row>
    <row r="829" spans="1:26" ht="14.25" customHeight="1">
      <c r="A829" s="472"/>
      <c r="B829" s="472"/>
      <c r="C829" s="472"/>
      <c r="D829" s="472"/>
      <c r="E829" s="472"/>
      <c r="F829" s="472"/>
      <c r="G829" s="472"/>
      <c r="H829" s="472"/>
      <c r="I829" s="472"/>
      <c r="J829" s="472"/>
      <c r="K829" s="471"/>
      <c r="L829" s="472"/>
      <c r="M829" s="472"/>
      <c r="N829" s="472"/>
      <c r="O829" s="472"/>
      <c r="P829" s="472"/>
      <c r="Q829" s="472"/>
      <c r="R829" s="472"/>
      <c r="S829" s="472"/>
      <c r="T829" s="472"/>
      <c r="U829" s="472"/>
      <c r="V829" s="472"/>
      <c r="W829" s="472"/>
      <c r="X829" s="472"/>
      <c r="Y829" s="472"/>
      <c r="Z829" s="472"/>
    </row>
    <row r="830" spans="1:26" ht="14.25" customHeight="1">
      <c r="A830" s="472"/>
      <c r="B830" s="472"/>
      <c r="C830" s="472"/>
      <c r="D830" s="472"/>
      <c r="E830" s="472"/>
      <c r="F830" s="472"/>
      <c r="G830" s="472"/>
      <c r="H830" s="472"/>
      <c r="I830" s="472"/>
      <c r="J830" s="472"/>
      <c r="K830" s="471"/>
      <c r="L830" s="472"/>
      <c r="M830" s="472"/>
      <c r="N830" s="472"/>
      <c r="O830" s="472"/>
      <c r="P830" s="472"/>
      <c r="Q830" s="472"/>
      <c r="R830" s="472"/>
      <c r="S830" s="472"/>
      <c r="T830" s="472"/>
      <c r="U830" s="472"/>
      <c r="V830" s="472"/>
      <c r="W830" s="472"/>
      <c r="X830" s="472"/>
      <c r="Y830" s="472"/>
      <c r="Z830" s="472"/>
    </row>
    <row r="831" spans="1:26" ht="14.25" customHeight="1">
      <c r="A831" s="472"/>
      <c r="B831" s="472"/>
      <c r="C831" s="472"/>
      <c r="D831" s="472"/>
      <c r="E831" s="472"/>
      <c r="F831" s="472"/>
      <c r="G831" s="472"/>
      <c r="H831" s="472"/>
      <c r="I831" s="472"/>
      <c r="J831" s="472"/>
      <c r="K831" s="471"/>
      <c r="L831" s="472"/>
      <c r="M831" s="472"/>
      <c r="N831" s="472"/>
      <c r="O831" s="472"/>
      <c r="P831" s="472"/>
      <c r="Q831" s="472"/>
      <c r="R831" s="472"/>
      <c r="S831" s="472"/>
      <c r="T831" s="472"/>
      <c r="U831" s="472"/>
      <c r="V831" s="472"/>
      <c r="W831" s="472"/>
      <c r="X831" s="472"/>
      <c r="Y831" s="472"/>
      <c r="Z831" s="472"/>
    </row>
    <row r="832" spans="1:26" ht="14.25" customHeight="1">
      <c r="A832" s="472"/>
      <c r="B832" s="472"/>
      <c r="C832" s="472"/>
      <c r="D832" s="472"/>
      <c r="E832" s="472"/>
      <c r="F832" s="472"/>
      <c r="G832" s="472"/>
      <c r="H832" s="472"/>
      <c r="I832" s="472"/>
      <c r="J832" s="472"/>
      <c r="K832" s="471"/>
      <c r="L832" s="472"/>
      <c r="M832" s="472"/>
      <c r="N832" s="472"/>
      <c r="O832" s="472"/>
      <c r="P832" s="472"/>
      <c r="Q832" s="472"/>
      <c r="R832" s="472"/>
      <c r="S832" s="472"/>
      <c r="T832" s="472"/>
      <c r="U832" s="472"/>
      <c r="V832" s="472"/>
      <c r="W832" s="472"/>
      <c r="X832" s="472"/>
      <c r="Y832" s="472"/>
      <c r="Z832" s="472"/>
    </row>
    <row r="833" spans="1:26" ht="14.25" customHeight="1">
      <c r="A833" s="472"/>
      <c r="B833" s="472"/>
      <c r="C833" s="472"/>
      <c r="D833" s="472"/>
      <c r="E833" s="472"/>
      <c r="F833" s="472"/>
      <c r="G833" s="472"/>
      <c r="H833" s="472"/>
      <c r="I833" s="472"/>
      <c r="J833" s="472"/>
      <c r="K833" s="471"/>
      <c r="L833" s="472"/>
      <c r="M833" s="472"/>
      <c r="N833" s="472"/>
      <c r="O833" s="472"/>
      <c r="P833" s="472"/>
      <c r="Q833" s="472"/>
      <c r="R833" s="472"/>
      <c r="S833" s="472"/>
      <c r="T833" s="472"/>
      <c r="U833" s="472"/>
      <c r="V833" s="472"/>
      <c r="W833" s="472"/>
      <c r="X833" s="472"/>
      <c r="Y833" s="472"/>
      <c r="Z833" s="472"/>
    </row>
    <row r="834" spans="1:26" ht="14.25" customHeight="1">
      <c r="A834" s="472"/>
      <c r="B834" s="472"/>
      <c r="C834" s="472"/>
      <c r="D834" s="472"/>
      <c r="E834" s="472"/>
      <c r="F834" s="472"/>
      <c r="G834" s="472"/>
      <c r="H834" s="472"/>
      <c r="I834" s="472"/>
      <c r="J834" s="472"/>
      <c r="K834" s="471"/>
      <c r="L834" s="472"/>
      <c r="M834" s="472"/>
      <c r="N834" s="472"/>
      <c r="O834" s="472"/>
      <c r="P834" s="472"/>
      <c r="Q834" s="472"/>
      <c r="R834" s="472"/>
      <c r="S834" s="472"/>
      <c r="T834" s="472"/>
      <c r="U834" s="472"/>
      <c r="V834" s="472"/>
      <c r="W834" s="472"/>
      <c r="X834" s="472"/>
      <c r="Y834" s="472"/>
      <c r="Z834" s="472"/>
    </row>
    <row r="835" spans="1:26" ht="14.25" customHeight="1">
      <c r="A835" s="472"/>
      <c r="B835" s="472"/>
      <c r="C835" s="472"/>
      <c r="D835" s="472"/>
      <c r="E835" s="472"/>
      <c r="F835" s="472"/>
      <c r="G835" s="472"/>
      <c r="H835" s="472"/>
      <c r="I835" s="472"/>
      <c r="J835" s="472"/>
      <c r="K835" s="471"/>
      <c r="L835" s="472"/>
      <c r="M835" s="472"/>
      <c r="N835" s="472"/>
      <c r="O835" s="472"/>
      <c r="P835" s="472"/>
      <c r="Q835" s="472"/>
      <c r="R835" s="472"/>
      <c r="S835" s="472"/>
      <c r="T835" s="472"/>
      <c r="U835" s="472"/>
      <c r="V835" s="472"/>
      <c r="W835" s="472"/>
      <c r="X835" s="472"/>
      <c r="Y835" s="472"/>
      <c r="Z835" s="472"/>
    </row>
    <row r="836" spans="1:26" ht="14.25" customHeight="1">
      <c r="A836" s="472"/>
      <c r="B836" s="472"/>
      <c r="C836" s="472"/>
      <c r="D836" s="472"/>
      <c r="E836" s="472"/>
      <c r="F836" s="472"/>
      <c r="G836" s="472"/>
      <c r="H836" s="472"/>
      <c r="I836" s="472"/>
      <c r="J836" s="472"/>
      <c r="K836" s="471"/>
      <c r="L836" s="472"/>
      <c r="M836" s="472"/>
      <c r="N836" s="472"/>
      <c r="O836" s="472"/>
      <c r="P836" s="472"/>
      <c r="Q836" s="472"/>
      <c r="R836" s="472"/>
      <c r="S836" s="472"/>
      <c r="T836" s="472"/>
      <c r="U836" s="472"/>
      <c r="V836" s="472"/>
      <c r="W836" s="472"/>
      <c r="X836" s="472"/>
      <c r="Y836" s="472"/>
      <c r="Z836" s="472"/>
    </row>
    <row r="837" spans="1:26" ht="14.25" customHeight="1">
      <c r="A837" s="472"/>
      <c r="B837" s="472"/>
      <c r="C837" s="472"/>
      <c r="D837" s="472"/>
      <c r="E837" s="472"/>
      <c r="F837" s="472"/>
      <c r="G837" s="472"/>
      <c r="H837" s="472"/>
      <c r="I837" s="472"/>
      <c r="J837" s="472"/>
      <c r="K837" s="471"/>
      <c r="L837" s="472"/>
      <c r="M837" s="472"/>
      <c r="N837" s="472"/>
      <c r="O837" s="472"/>
      <c r="P837" s="472"/>
      <c r="Q837" s="472"/>
      <c r="R837" s="472"/>
      <c r="S837" s="472"/>
      <c r="T837" s="472"/>
      <c r="U837" s="472"/>
      <c r="V837" s="472"/>
      <c r="W837" s="472"/>
      <c r="X837" s="472"/>
      <c r="Y837" s="472"/>
      <c r="Z837" s="472"/>
    </row>
    <row r="838" spans="1:26" ht="14.25" customHeight="1">
      <c r="A838" s="472"/>
      <c r="B838" s="472"/>
      <c r="C838" s="472"/>
      <c r="D838" s="472"/>
      <c r="E838" s="472"/>
      <c r="F838" s="472"/>
      <c r="G838" s="472"/>
      <c r="H838" s="472"/>
      <c r="I838" s="472"/>
      <c r="J838" s="472"/>
      <c r="K838" s="471"/>
      <c r="L838" s="472"/>
      <c r="M838" s="472"/>
      <c r="N838" s="472"/>
      <c r="O838" s="472"/>
      <c r="P838" s="472"/>
      <c r="Q838" s="472"/>
      <c r="R838" s="472"/>
      <c r="S838" s="472"/>
      <c r="T838" s="472"/>
      <c r="U838" s="472"/>
      <c r="V838" s="472"/>
      <c r="W838" s="472"/>
      <c r="X838" s="472"/>
      <c r="Y838" s="472"/>
      <c r="Z838" s="472"/>
    </row>
    <row r="839" spans="1:26" ht="14.25" customHeight="1">
      <c r="A839" s="472"/>
      <c r="B839" s="472"/>
      <c r="C839" s="472"/>
      <c r="D839" s="472"/>
      <c r="E839" s="472"/>
      <c r="F839" s="472"/>
      <c r="G839" s="472"/>
      <c r="H839" s="472"/>
      <c r="I839" s="472"/>
      <c r="J839" s="472"/>
      <c r="K839" s="471"/>
      <c r="L839" s="472"/>
      <c r="M839" s="472"/>
      <c r="N839" s="472"/>
      <c r="O839" s="472"/>
      <c r="P839" s="472"/>
      <c r="Q839" s="472"/>
      <c r="R839" s="472"/>
      <c r="S839" s="472"/>
      <c r="T839" s="472"/>
      <c r="U839" s="472"/>
      <c r="V839" s="472"/>
      <c r="W839" s="472"/>
      <c r="X839" s="472"/>
      <c r="Y839" s="472"/>
      <c r="Z839" s="472"/>
    </row>
    <row r="840" spans="1:26" ht="14.25" customHeight="1">
      <c r="A840" s="472"/>
      <c r="B840" s="472"/>
      <c r="C840" s="472"/>
      <c r="D840" s="472"/>
      <c r="E840" s="472"/>
      <c r="F840" s="472"/>
      <c r="G840" s="472"/>
      <c r="H840" s="472"/>
      <c r="I840" s="472"/>
      <c r="J840" s="472"/>
      <c r="K840" s="471"/>
      <c r="L840" s="472"/>
      <c r="M840" s="472"/>
      <c r="N840" s="472"/>
      <c r="O840" s="472"/>
      <c r="P840" s="472"/>
      <c r="Q840" s="472"/>
      <c r="R840" s="472"/>
      <c r="S840" s="472"/>
      <c r="T840" s="472"/>
      <c r="U840" s="472"/>
      <c r="V840" s="472"/>
      <c r="W840" s="472"/>
      <c r="X840" s="472"/>
      <c r="Y840" s="472"/>
      <c r="Z840" s="472"/>
    </row>
    <row r="841" spans="1:26" ht="14.25" customHeight="1">
      <c r="A841" s="472"/>
      <c r="B841" s="472"/>
      <c r="C841" s="472"/>
      <c r="D841" s="472"/>
      <c r="E841" s="472"/>
      <c r="F841" s="472"/>
      <c r="G841" s="472"/>
      <c r="H841" s="472"/>
      <c r="I841" s="472"/>
      <c r="J841" s="472"/>
      <c r="K841" s="471"/>
      <c r="L841" s="472"/>
      <c r="M841" s="472"/>
      <c r="N841" s="472"/>
      <c r="O841" s="472"/>
      <c r="P841" s="472"/>
      <c r="Q841" s="472"/>
      <c r="R841" s="472"/>
      <c r="S841" s="472"/>
      <c r="T841" s="472"/>
      <c r="U841" s="472"/>
      <c r="V841" s="472"/>
      <c r="W841" s="472"/>
      <c r="X841" s="472"/>
      <c r="Y841" s="472"/>
      <c r="Z841" s="472"/>
    </row>
    <row r="842" spans="1:26" ht="14.25" customHeight="1">
      <c r="A842" s="472"/>
      <c r="B842" s="472"/>
      <c r="C842" s="472"/>
      <c r="D842" s="472"/>
      <c r="E842" s="472"/>
      <c r="F842" s="472"/>
      <c r="G842" s="472"/>
      <c r="H842" s="472"/>
      <c r="I842" s="472"/>
      <c r="J842" s="472"/>
      <c r="K842" s="471"/>
      <c r="L842" s="472"/>
      <c r="M842" s="472"/>
      <c r="N842" s="472"/>
      <c r="O842" s="472"/>
      <c r="P842" s="472"/>
      <c r="Q842" s="472"/>
      <c r="R842" s="472"/>
      <c r="S842" s="472"/>
      <c r="T842" s="472"/>
      <c r="U842" s="472"/>
      <c r="V842" s="472"/>
      <c r="W842" s="472"/>
      <c r="X842" s="472"/>
      <c r="Y842" s="472"/>
      <c r="Z842" s="472"/>
    </row>
    <row r="843" spans="1:26" ht="14.25" customHeight="1">
      <c r="A843" s="472"/>
      <c r="B843" s="472"/>
      <c r="C843" s="472"/>
      <c r="D843" s="472"/>
      <c r="E843" s="472"/>
      <c r="F843" s="472"/>
      <c r="G843" s="472"/>
      <c r="H843" s="472"/>
      <c r="I843" s="472"/>
      <c r="J843" s="472"/>
      <c r="K843" s="471"/>
      <c r="L843" s="472"/>
      <c r="M843" s="472"/>
      <c r="N843" s="472"/>
      <c r="O843" s="472"/>
      <c r="P843" s="472"/>
      <c r="Q843" s="472"/>
      <c r="R843" s="472"/>
      <c r="S843" s="472"/>
      <c r="T843" s="472"/>
      <c r="U843" s="472"/>
      <c r="V843" s="472"/>
      <c r="W843" s="472"/>
      <c r="X843" s="472"/>
      <c r="Y843" s="472"/>
      <c r="Z843" s="472"/>
    </row>
    <row r="844" spans="1:26" ht="14.25" customHeight="1">
      <c r="A844" s="472"/>
      <c r="B844" s="472"/>
      <c r="C844" s="472"/>
      <c r="D844" s="472"/>
      <c r="E844" s="472"/>
      <c r="F844" s="472"/>
      <c r="G844" s="472"/>
      <c r="H844" s="472"/>
      <c r="I844" s="472"/>
      <c r="J844" s="472"/>
      <c r="K844" s="471"/>
      <c r="L844" s="472"/>
      <c r="M844" s="472"/>
      <c r="N844" s="472"/>
      <c r="O844" s="472"/>
      <c r="P844" s="472"/>
      <c r="Q844" s="472"/>
      <c r="R844" s="472"/>
      <c r="S844" s="472"/>
      <c r="T844" s="472"/>
      <c r="U844" s="472"/>
      <c r="V844" s="472"/>
      <c r="W844" s="472"/>
      <c r="X844" s="472"/>
      <c r="Y844" s="472"/>
      <c r="Z844" s="472"/>
    </row>
    <row r="845" spans="1:26" ht="14.25" customHeight="1">
      <c r="A845" s="472"/>
      <c r="B845" s="472"/>
      <c r="C845" s="472"/>
      <c r="D845" s="472"/>
      <c r="E845" s="472"/>
      <c r="F845" s="472"/>
      <c r="G845" s="472"/>
      <c r="H845" s="472"/>
      <c r="I845" s="472"/>
      <c r="J845" s="472"/>
      <c r="K845" s="471"/>
      <c r="L845" s="472"/>
      <c r="M845" s="472"/>
      <c r="N845" s="472"/>
      <c r="O845" s="472"/>
      <c r="P845" s="472"/>
      <c r="Q845" s="472"/>
      <c r="R845" s="472"/>
      <c r="S845" s="472"/>
      <c r="T845" s="472"/>
      <c r="U845" s="472"/>
      <c r="V845" s="472"/>
      <c r="W845" s="472"/>
      <c r="X845" s="472"/>
      <c r="Y845" s="472"/>
      <c r="Z845" s="472"/>
    </row>
    <row r="846" spans="1:26" ht="14.25" customHeight="1">
      <c r="A846" s="472"/>
      <c r="B846" s="472"/>
      <c r="C846" s="472"/>
      <c r="D846" s="472"/>
      <c r="E846" s="472"/>
      <c r="F846" s="472"/>
      <c r="G846" s="472"/>
      <c r="H846" s="472"/>
      <c r="I846" s="472"/>
      <c r="J846" s="472"/>
      <c r="K846" s="471"/>
      <c r="L846" s="472"/>
      <c r="M846" s="472"/>
      <c r="N846" s="472"/>
      <c r="O846" s="472"/>
      <c r="P846" s="472"/>
      <c r="Q846" s="472"/>
      <c r="R846" s="472"/>
      <c r="S846" s="472"/>
      <c r="T846" s="472"/>
      <c r="U846" s="472"/>
      <c r="V846" s="472"/>
      <c r="W846" s="472"/>
      <c r="X846" s="472"/>
      <c r="Y846" s="472"/>
      <c r="Z846" s="472"/>
    </row>
    <row r="847" spans="1:26" ht="14.25" customHeight="1">
      <c r="A847" s="472"/>
      <c r="B847" s="472"/>
      <c r="C847" s="472"/>
      <c r="D847" s="472"/>
      <c r="E847" s="472"/>
      <c r="F847" s="472"/>
      <c r="G847" s="472"/>
      <c r="H847" s="472"/>
      <c r="I847" s="472"/>
      <c r="J847" s="472"/>
      <c r="K847" s="471"/>
      <c r="L847" s="472"/>
      <c r="M847" s="472"/>
      <c r="N847" s="472"/>
      <c r="O847" s="472"/>
      <c r="P847" s="472"/>
      <c r="Q847" s="472"/>
      <c r="R847" s="472"/>
      <c r="S847" s="472"/>
      <c r="T847" s="472"/>
      <c r="U847" s="472"/>
      <c r="V847" s="472"/>
      <c r="W847" s="472"/>
      <c r="X847" s="472"/>
      <c r="Y847" s="472"/>
      <c r="Z847" s="472"/>
    </row>
    <row r="848" spans="1:26" ht="14.25" customHeight="1">
      <c r="A848" s="472"/>
      <c r="B848" s="472"/>
      <c r="C848" s="472"/>
      <c r="D848" s="472"/>
      <c r="E848" s="472"/>
      <c r="F848" s="472"/>
      <c r="G848" s="472"/>
      <c r="H848" s="472"/>
      <c r="I848" s="472"/>
      <c r="J848" s="472"/>
      <c r="K848" s="471"/>
      <c r="L848" s="472"/>
      <c r="M848" s="472"/>
      <c r="N848" s="472"/>
      <c r="O848" s="472"/>
      <c r="P848" s="472"/>
      <c r="Q848" s="472"/>
      <c r="R848" s="472"/>
      <c r="S848" s="472"/>
      <c r="T848" s="472"/>
      <c r="U848" s="472"/>
      <c r="V848" s="472"/>
      <c r="W848" s="472"/>
      <c r="X848" s="472"/>
      <c r="Y848" s="472"/>
      <c r="Z848" s="472"/>
    </row>
    <row r="849" spans="1:26" ht="14.25" customHeight="1">
      <c r="A849" s="472"/>
      <c r="B849" s="472"/>
      <c r="C849" s="472"/>
      <c r="D849" s="472"/>
      <c r="E849" s="472"/>
      <c r="F849" s="472"/>
      <c r="G849" s="472"/>
      <c r="H849" s="472"/>
      <c r="I849" s="472"/>
      <c r="J849" s="472"/>
      <c r="K849" s="471"/>
      <c r="L849" s="472"/>
      <c r="M849" s="472"/>
      <c r="N849" s="472"/>
      <c r="O849" s="472"/>
      <c r="P849" s="472"/>
      <c r="Q849" s="472"/>
      <c r="R849" s="472"/>
      <c r="S849" s="472"/>
      <c r="T849" s="472"/>
      <c r="U849" s="472"/>
      <c r="V849" s="472"/>
      <c r="W849" s="472"/>
      <c r="X849" s="472"/>
      <c r="Y849" s="472"/>
      <c r="Z849" s="472"/>
    </row>
    <row r="850" spans="1:26" ht="14.25" customHeight="1">
      <c r="A850" s="472"/>
      <c r="B850" s="472"/>
      <c r="C850" s="472"/>
      <c r="D850" s="472"/>
      <c r="E850" s="472"/>
      <c r="F850" s="472"/>
      <c r="G850" s="472"/>
      <c r="H850" s="472"/>
      <c r="I850" s="472"/>
      <c r="J850" s="472"/>
      <c r="K850" s="471"/>
      <c r="L850" s="472"/>
      <c r="M850" s="472"/>
      <c r="N850" s="472"/>
      <c r="O850" s="472"/>
      <c r="P850" s="472"/>
      <c r="Q850" s="472"/>
      <c r="R850" s="472"/>
      <c r="S850" s="472"/>
      <c r="T850" s="472"/>
      <c r="U850" s="472"/>
      <c r="V850" s="472"/>
      <c r="W850" s="472"/>
      <c r="X850" s="472"/>
      <c r="Y850" s="472"/>
      <c r="Z850" s="472"/>
    </row>
    <row r="851" spans="1:26" ht="14.25" customHeight="1">
      <c r="A851" s="472"/>
      <c r="B851" s="472"/>
      <c r="C851" s="472"/>
      <c r="D851" s="472"/>
      <c r="E851" s="472"/>
      <c r="F851" s="472"/>
      <c r="G851" s="472"/>
      <c r="H851" s="472"/>
      <c r="I851" s="472"/>
      <c r="J851" s="472"/>
      <c r="K851" s="471"/>
      <c r="L851" s="472"/>
      <c r="M851" s="472"/>
      <c r="N851" s="472"/>
      <c r="O851" s="472"/>
      <c r="P851" s="472"/>
      <c r="Q851" s="472"/>
      <c r="R851" s="472"/>
      <c r="S851" s="472"/>
      <c r="T851" s="472"/>
      <c r="U851" s="472"/>
      <c r="V851" s="472"/>
      <c r="W851" s="472"/>
      <c r="X851" s="472"/>
      <c r="Y851" s="472"/>
      <c r="Z851" s="472"/>
    </row>
    <row r="852" spans="1:26" ht="14.25" customHeight="1">
      <c r="A852" s="472"/>
      <c r="B852" s="472"/>
      <c r="C852" s="472"/>
      <c r="D852" s="472"/>
      <c r="E852" s="472"/>
      <c r="F852" s="472"/>
      <c r="G852" s="472"/>
      <c r="H852" s="472"/>
      <c r="I852" s="472"/>
      <c r="J852" s="472"/>
      <c r="K852" s="471"/>
      <c r="L852" s="472"/>
      <c r="M852" s="472"/>
      <c r="N852" s="472"/>
      <c r="O852" s="472"/>
      <c r="P852" s="472"/>
      <c r="Q852" s="472"/>
      <c r="R852" s="472"/>
      <c r="S852" s="472"/>
      <c r="T852" s="472"/>
      <c r="U852" s="472"/>
      <c r="V852" s="472"/>
      <c r="W852" s="472"/>
      <c r="X852" s="472"/>
      <c r="Y852" s="472"/>
      <c r="Z852" s="472"/>
    </row>
    <row r="853" spans="1:26" ht="14.25" customHeight="1">
      <c r="A853" s="472"/>
      <c r="B853" s="472"/>
      <c r="C853" s="472"/>
      <c r="D853" s="472"/>
      <c r="E853" s="472"/>
      <c r="F853" s="472"/>
      <c r="G853" s="472"/>
      <c r="H853" s="472"/>
      <c r="I853" s="472"/>
      <c r="J853" s="472"/>
      <c r="K853" s="471"/>
      <c r="L853" s="472"/>
      <c r="M853" s="472"/>
      <c r="N853" s="472"/>
      <c r="O853" s="472"/>
      <c r="P853" s="472"/>
      <c r="Q853" s="472"/>
      <c r="R853" s="472"/>
      <c r="S853" s="472"/>
      <c r="T853" s="472"/>
      <c r="U853" s="472"/>
      <c r="V853" s="472"/>
      <c r="W853" s="472"/>
      <c r="X853" s="472"/>
      <c r="Y853" s="472"/>
      <c r="Z853" s="472"/>
    </row>
    <row r="854" spans="1:26" ht="14.25" customHeight="1">
      <c r="A854" s="472"/>
      <c r="B854" s="472"/>
      <c r="C854" s="472"/>
      <c r="D854" s="472"/>
      <c r="E854" s="472"/>
      <c r="F854" s="472"/>
      <c r="G854" s="472"/>
      <c r="H854" s="472"/>
      <c r="I854" s="472"/>
      <c r="J854" s="472"/>
      <c r="K854" s="471"/>
      <c r="L854" s="472"/>
      <c r="M854" s="472"/>
      <c r="N854" s="472"/>
      <c r="O854" s="472"/>
      <c r="P854" s="472"/>
      <c r="Q854" s="472"/>
      <c r="R854" s="472"/>
      <c r="S854" s="472"/>
      <c r="T854" s="472"/>
      <c r="U854" s="472"/>
      <c r="V854" s="472"/>
      <c r="W854" s="472"/>
      <c r="X854" s="472"/>
      <c r="Y854" s="472"/>
      <c r="Z854" s="472"/>
    </row>
    <row r="855" spans="1:26" ht="14.25" customHeight="1">
      <c r="A855" s="472"/>
      <c r="B855" s="472"/>
      <c r="C855" s="472"/>
      <c r="D855" s="472"/>
      <c r="E855" s="472"/>
      <c r="F855" s="472"/>
      <c r="G855" s="472"/>
      <c r="H855" s="472"/>
      <c r="I855" s="472"/>
      <c r="J855" s="472"/>
      <c r="K855" s="471"/>
      <c r="L855" s="472"/>
      <c r="M855" s="472"/>
      <c r="N855" s="472"/>
      <c r="O855" s="472"/>
      <c r="P855" s="472"/>
      <c r="Q855" s="472"/>
      <c r="R855" s="472"/>
      <c r="S855" s="472"/>
      <c r="T855" s="472"/>
      <c r="U855" s="472"/>
      <c r="V855" s="472"/>
      <c r="W855" s="472"/>
      <c r="X855" s="472"/>
      <c r="Y855" s="472"/>
      <c r="Z855" s="472"/>
    </row>
    <row r="856" spans="1:26" ht="14.25" customHeight="1">
      <c r="A856" s="472"/>
      <c r="B856" s="472"/>
      <c r="C856" s="472"/>
      <c r="D856" s="472"/>
      <c r="E856" s="472"/>
      <c r="F856" s="472"/>
      <c r="G856" s="472"/>
      <c r="H856" s="472"/>
      <c r="I856" s="472"/>
      <c r="J856" s="472"/>
      <c r="K856" s="471"/>
      <c r="L856" s="472"/>
      <c r="M856" s="472"/>
      <c r="N856" s="472"/>
      <c r="O856" s="472"/>
      <c r="P856" s="472"/>
      <c r="Q856" s="472"/>
      <c r="R856" s="472"/>
      <c r="S856" s="472"/>
      <c r="T856" s="472"/>
      <c r="U856" s="472"/>
      <c r="V856" s="472"/>
      <c r="W856" s="472"/>
      <c r="X856" s="472"/>
      <c r="Y856" s="472"/>
      <c r="Z856" s="472"/>
    </row>
    <row r="857" spans="1:26" ht="14.25" customHeight="1">
      <c r="A857" s="472"/>
      <c r="B857" s="472"/>
      <c r="C857" s="472"/>
      <c r="D857" s="472"/>
      <c r="E857" s="472"/>
      <c r="F857" s="472"/>
      <c r="G857" s="472"/>
      <c r="H857" s="472"/>
      <c r="I857" s="472"/>
      <c r="J857" s="472"/>
      <c r="K857" s="471"/>
      <c r="L857" s="472"/>
      <c r="M857" s="472"/>
      <c r="N857" s="472"/>
      <c r="O857" s="472"/>
      <c r="P857" s="472"/>
      <c r="Q857" s="472"/>
      <c r="R857" s="472"/>
      <c r="S857" s="472"/>
      <c r="T857" s="472"/>
      <c r="U857" s="472"/>
      <c r="V857" s="472"/>
      <c r="W857" s="472"/>
      <c r="X857" s="472"/>
      <c r="Y857" s="472"/>
      <c r="Z857" s="472"/>
    </row>
    <row r="858" spans="1:26" ht="14.25" customHeight="1">
      <c r="A858" s="472"/>
      <c r="B858" s="472"/>
      <c r="C858" s="472"/>
      <c r="D858" s="472"/>
      <c r="E858" s="472"/>
      <c r="F858" s="472"/>
      <c r="G858" s="472"/>
      <c r="H858" s="472"/>
      <c r="I858" s="472"/>
      <c r="J858" s="472"/>
      <c r="K858" s="471"/>
      <c r="L858" s="472"/>
      <c r="M858" s="472"/>
      <c r="N858" s="472"/>
      <c r="O858" s="472"/>
      <c r="P858" s="472"/>
      <c r="Q858" s="472"/>
      <c r="R858" s="472"/>
      <c r="S858" s="472"/>
      <c r="T858" s="472"/>
      <c r="U858" s="472"/>
      <c r="V858" s="472"/>
      <c r="W858" s="472"/>
      <c r="X858" s="472"/>
      <c r="Y858" s="472"/>
      <c r="Z858" s="472"/>
    </row>
    <row r="859" spans="1:26" ht="14.25" customHeight="1">
      <c r="A859" s="472"/>
      <c r="B859" s="472"/>
      <c r="C859" s="472"/>
      <c r="D859" s="472"/>
      <c r="E859" s="472"/>
      <c r="F859" s="472"/>
      <c r="G859" s="472"/>
      <c r="H859" s="472"/>
      <c r="I859" s="472"/>
      <c r="J859" s="472"/>
      <c r="K859" s="471"/>
      <c r="L859" s="472"/>
      <c r="M859" s="472"/>
      <c r="N859" s="472"/>
      <c r="O859" s="472"/>
      <c r="P859" s="472"/>
      <c r="Q859" s="472"/>
      <c r="R859" s="472"/>
      <c r="S859" s="472"/>
      <c r="T859" s="472"/>
      <c r="U859" s="472"/>
      <c r="V859" s="472"/>
      <c r="W859" s="472"/>
      <c r="X859" s="472"/>
      <c r="Y859" s="472"/>
      <c r="Z859" s="472"/>
    </row>
    <row r="860" spans="1:26" ht="14.25" customHeight="1">
      <c r="A860" s="472"/>
      <c r="B860" s="472"/>
      <c r="C860" s="472"/>
      <c r="D860" s="472"/>
      <c r="E860" s="472"/>
      <c r="F860" s="472"/>
      <c r="G860" s="472"/>
      <c r="H860" s="472"/>
      <c r="I860" s="472"/>
      <c r="J860" s="472"/>
      <c r="K860" s="471"/>
      <c r="L860" s="472"/>
      <c r="M860" s="472"/>
      <c r="N860" s="472"/>
      <c r="O860" s="472"/>
      <c r="P860" s="472"/>
      <c r="Q860" s="472"/>
      <c r="R860" s="472"/>
      <c r="S860" s="472"/>
      <c r="T860" s="472"/>
      <c r="U860" s="472"/>
      <c r="V860" s="472"/>
      <c r="W860" s="472"/>
      <c r="X860" s="472"/>
      <c r="Y860" s="472"/>
      <c r="Z860" s="472"/>
    </row>
    <row r="861" spans="1:26" ht="14.25" customHeight="1">
      <c r="A861" s="472"/>
      <c r="B861" s="472"/>
      <c r="C861" s="472"/>
      <c r="D861" s="472"/>
      <c r="E861" s="472"/>
      <c r="F861" s="472"/>
      <c r="G861" s="472"/>
      <c r="H861" s="472"/>
      <c r="I861" s="472"/>
      <c r="J861" s="472"/>
      <c r="K861" s="471"/>
      <c r="L861" s="472"/>
      <c r="M861" s="472"/>
      <c r="N861" s="472"/>
      <c r="O861" s="472"/>
      <c r="P861" s="472"/>
      <c r="Q861" s="472"/>
      <c r="R861" s="472"/>
      <c r="S861" s="472"/>
      <c r="T861" s="472"/>
      <c r="U861" s="472"/>
      <c r="V861" s="472"/>
      <c r="W861" s="472"/>
      <c r="X861" s="472"/>
      <c r="Y861" s="472"/>
      <c r="Z861" s="472"/>
    </row>
    <row r="862" spans="1:26" ht="14.25" customHeight="1">
      <c r="A862" s="472"/>
      <c r="B862" s="472"/>
      <c r="C862" s="472"/>
      <c r="D862" s="472"/>
      <c r="E862" s="472"/>
      <c r="F862" s="472"/>
      <c r="G862" s="472"/>
      <c r="H862" s="472"/>
      <c r="I862" s="472"/>
      <c r="J862" s="472"/>
      <c r="K862" s="471"/>
      <c r="L862" s="472"/>
      <c r="M862" s="472"/>
      <c r="N862" s="472"/>
      <c r="O862" s="472"/>
      <c r="P862" s="472"/>
      <c r="Q862" s="472"/>
      <c r="R862" s="472"/>
      <c r="S862" s="472"/>
      <c r="T862" s="472"/>
      <c r="U862" s="472"/>
      <c r="V862" s="472"/>
      <c r="W862" s="472"/>
      <c r="X862" s="472"/>
      <c r="Y862" s="472"/>
      <c r="Z862" s="472"/>
    </row>
    <row r="863" spans="1:26" ht="14.25" customHeight="1">
      <c r="A863" s="472"/>
      <c r="B863" s="472"/>
      <c r="C863" s="472"/>
      <c r="D863" s="472"/>
      <c r="E863" s="472"/>
      <c r="F863" s="472"/>
      <c r="G863" s="472"/>
      <c r="H863" s="472"/>
      <c r="I863" s="472"/>
      <c r="J863" s="472"/>
      <c r="K863" s="471"/>
      <c r="L863" s="472"/>
      <c r="M863" s="472"/>
      <c r="N863" s="472"/>
      <c r="O863" s="472"/>
      <c r="P863" s="472"/>
      <c r="Q863" s="472"/>
      <c r="R863" s="472"/>
      <c r="S863" s="472"/>
      <c r="T863" s="472"/>
      <c r="U863" s="472"/>
      <c r="V863" s="472"/>
      <c r="W863" s="472"/>
      <c r="X863" s="472"/>
      <c r="Y863" s="472"/>
      <c r="Z863" s="472"/>
    </row>
    <row r="864" spans="1:26" ht="14.25" customHeight="1">
      <c r="A864" s="472"/>
      <c r="B864" s="472"/>
      <c r="C864" s="472"/>
      <c r="D864" s="472"/>
      <c r="E864" s="472"/>
      <c r="F864" s="472"/>
      <c r="G864" s="472"/>
      <c r="H864" s="472"/>
      <c r="I864" s="472"/>
      <c r="J864" s="472"/>
      <c r="K864" s="471"/>
      <c r="L864" s="472"/>
      <c r="M864" s="472"/>
      <c r="N864" s="472"/>
      <c r="O864" s="472"/>
      <c r="P864" s="472"/>
      <c r="Q864" s="472"/>
      <c r="R864" s="472"/>
      <c r="S864" s="472"/>
      <c r="T864" s="472"/>
      <c r="U864" s="472"/>
      <c r="V864" s="472"/>
      <c r="W864" s="472"/>
      <c r="X864" s="472"/>
      <c r="Y864" s="472"/>
      <c r="Z864" s="472"/>
    </row>
    <row r="865" spans="1:26" ht="14.25" customHeight="1">
      <c r="A865" s="472"/>
      <c r="B865" s="472"/>
      <c r="C865" s="472"/>
      <c r="D865" s="472"/>
      <c r="E865" s="472"/>
      <c r="F865" s="472"/>
      <c r="G865" s="472"/>
      <c r="H865" s="472"/>
      <c r="I865" s="472"/>
      <c r="J865" s="472"/>
      <c r="K865" s="471"/>
      <c r="L865" s="472"/>
      <c r="M865" s="472"/>
      <c r="N865" s="472"/>
      <c r="O865" s="472"/>
      <c r="P865" s="472"/>
      <c r="Q865" s="472"/>
      <c r="R865" s="472"/>
      <c r="S865" s="472"/>
      <c r="T865" s="472"/>
      <c r="U865" s="472"/>
      <c r="V865" s="472"/>
      <c r="W865" s="472"/>
      <c r="X865" s="472"/>
      <c r="Y865" s="472"/>
      <c r="Z865" s="472"/>
    </row>
    <row r="866" spans="1:26" ht="14.25" customHeight="1">
      <c r="A866" s="472"/>
      <c r="B866" s="472"/>
      <c r="C866" s="472"/>
      <c r="D866" s="472"/>
      <c r="E866" s="472"/>
      <c r="F866" s="472"/>
      <c r="G866" s="472"/>
      <c r="H866" s="472"/>
      <c r="I866" s="472"/>
      <c r="J866" s="472"/>
      <c r="K866" s="471"/>
      <c r="L866" s="472"/>
      <c r="M866" s="472"/>
      <c r="N866" s="472"/>
      <c r="O866" s="472"/>
      <c r="P866" s="472"/>
      <c r="Q866" s="472"/>
      <c r="R866" s="472"/>
      <c r="S866" s="472"/>
      <c r="T866" s="472"/>
      <c r="U866" s="472"/>
      <c r="V866" s="472"/>
      <c r="W866" s="472"/>
      <c r="X866" s="472"/>
      <c r="Y866" s="472"/>
      <c r="Z866" s="472"/>
    </row>
    <row r="867" spans="1:26" ht="14.25" customHeight="1">
      <c r="A867" s="472"/>
      <c r="B867" s="472"/>
      <c r="C867" s="472"/>
      <c r="D867" s="472"/>
      <c r="E867" s="472"/>
      <c r="F867" s="472"/>
      <c r="G867" s="472"/>
      <c r="H867" s="472"/>
      <c r="I867" s="472"/>
      <c r="J867" s="472"/>
      <c r="K867" s="471"/>
      <c r="L867" s="472"/>
      <c r="M867" s="472"/>
      <c r="N867" s="472"/>
      <c r="O867" s="472"/>
      <c r="P867" s="472"/>
      <c r="Q867" s="472"/>
      <c r="R867" s="472"/>
      <c r="S867" s="472"/>
      <c r="T867" s="472"/>
      <c r="U867" s="472"/>
      <c r="V867" s="472"/>
      <c r="W867" s="472"/>
      <c r="X867" s="472"/>
      <c r="Y867" s="472"/>
      <c r="Z867" s="472"/>
    </row>
    <row r="868" spans="1:26" ht="14.25" customHeight="1">
      <c r="A868" s="472"/>
      <c r="B868" s="472"/>
      <c r="C868" s="472"/>
      <c r="D868" s="472"/>
      <c r="E868" s="472"/>
      <c r="F868" s="472"/>
      <c r="G868" s="472"/>
      <c r="H868" s="472"/>
      <c r="I868" s="472"/>
      <c r="J868" s="472"/>
      <c r="K868" s="471"/>
      <c r="L868" s="472"/>
      <c r="M868" s="472"/>
      <c r="N868" s="472"/>
      <c r="O868" s="472"/>
      <c r="P868" s="472"/>
      <c r="Q868" s="472"/>
      <c r="R868" s="472"/>
      <c r="S868" s="472"/>
      <c r="T868" s="472"/>
      <c r="U868" s="472"/>
      <c r="V868" s="472"/>
      <c r="W868" s="472"/>
      <c r="X868" s="472"/>
      <c r="Y868" s="472"/>
      <c r="Z868" s="472"/>
    </row>
    <row r="869" spans="1:26" ht="14.25" customHeight="1">
      <c r="A869" s="472"/>
      <c r="B869" s="472"/>
      <c r="C869" s="472"/>
      <c r="D869" s="472"/>
      <c r="E869" s="472"/>
      <c r="F869" s="472"/>
      <c r="G869" s="472"/>
      <c r="H869" s="472"/>
      <c r="I869" s="472"/>
      <c r="J869" s="472"/>
      <c r="K869" s="471"/>
      <c r="L869" s="472"/>
      <c r="M869" s="472"/>
      <c r="N869" s="472"/>
      <c r="O869" s="472"/>
      <c r="P869" s="472"/>
      <c r="Q869" s="472"/>
      <c r="R869" s="472"/>
      <c r="S869" s="472"/>
      <c r="T869" s="472"/>
      <c r="U869" s="472"/>
      <c r="V869" s="472"/>
      <c r="W869" s="472"/>
      <c r="X869" s="472"/>
      <c r="Y869" s="472"/>
      <c r="Z869" s="472"/>
    </row>
    <row r="870" spans="1:26" ht="14.25" customHeight="1">
      <c r="A870" s="472"/>
      <c r="B870" s="472"/>
      <c r="C870" s="472"/>
      <c r="D870" s="472"/>
      <c r="E870" s="472"/>
      <c r="F870" s="472"/>
      <c r="G870" s="472"/>
      <c r="H870" s="472"/>
      <c r="I870" s="472"/>
      <c r="J870" s="472"/>
      <c r="K870" s="471"/>
      <c r="L870" s="472"/>
      <c r="M870" s="472"/>
      <c r="N870" s="472"/>
      <c r="O870" s="472"/>
      <c r="P870" s="472"/>
      <c r="Q870" s="472"/>
      <c r="R870" s="472"/>
      <c r="S870" s="472"/>
      <c r="T870" s="472"/>
      <c r="U870" s="472"/>
      <c r="V870" s="472"/>
      <c r="W870" s="472"/>
      <c r="X870" s="472"/>
      <c r="Y870" s="472"/>
      <c r="Z870" s="472"/>
    </row>
    <row r="871" spans="1:26" ht="14.25" customHeight="1">
      <c r="A871" s="472"/>
      <c r="B871" s="472"/>
      <c r="C871" s="472"/>
      <c r="D871" s="472"/>
      <c r="E871" s="472"/>
      <c r="F871" s="472"/>
      <c r="G871" s="472"/>
      <c r="H871" s="472"/>
      <c r="I871" s="472"/>
      <c r="J871" s="472"/>
      <c r="K871" s="471"/>
      <c r="L871" s="472"/>
      <c r="M871" s="472"/>
      <c r="N871" s="472"/>
      <c r="O871" s="472"/>
      <c r="P871" s="472"/>
      <c r="Q871" s="472"/>
      <c r="R871" s="472"/>
      <c r="S871" s="472"/>
      <c r="T871" s="472"/>
      <c r="U871" s="472"/>
      <c r="V871" s="472"/>
      <c r="W871" s="472"/>
      <c r="X871" s="472"/>
      <c r="Y871" s="472"/>
      <c r="Z871" s="472"/>
    </row>
    <row r="872" spans="1:26" ht="14.25" customHeight="1">
      <c r="A872" s="472"/>
      <c r="B872" s="472"/>
      <c r="C872" s="472"/>
      <c r="D872" s="472"/>
      <c r="E872" s="472"/>
      <c r="F872" s="472"/>
      <c r="G872" s="472"/>
      <c r="H872" s="472"/>
      <c r="I872" s="472"/>
      <c r="J872" s="472"/>
      <c r="K872" s="471"/>
      <c r="L872" s="472"/>
      <c r="M872" s="472"/>
      <c r="N872" s="472"/>
      <c r="O872" s="472"/>
      <c r="P872" s="472"/>
      <c r="Q872" s="472"/>
      <c r="R872" s="472"/>
      <c r="S872" s="472"/>
      <c r="T872" s="472"/>
      <c r="U872" s="472"/>
      <c r="V872" s="472"/>
      <c r="W872" s="472"/>
      <c r="X872" s="472"/>
      <c r="Y872" s="472"/>
      <c r="Z872" s="472"/>
    </row>
    <row r="873" spans="1:26" ht="14.25" customHeight="1">
      <c r="A873" s="472"/>
      <c r="B873" s="472"/>
      <c r="C873" s="472"/>
      <c r="D873" s="472"/>
      <c r="E873" s="472"/>
      <c r="F873" s="472"/>
      <c r="G873" s="472"/>
      <c r="H873" s="472"/>
      <c r="I873" s="472"/>
      <c r="J873" s="472"/>
      <c r="K873" s="471"/>
      <c r="L873" s="472"/>
      <c r="M873" s="472"/>
      <c r="N873" s="472"/>
      <c r="O873" s="472"/>
      <c r="P873" s="472"/>
      <c r="Q873" s="472"/>
      <c r="R873" s="472"/>
      <c r="S873" s="472"/>
      <c r="T873" s="472"/>
      <c r="U873" s="472"/>
      <c r="V873" s="472"/>
      <c r="W873" s="472"/>
      <c r="X873" s="472"/>
      <c r="Y873" s="472"/>
      <c r="Z873" s="472"/>
    </row>
    <row r="874" spans="1:26" ht="14.25" customHeight="1">
      <c r="A874" s="472"/>
      <c r="B874" s="472"/>
      <c r="C874" s="472"/>
      <c r="D874" s="472"/>
      <c r="E874" s="472"/>
      <c r="F874" s="472"/>
      <c r="G874" s="472"/>
      <c r="H874" s="472"/>
      <c r="I874" s="472"/>
      <c r="J874" s="472"/>
      <c r="K874" s="471"/>
      <c r="L874" s="472"/>
      <c r="M874" s="472"/>
      <c r="N874" s="472"/>
      <c r="O874" s="472"/>
      <c r="P874" s="472"/>
      <c r="Q874" s="472"/>
      <c r="R874" s="472"/>
      <c r="S874" s="472"/>
      <c r="T874" s="472"/>
      <c r="U874" s="472"/>
      <c r="V874" s="472"/>
      <c r="W874" s="472"/>
      <c r="X874" s="472"/>
      <c r="Y874" s="472"/>
      <c r="Z874" s="472"/>
    </row>
    <row r="875" spans="1:26" ht="14.25" customHeight="1">
      <c r="A875" s="472"/>
      <c r="B875" s="472"/>
      <c r="C875" s="472"/>
      <c r="D875" s="472"/>
      <c r="E875" s="472"/>
      <c r="F875" s="472"/>
      <c r="G875" s="472"/>
      <c r="H875" s="472"/>
      <c r="I875" s="472"/>
      <c r="J875" s="472"/>
      <c r="K875" s="471"/>
      <c r="L875" s="472"/>
      <c r="M875" s="472"/>
      <c r="N875" s="472"/>
      <c r="O875" s="472"/>
      <c r="P875" s="472"/>
      <c r="Q875" s="472"/>
      <c r="R875" s="472"/>
      <c r="S875" s="472"/>
      <c r="T875" s="472"/>
      <c r="U875" s="472"/>
      <c r="V875" s="472"/>
      <c r="W875" s="472"/>
      <c r="X875" s="472"/>
      <c r="Y875" s="472"/>
      <c r="Z875" s="472"/>
    </row>
    <row r="876" spans="1:26" ht="14.25" customHeight="1">
      <c r="A876" s="472"/>
      <c r="B876" s="472"/>
      <c r="C876" s="472"/>
      <c r="D876" s="472"/>
      <c r="E876" s="472"/>
      <c r="F876" s="472"/>
      <c r="G876" s="472"/>
      <c r="H876" s="472"/>
      <c r="I876" s="472"/>
      <c r="J876" s="472"/>
      <c r="K876" s="471"/>
      <c r="L876" s="472"/>
      <c r="M876" s="472"/>
      <c r="N876" s="472"/>
      <c r="O876" s="472"/>
      <c r="P876" s="472"/>
      <c r="Q876" s="472"/>
      <c r="R876" s="472"/>
      <c r="S876" s="472"/>
      <c r="T876" s="472"/>
      <c r="U876" s="472"/>
      <c r="V876" s="472"/>
      <c r="W876" s="472"/>
      <c r="X876" s="472"/>
      <c r="Y876" s="472"/>
      <c r="Z876" s="472"/>
    </row>
    <row r="877" spans="1:26" ht="14.25" customHeight="1">
      <c r="A877" s="472"/>
      <c r="B877" s="472"/>
      <c r="C877" s="472"/>
      <c r="D877" s="472"/>
      <c r="E877" s="472"/>
      <c r="F877" s="472"/>
      <c r="G877" s="472"/>
      <c r="H877" s="472"/>
      <c r="I877" s="472"/>
      <c r="J877" s="472"/>
      <c r="K877" s="471"/>
      <c r="L877" s="472"/>
      <c r="M877" s="472"/>
      <c r="N877" s="472"/>
      <c r="O877" s="472"/>
      <c r="P877" s="472"/>
      <c r="Q877" s="472"/>
      <c r="R877" s="472"/>
      <c r="S877" s="472"/>
      <c r="T877" s="472"/>
      <c r="U877" s="472"/>
      <c r="V877" s="472"/>
      <c r="W877" s="472"/>
      <c r="X877" s="472"/>
      <c r="Y877" s="472"/>
      <c r="Z877" s="472"/>
    </row>
    <row r="878" spans="1:26" ht="14.25" customHeight="1">
      <c r="A878" s="472"/>
      <c r="B878" s="472"/>
      <c r="C878" s="472"/>
      <c r="D878" s="472"/>
      <c r="E878" s="472"/>
      <c r="F878" s="472"/>
      <c r="G878" s="472"/>
      <c r="H878" s="472"/>
      <c r="I878" s="472"/>
      <c r="J878" s="472"/>
      <c r="K878" s="471"/>
      <c r="L878" s="472"/>
      <c r="M878" s="472"/>
      <c r="N878" s="472"/>
      <c r="O878" s="472"/>
      <c r="P878" s="472"/>
      <c r="Q878" s="472"/>
      <c r="R878" s="472"/>
      <c r="S878" s="472"/>
      <c r="T878" s="472"/>
      <c r="U878" s="472"/>
      <c r="V878" s="472"/>
      <c r="W878" s="472"/>
      <c r="X878" s="472"/>
      <c r="Y878" s="472"/>
      <c r="Z878" s="472"/>
    </row>
    <row r="879" spans="1:26" ht="14.25" customHeight="1">
      <c r="A879" s="472"/>
      <c r="B879" s="472"/>
      <c r="C879" s="472"/>
      <c r="D879" s="472"/>
      <c r="E879" s="472"/>
      <c r="F879" s="472"/>
      <c r="G879" s="472"/>
      <c r="H879" s="472"/>
      <c r="I879" s="472"/>
      <c r="J879" s="472"/>
      <c r="K879" s="471"/>
      <c r="L879" s="472"/>
      <c r="M879" s="472"/>
      <c r="N879" s="472"/>
      <c r="O879" s="472"/>
      <c r="P879" s="472"/>
      <c r="Q879" s="472"/>
      <c r="R879" s="472"/>
      <c r="S879" s="472"/>
      <c r="T879" s="472"/>
      <c r="U879" s="472"/>
      <c r="V879" s="472"/>
      <c r="W879" s="472"/>
      <c r="X879" s="472"/>
      <c r="Y879" s="472"/>
      <c r="Z879" s="472"/>
    </row>
    <row r="880" spans="1:26" ht="14.25" customHeight="1">
      <c r="A880" s="472"/>
      <c r="B880" s="472"/>
      <c r="C880" s="472"/>
      <c r="D880" s="472"/>
      <c r="E880" s="472"/>
      <c r="F880" s="472"/>
      <c r="G880" s="472"/>
      <c r="H880" s="472"/>
      <c r="I880" s="472"/>
      <c r="J880" s="472"/>
      <c r="K880" s="471"/>
      <c r="L880" s="472"/>
      <c r="M880" s="472"/>
      <c r="N880" s="472"/>
      <c r="O880" s="472"/>
      <c r="P880" s="472"/>
      <c r="Q880" s="472"/>
      <c r="R880" s="472"/>
      <c r="S880" s="472"/>
      <c r="T880" s="472"/>
      <c r="U880" s="472"/>
      <c r="V880" s="472"/>
      <c r="W880" s="472"/>
      <c r="X880" s="472"/>
      <c r="Y880" s="472"/>
      <c r="Z880" s="472"/>
    </row>
    <row r="881" spans="1:26" ht="14.25" customHeight="1">
      <c r="A881" s="472"/>
      <c r="B881" s="472"/>
      <c r="C881" s="472"/>
      <c r="D881" s="472"/>
      <c r="E881" s="472"/>
      <c r="F881" s="472"/>
      <c r="G881" s="472"/>
      <c r="H881" s="472"/>
      <c r="I881" s="472"/>
      <c r="J881" s="472"/>
      <c r="K881" s="471"/>
      <c r="L881" s="472"/>
      <c r="M881" s="472"/>
      <c r="N881" s="472"/>
      <c r="O881" s="472"/>
      <c r="P881" s="472"/>
      <c r="Q881" s="472"/>
      <c r="R881" s="472"/>
      <c r="S881" s="472"/>
      <c r="T881" s="472"/>
      <c r="U881" s="472"/>
      <c r="V881" s="472"/>
      <c r="W881" s="472"/>
      <c r="X881" s="472"/>
      <c r="Y881" s="472"/>
      <c r="Z881" s="472"/>
    </row>
    <row r="882" spans="1:26" ht="14.25" customHeight="1">
      <c r="A882" s="472"/>
      <c r="B882" s="472"/>
      <c r="C882" s="472"/>
      <c r="D882" s="472"/>
      <c r="E882" s="472"/>
      <c r="F882" s="472"/>
      <c r="G882" s="472"/>
      <c r="H882" s="472"/>
      <c r="I882" s="472"/>
      <c r="J882" s="472"/>
      <c r="K882" s="471"/>
      <c r="L882" s="472"/>
      <c r="M882" s="472"/>
      <c r="N882" s="472"/>
      <c r="O882" s="472"/>
      <c r="P882" s="472"/>
      <c r="Q882" s="472"/>
      <c r="R882" s="472"/>
      <c r="S882" s="472"/>
      <c r="T882" s="472"/>
      <c r="U882" s="472"/>
      <c r="V882" s="472"/>
      <c r="W882" s="472"/>
      <c r="X882" s="472"/>
      <c r="Y882" s="472"/>
      <c r="Z882" s="472"/>
    </row>
    <row r="883" spans="1:26" ht="14.25" customHeight="1">
      <c r="A883" s="472"/>
      <c r="B883" s="472"/>
      <c r="C883" s="472"/>
      <c r="D883" s="472"/>
      <c r="E883" s="472"/>
      <c r="F883" s="472"/>
      <c r="G883" s="472"/>
      <c r="H883" s="472"/>
      <c r="I883" s="472"/>
      <c r="J883" s="472"/>
      <c r="K883" s="471"/>
      <c r="L883" s="472"/>
      <c r="M883" s="472"/>
      <c r="N883" s="472"/>
      <c r="O883" s="472"/>
      <c r="P883" s="472"/>
      <c r="Q883" s="472"/>
      <c r="R883" s="472"/>
      <c r="S883" s="472"/>
      <c r="T883" s="472"/>
      <c r="U883" s="472"/>
      <c r="V883" s="472"/>
      <c r="W883" s="472"/>
      <c r="X883" s="472"/>
      <c r="Y883" s="472"/>
      <c r="Z883" s="472"/>
    </row>
    <row r="884" spans="1:26" ht="14.25" customHeight="1">
      <c r="A884" s="472"/>
      <c r="B884" s="472"/>
      <c r="C884" s="472"/>
      <c r="D884" s="472"/>
      <c r="E884" s="472"/>
      <c r="F884" s="472"/>
      <c r="G884" s="472"/>
      <c r="H884" s="472"/>
      <c r="I884" s="472"/>
      <c r="J884" s="472"/>
      <c r="K884" s="471"/>
      <c r="L884" s="472"/>
      <c r="M884" s="472"/>
      <c r="N884" s="472"/>
      <c r="O884" s="472"/>
      <c r="P884" s="472"/>
      <c r="Q884" s="472"/>
      <c r="R884" s="472"/>
      <c r="S884" s="472"/>
      <c r="T884" s="472"/>
      <c r="U884" s="472"/>
      <c r="V884" s="472"/>
      <c r="W884" s="472"/>
      <c r="X884" s="472"/>
      <c r="Y884" s="472"/>
      <c r="Z884" s="472"/>
    </row>
    <row r="885" spans="1:26" ht="14.25" customHeight="1">
      <c r="A885" s="472"/>
      <c r="B885" s="472"/>
      <c r="C885" s="472"/>
      <c r="D885" s="472"/>
      <c r="E885" s="472"/>
      <c r="F885" s="472"/>
      <c r="G885" s="472"/>
      <c r="H885" s="472"/>
      <c r="I885" s="472"/>
      <c r="J885" s="472"/>
      <c r="K885" s="471"/>
      <c r="L885" s="472"/>
      <c r="M885" s="472"/>
      <c r="N885" s="472"/>
      <c r="O885" s="472"/>
      <c r="P885" s="472"/>
      <c r="Q885" s="472"/>
      <c r="R885" s="472"/>
      <c r="S885" s="472"/>
      <c r="T885" s="472"/>
      <c r="U885" s="472"/>
      <c r="V885" s="472"/>
      <c r="W885" s="472"/>
      <c r="X885" s="472"/>
      <c r="Y885" s="472"/>
      <c r="Z885" s="472"/>
    </row>
    <row r="886" spans="1:26" ht="14.25" customHeight="1">
      <c r="A886" s="472"/>
      <c r="B886" s="472"/>
      <c r="C886" s="472"/>
      <c r="D886" s="472"/>
      <c r="E886" s="472"/>
      <c r="F886" s="472"/>
      <c r="G886" s="472"/>
      <c r="H886" s="472"/>
      <c r="I886" s="472"/>
      <c r="J886" s="472"/>
      <c r="K886" s="471"/>
      <c r="L886" s="472"/>
      <c r="M886" s="472"/>
      <c r="N886" s="472"/>
      <c r="O886" s="472"/>
      <c r="P886" s="472"/>
      <c r="Q886" s="472"/>
      <c r="R886" s="472"/>
      <c r="S886" s="472"/>
      <c r="T886" s="472"/>
      <c r="U886" s="472"/>
      <c r="V886" s="472"/>
      <c r="W886" s="472"/>
      <c r="X886" s="472"/>
      <c r="Y886" s="472"/>
      <c r="Z886" s="472"/>
    </row>
    <row r="887" spans="1:26" ht="14.25" customHeight="1">
      <c r="A887" s="472"/>
      <c r="B887" s="472"/>
      <c r="C887" s="472"/>
      <c r="D887" s="472"/>
      <c r="E887" s="472"/>
      <c r="F887" s="472"/>
      <c r="G887" s="472"/>
      <c r="H887" s="472"/>
      <c r="I887" s="472"/>
      <c r="J887" s="472"/>
      <c r="K887" s="471"/>
      <c r="L887" s="472"/>
      <c r="M887" s="472"/>
      <c r="N887" s="472"/>
      <c r="O887" s="472"/>
      <c r="P887" s="472"/>
      <c r="Q887" s="472"/>
      <c r="R887" s="472"/>
      <c r="S887" s="472"/>
      <c r="T887" s="472"/>
      <c r="U887" s="472"/>
      <c r="V887" s="472"/>
      <c r="W887" s="472"/>
      <c r="X887" s="472"/>
      <c r="Y887" s="472"/>
      <c r="Z887" s="472"/>
    </row>
    <row r="888" spans="1:26" ht="14.25" customHeight="1">
      <c r="A888" s="472"/>
      <c r="B888" s="472"/>
      <c r="C888" s="472"/>
      <c r="D888" s="472"/>
      <c r="E888" s="472"/>
      <c r="F888" s="472"/>
      <c r="G888" s="472"/>
      <c r="H888" s="472"/>
      <c r="I888" s="472"/>
      <c r="J888" s="472"/>
      <c r="K888" s="471"/>
      <c r="L888" s="472"/>
      <c r="M888" s="472"/>
      <c r="N888" s="472"/>
      <c r="O888" s="472"/>
      <c r="P888" s="472"/>
      <c r="Q888" s="472"/>
      <c r="R888" s="472"/>
      <c r="S888" s="472"/>
      <c r="T888" s="472"/>
      <c r="U888" s="472"/>
      <c r="V888" s="472"/>
      <c r="W888" s="472"/>
      <c r="X888" s="472"/>
      <c r="Y888" s="472"/>
      <c r="Z888" s="472"/>
    </row>
    <row r="889" spans="1:26" ht="14.25" customHeight="1">
      <c r="A889" s="472"/>
      <c r="B889" s="472"/>
      <c r="C889" s="472"/>
      <c r="D889" s="472"/>
      <c r="E889" s="472"/>
      <c r="F889" s="472"/>
      <c r="G889" s="472"/>
      <c r="H889" s="472"/>
      <c r="I889" s="472"/>
      <c r="J889" s="472"/>
      <c r="K889" s="471"/>
      <c r="L889" s="472"/>
      <c r="M889" s="472"/>
      <c r="N889" s="472"/>
      <c r="O889" s="472"/>
      <c r="P889" s="472"/>
      <c r="Q889" s="472"/>
      <c r="R889" s="472"/>
      <c r="S889" s="472"/>
      <c r="T889" s="472"/>
      <c r="U889" s="472"/>
      <c r="V889" s="472"/>
      <c r="W889" s="472"/>
      <c r="X889" s="472"/>
      <c r="Y889" s="472"/>
      <c r="Z889" s="472"/>
    </row>
    <row r="890" spans="1:26" ht="14.25" customHeight="1">
      <c r="A890" s="472"/>
      <c r="B890" s="472"/>
      <c r="C890" s="472"/>
      <c r="D890" s="472"/>
      <c r="E890" s="472"/>
      <c r="F890" s="472"/>
      <c r="G890" s="472"/>
      <c r="H890" s="472"/>
      <c r="I890" s="472"/>
      <c r="J890" s="472"/>
      <c r="K890" s="471"/>
      <c r="L890" s="472"/>
      <c r="M890" s="472"/>
      <c r="N890" s="472"/>
      <c r="O890" s="472"/>
      <c r="P890" s="472"/>
      <c r="Q890" s="472"/>
      <c r="R890" s="472"/>
      <c r="S890" s="472"/>
      <c r="T890" s="472"/>
      <c r="U890" s="472"/>
      <c r="V890" s="472"/>
      <c r="W890" s="472"/>
      <c r="X890" s="472"/>
      <c r="Y890" s="472"/>
      <c r="Z890" s="472"/>
    </row>
    <row r="891" spans="1:26" ht="14.25" customHeight="1">
      <c r="A891" s="472"/>
      <c r="B891" s="472"/>
      <c r="C891" s="472"/>
      <c r="D891" s="472"/>
      <c r="E891" s="472"/>
      <c r="F891" s="472"/>
      <c r="G891" s="472"/>
      <c r="H891" s="472"/>
      <c r="I891" s="472"/>
      <c r="J891" s="472"/>
      <c r="K891" s="471"/>
      <c r="L891" s="472"/>
      <c r="M891" s="472"/>
      <c r="N891" s="472"/>
      <c r="O891" s="472"/>
      <c r="P891" s="472"/>
      <c r="Q891" s="472"/>
      <c r="R891" s="472"/>
      <c r="S891" s="472"/>
      <c r="T891" s="472"/>
      <c r="U891" s="472"/>
      <c r="V891" s="472"/>
      <c r="W891" s="472"/>
      <c r="X891" s="472"/>
      <c r="Y891" s="472"/>
      <c r="Z891" s="472"/>
    </row>
    <row r="892" spans="1:26" ht="14.25" customHeight="1">
      <c r="A892" s="472"/>
      <c r="B892" s="472"/>
      <c r="C892" s="472"/>
      <c r="D892" s="472"/>
      <c r="E892" s="472"/>
      <c r="F892" s="472"/>
      <c r="G892" s="472"/>
      <c r="H892" s="472"/>
      <c r="I892" s="472"/>
      <c r="J892" s="472"/>
      <c r="K892" s="471"/>
      <c r="L892" s="472"/>
      <c r="M892" s="472"/>
      <c r="N892" s="472"/>
      <c r="O892" s="472"/>
      <c r="P892" s="472"/>
      <c r="Q892" s="472"/>
      <c r="R892" s="472"/>
      <c r="S892" s="472"/>
      <c r="T892" s="472"/>
      <c r="U892" s="472"/>
      <c r="V892" s="472"/>
      <c r="W892" s="472"/>
      <c r="X892" s="472"/>
      <c r="Y892" s="472"/>
      <c r="Z892" s="472"/>
    </row>
    <row r="893" spans="1:26" ht="14.25" customHeight="1">
      <c r="A893" s="472"/>
      <c r="B893" s="472"/>
      <c r="C893" s="472"/>
      <c r="D893" s="472"/>
      <c r="E893" s="472"/>
      <c r="F893" s="472"/>
      <c r="G893" s="472"/>
      <c r="H893" s="472"/>
      <c r="I893" s="472"/>
      <c r="J893" s="472"/>
      <c r="K893" s="471"/>
      <c r="L893" s="472"/>
      <c r="M893" s="472"/>
      <c r="N893" s="472"/>
      <c r="O893" s="472"/>
      <c r="P893" s="472"/>
      <c r="Q893" s="472"/>
      <c r="R893" s="472"/>
      <c r="S893" s="472"/>
      <c r="T893" s="472"/>
      <c r="U893" s="472"/>
      <c r="V893" s="472"/>
      <c r="W893" s="472"/>
      <c r="X893" s="472"/>
      <c r="Y893" s="472"/>
      <c r="Z893" s="472"/>
    </row>
    <row r="894" spans="1:26" ht="14.25" customHeight="1">
      <c r="A894" s="472"/>
      <c r="B894" s="472"/>
      <c r="C894" s="472"/>
      <c r="D894" s="472"/>
      <c r="E894" s="472"/>
      <c r="F894" s="472"/>
      <c r="G894" s="472"/>
      <c r="H894" s="472"/>
      <c r="I894" s="472"/>
      <c r="J894" s="472"/>
      <c r="K894" s="471"/>
      <c r="L894" s="472"/>
      <c r="M894" s="472"/>
      <c r="N894" s="472"/>
      <c r="O894" s="472"/>
      <c r="P894" s="472"/>
      <c r="Q894" s="472"/>
      <c r="R894" s="472"/>
      <c r="S894" s="472"/>
      <c r="T894" s="472"/>
      <c r="U894" s="472"/>
      <c r="V894" s="472"/>
      <c r="W894" s="472"/>
      <c r="X894" s="472"/>
      <c r="Y894" s="472"/>
      <c r="Z894" s="472"/>
    </row>
    <row r="895" spans="1:26" ht="14.25" customHeight="1">
      <c r="A895" s="472"/>
      <c r="B895" s="472"/>
      <c r="C895" s="472"/>
      <c r="D895" s="472"/>
      <c r="E895" s="472"/>
      <c r="F895" s="472"/>
      <c r="G895" s="472"/>
      <c r="H895" s="472"/>
      <c r="I895" s="472"/>
      <c r="J895" s="472"/>
      <c r="K895" s="471"/>
      <c r="L895" s="472"/>
      <c r="M895" s="472"/>
      <c r="N895" s="472"/>
      <c r="O895" s="472"/>
      <c r="P895" s="472"/>
      <c r="Q895" s="472"/>
      <c r="R895" s="472"/>
      <c r="S895" s="472"/>
      <c r="T895" s="472"/>
      <c r="U895" s="472"/>
      <c r="V895" s="472"/>
      <c r="W895" s="472"/>
      <c r="X895" s="472"/>
      <c r="Y895" s="472"/>
      <c r="Z895" s="472"/>
    </row>
    <row r="896" spans="1:26" ht="14.25" customHeight="1">
      <c r="A896" s="472"/>
      <c r="B896" s="472"/>
      <c r="C896" s="472"/>
      <c r="D896" s="472"/>
      <c r="E896" s="472"/>
      <c r="F896" s="472"/>
      <c r="G896" s="472"/>
      <c r="H896" s="472"/>
      <c r="I896" s="472"/>
      <c r="J896" s="472"/>
      <c r="K896" s="471"/>
      <c r="L896" s="472"/>
      <c r="M896" s="472"/>
      <c r="N896" s="472"/>
      <c r="O896" s="472"/>
      <c r="P896" s="472"/>
      <c r="Q896" s="472"/>
      <c r="R896" s="472"/>
      <c r="S896" s="472"/>
      <c r="T896" s="472"/>
      <c r="U896" s="472"/>
      <c r="V896" s="472"/>
      <c r="W896" s="472"/>
      <c r="X896" s="472"/>
      <c r="Y896" s="472"/>
      <c r="Z896" s="472"/>
    </row>
    <row r="897" spans="1:26" ht="14.25" customHeight="1">
      <c r="A897" s="472"/>
      <c r="B897" s="472"/>
      <c r="C897" s="472"/>
      <c r="D897" s="472"/>
      <c r="E897" s="472"/>
      <c r="F897" s="472"/>
      <c r="G897" s="472"/>
      <c r="H897" s="472"/>
      <c r="I897" s="472"/>
      <c r="J897" s="472"/>
      <c r="K897" s="471"/>
      <c r="L897" s="472"/>
      <c r="M897" s="472"/>
      <c r="N897" s="472"/>
      <c r="O897" s="472"/>
      <c r="P897" s="472"/>
      <c r="Q897" s="472"/>
      <c r="R897" s="472"/>
      <c r="S897" s="472"/>
      <c r="T897" s="472"/>
      <c r="U897" s="472"/>
      <c r="V897" s="472"/>
      <c r="W897" s="472"/>
      <c r="X897" s="472"/>
      <c r="Y897" s="472"/>
      <c r="Z897" s="472"/>
    </row>
    <row r="898" spans="1:26" ht="14.25" customHeight="1">
      <c r="A898" s="472"/>
      <c r="B898" s="472"/>
      <c r="C898" s="472"/>
      <c r="D898" s="472"/>
      <c r="E898" s="472"/>
      <c r="F898" s="472"/>
      <c r="G898" s="472"/>
      <c r="H898" s="472"/>
      <c r="I898" s="472"/>
      <c r="J898" s="472"/>
      <c r="K898" s="471"/>
      <c r="L898" s="472"/>
      <c r="M898" s="472"/>
      <c r="N898" s="472"/>
      <c r="O898" s="472"/>
      <c r="P898" s="472"/>
      <c r="Q898" s="472"/>
      <c r="R898" s="472"/>
      <c r="S898" s="472"/>
      <c r="T898" s="472"/>
      <c r="U898" s="472"/>
      <c r="V898" s="472"/>
      <c r="W898" s="472"/>
      <c r="X898" s="472"/>
      <c r="Y898" s="472"/>
      <c r="Z898" s="472"/>
    </row>
    <row r="899" spans="1:26" ht="14.25" customHeight="1">
      <c r="A899" s="472"/>
      <c r="B899" s="472"/>
      <c r="C899" s="472"/>
      <c r="D899" s="472"/>
      <c r="E899" s="472"/>
      <c r="F899" s="472"/>
      <c r="G899" s="472"/>
      <c r="H899" s="472"/>
      <c r="I899" s="472"/>
      <c r="J899" s="472"/>
      <c r="K899" s="471"/>
      <c r="L899" s="472"/>
      <c r="M899" s="472"/>
      <c r="N899" s="472"/>
      <c r="O899" s="472"/>
      <c r="P899" s="472"/>
      <c r="Q899" s="472"/>
      <c r="R899" s="472"/>
      <c r="S899" s="472"/>
      <c r="T899" s="472"/>
      <c r="U899" s="472"/>
      <c r="V899" s="472"/>
      <c r="W899" s="472"/>
      <c r="X899" s="472"/>
      <c r="Y899" s="472"/>
      <c r="Z899" s="472"/>
    </row>
    <row r="900" spans="1:26" ht="14.25" customHeight="1">
      <c r="A900" s="472"/>
      <c r="B900" s="472"/>
      <c r="C900" s="472"/>
      <c r="D900" s="472"/>
      <c r="E900" s="472"/>
      <c r="F900" s="472"/>
      <c r="G900" s="472"/>
      <c r="H900" s="472"/>
      <c r="I900" s="472"/>
      <c r="J900" s="472"/>
      <c r="K900" s="471"/>
      <c r="L900" s="472"/>
      <c r="M900" s="472"/>
      <c r="N900" s="472"/>
      <c r="O900" s="472"/>
      <c r="P900" s="472"/>
      <c r="Q900" s="472"/>
      <c r="R900" s="472"/>
      <c r="S900" s="472"/>
      <c r="T900" s="472"/>
      <c r="U900" s="472"/>
      <c r="V900" s="472"/>
      <c r="W900" s="472"/>
      <c r="X900" s="472"/>
      <c r="Y900" s="472"/>
      <c r="Z900" s="472"/>
    </row>
    <row r="901" spans="1:26" ht="14.25" customHeight="1">
      <c r="A901" s="472"/>
      <c r="B901" s="472"/>
      <c r="C901" s="472"/>
      <c r="D901" s="472"/>
      <c r="E901" s="472"/>
      <c r="F901" s="472"/>
      <c r="G901" s="472"/>
      <c r="H901" s="472"/>
      <c r="I901" s="472"/>
      <c r="J901" s="472"/>
      <c r="K901" s="471"/>
      <c r="L901" s="472"/>
      <c r="M901" s="472"/>
      <c r="N901" s="472"/>
      <c r="O901" s="472"/>
      <c r="P901" s="472"/>
      <c r="Q901" s="472"/>
      <c r="R901" s="472"/>
      <c r="S901" s="472"/>
      <c r="T901" s="472"/>
      <c r="U901" s="472"/>
      <c r="V901" s="472"/>
      <c r="W901" s="472"/>
      <c r="X901" s="472"/>
      <c r="Y901" s="472"/>
      <c r="Z901" s="472"/>
    </row>
    <row r="902" spans="1:26" ht="14.25" customHeight="1">
      <c r="A902" s="472"/>
      <c r="B902" s="472"/>
      <c r="C902" s="472"/>
      <c r="D902" s="472"/>
      <c r="E902" s="472"/>
      <c r="F902" s="472"/>
      <c r="G902" s="472"/>
      <c r="H902" s="472"/>
      <c r="I902" s="472"/>
      <c r="J902" s="472"/>
      <c r="K902" s="471"/>
      <c r="L902" s="472"/>
      <c r="M902" s="472"/>
      <c r="N902" s="472"/>
      <c r="O902" s="472"/>
      <c r="P902" s="472"/>
      <c r="Q902" s="472"/>
      <c r="R902" s="472"/>
      <c r="S902" s="472"/>
      <c r="T902" s="472"/>
      <c r="U902" s="472"/>
      <c r="V902" s="472"/>
      <c r="W902" s="472"/>
      <c r="X902" s="472"/>
      <c r="Y902" s="472"/>
      <c r="Z902" s="472"/>
    </row>
    <row r="903" spans="1:26" ht="14.25" customHeight="1">
      <c r="A903" s="472"/>
      <c r="B903" s="472"/>
      <c r="C903" s="472"/>
      <c r="D903" s="472"/>
      <c r="E903" s="472"/>
      <c r="F903" s="472"/>
      <c r="G903" s="472"/>
      <c r="H903" s="472"/>
      <c r="I903" s="472"/>
      <c r="J903" s="472"/>
      <c r="K903" s="471"/>
      <c r="L903" s="472"/>
      <c r="M903" s="472"/>
      <c r="N903" s="472"/>
      <c r="O903" s="472"/>
      <c r="P903" s="472"/>
      <c r="Q903" s="472"/>
      <c r="R903" s="472"/>
      <c r="S903" s="472"/>
      <c r="T903" s="472"/>
      <c r="U903" s="472"/>
      <c r="V903" s="472"/>
      <c r="W903" s="472"/>
      <c r="X903" s="472"/>
      <c r="Y903" s="472"/>
      <c r="Z903" s="472"/>
    </row>
    <row r="904" spans="1:26" ht="14.25" customHeight="1">
      <c r="A904" s="472"/>
      <c r="B904" s="472"/>
      <c r="C904" s="472"/>
      <c r="D904" s="472"/>
      <c r="E904" s="472"/>
      <c r="F904" s="472"/>
      <c r="G904" s="472"/>
      <c r="H904" s="472"/>
      <c r="I904" s="472"/>
      <c r="J904" s="472"/>
      <c r="K904" s="471"/>
      <c r="L904" s="472"/>
      <c r="M904" s="472"/>
      <c r="N904" s="472"/>
      <c r="O904" s="472"/>
      <c r="P904" s="472"/>
      <c r="Q904" s="472"/>
      <c r="R904" s="472"/>
      <c r="S904" s="472"/>
      <c r="T904" s="472"/>
      <c r="U904" s="472"/>
      <c r="V904" s="472"/>
      <c r="W904" s="472"/>
      <c r="X904" s="472"/>
      <c r="Y904" s="472"/>
      <c r="Z904" s="472"/>
    </row>
    <row r="905" spans="1:26" ht="14.25" customHeight="1">
      <c r="A905" s="472"/>
      <c r="B905" s="472"/>
      <c r="C905" s="472"/>
      <c r="D905" s="472"/>
      <c r="E905" s="472"/>
      <c r="F905" s="472"/>
      <c r="G905" s="472"/>
      <c r="H905" s="472"/>
      <c r="I905" s="472"/>
      <c r="J905" s="472"/>
      <c r="K905" s="471"/>
      <c r="L905" s="472"/>
      <c r="M905" s="472"/>
      <c r="N905" s="472"/>
      <c r="O905" s="472"/>
      <c r="P905" s="472"/>
      <c r="Q905" s="472"/>
      <c r="R905" s="472"/>
      <c r="S905" s="472"/>
      <c r="T905" s="472"/>
      <c r="U905" s="472"/>
      <c r="V905" s="472"/>
      <c r="W905" s="472"/>
      <c r="X905" s="472"/>
      <c r="Y905" s="472"/>
      <c r="Z905" s="472"/>
    </row>
    <row r="906" spans="1:26" ht="14.25" customHeight="1">
      <c r="A906" s="472"/>
      <c r="B906" s="472"/>
      <c r="C906" s="472"/>
      <c r="D906" s="472"/>
      <c r="E906" s="472"/>
      <c r="F906" s="472"/>
      <c r="G906" s="472"/>
      <c r="H906" s="472"/>
      <c r="I906" s="472"/>
      <c r="J906" s="472"/>
      <c r="K906" s="471"/>
      <c r="L906" s="472"/>
      <c r="M906" s="472"/>
      <c r="N906" s="472"/>
      <c r="O906" s="472"/>
      <c r="P906" s="472"/>
      <c r="Q906" s="472"/>
      <c r="R906" s="472"/>
      <c r="S906" s="472"/>
      <c r="T906" s="472"/>
      <c r="U906" s="472"/>
      <c r="V906" s="472"/>
      <c r="W906" s="472"/>
      <c r="X906" s="472"/>
      <c r="Y906" s="472"/>
      <c r="Z906" s="472"/>
    </row>
    <row r="907" spans="1:26" ht="14.25" customHeight="1">
      <c r="A907" s="472"/>
      <c r="B907" s="472"/>
      <c r="C907" s="472"/>
      <c r="D907" s="472"/>
      <c r="E907" s="472"/>
      <c r="F907" s="472"/>
      <c r="G907" s="472"/>
      <c r="H907" s="472"/>
      <c r="I907" s="472"/>
      <c r="J907" s="472"/>
      <c r="K907" s="471"/>
      <c r="L907" s="472"/>
      <c r="M907" s="472"/>
      <c r="N907" s="472"/>
      <c r="O907" s="472"/>
      <c r="P907" s="472"/>
      <c r="Q907" s="472"/>
      <c r="R907" s="472"/>
      <c r="S907" s="472"/>
      <c r="T907" s="472"/>
      <c r="U907" s="472"/>
      <c r="V907" s="472"/>
      <c r="W907" s="472"/>
      <c r="X907" s="472"/>
      <c r="Y907" s="472"/>
      <c r="Z907" s="472"/>
    </row>
    <row r="908" spans="1:26" ht="14.25" customHeight="1">
      <c r="A908" s="472"/>
      <c r="B908" s="472"/>
      <c r="C908" s="472"/>
      <c r="D908" s="472"/>
      <c r="E908" s="472"/>
      <c r="F908" s="472"/>
      <c r="G908" s="472"/>
      <c r="H908" s="472"/>
      <c r="I908" s="472"/>
      <c r="J908" s="472"/>
      <c r="K908" s="471"/>
      <c r="L908" s="472"/>
      <c r="M908" s="472"/>
      <c r="N908" s="472"/>
      <c r="O908" s="472"/>
      <c r="P908" s="472"/>
      <c r="Q908" s="472"/>
      <c r="R908" s="472"/>
      <c r="S908" s="472"/>
      <c r="T908" s="472"/>
      <c r="U908" s="472"/>
      <c r="V908" s="472"/>
      <c r="W908" s="472"/>
      <c r="X908" s="472"/>
      <c r="Y908" s="472"/>
      <c r="Z908" s="472"/>
    </row>
    <row r="909" spans="1:26" ht="14.25" customHeight="1">
      <c r="A909" s="472"/>
      <c r="B909" s="472"/>
      <c r="C909" s="472"/>
      <c r="D909" s="472"/>
      <c r="E909" s="472"/>
      <c r="F909" s="472"/>
      <c r="G909" s="472"/>
      <c r="H909" s="472"/>
      <c r="I909" s="472"/>
      <c r="J909" s="472"/>
      <c r="K909" s="471"/>
      <c r="L909" s="472"/>
      <c r="M909" s="472"/>
      <c r="N909" s="472"/>
      <c r="O909" s="472"/>
      <c r="P909" s="472"/>
      <c r="Q909" s="472"/>
      <c r="R909" s="472"/>
      <c r="S909" s="472"/>
      <c r="T909" s="472"/>
      <c r="U909" s="472"/>
      <c r="V909" s="472"/>
      <c r="W909" s="472"/>
      <c r="X909" s="472"/>
      <c r="Y909" s="472"/>
      <c r="Z909" s="472"/>
    </row>
    <row r="910" spans="1:26" ht="14.25" customHeight="1">
      <c r="A910" s="472"/>
      <c r="B910" s="472"/>
      <c r="C910" s="472"/>
      <c r="D910" s="472"/>
      <c r="E910" s="472"/>
      <c r="F910" s="472"/>
      <c r="G910" s="472"/>
      <c r="H910" s="472"/>
      <c r="I910" s="472"/>
      <c r="J910" s="472"/>
      <c r="K910" s="471"/>
      <c r="L910" s="472"/>
      <c r="M910" s="472"/>
      <c r="N910" s="472"/>
      <c r="O910" s="472"/>
      <c r="P910" s="472"/>
      <c r="Q910" s="472"/>
      <c r="R910" s="472"/>
      <c r="S910" s="472"/>
      <c r="T910" s="472"/>
      <c r="U910" s="472"/>
      <c r="V910" s="472"/>
      <c r="W910" s="472"/>
      <c r="X910" s="472"/>
      <c r="Y910" s="472"/>
      <c r="Z910" s="472"/>
    </row>
    <row r="911" spans="1:26" ht="14.25" customHeight="1">
      <c r="A911" s="472"/>
      <c r="B911" s="472"/>
      <c r="C911" s="472"/>
      <c r="D911" s="472"/>
      <c r="E911" s="472"/>
      <c r="F911" s="472"/>
      <c r="G911" s="472"/>
      <c r="H911" s="472"/>
      <c r="I911" s="472"/>
      <c r="J911" s="472"/>
      <c r="K911" s="471"/>
      <c r="L911" s="472"/>
      <c r="M911" s="472"/>
      <c r="N911" s="472"/>
      <c r="O911" s="472"/>
      <c r="P911" s="472"/>
      <c r="Q911" s="472"/>
      <c r="R911" s="472"/>
      <c r="S911" s="472"/>
      <c r="T911" s="472"/>
      <c r="U911" s="472"/>
      <c r="V911" s="472"/>
      <c r="W911" s="472"/>
      <c r="X911" s="472"/>
      <c r="Y911" s="472"/>
      <c r="Z911" s="472"/>
    </row>
    <row r="912" spans="1:26" ht="14.25" customHeight="1">
      <c r="A912" s="472"/>
      <c r="B912" s="472"/>
      <c r="C912" s="472"/>
      <c r="D912" s="472"/>
      <c r="E912" s="472"/>
      <c r="F912" s="472"/>
      <c r="G912" s="472"/>
      <c r="H912" s="472"/>
      <c r="I912" s="472"/>
      <c r="J912" s="472"/>
      <c r="K912" s="471"/>
      <c r="L912" s="472"/>
      <c r="M912" s="472"/>
      <c r="N912" s="472"/>
      <c r="O912" s="472"/>
      <c r="P912" s="472"/>
      <c r="Q912" s="472"/>
      <c r="R912" s="472"/>
      <c r="S912" s="472"/>
      <c r="T912" s="472"/>
      <c r="U912" s="472"/>
      <c r="V912" s="472"/>
      <c r="W912" s="472"/>
      <c r="X912" s="472"/>
      <c r="Y912" s="472"/>
      <c r="Z912" s="472"/>
    </row>
    <row r="913" spans="1:26" ht="14.25" customHeight="1">
      <c r="A913" s="472"/>
      <c r="B913" s="472"/>
      <c r="C913" s="472"/>
      <c r="D913" s="472"/>
      <c r="E913" s="472"/>
      <c r="F913" s="472"/>
      <c r="G913" s="472"/>
      <c r="H913" s="472"/>
      <c r="I913" s="472"/>
      <c r="J913" s="472"/>
      <c r="K913" s="471"/>
      <c r="L913" s="472"/>
      <c r="M913" s="472"/>
      <c r="N913" s="472"/>
      <c r="O913" s="472"/>
      <c r="P913" s="472"/>
      <c r="Q913" s="472"/>
      <c r="R913" s="472"/>
      <c r="S913" s="472"/>
      <c r="T913" s="472"/>
      <c r="U913" s="472"/>
      <c r="V913" s="472"/>
      <c r="W913" s="472"/>
      <c r="X913" s="472"/>
      <c r="Y913" s="472"/>
      <c r="Z913" s="472"/>
    </row>
    <row r="914" spans="1:26" ht="14.25" customHeight="1">
      <c r="A914" s="472"/>
      <c r="B914" s="472"/>
      <c r="C914" s="472"/>
      <c r="D914" s="472"/>
      <c r="E914" s="472"/>
      <c r="F914" s="472"/>
      <c r="G914" s="472"/>
      <c r="H914" s="472"/>
      <c r="I914" s="472"/>
      <c r="J914" s="472"/>
      <c r="K914" s="471"/>
      <c r="L914" s="472"/>
      <c r="M914" s="472"/>
      <c r="N914" s="472"/>
      <c r="O914" s="472"/>
      <c r="P914" s="472"/>
      <c r="Q914" s="472"/>
      <c r="R914" s="472"/>
      <c r="S914" s="472"/>
      <c r="T914" s="472"/>
      <c r="U914" s="472"/>
      <c r="V914" s="472"/>
      <c r="W914" s="472"/>
      <c r="X914" s="472"/>
      <c r="Y914" s="472"/>
      <c r="Z914" s="472"/>
    </row>
    <row r="915" spans="1:26" ht="14.25" customHeight="1">
      <c r="A915" s="472"/>
      <c r="B915" s="472"/>
      <c r="C915" s="472"/>
      <c r="D915" s="472"/>
      <c r="E915" s="472"/>
      <c r="F915" s="472"/>
      <c r="G915" s="472"/>
      <c r="H915" s="472"/>
      <c r="I915" s="472"/>
      <c r="J915" s="472"/>
      <c r="K915" s="471"/>
      <c r="L915" s="472"/>
      <c r="M915" s="472"/>
      <c r="N915" s="472"/>
      <c r="O915" s="472"/>
      <c r="P915" s="472"/>
      <c r="Q915" s="472"/>
      <c r="R915" s="472"/>
      <c r="S915" s="472"/>
      <c r="T915" s="472"/>
      <c r="U915" s="472"/>
      <c r="V915" s="472"/>
      <c r="W915" s="472"/>
      <c r="X915" s="472"/>
      <c r="Y915" s="472"/>
      <c r="Z915" s="472"/>
    </row>
    <row r="916" spans="1:26" ht="14.25" customHeight="1">
      <c r="A916" s="472"/>
      <c r="B916" s="472"/>
      <c r="C916" s="472"/>
      <c r="D916" s="472"/>
      <c r="E916" s="472"/>
      <c r="F916" s="472"/>
      <c r="G916" s="472"/>
      <c r="H916" s="472"/>
      <c r="I916" s="472"/>
      <c r="J916" s="472"/>
      <c r="K916" s="471"/>
      <c r="L916" s="472"/>
      <c r="M916" s="472"/>
      <c r="N916" s="472"/>
      <c r="O916" s="472"/>
      <c r="P916" s="472"/>
      <c r="Q916" s="472"/>
      <c r="R916" s="472"/>
      <c r="S916" s="472"/>
      <c r="T916" s="472"/>
      <c r="U916" s="472"/>
      <c r="V916" s="472"/>
      <c r="W916" s="472"/>
      <c r="X916" s="472"/>
      <c r="Y916" s="472"/>
      <c r="Z916" s="472"/>
    </row>
    <row r="917" spans="1:26" ht="14.25" customHeight="1">
      <c r="A917" s="472"/>
      <c r="B917" s="472"/>
      <c r="C917" s="472"/>
      <c r="D917" s="472"/>
      <c r="E917" s="472"/>
      <c r="F917" s="472"/>
      <c r="G917" s="472"/>
      <c r="H917" s="472"/>
      <c r="I917" s="472"/>
      <c r="J917" s="472"/>
      <c r="K917" s="471"/>
      <c r="L917" s="472"/>
      <c r="M917" s="472"/>
      <c r="N917" s="472"/>
      <c r="O917" s="472"/>
      <c r="P917" s="472"/>
      <c r="Q917" s="472"/>
      <c r="R917" s="472"/>
      <c r="S917" s="472"/>
      <c r="T917" s="472"/>
      <c r="U917" s="472"/>
      <c r="V917" s="472"/>
      <c r="W917" s="472"/>
      <c r="X917" s="472"/>
      <c r="Y917" s="472"/>
      <c r="Z917" s="472"/>
    </row>
    <row r="918" spans="1:26" ht="14.25" customHeight="1">
      <c r="A918" s="472"/>
      <c r="B918" s="472"/>
      <c r="C918" s="472"/>
      <c r="D918" s="472"/>
      <c r="E918" s="472"/>
      <c r="F918" s="472"/>
      <c r="G918" s="472"/>
      <c r="H918" s="472"/>
      <c r="I918" s="472"/>
      <c r="J918" s="472"/>
      <c r="K918" s="471"/>
      <c r="L918" s="472"/>
      <c r="M918" s="472"/>
      <c r="N918" s="472"/>
      <c r="O918" s="472"/>
      <c r="P918" s="472"/>
      <c r="Q918" s="472"/>
      <c r="R918" s="472"/>
      <c r="S918" s="472"/>
      <c r="T918" s="472"/>
      <c r="U918" s="472"/>
      <c r="V918" s="472"/>
      <c r="W918" s="472"/>
      <c r="X918" s="472"/>
      <c r="Y918" s="472"/>
      <c r="Z918" s="472"/>
    </row>
    <row r="919" spans="1:26" ht="14.25" customHeight="1">
      <c r="A919" s="472"/>
      <c r="B919" s="472"/>
      <c r="C919" s="472"/>
      <c r="D919" s="472"/>
      <c r="E919" s="472"/>
      <c r="F919" s="472"/>
      <c r="G919" s="472"/>
      <c r="H919" s="472"/>
      <c r="I919" s="472"/>
      <c r="J919" s="472"/>
      <c r="K919" s="471"/>
      <c r="L919" s="472"/>
      <c r="M919" s="472"/>
      <c r="N919" s="472"/>
      <c r="O919" s="472"/>
      <c r="P919" s="472"/>
      <c r="Q919" s="472"/>
      <c r="R919" s="472"/>
      <c r="S919" s="472"/>
      <c r="T919" s="472"/>
      <c r="U919" s="472"/>
      <c r="V919" s="472"/>
      <c r="W919" s="472"/>
      <c r="X919" s="472"/>
      <c r="Y919" s="472"/>
      <c r="Z919" s="472"/>
    </row>
    <row r="920" spans="1:26" ht="14.25" customHeight="1">
      <c r="A920" s="472"/>
      <c r="B920" s="472"/>
      <c r="C920" s="472"/>
      <c r="D920" s="472"/>
      <c r="E920" s="472"/>
      <c r="F920" s="472"/>
      <c r="G920" s="472"/>
      <c r="H920" s="472"/>
      <c r="I920" s="472"/>
      <c r="J920" s="472"/>
      <c r="K920" s="471"/>
      <c r="L920" s="472"/>
      <c r="M920" s="472"/>
      <c r="N920" s="472"/>
      <c r="O920" s="472"/>
      <c r="P920" s="472"/>
      <c r="Q920" s="472"/>
      <c r="R920" s="472"/>
      <c r="S920" s="472"/>
      <c r="T920" s="472"/>
      <c r="U920" s="472"/>
      <c r="V920" s="472"/>
      <c r="W920" s="472"/>
      <c r="X920" s="472"/>
      <c r="Y920" s="472"/>
      <c r="Z920" s="472"/>
    </row>
    <row r="921" spans="1:26" ht="14.25" customHeight="1">
      <c r="A921" s="472"/>
      <c r="B921" s="472"/>
      <c r="C921" s="472"/>
      <c r="D921" s="472"/>
      <c r="E921" s="472"/>
      <c r="F921" s="472"/>
      <c r="G921" s="472"/>
      <c r="H921" s="472"/>
      <c r="I921" s="472"/>
      <c r="J921" s="472"/>
      <c r="K921" s="471"/>
      <c r="L921" s="472"/>
      <c r="M921" s="472"/>
      <c r="N921" s="472"/>
      <c r="O921" s="472"/>
      <c r="P921" s="472"/>
      <c r="Q921" s="472"/>
      <c r="R921" s="472"/>
      <c r="S921" s="472"/>
      <c r="T921" s="472"/>
      <c r="U921" s="472"/>
      <c r="V921" s="472"/>
      <c r="W921" s="472"/>
      <c r="X921" s="472"/>
      <c r="Y921" s="472"/>
      <c r="Z921" s="472"/>
    </row>
    <row r="922" spans="1:26" ht="14.25" customHeight="1">
      <c r="A922" s="472"/>
      <c r="B922" s="472"/>
      <c r="C922" s="472"/>
      <c r="D922" s="472"/>
      <c r="E922" s="472"/>
      <c r="F922" s="472"/>
      <c r="G922" s="472"/>
      <c r="H922" s="472"/>
      <c r="I922" s="472"/>
      <c r="J922" s="472"/>
      <c r="K922" s="471"/>
      <c r="L922" s="472"/>
      <c r="M922" s="472"/>
      <c r="N922" s="472"/>
      <c r="O922" s="472"/>
      <c r="P922" s="472"/>
      <c r="Q922" s="472"/>
      <c r="R922" s="472"/>
      <c r="S922" s="472"/>
      <c r="T922" s="472"/>
      <c r="U922" s="472"/>
      <c r="V922" s="472"/>
      <c r="W922" s="472"/>
      <c r="X922" s="472"/>
      <c r="Y922" s="472"/>
      <c r="Z922" s="472"/>
    </row>
    <row r="923" spans="1:26" ht="14.25" customHeight="1">
      <c r="A923" s="472"/>
      <c r="B923" s="472"/>
      <c r="C923" s="472"/>
      <c r="D923" s="472"/>
      <c r="E923" s="472"/>
      <c r="F923" s="472"/>
      <c r="G923" s="472"/>
      <c r="H923" s="472"/>
      <c r="I923" s="472"/>
      <c r="J923" s="472"/>
      <c r="K923" s="471"/>
      <c r="L923" s="472"/>
      <c r="M923" s="472"/>
      <c r="N923" s="472"/>
      <c r="O923" s="472"/>
      <c r="P923" s="472"/>
      <c r="Q923" s="472"/>
      <c r="R923" s="472"/>
      <c r="S923" s="472"/>
      <c r="T923" s="472"/>
      <c r="U923" s="472"/>
      <c r="V923" s="472"/>
      <c r="W923" s="472"/>
      <c r="X923" s="472"/>
      <c r="Y923" s="472"/>
      <c r="Z923" s="472"/>
    </row>
    <row r="924" spans="1:26" ht="14.25" customHeight="1">
      <c r="A924" s="472"/>
      <c r="B924" s="472"/>
      <c r="C924" s="472"/>
      <c r="D924" s="472"/>
      <c r="E924" s="472"/>
      <c r="F924" s="472"/>
      <c r="G924" s="472"/>
      <c r="H924" s="472"/>
      <c r="I924" s="472"/>
      <c r="J924" s="472"/>
      <c r="K924" s="471"/>
      <c r="L924" s="472"/>
      <c r="M924" s="472"/>
      <c r="N924" s="472"/>
      <c r="O924" s="472"/>
      <c r="P924" s="472"/>
      <c r="Q924" s="472"/>
      <c r="R924" s="472"/>
      <c r="S924" s="472"/>
      <c r="T924" s="472"/>
      <c r="U924" s="472"/>
      <c r="V924" s="472"/>
      <c r="W924" s="472"/>
      <c r="X924" s="472"/>
      <c r="Y924" s="472"/>
      <c r="Z924" s="472"/>
    </row>
    <row r="925" spans="1:26" ht="14.25" customHeight="1">
      <c r="A925" s="472"/>
      <c r="B925" s="472"/>
      <c r="C925" s="472"/>
      <c r="D925" s="472"/>
      <c r="E925" s="472"/>
      <c r="F925" s="472"/>
      <c r="G925" s="472"/>
      <c r="H925" s="472"/>
      <c r="I925" s="472"/>
      <c r="J925" s="472"/>
      <c r="K925" s="471"/>
      <c r="L925" s="472"/>
      <c r="M925" s="472"/>
      <c r="N925" s="472"/>
      <c r="O925" s="472"/>
      <c r="P925" s="472"/>
      <c r="Q925" s="472"/>
      <c r="R925" s="472"/>
      <c r="S925" s="472"/>
      <c r="T925" s="472"/>
      <c r="U925" s="472"/>
      <c r="V925" s="472"/>
      <c r="W925" s="472"/>
      <c r="X925" s="472"/>
      <c r="Y925" s="472"/>
      <c r="Z925" s="472"/>
    </row>
    <row r="926" spans="1:26" ht="14.25" customHeight="1">
      <c r="A926" s="472"/>
      <c r="B926" s="472"/>
      <c r="C926" s="472"/>
      <c r="D926" s="472"/>
      <c r="E926" s="472"/>
      <c r="F926" s="472"/>
      <c r="G926" s="472"/>
      <c r="H926" s="472"/>
      <c r="I926" s="472"/>
      <c r="J926" s="472"/>
      <c r="K926" s="471"/>
      <c r="L926" s="472"/>
      <c r="M926" s="472"/>
      <c r="N926" s="472"/>
      <c r="O926" s="472"/>
      <c r="P926" s="472"/>
      <c r="Q926" s="472"/>
      <c r="R926" s="472"/>
      <c r="S926" s="472"/>
      <c r="T926" s="472"/>
      <c r="U926" s="472"/>
      <c r="V926" s="472"/>
      <c r="W926" s="472"/>
      <c r="X926" s="472"/>
      <c r="Y926" s="472"/>
      <c r="Z926" s="472"/>
    </row>
    <row r="927" spans="1:26" ht="14.25" customHeight="1">
      <c r="A927" s="472"/>
      <c r="B927" s="472"/>
      <c r="C927" s="472"/>
      <c r="D927" s="472"/>
      <c r="E927" s="472"/>
      <c r="F927" s="472"/>
      <c r="G927" s="472"/>
      <c r="H927" s="472"/>
      <c r="I927" s="472"/>
      <c r="J927" s="472"/>
      <c r="K927" s="471"/>
      <c r="L927" s="472"/>
      <c r="M927" s="472"/>
      <c r="N927" s="472"/>
      <c r="O927" s="472"/>
      <c r="P927" s="472"/>
      <c r="Q927" s="472"/>
      <c r="R927" s="472"/>
      <c r="S927" s="472"/>
      <c r="T927" s="472"/>
      <c r="U927" s="472"/>
      <c r="V927" s="472"/>
      <c r="W927" s="472"/>
      <c r="X927" s="472"/>
      <c r="Y927" s="472"/>
      <c r="Z927" s="472"/>
    </row>
    <row r="928" spans="1:26" ht="14.25" customHeight="1">
      <c r="A928" s="472"/>
      <c r="B928" s="472"/>
      <c r="C928" s="472"/>
      <c r="D928" s="472"/>
      <c r="E928" s="472"/>
      <c r="F928" s="472"/>
      <c r="G928" s="472"/>
      <c r="H928" s="472"/>
      <c r="I928" s="472"/>
      <c r="J928" s="472"/>
      <c r="K928" s="471"/>
      <c r="L928" s="472"/>
      <c r="M928" s="472"/>
      <c r="N928" s="472"/>
      <c r="O928" s="472"/>
      <c r="P928" s="472"/>
      <c r="Q928" s="472"/>
      <c r="R928" s="472"/>
      <c r="S928" s="472"/>
      <c r="T928" s="472"/>
      <c r="U928" s="472"/>
      <c r="V928" s="472"/>
      <c r="W928" s="472"/>
      <c r="X928" s="472"/>
      <c r="Y928" s="472"/>
      <c r="Z928" s="472"/>
    </row>
    <row r="929" spans="1:26" ht="14.25" customHeight="1">
      <c r="A929" s="472"/>
      <c r="B929" s="472"/>
      <c r="C929" s="472"/>
      <c r="D929" s="472"/>
      <c r="E929" s="472"/>
      <c r="F929" s="472"/>
      <c r="G929" s="472"/>
      <c r="H929" s="472"/>
      <c r="I929" s="472"/>
      <c r="J929" s="472"/>
      <c r="K929" s="471"/>
      <c r="L929" s="472"/>
      <c r="M929" s="472"/>
      <c r="N929" s="472"/>
      <c r="O929" s="472"/>
      <c r="P929" s="472"/>
      <c r="Q929" s="472"/>
      <c r="R929" s="472"/>
      <c r="S929" s="472"/>
      <c r="T929" s="472"/>
      <c r="U929" s="472"/>
      <c r="V929" s="472"/>
      <c r="W929" s="472"/>
      <c r="X929" s="472"/>
      <c r="Y929" s="472"/>
      <c r="Z929" s="472"/>
    </row>
    <row r="930" spans="1:26" ht="14.25" customHeight="1">
      <c r="A930" s="472"/>
      <c r="B930" s="472"/>
      <c r="C930" s="472"/>
      <c r="D930" s="472"/>
      <c r="E930" s="472"/>
      <c r="F930" s="472"/>
      <c r="G930" s="472"/>
      <c r="H930" s="472"/>
      <c r="I930" s="472"/>
      <c r="J930" s="472"/>
      <c r="K930" s="471"/>
      <c r="L930" s="472"/>
      <c r="M930" s="472"/>
      <c r="N930" s="472"/>
      <c r="O930" s="472"/>
      <c r="P930" s="472"/>
      <c r="Q930" s="472"/>
      <c r="R930" s="472"/>
      <c r="S930" s="472"/>
      <c r="T930" s="472"/>
      <c r="U930" s="472"/>
      <c r="V930" s="472"/>
      <c r="W930" s="472"/>
      <c r="X930" s="472"/>
      <c r="Y930" s="472"/>
      <c r="Z930" s="472"/>
    </row>
    <row r="931" spans="1:26" ht="14.25" customHeight="1">
      <c r="A931" s="472"/>
      <c r="B931" s="472"/>
      <c r="C931" s="472"/>
      <c r="D931" s="472"/>
      <c r="E931" s="472"/>
      <c r="F931" s="472"/>
      <c r="G931" s="472"/>
      <c r="H931" s="472"/>
      <c r="I931" s="472"/>
      <c r="J931" s="472"/>
      <c r="K931" s="471"/>
      <c r="L931" s="472"/>
      <c r="M931" s="472"/>
      <c r="N931" s="472"/>
      <c r="O931" s="472"/>
      <c r="P931" s="472"/>
      <c r="Q931" s="472"/>
      <c r="R931" s="472"/>
      <c r="S931" s="472"/>
      <c r="T931" s="472"/>
      <c r="U931" s="472"/>
      <c r="V931" s="472"/>
      <c r="W931" s="472"/>
      <c r="X931" s="472"/>
      <c r="Y931" s="472"/>
      <c r="Z931" s="472"/>
    </row>
    <row r="932" spans="1:26" ht="14.25" customHeight="1">
      <c r="A932" s="472"/>
      <c r="B932" s="472"/>
      <c r="C932" s="472"/>
      <c r="D932" s="472"/>
      <c r="E932" s="472"/>
      <c r="F932" s="472"/>
      <c r="G932" s="472"/>
      <c r="H932" s="472"/>
      <c r="I932" s="472"/>
      <c r="J932" s="472"/>
      <c r="K932" s="471"/>
      <c r="L932" s="472"/>
      <c r="M932" s="472"/>
      <c r="N932" s="472"/>
      <c r="O932" s="472"/>
      <c r="P932" s="472"/>
      <c r="Q932" s="472"/>
      <c r="R932" s="472"/>
      <c r="S932" s="472"/>
      <c r="T932" s="472"/>
      <c r="U932" s="472"/>
      <c r="V932" s="472"/>
      <c r="W932" s="472"/>
      <c r="X932" s="472"/>
      <c r="Y932" s="472"/>
      <c r="Z932" s="472"/>
    </row>
    <row r="933" spans="1:26" ht="14.25" customHeight="1">
      <c r="A933" s="472"/>
      <c r="B933" s="472"/>
      <c r="C933" s="472"/>
      <c r="D933" s="472"/>
      <c r="E933" s="472"/>
      <c r="F933" s="472"/>
      <c r="G933" s="472"/>
      <c r="H933" s="472"/>
      <c r="I933" s="472"/>
      <c r="J933" s="472"/>
      <c r="K933" s="471"/>
      <c r="L933" s="472"/>
      <c r="M933" s="472"/>
      <c r="N933" s="472"/>
      <c r="O933" s="472"/>
      <c r="P933" s="472"/>
      <c r="Q933" s="472"/>
      <c r="R933" s="472"/>
      <c r="S933" s="472"/>
      <c r="T933" s="472"/>
      <c r="U933" s="472"/>
      <c r="V933" s="472"/>
      <c r="W933" s="472"/>
      <c r="X933" s="472"/>
      <c r="Y933" s="472"/>
      <c r="Z933" s="472"/>
    </row>
    <row r="934" spans="1:26" ht="14.25" customHeight="1">
      <c r="A934" s="472"/>
      <c r="B934" s="472"/>
      <c r="C934" s="472"/>
      <c r="D934" s="472"/>
      <c r="E934" s="472"/>
      <c r="F934" s="472"/>
      <c r="G934" s="472"/>
      <c r="H934" s="472"/>
      <c r="I934" s="472"/>
      <c r="J934" s="472"/>
      <c r="K934" s="471"/>
      <c r="L934" s="472"/>
      <c r="M934" s="472"/>
      <c r="N934" s="472"/>
      <c r="O934" s="472"/>
      <c r="P934" s="472"/>
      <c r="Q934" s="472"/>
      <c r="R934" s="472"/>
      <c r="S934" s="472"/>
      <c r="T934" s="472"/>
      <c r="U934" s="472"/>
      <c r="V934" s="472"/>
      <c r="W934" s="472"/>
      <c r="X934" s="472"/>
      <c r="Y934" s="472"/>
      <c r="Z934" s="472"/>
    </row>
    <row r="935" spans="1:26" ht="14.25" customHeight="1">
      <c r="A935" s="472"/>
      <c r="B935" s="472"/>
      <c r="C935" s="472"/>
      <c r="D935" s="472"/>
      <c r="E935" s="472"/>
      <c r="F935" s="472"/>
      <c r="G935" s="472"/>
      <c r="H935" s="472"/>
      <c r="I935" s="472"/>
      <c r="J935" s="472"/>
      <c r="K935" s="471"/>
      <c r="L935" s="472"/>
      <c r="M935" s="472"/>
      <c r="N935" s="472"/>
      <c r="O935" s="472"/>
      <c r="P935" s="472"/>
      <c r="Q935" s="472"/>
      <c r="R935" s="472"/>
      <c r="S935" s="472"/>
      <c r="T935" s="472"/>
      <c r="U935" s="472"/>
      <c r="V935" s="472"/>
      <c r="W935" s="472"/>
      <c r="X935" s="472"/>
      <c r="Y935" s="472"/>
      <c r="Z935" s="472"/>
    </row>
    <row r="936" spans="1:26" ht="14.25" customHeight="1">
      <c r="A936" s="472"/>
      <c r="B936" s="472"/>
      <c r="C936" s="472"/>
      <c r="D936" s="472"/>
      <c r="E936" s="472"/>
      <c r="F936" s="472"/>
      <c r="G936" s="472"/>
      <c r="H936" s="472"/>
      <c r="I936" s="472"/>
      <c r="J936" s="472"/>
      <c r="K936" s="471"/>
      <c r="L936" s="472"/>
      <c r="M936" s="472"/>
      <c r="N936" s="472"/>
      <c r="O936" s="472"/>
      <c r="P936" s="472"/>
      <c r="Q936" s="472"/>
      <c r="R936" s="472"/>
      <c r="S936" s="472"/>
      <c r="T936" s="472"/>
      <c r="U936" s="472"/>
      <c r="V936" s="472"/>
      <c r="W936" s="472"/>
      <c r="X936" s="472"/>
      <c r="Y936" s="472"/>
      <c r="Z936" s="472"/>
    </row>
    <row r="937" spans="1:26" ht="14.25" customHeight="1">
      <c r="A937" s="472"/>
      <c r="B937" s="472"/>
      <c r="C937" s="472"/>
      <c r="D937" s="472"/>
      <c r="E937" s="472"/>
      <c r="F937" s="472"/>
      <c r="G937" s="472"/>
      <c r="H937" s="472"/>
      <c r="I937" s="472"/>
      <c r="J937" s="472"/>
      <c r="K937" s="471"/>
      <c r="L937" s="472"/>
      <c r="M937" s="472"/>
      <c r="N937" s="472"/>
      <c r="O937" s="472"/>
      <c r="P937" s="472"/>
      <c r="Q937" s="472"/>
      <c r="R937" s="472"/>
      <c r="S937" s="472"/>
      <c r="T937" s="472"/>
      <c r="U937" s="472"/>
      <c r="V937" s="472"/>
      <c r="W937" s="472"/>
      <c r="X937" s="472"/>
      <c r="Y937" s="472"/>
      <c r="Z937" s="472"/>
    </row>
    <row r="938" spans="1:26" ht="14.25" customHeight="1">
      <c r="A938" s="472"/>
      <c r="B938" s="472"/>
      <c r="C938" s="472"/>
      <c r="D938" s="472"/>
      <c r="E938" s="472"/>
      <c r="F938" s="472"/>
      <c r="G938" s="472"/>
      <c r="H938" s="472"/>
      <c r="I938" s="472"/>
      <c r="J938" s="472"/>
      <c r="K938" s="471"/>
      <c r="L938" s="472"/>
      <c r="M938" s="472"/>
      <c r="N938" s="472"/>
      <c r="O938" s="472"/>
      <c r="P938" s="472"/>
      <c r="Q938" s="472"/>
      <c r="R938" s="472"/>
      <c r="S938" s="472"/>
      <c r="T938" s="472"/>
      <c r="U938" s="472"/>
      <c r="V938" s="472"/>
      <c r="W938" s="472"/>
      <c r="X938" s="472"/>
      <c r="Y938" s="472"/>
      <c r="Z938" s="472"/>
    </row>
    <row r="939" spans="1:26" ht="14.25" customHeight="1">
      <c r="A939" s="472"/>
      <c r="B939" s="472"/>
      <c r="C939" s="472"/>
      <c r="D939" s="472"/>
      <c r="E939" s="472"/>
      <c r="F939" s="472"/>
      <c r="G939" s="472"/>
      <c r="H939" s="472"/>
      <c r="I939" s="472"/>
      <c r="J939" s="472"/>
      <c r="K939" s="471"/>
      <c r="L939" s="472"/>
      <c r="M939" s="472"/>
      <c r="N939" s="472"/>
      <c r="O939" s="472"/>
      <c r="P939" s="472"/>
      <c r="Q939" s="472"/>
      <c r="R939" s="472"/>
      <c r="S939" s="472"/>
      <c r="T939" s="472"/>
      <c r="U939" s="472"/>
      <c r="V939" s="472"/>
      <c r="W939" s="472"/>
      <c r="X939" s="472"/>
      <c r="Y939" s="472"/>
      <c r="Z939" s="472"/>
    </row>
    <row r="940" spans="1:26" ht="14.25" customHeight="1">
      <c r="A940" s="472"/>
      <c r="B940" s="472"/>
      <c r="C940" s="472"/>
      <c r="D940" s="472"/>
      <c r="E940" s="472"/>
      <c r="F940" s="472"/>
      <c r="G940" s="472"/>
      <c r="H940" s="472"/>
      <c r="I940" s="472"/>
      <c r="J940" s="472"/>
      <c r="K940" s="471"/>
      <c r="L940" s="472"/>
      <c r="M940" s="472"/>
      <c r="N940" s="472"/>
      <c r="O940" s="472"/>
      <c r="P940" s="472"/>
      <c r="Q940" s="472"/>
      <c r="R940" s="472"/>
      <c r="S940" s="472"/>
      <c r="T940" s="472"/>
      <c r="U940" s="472"/>
      <c r="V940" s="472"/>
      <c r="W940" s="472"/>
      <c r="X940" s="472"/>
      <c r="Y940" s="472"/>
      <c r="Z940" s="472"/>
    </row>
    <row r="941" spans="1:26" ht="14.25" customHeight="1">
      <c r="A941" s="472"/>
      <c r="B941" s="472"/>
      <c r="C941" s="472"/>
      <c r="D941" s="472"/>
      <c r="E941" s="472"/>
      <c r="F941" s="472"/>
      <c r="G941" s="472"/>
      <c r="H941" s="472"/>
      <c r="I941" s="472"/>
      <c r="J941" s="472"/>
      <c r="K941" s="471"/>
      <c r="L941" s="472"/>
      <c r="M941" s="472"/>
      <c r="N941" s="472"/>
      <c r="O941" s="472"/>
      <c r="P941" s="472"/>
      <c r="Q941" s="472"/>
      <c r="R941" s="472"/>
      <c r="S941" s="472"/>
      <c r="T941" s="472"/>
      <c r="U941" s="472"/>
      <c r="V941" s="472"/>
      <c r="W941" s="472"/>
      <c r="X941" s="472"/>
      <c r="Y941" s="472"/>
      <c r="Z941" s="472"/>
    </row>
    <row r="942" spans="1:26" ht="14.25" customHeight="1">
      <c r="A942" s="472"/>
      <c r="B942" s="472"/>
      <c r="C942" s="472"/>
      <c r="D942" s="472"/>
      <c r="E942" s="472"/>
      <c r="F942" s="472"/>
      <c r="G942" s="472"/>
      <c r="H942" s="472"/>
      <c r="I942" s="472"/>
      <c r="J942" s="472"/>
      <c r="K942" s="471"/>
      <c r="L942" s="472"/>
      <c r="M942" s="472"/>
      <c r="N942" s="472"/>
      <c r="O942" s="472"/>
      <c r="P942" s="472"/>
      <c r="Q942" s="472"/>
      <c r="R942" s="472"/>
      <c r="S942" s="472"/>
      <c r="T942" s="472"/>
      <c r="U942" s="472"/>
      <c r="V942" s="472"/>
      <c r="W942" s="472"/>
      <c r="X942" s="472"/>
      <c r="Y942" s="472"/>
      <c r="Z942" s="472"/>
    </row>
    <row r="943" spans="1:26" ht="14.25" customHeight="1">
      <c r="A943" s="472"/>
      <c r="B943" s="472"/>
      <c r="C943" s="472"/>
      <c r="D943" s="472"/>
      <c r="E943" s="472"/>
      <c r="F943" s="472"/>
      <c r="G943" s="472"/>
      <c r="H943" s="472"/>
      <c r="I943" s="472"/>
      <c r="J943" s="472"/>
      <c r="K943" s="471"/>
      <c r="L943" s="472"/>
      <c r="M943" s="472"/>
      <c r="N943" s="472"/>
      <c r="O943" s="472"/>
      <c r="P943" s="472"/>
      <c r="Q943" s="472"/>
      <c r="R943" s="472"/>
      <c r="S943" s="472"/>
      <c r="T943" s="472"/>
      <c r="U943" s="472"/>
      <c r="V943" s="472"/>
      <c r="W943" s="472"/>
      <c r="X943" s="472"/>
      <c r="Y943" s="472"/>
      <c r="Z943" s="472"/>
    </row>
    <row r="944" spans="1:26" ht="14.25" customHeight="1">
      <c r="A944" s="472"/>
      <c r="B944" s="472"/>
      <c r="C944" s="472"/>
      <c r="D944" s="472"/>
      <c r="E944" s="472"/>
      <c r="F944" s="472"/>
      <c r="G944" s="472"/>
      <c r="H944" s="472"/>
      <c r="I944" s="472"/>
      <c r="J944" s="472"/>
      <c r="K944" s="471"/>
      <c r="L944" s="472"/>
      <c r="M944" s="472"/>
      <c r="N944" s="472"/>
      <c r="O944" s="472"/>
      <c r="P944" s="472"/>
      <c r="Q944" s="472"/>
      <c r="R944" s="472"/>
      <c r="S944" s="472"/>
      <c r="T944" s="472"/>
      <c r="U944" s="472"/>
      <c r="V944" s="472"/>
      <c r="W944" s="472"/>
      <c r="X944" s="472"/>
      <c r="Y944" s="472"/>
      <c r="Z944" s="472"/>
    </row>
    <row r="945" spans="1:26" ht="14.25" customHeight="1">
      <c r="A945" s="472"/>
      <c r="B945" s="472"/>
      <c r="C945" s="472"/>
      <c r="D945" s="472"/>
      <c r="E945" s="472"/>
      <c r="F945" s="472"/>
      <c r="G945" s="472"/>
      <c r="H945" s="472"/>
      <c r="I945" s="472"/>
      <c r="J945" s="472"/>
      <c r="K945" s="471"/>
      <c r="L945" s="472"/>
      <c r="M945" s="472"/>
      <c r="N945" s="472"/>
      <c r="O945" s="472"/>
      <c r="P945" s="472"/>
      <c r="Q945" s="472"/>
      <c r="R945" s="472"/>
      <c r="S945" s="472"/>
      <c r="T945" s="472"/>
      <c r="U945" s="472"/>
      <c r="V945" s="472"/>
      <c r="W945" s="472"/>
      <c r="X945" s="472"/>
      <c r="Y945" s="472"/>
      <c r="Z945" s="472"/>
    </row>
    <row r="946" spans="1:26" ht="14.25" customHeight="1">
      <c r="A946" s="472"/>
      <c r="B946" s="472"/>
      <c r="C946" s="472"/>
      <c r="D946" s="472"/>
      <c r="E946" s="472"/>
      <c r="F946" s="472"/>
      <c r="G946" s="472"/>
      <c r="H946" s="472"/>
      <c r="I946" s="472"/>
      <c r="J946" s="472"/>
      <c r="K946" s="471"/>
      <c r="L946" s="472"/>
      <c r="M946" s="472"/>
      <c r="N946" s="472"/>
      <c r="O946" s="472"/>
      <c r="P946" s="472"/>
      <c r="Q946" s="472"/>
      <c r="R946" s="472"/>
      <c r="S946" s="472"/>
      <c r="T946" s="472"/>
      <c r="U946" s="472"/>
      <c r="V946" s="472"/>
      <c r="W946" s="472"/>
      <c r="X946" s="472"/>
      <c r="Y946" s="472"/>
      <c r="Z946" s="472"/>
    </row>
    <row r="947" spans="1:26" ht="14.25" customHeight="1">
      <c r="A947" s="472"/>
      <c r="B947" s="472"/>
      <c r="C947" s="472"/>
      <c r="D947" s="472"/>
      <c r="E947" s="472"/>
      <c r="F947" s="472"/>
      <c r="G947" s="472"/>
      <c r="H947" s="472"/>
      <c r="I947" s="472"/>
      <c r="J947" s="472"/>
      <c r="K947" s="471"/>
      <c r="L947" s="472"/>
      <c r="M947" s="472"/>
      <c r="N947" s="472"/>
      <c r="O947" s="472"/>
      <c r="P947" s="472"/>
      <c r="Q947" s="472"/>
      <c r="R947" s="472"/>
      <c r="S947" s="472"/>
      <c r="T947" s="472"/>
      <c r="U947" s="472"/>
      <c r="V947" s="472"/>
      <c r="W947" s="472"/>
      <c r="X947" s="472"/>
      <c r="Y947" s="472"/>
      <c r="Z947" s="472"/>
    </row>
    <row r="948" spans="1:26" ht="14.25" customHeight="1">
      <c r="A948" s="472"/>
      <c r="B948" s="472"/>
      <c r="C948" s="472"/>
      <c r="D948" s="472"/>
      <c r="E948" s="472"/>
      <c r="F948" s="472"/>
      <c r="G948" s="472"/>
      <c r="H948" s="472"/>
      <c r="I948" s="472"/>
      <c r="J948" s="472"/>
      <c r="K948" s="471"/>
      <c r="L948" s="472"/>
      <c r="M948" s="472"/>
      <c r="N948" s="472"/>
      <c r="O948" s="472"/>
      <c r="P948" s="472"/>
      <c r="Q948" s="472"/>
      <c r="R948" s="472"/>
      <c r="S948" s="472"/>
      <c r="T948" s="472"/>
      <c r="U948" s="472"/>
      <c r="V948" s="472"/>
      <c r="W948" s="472"/>
      <c r="X948" s="472"/>
      <c r="Y948" s="472"/>
      <c r="Z948" s="472"/>
    </row>
    <row r="949" spans="1:26" ht="14.25" customHeight="1">
      <c r="A949" s="472"/>
      <c r="B949" s="472"/>
      <c r="C949" s="472"/>
      <c r="D949" s="472"/>
      <c r="E949" s="472"/>
      <c r="F949" s="472"/>
      <c r="G949" s="472"/>
      <c r="H949" s="472"/>
      <c r="I949" s="472"/>
      <c r="J949" s="472"/>
      <c r="K949" s="471"/>
      <c r="L949" s="472"/>
      <c r="M949" s="472"/>
      <c r="N949" s="472"/>
      <c r="O949" s="472"/>
      <c r="P949" s="472"/>
      <c r="Q949" s="472"/>
      <c r="R949" s="472"/>
      <c r="S949" s="472"/>
      <c r="T949" s="472"/>
      <c r="U949" s="472"/>
      <c r="V949" s="472"/>
      <c r="W949" s="472"/>
      <c r="X949" s="472"/>
      <c r="Y949" s="472"/>
      <c r="Z949" s="472"/>
    </row>
    <row r="950" spans="1:26" ht="14.25" customHeight="1">
      <c r="A950" s="472"/>
      <c r="B950" s="472"/>
      <c r="C950" s="472"/>
      <c r="D950" s="472"/>
      <c r="E950" s="472"/>
      <c r="F950" s="472"/>
      <c r="G950" s="472"/>
      <c r="H950" s="472"/>
      <c r="I950" s="472"/>
      <c r="J950" s="472"/>
      <c r="K950" s="471"/>
      <c r="L950" s="472"/>
      <c r="M950" s="472"/>
      <c r="N950" s="472"/>
      <c r="O950" s="472"/>
      <c r="P950" s="472"/>
      <c r="Q950" s="472"/>
      <c r="R950" s="472"/>
      <c r="S950" s="472"/>
      <c r="T950" s="472"/>
      <c r="U950" s="472"/>
      <c r="V950" s="472"/>
      <c r="W950" s="472"/>
      <c r="X950" s="472"/>
      <c r="Y950" s="472"/>
      <c r="Z950" s="472"/>
    </row>
    <row r="951" spans="1:26" ht="14.25" customHeight="1">
      <c r="A951" s="472"/>
      <c r="B951" s="472"/>
      <c r="C951" s="472"/>
      <c r="D951" s="472"/>
      <c r="E951" s="472"/>
      <c r="F951" s="472"/>
      <c r="G951" s="472"/>
      <c r="H951" s="472"/>
      <c r="I951" s="472"/>
      <c r="J951" s="472"/>
      <c r="K951" s="471"/>
      <c r="L951" s="472"/>
      <c r="M951" s="472"/>
      <c r="N951" s="472"/>
      <c r="O951" s="472"/>
      <c r="P951" s="472"/>
      <c r="Q951" s="472"/>
      <c r="R951" s="472"/>
      <c r="S951" s="472"/>
      <c r="T951" s="472"/>
      <c r="U951" s="472"/>
      <c r="V951" s="472"/>
      <c r="W951" s="472"/>
      <c r="X951" s="472"/>
      <c r="Y951" s="472"/>
      <c r="Z951" s="472"/>
    </row>
    <row r="952" spans="1:26" ht="14.25" customHeight="1">
      <c r="A952" s="472"/>
      <c r="B952" s="472"/>
      <c r="C952" s="472"/>
      <c r="D952" s="472"/>
      <c r="E952" s="472"/>
      <c r="F952" s="472"/>
      <c r="G952" s="472"/>
      <c r="H952" s="472"/>
      <c r="I952" s="472"/>
      <c r="J952" s="472"/>
      <c r="K952" s="471"/>
      <c r="L952" s="472"/>
      <c r="M952" s="472"/>
      <c r="N952" s="472"/>
      <c r="O952" s="472"/>
      <c r="P952" s="472"/>
      <c r="Q952" s="472"/>
      <c r="R952" s="472"/>
      <c r="S952" s="472"/>
      <c r="T952" s="472"/>
      <c r="U952" s="472"/>
      <c r="V952" s="472"/>
      <c r="W952" s="472"/>
      <c r="X952" s="472"/>
      <c r="Y952" s="472"/>
      <c r="Z952" s="472"/>
    </row>
    <row r="953" spans="1:26" ht="14.25" customHeight="1">
      <c r="A953" s="472"/>
      <c r="B953" s="472"/>
      <c r="C953" s="472"/>
      <c r="D953" s="472"/>
      <c r="E953" s="472"/>
      <c r="F953" s="472"/>
      <c r="G953" s="472"/>
      <c r="H953" s="472"/>
      <c r="I953" s="472"/>
      <c r="J953" s="472"/>
      <c r="K953" s="471"/>
      <c r="L953" s="472"/>
      <c r="M953" s="472"/>
      <c r="N953" s="472"/>
      <c r="O953" s="472"/>
      <c r="P953" s="472"/>
      <c r="Q953" s="472"/>
      <c r="R953" s="472"/>
      <c r="S953" s="472"/>
      <c r="T953" s="472"/>
      <c r="U953" s="472"/>
      <c r="V953" s="472"/>
      <c r="W953" s="472"/>
      <c r="X953" s="472"/>
      <c r="Y953" s="472"/>
      <c r="Z953" s="472"/>
    </row>
    <row r="954" spans="1:26" ht="14.25" customHeight="1">
      <c r="A954" s="472"/>
      <c r="B954" s="472"/>
      <c r="C954" s="472"/>
      <c r="D954" s="472"/>
      <c r="E954" s="472"/>
      <c r="F954" s="472"/>
      <c r="G954" s="472"/>
      <c r="H954" s="472"/>
      <c r="I954" s="472"/>
      <c r="J954" s="472"/>
      <c r="K954" s="471"/>
      <c r="L954" s="472"/>
      <c r="M954" s="472"/>
      <c r="N954" s="472"/>
      <c r="O954" s="472"/>
      <c r="P954" s="472"/>
      <c r="Q954" s="472"/>
      <c r="R954" s="472"/>
      <c r="S954" s="472"/>
      <c r="T954" s="472"/>
      <c r="U954" s="472"/>
      <c r="V954" s="472"/>
      <c r="W954" s="472"/>
      <c r="X954" s="472"/>
      <c r="Y954" s="472"/>
      <c r="Z954" s="472"/>
    </row>
    <row r="955" spans="1:26" ht="14.25" customHeight="1">
      <c r="A955" s="472"/>
      <c r="B955" s="472"/>
      <c r="C955" s="472"/>
      <c r="D955" s="472"/>
      <c r="E955" s="472"/>
      <c r="F955" s="472"/>
      <c r="G955" s="472"/>
      <c r="H955" s="472"/>
      <c r="I955" s="472"/>
      <c r="J955" s="472"/>
      <c r="K955" s="471"/>
      <c r="L955" s="472"/>
      <c r="M955" s="472"/>
      <c r="N955" s="472"/>
      <c r="O955" s="472"/>
      <c r="P955" s="472"/>
      <c r="Q955" s="472"/>
      <c r="R955" s="472"/>
      <c r="S955" s="472"/>
      <c r="T955" s="472"/>
      <c r="U955" s="472"/>
      <c r="V955" s="472"/>
      <c r="W955" s="472"/>
      <c r="X955" s="472"/>
      <c r="Y955" s="472"/>
      <c r="Z955" s="472"/>
    </row>
    <row r="956" spans="1:26" ht="14.25" customHeight="1">
      <c r="A956" s="472"/>
      <c r="B956" s="472"/>
      <c r="C956" s="472"/>
      <c r="D956" s="472"/>
      <c r="E956" s="472"/>
      <c r="F956" s="472"/>
      <c r="G956" s="472"/>
      <c r="H956" s="472"/>
      <c r="I956" s="472"/>
      <c r="J956" s="472"/>
      <c r="K956" s="471"/>
      <c r="L956" s="472"/>
      <c r="M956" s="472"/>
      <c r="N956" s="472"/>
      <c r="O956" s="472"/>
      <c r="P956" s="472"/>
      <c r="Q956" s="472"/>
      <c r="R956" s="472"/>
      <c r="S956" s="472"/>
      <c r="T956" s="472"/>
      <c r="U956" s="472"/>
      <c r="V956" s="472"/>
      <c r="W956" s="472"/>
      <c r="X956" s="472"/>
      <c r="Y956" s="472"/>
      <c r="Z956" s="472"/>
    </row>
    <row r="957" spans="1:26" ht="14.25" customHeight="1">
      <c r="A957" s="472"/>
      <c r="B957" s="472"/>
      <c r="C957" s="472"/>
      <c r="D957" s="472"/>
      <c r="E957" s="472"/>
      <c r="F957" s="472"/>
      <c r="G957" s="472"/>
      <c r="H957" s="472"/>
      <c r="I957" s="472"/>
      <c r="J957" s="472"/>
      <c r="K957" s="471"/>
      <c r="L957" s="472"/>
      <c r="M957" s="472"/>
      <c r="N957" s="472"/>
      <c r="O957" s="472"/>
      <c r="P957" s="472"/>
      <c r="Q957" s="472"/>
      <c r="R957" s="472"/>
      <c r="S957" s="472"/>
      <c r="T957" s="472"/>
      <c r="U957" s="472"/>
      <c r="V957" s="472"/>
      <c r="W957" s="472"/>
      <c r="X957" s="472"/>
      <c r="Y957" s="472"/>
      <c r="Z957" s="472"/>
    </row>
    <row r="958" spans="1:26" ht="14.25" customHeight="1">
      <c r="A958" s="472"/>
      <c r="B958" s="472"/>
      <c r="C958" s="472"/>
      <c r="D958" s="472"/>
      <c r="E958" s="472"/>
      <c r="F958" s="472"/>
      <c r="G958" s="472"/>
      <c r="H958" s="472"/>
      <c r="I958" s="472"/>
      <c r="J958" s="472"/>
      <c r="K958" s="471"/>
      <c r="L958" s="472"/>
      <c r="M958" s="472"/>
      <c r="N958" s="472"/>
      <c r="O958" s="472"/>
      <c r="P958" s="472"/>
      <c r="Q958" s="472"/>
      <c r="R958" s="472"/>
      <c r="S958" s="472"/>
      <c r="T958" s="472"/>
      <c r="U958" s="472"/>
      <c r="V958" s="472"/>
      <c r="W958" s="472"/>
      <c r="X958" s="472"/>
      <c r="Y958" s="472"/>
      <c r="Z958" s="472"/>
    </row>
    <row r="959" spans="1:26" ht="14.25" customHeight="1">
      <c r="A959" s="472"/>
      <c r="B959" s="472"/>
      <c r="C959" s="472"/>
      <c r="D959" s="472"/>
      <c r="E959" s="472"/>
      <c r="F959" s="472"/>
      <c r="G959" s="472"/>
      <c r="H959" s="472"/>
      <c r="I959" s="472"/>
      <c r="J959" s="472"/>
      <c r="K959" s="471"/>
      <c r="L959" s="472"/>
      <c r="M959" s="472"/>
      <c r="N959" s="472"/>
      <c r="O959" s="472"/>
      <c r="P959" s="472"/>
      <c r="Q959" s="472"/>
      <c r="R959" s="472"/>
      <c r="S959" s="472"/>
      <c r="T959" s="472"/>
      <c r="U959" s="472"/>
      <c r="V959" s="472"/>
      <c r="W959" s="472"/>
      <c r="X959" s="472"/>
      <c r="Y959" s="472"/>
      <c r="Z959" s="472"/>
    </row>
    <row r="960" spans="1:26" ht="14.25" customHeight="1">
      <c r="A960" s="472"/>
      <c r="B960" s="472"/>
      <c r="C960" s="472"/>
      <c r="D960" s="472"/>
      <c r="E960" s="472"/>
      <c r="F960" s="472"/>
      <c r="G960" s="472"/>
      <c r="H960" s="472"/>
      <c r="I960" s="472"/>
      <c r="J960" s="472"/>
      <c r="K960" s="471"/>
      <c r="L960" s="472"/>
      <c r="M960" s="472"/>
      <c r="N960" s="472"/>
      <c r="O960" s="472"/>
      <c r="P960" s="472"/>
      <c r="Q960" s="472"/>
      <c r="R960" s="472"/>
      <c r="S960" s="472"/>
      <c r="T960" s="472"/>
      <c r="U960" s="472"/>
      <c r="V960" s="472"/>
      <c r="W960" s="472"/>
      <c r="X960" s="472"/>
      <c r="Y960" s="472"/>
      <c r="Z960" s="472"/>
    </row>
    <row r="961" spans="1:26" ht="14.25" customHeight="1">
      <c r="A961" s="472"/>
      <c r="B961" s="472"/>
      <c r="C961" s="472"/>
      <c r="D961" s="472"/>
      <c r="E961" s="472"/>
      <c r="F961" s="472"/>
      <c r="G961" s="472"/>
      <c r="H961" s="472"/>
      <c r="I961" s="472"/>
      <c r="J961" s="472"/>
      <c r="K961" s="471"/>
      <c r="L961" s="472"/>
      <c r="M961" s="472"/>
      <c r="N961" s="472"/>
      <c r="O961" s="472"/>
      <c r="P961" s="472"/>
      <c r="Q961" s="472"/>
      <c r="R961" s="472"/>
      <c r="S961" s="472"/>
      <c r="T961" s="472"/>
      <c r="U961" s="472"/>
      <c r="V961" s="472"/>
      <c r="W961" s="472"/>
      <c r="X961" s="472"/>
      <c r="Y961" s="472"/>
      <c r="Z961" s="472"/>
    </row>
    <row r="962" spans="1:26" ht="14.25" customHeight="1">
      <c r="A962" s="472"/>
      <c r="B962" s="472"/>
      <c r="C962" s="472"/>
      <c r="D962" s="472"/>
      <c r="E962" s="472"/>
      <c r="F962" s="472"/>
      <c r="G962" s="472"/>
      <c r="H962" s="472"/>
      <c r="I962" s="472"/>
      <c r="J962" s="472"/>
      <c r="K962" s="471"/>
      <c r="L962" s="472"/>
      <c r="M962" s="472"/>
      <c r="N962" s="472"/>
      <c r="O962" s="472"/>
      <c r="P962" s="472"/>
      <c r="Q962" s="472"/>
      <c r="R962" s="472"/>
      <c r="S962" s="472"/>
      <c r="T962" s="472"/>
      <c r="U962" s="472"/>
      <c r="V962" s="472"/>
      <c r="W962" s="472"/>
      <c r="X962" s="472"/>
      <c r="Y962" s="472"/>
      <c r="Z962" s="472"/>
    </row>
    <row r="963" spans="1:26" ht="14.25" customHeight="1">
      <c r="A963" s="472"/>
      <c r="B963" s="472"/>
      <c r="C963" s="472"/>
      <c r="D963" s="472"/>
      <c r="E963" s="472"/>
      <c r="F963" s="472"/>
      <c r="G963" s="472"/>
      <c r="H963" s="472"/>
      <c r="I963" s="472"/>
      <c r="J963" s="472"/>
      <c r="K963" s="471"/>
      <c r="L963" s="472"/>
      <c r="M963" s="472"/>
      <c r="N963" s="472"/>
      <c r="O963" s="472"/>
      <c r="P963" s="472"/>
      <c r="Q963" s="472"/>
      <c r="R963" s="472"/>
      <c r="S963" s="472"/>
      <c r="T963" s="472"/>
      <c r="U963" s="472"/>
      <c r="V963" s="472"/>
      <c r="W963" s="472"/>
      <c r="X963" s="472"/>
      <c r="Y963" s="472"/>
      <c r="Z963" s="472"/>
    </row>
    <row r="964" spans="1:26" ht="14.25" customHeight="1">
      <c r="A964" s="472"/>
      <c r="B964" s="472"/>
      <c r="C964" s="472"/>
      <c r="D964" s="472"/>
      <c r="E964" s="472"/>
      <c r="F964" s="472"/>
      <c r="G964" s="472"/>
      <c r="H964" s="472"/>
      <c r="I964" s="472"/>
      <c r="J964" s="472"/>
      <c r="K964" s="471"/>
      <c r="L964" s="472"/>
      <c r="M964" s="472"/>
      <c r="N964" s="472"/>
      <c r="O964" s="472"/>
      <c r="P964" s="472"/>
      <c r="Q964" s="472"/>
      <c r="R964" s="472"/>
      <c r="S964" s="472"/>
      <c r="T964" s="472"/>
      <c r="U964" s="472"/>
      <c r="V964" s="472"/>
      <c r="W964" s="472"/>
      <c r="X964" s="472"/>
      <c r="Y964" s="472"/>
      <c r="Z964" s="472"/>
    </row>
    <row r="965" spans="1:26" ht="14.25" customHeight="1">
      <c r="A965" s="472"/>
      <c r="B965" s="472"/>
      <c r="C965" s="472"/>
      <c r="D965" s="472"/>
      <c r="E965" s="472"/>
      <c r="F965" s="472"/>
      <c r="G965" s="472"/>
      <c r="H965" s="472"/>
      <c r="I965" s="472"/>
      <c r="J965" s="472"/>
      <c r="K965" s="471"/>
      <c r="L965" s="472"/>
      <c r="M965" s="472"/>
      <c r="N965" s="472"/>
      <c r="O965" s="472"/>
      <c r="P965" s="472"/>
      <c r="Q965" s="472"/>
      <c r="R965" s="472"/>
      <c r="S965" s="472"/>
      <c r="T965" s="472"/>
      <c r="U965" s="472"/>
      <c r="V965" s="472"/>
      <c r="W965" s="472"/>
      <c r="X965" s="472"/>
      <c r="Y965" s="472"/>
      <c r="Z965" s="472"/>
    </row>
    <row r="966" spans="1:26" ht="14.25" customHeight="1">
      <c r="A966" s="472"/>
      <c r="B966" s="472"/>
      <c r="C966" s="472"/>
      <c r="D966" s="472"/>
      <c r="E966" s="472"/>
      <c r="F966" s="472"/>
      <c r="G966" s="472"/>
      <c r="H966" s="472"/>
      <c r="I966" s="472"/>
      <c r="J966" s="472"/>
      <c r="K966" s="471"/>
      <c r="L966" s="472"/>
      <c r="M966" s="472"/>
      <c r="N966" s="472"/>
      <c r="O966" s="472"/>
      <c r="P966" s="472"/>
      <c r="Q966" s="472"/>
      <c r="R966" s="472"/>
      <c r="S966" s="472"/>
      <c r="T966" s="472"/>
      <c r="U966" s="472"/>
      <c r="V966" s="472"/>
      <c r="W966" s="472"/>
      <c r="X966" s="472"/>
      <c r="Y966" s="472"/>
      <c r="Z966" s="472"/>
    </row>
    <row r="967" spans="1:26" ht="14.25" customHeight="1">
      <c r="A967" s="472"/>
      <c r="B967" s="472"/>
      <c r="C967" s="472"/>
      <c r="D967" s="472"/>
      <c r="E967" s="472"/>
      <c r="F967" s="472"/>
      <c r="G967" s="472"/>
      <c r="H967" s="472"/>
      <c r="I967" s="472"/>
      <c r="J967" s="472"/>
      <c r="K967" s="471"/>
      <c r="L967" s="472"/>
      <c r="M967" s="472"/>
      <c r="N967" s="472"/>
      <c r="O967" s="472"/>
      <c r="P967" s="472"/>
      <c r="Q967" s="472"/>
      <c r="R967" s="472"/>
      <c r="S967" s="472"/>
      <c r="T967" s="472"/>
      <c r="U967" s="472"/>
      <c r="V967" s="472"/>
      <c r="W967" s="472"/>
      <c r="X967" s="472"/>
      <c r="Y967" s="472"/>
      <c r="Z967" s="472"/>
    </row>
    <row r="968" spans="1:26" ht="14.25" customHeight="1">
      <c r="A968" s="472"/>
      <c r="B968" s="472"/>
      <c r="C968" s="472"/>
      <c r="D968" s="472"/>
      <c r="E968" s="472"/>
      <c r="F968" s="472"/>
      <c r="G968" s="472"/>
      <c r="H968" s="472"/>
      <c r="I968" s="472"/>
      <c r="J968" s="472"/>
      <c r="K968" s="471"/>
      <c r="L968" s="472"/>
      <c r="M968" s="472"/>
      <c r="N968" s="472"/>
      <c r="O968" s="472"/>
      <c r="P968" s="472"/>
      <c r="Q968" s="472"/>
      <c r="R968" s="472"/>
      <c r="S968" s="472"/>
      <c r="T968" s="472"/>
      <c r="U968" s="472"/>
      <c r="V968" s="472"/>
      <c r="W968" s="472"/>
      <c r="X968" s="472"/>
      <c r="Y968" s="472"/>
      <c r="Z968" s="472"/>
    </row>
    <row r="969" spans="1:26" ht="14.25" customHeight="1">
      <c r="A969" s="472"/>
      <c r="B969" s="472"/>
      <c r="C969" s="472"/>
      <c r="D969" s="472"/>
      <c r="E969" s="472"/>
      <c r="F969" s="472"/>
      <c r="G969" s="472"/>
      <c r="H969" s="472"/>
      <c r="I969" s="472"/>
      <c r="J969" s="472"/>
      <c r="K969" s="471"/>
      <c r="L969" s="472"/>
      <c r="M969" s="472"/>
      <c r="N969" s="472"/>
      <c r="O969" s="472"/>
      <c r="P969" s="472"/>
      <c r="Q969" s="472"/>
      <c r="R969" s="472"/>
      <c r="S969" s="472"/>
      <c r="T969" s="472"/>
      <c r="U969" s="472"/>
      <c r="V969" s="472"/>
      <c r="W969" s="472"/>
      <c r="X969" s="472"/>
      <c r="Y969" s="472"/>
      <c r="Z969" s="472"/>
    </row>
    <row r="970" spans="1:26" ht="14.25" customHeight="1">
      <c r="A970" s="472"/>
      <c r="B970" s="472"/>
      <c r="C970" s="472"/>
      <c r="D970" s="472"/>
      <c r="E970" s="472"/>
      <c r="F970" s="472"/>
      <c r="G970" s="472"/>
      <c r="H970" s="472"/>
      <c r="I970" s="472"/>
      <c r="J970" s="472"/>
      <c r="K970" s="471"/>
      <c r="L970" s="472"/>
      <c r="M970" s="472"/>
      <c r="N970" s="472"/>
      <c r="O970" s="472"/>
      <c r="P970" s="472"/>
      <c r="Q970" s="472"/>
      <c r="R970" s="472"/>
      <c r="S970" s="472"/>
      <c r="T970" s="472"/>
      <c r="U970" s="472"/>
      <c r="V970" s="472"/>
      <c r="W970" s="472"/>
      <c r="X970" s="472"/>
      <c r="Y970" s="472"/>
      <c r="Z970" s="472"/>
    </row>
    <row r="971" spans="1:26" ht="14.25" customHeight="1">
      <c r="A971" s="472"/>
      <c r="B971" s="472"/>
      <c r="C971" s="472"/>
      <c r="D971" s="472"/>
      <c r="E971" s="472"/>
      <c r="F971" s="472"/>
      <c r="G971" s="472"/>
      <c r="H971" s="472"/>
      <c r="I971" s="472"/>
      <c r="J971" s="472"/>
      <c r="K971" s="471"/>
      <c r="L971" s="472"/>
      <c r="M971" s="472"/>
      <c r="N971" s="472"/>
      <c r="O971" s="472"/>
      <c r="P971" s="472"/>
      <c r="Q971" s="472"/>
      <c r="R971" s="472"/>
      <c r="S971" s="472"/>
      <c r="T971" s="472"/>
      <c r="U971" s="472"/>
      <c r="V971" s="472"/>
      <c r="W971" s="472"/>
      <c r="X971" s="472"/>
      <c r="Y971" s="472"/>
      <c r="Z971" s="472"/>
    </row>
    <row r="972" spans="1:26" ht="14.25" customHeight="1">
      <c r="A972" s="472"/>
      <c r="B972" s="472"/>
      <c r="C972" s="472"/>
      <c r="D972" s="472"/>
      <c r="E972" s="472"/>
      <c r="F972" s="472"/>
      <c r="G972" s="472"/>
      <c r="H972" s="472"/>
      <c r="I972" s="472"/>
      <c r="J972" s="472"/>
      <c r="K972" s="471"/>
      <c r="L972" s="472"/>
      <c r="M972" s="472"/>
      <c r="N972" s="472"/>
      <c r="O972" s="472"/>
      <c r="P972" s="472"/>
      <c r="Q972" s="472"/>
      <c r="R972" s="472"/>
      <c r="S972" s="472"/>
      <c r="T972" s="472"/>
      <c r="U972" s="472"/>
      <c r="V972" s="472"/>
      <c r="W972" s="472"/>
      <c r="X972" s="472"/>
      <c r="Y972" s="472"/>
      <c r="Z972" s="472"/>
    </row>
    <row r="973" spans="1:26" ht="14.25" customHeight="1">
      <c r="A973" s="472"/>
      <c r="B973" s="472"/>
      <c r="C973" s="472"/>
      <c r="D973" s="472"/>
      <c r="E973" s="472"/>
      <c r="F973" s="472"/>
      <c r="G973" s="472"/>
      <c r="H973" s="472"/>
      <c r="I973" s="472"/>
      <c r="J973" s="472"/>
      <c r="K973" s="471"/>
      <c r="L973" s="472"/>
      <c r="M973" s="472"/>
      <c r="N973" s="472"/>
      <c r="O973" s="472"/>
      <c r="P973" s="472"/>
      <c r="Q973" s="472"/>
      <c r="R973" s="472"/>
      <c r="S973" s="472"/>
      <c r="T973" s="472"/>
      <c r="U973" s="472"/>
      <c r="V973" s="472"/>
      <c r="W973" s="472"/>
      <c r="X973" s="472"/>
      <c r="Y973" s="472"/>
      <c r="Z973" s="472"/>
    </row>
    <row r="974" spans="1:26" ht="14.25" customHeight="1">
      <c r="A974" s="472"/>
      <c r="B974" s="472"/>
      <c r="C974" s="472"/>
      <c r="D974" s="472"/>
      <c r="E974" s="472"/>
      <c r="F974" s="472"/>
      <c r="G974" s="472"/>
      <c r="H974" s="472"/>
      <c r="I974" s="472"/>
      <c r="J974" s="472"/>
      <c r="K974" s="471"/>
      <c r="L974" s="472"/>
      <c r="M974" s="472"/>
      <c r="N974" s="472"/>
      <c r="O974" s="472"/>
      <c r="P974" s="472"/>
      <c r="Q974" s="472"/>
      <c r="R974" s="472"/>
      <c r="S974" s="472"/>
      <c r="T974" s="472"/>
      <c r="U974" s="472"/>
      <c r="V974" s="472"/>
      <c r="W974" s="472"/>
      <c r="X974" s="472"/>
      <c r="Y974" s="472"/>
      <c r="Z974" s="472"/>
    </row>
    <row r="975" spans="1:26" ht="14.25" customHeight="1">
      <c r="A975" s="472"/>
      <c r="B975" s="472"/>
      <c r="C975" s="472"/>
      <c r="D975" s="472"/>
      <c r="E975" s="472"/>
      <c r="F975" s="472"/>
      <c r="G975" s="472"/>
      <c r="H975" s="472"/>
      <c r="I975" s="472"/>
      <c r="J975" s="472"/>
      <c r="K975" s="471"/>
      <c r="L975" s="472"/>
      <c r="M975" s="472"/>
      <c r="N975" s="472"/>
      <c r="O975" s="472"/>
      <c r="P975" s="472"/>
      <c r="Q975" s="472"/>
      <c r="R975" s="472"/>
      <c r="S975" s="472"/>
      <c r="T975" s="472"/>
      <c r="U975" s="472"/>
      <c r="V975" s="472"/>
      <c r="W975" s="472"/>
      <c r="X975" s="472"/>
      <c r="Y975" s="472"/>
      <c r="Z975" s="472"/>
    </row>
    <row r="976" spans="1:26" ht="14.25" customHeight="1">
      <c r="A976" s="472"/>
      <c r="B976" s="472"/>
      <c r="C976" s="472"/>
      <c r="D976" s="472"/>
      <c r="E976" s="472"/>
      <c r="F976" s="472"/>
      <c r="G976" s="472"/>
      <c r="H976" s="472"/>
      <c r="I976" s="472"/>
      <c r="J976" s="472"/>
      <c r="K976" s="471"/>
      <c r="L976" s="472"/>
      <c r="M976" s="472"/>
      <c r="N976" s="472"/>
      <c r="O976" s="472"/>
      <c r="P976" s="472"/>
      <c r="Q976" s="472"/>
      <c r="R976" s="472"/>
      <c r="S976" s="472"/>
      <c r="T976" s="472"/>
      <c r="U976" s="472"/>
      <c r="V976" s="472"/>
      <c r="W976" s="472"/>
      <c r="X976" s="472"/>
      <c r="Y976" s="472"/>
      <c r="Z976" s="472"/>
    </row>
    <row r="977" spans="1:26" ht="14.25" customHeight="1">
      <c r="A977" s="472"/>
      <c r="B977" s="472"/>
      <c r="C977" s="472"/>
      <c r="D977" s="472"/>
      <c r="E977" s="472"/>
      <c r="F977" s="472"/>
      <c r="G977" s="472"/>
      <c r="H977" s="472"/>
      <c r="I977" s="472"/>
      <c r="J977" s="472"/>
      <c r="K977" s="471"/>
      <c r="L977" s="472"/>
      <c r="M977" s="472"/>
      <c r="N977" s="472"/>
      <c r="O977" s="472"/>
      <c r="P977" s="472"/>
      <c r="Q977" s="472"/>
      <c r="R977" s="472"/>
      <c r="S977" s="472"/>
      <c r="T977" s="472"/>
      <c r="U977" s="472"/>
      <c r="V977" s="472"/>
      <c r="W977" s="472"/>
      <c r="X977" s="472"/>
      <c r="Y977" s="472"/>
      <c r="Z977" s="472"/>
    </row>
    <row r="978" spans="1:26" ht="14.25" customHeight="1">
      <c r="A978" s="472"/>
      <c r="B978" s="472"/>
      <c r="C978" s="472"/>
      <c r="D978" s="472"/>
      <c r="E978" s="472"/>
      <c r="F978" s="472"/>
      <c r="G978" s="472"/>
      <c r="H978" s="472"/>
      <c r="I978" s="472"/>
      <c r="J978" s="472"/>
      <c r="K978" s="471"/>
      <c r="L978" s="472"/>
      <c r="M978" s="472"/>
      <c r="N978" s="472"/>
      <c r="O978" s="472"/>
      <c r="P978" s="472"/>
      <c r="Q978" s="472"/>
      <c r="R978" s="472"/>
      <c r="S978" s="472"/>
      <c r="T978" s="472"/>
      <c r="U978" s="472"/>
      <c r="V978" s="472"/>
      <c r="W978" s="472"/>
      <c r="X978" s="472"/>
      <c r="Y978" s="472"/>
      <c r="Z978" s="472"/>
    </row>
    <row r="979" spans="1:26" ht="14.25" customHeight="1">
      <c r="A979" s="472"/>
      <c r="B979" s="472"/>
      <c r="C979" s="472"/>
      <c r="D979" s="472"/>
      <c r="E979" s="472"/>
      <c r="F979" s="472"/>
      <c r="G979" s="472"/>
      <c r="H979" s="472"/>
      <c r="I979" s="472"/>
      <c r="J979" s="472"/>
      <c r="K979" s="471"/>
      <c r="L979" s="472"/>
      <c r="M979" s="472"/>
      <c r="N979" s="472"/>
      <c r="O979" s="472"/>
      <c r="P979" s="472"/>
      <c r="Q979" s="472"/>
      <c r="R979" s="472"/>
      <c r="S979" s="472"/>
      <c r="T979" s="472"/>
      <c r="U979" s="472"/>
      <c r="V979" s="472"/>
      <c r="W979" s="472"/>
      <c r="X979" s="472"/>
      <c r="Y979" s="472"/>
      <c r="Z979" s="472"/>
    </row>
    <row r="980" spans="1:26" ht="14.25" customHeight="1">
      <c r="A980" s="472"/>
      <c r="B980" s="472"/>
      <c r="C980" s="472"/>
      <c r="D980" s="472"/>
      <c r="E980" s="472"/>
      <c r="F980" s="472"/>
      <c r="G980" s="472"/>
      <c r="H980" s="472"/>
      <c r="I980" s="472"/>
      <c r="J980" s="472"/>
      <c r="K980" s="471"/>
      <c r="L980" s="472"/>
      <c r="M980" s="472"/>
      <c r="N980" s="472"/>
      <c r="O980" s="472"/>
      <c r="P980" s="472"/>
      <c r="Q980" s="472"/>
      <c r="R980" s="472"/>
      <c r="S980" s="472"/>
      <c r="T980" s="472"/>
      <c r="U980" s="472"/>
      <c r="V980" s="472"/>
      <c r="W980" s="472"/>
      <c r="X980" s="472"/>
      <c r="Y980" s="472"/>
      <c r="Z980" s="472"/>
    </row>
    <row r="981" spans="1:26" ht="14.25" customHeight="1">
      <c r="A981" s="472"/>
      <c r="B981" s="472"/>
      <c r="C981" s="472"/>
      <c r="D981" s="472"/>
      <c r="E981" s="472"/>
      <c r="F981" s="472"/>
      <c r="G981" s="472"/>
      <c r="H981" s="472"/>
      <c r="I981" s="472"/>
      <c r="J981" s="472"/>
      <c r="K981" s="471"/>
      <c r="L981" s="472"/>
      <c r="M981" s="472"/>
      <c r="N981" s="472"/>
      <c r="O981" s="472"/>
      <c r="P981" s="472"/>
      <c r="Q981" s="472"/>
      <c r="R981" s="472"/>
      <c r="S981" s="472"/>
      <c r="T981" s="472"/>
      <c r="U981" s="472"/>
      <c r="V981" s="472"/>
      <c r="W981" s="472"/>
      <c r="X981" s="472"/>
      <c r="Y981" s="472"/>
      <c r="Z981" s="472"/>
    </row>
    <row r="982" spans="1:26" ht="14.25" customHeight="1">
      <c r="A982" s="472"/>
      <c r="B982" s="472"/>
      <c r="C982" s="472"/>
      <c r="D982" s="472"/>
      <c r="E982" s="472"/>
      <c r="F982" s="472"/>
      <c r="G982" s="472"/>
      <c r="H982" s="472"/>
      <c r="I982" s="472"/>
      <c r="J982" s="472"/>
      <c r="K982" s="471"/>
      <c r="L982" s="472"/>
      <c r="M982" s="472"/>
      <c r="N982" s="472"/>
      <c r="O982" s="472"/>
      <c r="P982" s="472"/>
      <c r="Q982" s="472"/>
      <c r="R982" s="472"/>
      <c r="S982" s="472"/>
      <c r="T982" s="472"/>
      <c r="U982" s="472"/>
      <c r="V982" s="472"/>
      <c r="W982" s="472"/>
      <c r="X982" s="472"/>
      <c r="Y982" s="472"/>
      <c r="Z982" s="472"/>
    </row>
    <row r="983" spans="1:26" ht="14.25" customHeight="1">
      <c r="A983" s="472"/>
      <c r="B983" s="472"/>
      <c r="C983" s="472"/>
      <c r="D983" s="472"/>
      <c r="E983" s="472"/>
      <c r="F983" s="472"/>
      <c r="G983" s="472"/>
      <c r="H983" s="472"/>
      <c r="I983" s="472"/>
      <c r="J983" s="472"/>
      <c r="K983" s="471"/>
      <c r="L983" s="472"/>
      <c r="M983" s="472"/>
      <c r="N983" s="472"/>
      <c r="O983" s="472"/>
      <c r="P983" s="472"/>
      <c r="Q983" s="472"/>
      <c r="R983" s="472"/>
      <c r="S983" s="472"/>
      <c r="T983" s="472"/>
      <c r="U983" s="472"/>
      <c r="V983" s="472"/>
      <c r="W983" s="472"/>
      <c r="X983" s="472"/>
      <c r="Y983" s="472"/>
      <c r="Z983" s="472"/>
    </row>
    <row r="984" spans="1:26" ht="14.25" customHeight="1">
      <c r="A984" s="472"/>
      <c r="B984" s="472"/>
      <c r="C984" s="472"/>
      <c r="D984" s="472"/>
      <c r="E984" s="472"/>
      <c r="F984" s="472"/>
      <c r="G984" s="472"/>
      <c r="H984" s="472"/>
      <c r="I984" s="472"/>
      <c r="J984" s="472"/>
      <c r="K984" s="471"/>
      <c r="L984" s="472"/>
      <c r="M984" s="472"/>
      <c r="N984" s="472"/>
      <c r="O984" s="472"/>
      <c r="P984" s="472"/>
      <c r="Q984" s="472"/>
      <c r="R984" s="472"/>
      <c r="S984" s="472"/>
      <c r="T984" s="472"/>
      <c r="U984" s="472"/>
      <c r="V984" s="472"/>
      <c r="W984" s="472"/>
      <c r="X984" s="472"/>
      <c r="Y984" s="472"/>
      <c r="Z984" s="472"/>
    </row>
    <row r="985" spans="1:26" ht="14.25" customHeight="1">
      <c r="A985" s="472"/>
      <c r="B985" s="472"/>
      <c r="C985" s="472"/>
      <c r="D985" s="472"/>
      <c r="E985" s="472"/>
      <c r="F985" s="472"/>
      <c r="G985" s="472"/>
      <c r="H985" s="472"/>
      <c r="I985" s="472"/>
      <c r="J985" s="472"/>
      <c r="K985" s="471"/>
      <c r="L985" s="472"/>
      <c r="M985" s="472"/>
      <c r="N985" s="472"/>
      <c r="O985" s="472"/>
      <c r="P985" s="472"/>
      <c r="Q985" s="472"/>
      <c r="R985" s="472"/>
      <c r="S985" s="472"/>
      <c r="T985" s="472"/>
      <c r="U985" s="472"/>
      <c r="V985" s="472"/>
      <c r="W985" s="472"/>
      <c r="X985" s="472"/>
      <c r="Y985" s="472"/>
      <c r="Z985" s="472"/>
    </row>
    <row r="986" spans="1:26" ht="14.25" customHeight="1">
      <c r="A986" s="472"/>
      <c r="B986" s="472"/>
      <c r="C986" s="472"/>
      <c r="D986" s="472"/>
      <c r="E986" s="472"/>
      <c r="F986" s="472"/>
      <c r="G986" s="472"/>
      <c r="H986" s="472"/>
      <c r="I986" s="472"/>
      <c r="J986" s="472"/>
      <c r="K986" s="471"/>
      <c r="L986" s="472"/>
      <c r="M986" s="472"/>
      <c r="N986" s="472"/>
      <c r="O986" s="472"/>
      <c r="P986" s="472"/>
      <c r="Q986" s="472"/>
      <c r="R986" s="472"/>
      <c r="S986" s="472"/>
      <c r="T986" s="472"/>
      <c r="U986" s="472"/>
      <c r="V986" s="472"/>
      <c r="W986" s="472"/>
      <c r="X986" s="472"/>
      <c r="Y986" s="472"/>
      <c r="Z986" s="472"/>
    </row>
    <row r="987" spans="1:26" ht="14.25" customHeight="1">
      <c r="A987" s="472"/>
      <c r="B987" s="472"/>
      <c r="C987" s="472"/>
      <c r="D987" s="472"/>
      <c r="E987" s="472"/>
      <c r="F987" s="472"/>
      <c r="G987" s="472"/>
      <c r="H987" s="472"/>
      <c r="I987" s="472"/>
      <c r="J987" s="472"/>
      <c r="K987" s="471"/>
      <c r="L987" s="472"/>
      <c r="M987" s="472"/>
      <c r="N987" s="472"/>
      <c r="O987" s="472"/>
      <c r="P987" s="472"/>
      <c r="Q987" s="472"/>
      <c r="R987" s="472"/>
      <c r="S987" s="472"/>
      <c r="T987" s="472"/>
      <c r="U987" s="472"/>
      <c r="V987" s="472"/>
      <c r="W987" s="472"/>
      <c r="X987" s="472"/>
      <c r="Y987" s="472"/>
      <c r="Z987" s="472"/>
    </row>
    <row r="988" spans="1:26" ht="14.25" customHeight="1">
      <c r="A988" s="472"/>
      <c r="B988" s="472"/>
      <c r="C988" s="472"/>
      <c r="D988" s="472"/>
      <c r="E988" s="472"/>
      <c r="F988" s="472"/>
      <c r="G988" s="472"/>
      <c r="H988" s="472"/>
      <c r="I988" s="472"/>
      <c r="J988" s="472"/>
      <c r="K988" s="471"/>
      <c r="L988" s="472"/>
      <c r="M988" s="472"/>
      <c r="N988" s="472"/>
      <c r="O988" s="472"/>
      <c r="P988" s="472"/>
      <c r="Q988" s="472"/>
      <c r="R988" s="472"/>
      <c r="S988" s="472"/>
      <c r="T988" s="472"/>
      <c r="U988" s="472"/>
      <c r="V988" s="472"/>
      <c r="W988" s="472"/>
      <c r="X988" s="472"/>
      <c r="Y988" s="472"/>
      <c r="Z988" s="472"/>
    </row>
    <row r="989" spans="1:26" ht="14.25" customHeight="1">
      <c r="A989" s="472"/>
      <c r="B989" s="472"/>
      <c r="C989" s="472"/>
      <c r="D989" s="472"/>
      <c r="E989" s="472"/>
      <c r="F989" s="472"/>
      <c r="G989" s="472"/>
      <c r="H989" s="472"/>
      <c r="I989" s="472"/>
      <c r="J989" s="472"/>
      <c r="K989" s="471"/>
      <c r="L989" s="472"/>
      <c r="M989" s="472"/>
      <c r="N989" s="472"/>
      <c r="O989" s="472"/>
      <c r="P989" s="472"/>
      <c r="Q989" s="472"/>
      <c r="R989" s="472"/>
      <c r="S989" s="472"/>
      <c r="T989" s="472"/>
      <c r="U989" s="472"/>
      <c r="V989" s="472"/>
      <c r="W989" s="472"/>
      <c r="X989" s="472"/>
      <c r="Y989" s="472"/>
      <c r="Z989" s="472"/>
    </row>
    <row r="990" spans="1:26" ht="14.25" customHeight="1">
      <c r="A990" s="472"/>
      <c r="B990" s="472"/>
      <c r="C990" s="472"/>
      <c r="D990" s="472"/>
      <c r="E990" s="472"/>
      <c r="F990" s="472"/>
      <c r="G990" s="472"/>
      <c r="H990" s="472"/>
      <c r="I990" s="472"/>
      <c r="J990" s="472"/>
      <c r="K990" s="471"/>
      <c r="L990" s="472"/>
      <c r="M990" s="472"/>
      <c r="N990" s="472"/>
      <c r="O990" s="472"/>
      <c r="P990" s="472"/>
      <c r="Q990" s="472"/>
      <c r="R990" s="472"/>
      <c r="S990" s="472"/>
      <c r="T990" s="472"/>
      <c r="U990" s="472"/>
      <c r="V990" s="472"/>
      <c r="W990" s="472"/>
      <c r="X990" s="472"/>
      <c r="Y990" s="472"/>
      <c r="Z990" s="472"/>
    </row>
    <row r="991" spans="1:26" ht="14.25" customHeight="1">
      <c r="A991" s="472"/>
      <c r="B991" s="472"/>
      <c r="C991" s="472"/>
      <c r="D991" s="472"/>
      <c r="E991" s="472"/>
      <c r="F991" s="472"/>
      <c r="G991" s="472"/>
      <c r="H991" s="472"/>
      <c r="I991" s="472"/>
      <c r="J991" s="472"/>
      <c r="K991" s="471"/>
      <c r="L991" s="472"/>
      <c r="M991" s="472"/>
      <c r="N991" s="472"/>
      <c r="O991" s="472"/>
      <c r="P991" s="472"/>
      <c r="Q991" s="472"/>
      <c r="R991" s="472"/>
      <c r="S991" s="472"/>
      <c r="T991" s="472"/>
      <c r="U991" s="472"/>
      <c r="V991" s="472"/>
      <c r="W991" s="472"/>
      <c r="X991" s="472"/>
      <c r="Y991" s="472"/>
      <c r="Z991" s="472"/>
    </row>
    <row r="992" spans="1:26" ht="14.25" customHeight="1">
      <c r="A992" s="472"/>
      <c r="B992" s="472"/>
      <c r="C992" s="472"/>
      <c r="D992" s="472"/>
      <c r="E992" s="472"/>
      <c r="F992" s="472"/>
      <c r="G992" s="472"/>
      <c r="H992" s="472"/>
      <c r="I992" s="472"/>
      <c r="J992" s="472"/>
      <c r="K992" s="471"/>
      <c r="L992" s="472"/>
      <c r="M992" s="472"/>
      <c r="N992" s="472"/>
      <c r="O992" s="472"/>
      <c r="P992" s="472"/>
      <c r="Q992" s="472"/>
      <c r="R992" s="472"/>
      <c r="S992" s="472"/>
      <c r="T992" s="472"/>
      <c r="U992" s="472"/>
      <c r="V992" s="472"/>
      <c r="W992" s="472"/>
      <c r="X992" s="472"/>
      <c r="Y992" s="472"/>
      <c r="Z992" s="472"/>
    </row>
    <row r="993" spans="1:26" ht="14.25" customHeight="1">
      <c r="A993" s="472"/>
      <c r="B993" s="472"/>
      <c r="C993" s="472"/>
      <c r="D993" s="472"/>
      <c r="E993" s="472"/>
      <c r="F993" s="472"/>
      <c r="G993" s="472"/>
      <c r="H993" s="472"/>
      <c r="I993" s="472"/>
      <c r="J993" s="472"/>
      <c r="K993" s="471"/>
      <c r="L993" s="472"/>
      <c r="M993" s="472"/>
      <c r="N993" s="472"/>
      <c r="O993" s="472"/>
      <c r="P993" s="472"/>
      <c r="Q993" s="472"/>
      <c r="R993" s="472"/>
      <c r="S993" s="472"/>
      <c r="T993" s="472"/>
      <c r="U993" s="472"/>
      <c r="V993" s="472"/>
      <c r="W993" s="472"/>
      <c r="X993" s="472"/>
      <c r="Y993" s="472"/>
      <c r="Z993" s="472"/>
    </row>
    <row r="994" spans="1:26" ht="14.25" customHeight="1">
      <c r="A994" s="472"/>
      <c r="B994" s="472"/>
      <c r="C994" s="472"/>
      <c r="D994" s="472"/>
      <c r="E994" s="472"/>
      <c r="F994" s="472"/>
      <c r="G994" s="472"/>
      <c r="H994" s="472"/>
      <c r="I994" s="472"/>
      <c r="J994" s="472"/>
      <c r="K994" s="471"/>
      <c r="L994" s="472"/>
      <c r="M994" s="472"/>
      <c r="N994" s="472"/>
      <c r="O994" s="472"/>
      <c r="P994" s="472"/>
      <c r="Q994" s="472"/>
      <c r="R994" s="472"/>
      <c r="S994" s="472"/>
      <c r="T994" s="472"/>
      <c r="U994" s="472"/>
      <c r="V994" s="472"/>
      <c r="W994" s="472"/>
      <c r="X994" s="472"/>
      <c r="Y994" s="472"/>
      <c r="Z994" s="472"/>
    </row>
    <row r="995" spans="1:26" ht="14.25" customHeight="1">
      <c r="A995" s="472"/>
      <c r="B995" s="472"/>
      <c r="C995" s="472"/>
      <c r="D995" s="472"/>
      <c r="E995" s="472"/>
      <c r="F995" s="472"/>
      <c r="G995" s="472"/>
      <c r="H995" s="472"/>
      <c r="I995" s="472"/>
      <c r="J995" s="472"/>
      <c r="K995" s="471"/>
      <c r="L995" s="472"/>
      <c r="M995" s="472"/>
      <c r="N995" s="472"/>
      <c r="O995" s="472"/>
      <c r="P995" s="472"/>
      <c r="Q995" s="472"/>
      <c r="R995" s="472"/>
      <c r="S995" s="472"/>
      <c r="T995" s="472"/>
      <c r="U995" s="472"/>
      <c r="V995" s="472"/>
      <c r="W995" s="472"/>
      <c r="X995" s="472"/>
      <c r="Y995" s="472"/>
      <c r="Z995" s="472"/>
    </row>
    <row r="996" spans="1:26" ht="14.25" customHeight="1">
      <c r="A996" s="472"/>
      <c r="B996" s="472"/>
      <c r="C996" s="472"/>
      <c r="D996" s="472"/>
      <c r="E996" s="472"/>
      <c r="F996" s="472"/>
      <c r="G996" s="472"/>
      <c r="H996" s="472"/>
      <c r="I996" s="472"/>
      <c r="J996" s="472"/>
      <c r="K996" s="471"/>
      <c r="L996" s="472"/>
      <c r="M996" s="472"/>
      <c r="N996" s="472"/>
      <c r="O996" s="472"/>
      <c r="P996" s="472"/>
      <c r="Q996" s="472"/>
      <c r="R996" s="472"/>
      <c r="S996" s="472"/>
      <c r="T996" s="472"/>
      <c r="U996" s="472"/>
      <c r="V996" s="472"/>
      <c r="W996" s="472"/>
      <c r="X996" s="472"/>
      <c r="Y996" s="472"/>
      <c r="Z996" s="472"/>
    </row>
    <row r="997" spans="1:26" ht="14.25" customHeight="1">
      <c r="A997" s="472"/>
      <c r="B997" s="472"/>
      <c r="C997" s="472"/>
      <c r="D997" s="472"/>
      <c r="E997" s="472"/>
      <c r="F997" s="472"/>
      <c r="G997" s="472"/>
      <c r="H997" s="472"/>
      <c r="I997" s="472"/>
      <c r="J997" s="472"/>
      <c r="K997" s="471"/>
      <c r="L997" s="472"/>
      <c r="M997" s="472"/>
      <c r="N997" s="472"/>
      <c r="O997" s="472"/>
      <c r="P997" s="472"/>
      <c r="Q997" s="472"/>
      <c r="R997" s="472"/>
      <c r="S997" s="472"/>
      <c r="T997" s="472"/>
      <c r="U997" s="472"/>
      <c r="V997" s="472"/>
      <c r="W997" s="472"/>
      <c r="X997" s="472"/>
      <c r="Y997" s="472"/>
      <c r="Z997" s="472"/>
    </row>
    <row r="998" spans="1:26" ht="14.25" customHeight="1">
      <c r="A998" s="472"/>
      <c r="B998" s="472"/>
      <c r="C998" s="472"/>
      <c r="D998" s="472"/>
      <c r="E998" s="472"/>
      <c r="F998" s="472"/>
      <c r="G998" s="472"/>
      <c r="H998" s="472"/>
      <c r="I998" s="472"/>
      <c r="J998" s="472"/>
      <c r="K998" s="471"/>
      <c r="L998" s="472"/>
      <c r="M998" s="472"/>
      <c r="N998" s="472"/>
      <c r="O998" s="472"/>
      <c r="P998" s="472"/>
      <c r="Q998" s="472"/>
      <c r="R998" s="472"/>
      <c r="S998" s="472"/>
      <c r="T998" s="472"/>
      <c r="U998" s="472"/>
      <c r="V998" s="472"/>
      <c r="W998" s="472"/>
      <c r="X998" s="472"/>
      <c r="Y998" s="472"/>
      <c r="Z998" s="472"/>
    </row>
    <row r="999" spans="1:26" ht="14.25" customHeight="1">
      <c r="A999" s="472"/>
      <c r="B999" s="472"/>
      <c r="C999" s="472"/>
      <c r="D999" s="472"/>
      <c r="E999" s="472"/>
      <c r="F999" s="472"/>
      <c r="G999" s="472"/>
      <c r="H999" s="472"/>
      <c r="I999" s="472"/>
      <c r="J999" s="472"/>
      <c r="K999" s="471"/>
      <c r="L999" s="472"/>
      <c r="M999" s="472"/>
      <c r="N999" s="472"/>
      <c r="O999" s="472"/>
      <c r="P999" s="472"/>
      <c r="Q999" s="472"/>
      <c r="R999" s="472"/>
      <c r="S999" s="472"/>
      <c r="T999" s="472"/>
      <c r="U999" s="472"/>
      <c r="V999" s="472"/>
      <c r="W999" s="472"/>
      <c r="X999" s="472"/>
      <c r="Y999" s="472"/>
      <c r="Z999" s="472"/>
    </row>
    <row r="1000" spans="1:26" ht="14.25" customHeight="1">
      <c r="A1000" s="472"/>
      <c r="B1000" s="472"/>
      <c r="C1000" s="472"/>
      <c r="D1000" s="472"/>
      <c r="E1000" s="472"/>
      <c r="F1000" s="472"/>
      <c r="G1000" s="472"/>
      <c r="H1000" s="472"/>
      <c r="I1000" s="472"/>
      <c r="J1000" s="472"/>
      <c r="K1000" s="471"/>
      <c r="L1000" s="472"/>
      <c r="M1000" s="472"/>
      <c r="N1000" s="472"/>
      <c r="O1000" s="472"/>
      <c r="P1000" s="472"/>
      <c r="Q1000" s="472"/>
      <c r="R1000" s="472"/>
      <c r="S1000" s="472"/>
      <c r="T1000" s="472"/>
      <c r="U1000" s="472"/>
      <c r="V1000" s="472"/>
      <c r="W1000" s="472"/>
      <c r="X1000" s="472"/>
      <c r="Y1000" s="472"/>
      <c r="Z1000" s="472"/>
    </row>
  </sheetData>
  <customSheetViews>
    <customSheetView guid="{57D4A208-C97E-4F24-BF45-BC698B192FEC}" filter="1" showAutoFilter="1">
      <pageMargins left="0.7" right="0.7" top="0.75" bottom="0.75" header="0.3" footer="0.3"/>
      <autoFilter ref="L19:U54" xr:uid="{E7C8FCF6-713D-42E5-9BF1-BD2B007ACE67}"/>
    </customSheetView>
  </customSheetViews>
  <mergeCells count="44">
    <mergeCell ref="A1:J1"/>
    <mergeCell ref="B8:E8"/>
    <mergeCell ref="G8:I8"/>
    <mergeCell ref="B9:D9"/>
    <mergeCell ref="G9:H9"/>
    <mergeCell ref="B10:D10"/>
    <mergeCell ref="B11:D11"/>
    <mergeCell ref="C22:C23"/>
    <mergeCell ref="D22:D23"/>
    <mergeCell ref="E22:E23"/>
    <mergeCell ref="F22:F23"/>
    <mergeCell ref="G22:G23"/>
    <mergeCell ref="C29:D29"/>
    <mergeCell ref="C39:H41"/>
    <mergeCell ref="B12:D12"/>
    <mergeCell ref="B13:D13"/>
    <mergeCell ref="B14:D14"/>
    <mergeCell ref="B15:D15"/>
    <mergeCell ref="B16:D16"/>
    <mergeCell ref="B17:D17"/>
    <mergeCell ref="B18:D18"/>
    <mergeCell ref="G17:H17"/>
    <mergeCell ref="G10:H10"/>
    <mergeCell ref="G11:H11"/>
    <mergeCell ref="G13:I13"/>
    <mergeCell ref="G14:H14"/>
    <mergeCell ref="G16:H16"/>
    <mergeCell ref="L83:M83"/>
    <mergeCell ref="L84:M84"/>
    <mergeCell ref="L85:M85"/>
    <mergeCell ref="C87:F88"/>
    <mergeCell ref="M87:N87"/>
    <mergeCell ref="M88:N88"/>
    <mergeCell ref="M89:N89"/>
    <mergeCell ref="M90:N90"/>
    <mergeCell ref="C144:F147"/>
    <mergeCell ref="C160:F161"/>
    <mergeCell ref="M91:N91"/>
    <mergeCell ref="M92:N92"/>
    <mergeCell ref="M93:N93"/>
    <mergeCell ref="M94:N94"/>
    <mergeCell ref="C133:F134"/>
    <mergeCell ref="G136:H138"/>
    <mergeCell ref="C140:F142"/>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3">
      <formula>$M20=0</formula>
    </cfRule>
  </conditionalFormatting>
  <conditionalFormatting sqref="Q20:Q54">
    <cfRule type="expression" dxfId="2" priority="4">
      <formula>NOT($G$37)</formula>
    </cfRule>
    <cfRule type="expression" dxfId="1" priority="5">
      <formula>AND($G$37,$G$38,$G$38&lt;&gt;"")</formula>
    </cfRule>
  </conditionalFormatting>
  <conditionalFormatting sqref="U20:U54">
    <cfRule type="cellIs" dxfId="0" priority="6" operator="equal">
      <formula>"FALSE"</formula>
    </cfRule>
  </conditionalFormatting>
  <dataValidations count="3">
    <dataValidation type="list" allowBlank="1" showErrorMessage="1" sqref="G118:G121 G134 G141 G145 G161" xr:uid="{00000000-0002-0000-0900-000000000000}">
      <formula1>"Yes"</formula1>
    </dataValidation>
    <dataValidation type="list" allowBlank="1" showErrorMessage="1" sqref="G83 G85 G87 G98" xr:uid="{00000000-0002-0000-0900-000001000000}">
      <formula1>"Yes,No"</formula1>
    </dataValidation>
    <dataValidation type="list" allowBlank="1" showErrorMessage="1" sqref="G38" xr:uid="{00000000-0002-0000-0900-000002000000}">
      <formula1>"TRUE,FALSE"</formula1>
    </dataValidation>
  </dataValidations>
  <printOptions horizontalCentered="1"/>
  <pageMargins left="0.45" right="0.45" top="0.5" bottom="0.25" header="0" footer="0"/>
  <pageSetup orientation="portrait"/>
  <headerFooter>
    <oddFooter>&amp;C&amp;P</oddFooter>
  </headerFooter>
  <rowBreaks count="1" manualBreakCount="1">
    <brk id="105" man="1"/>
  </rowBreaks>
  <colBreaks count="1" manualBreakCount="1">
    <brk id="9" man="1"/>
  </colBreaks>
  <legacy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showGridLines="0" workbookViewId="0"/>
  </sheetViews>
  <sheetFormatPr defaultColWidth="12.6328125" defaultRowHeight="15" customHeight="1"/>
  <cols>
    <col min="1" max="2" width="15.7265625" customWidth="1"/>
    <col min="3" max="3" width="11" customWidth="1"/>
    <col min="4" max="4" width="15.7265625" customWidth="1"/>
    <col min="5" max="5" width="3.7265625" customWidth="1"/>
    <col min="6" max="7" width="15.7265625" customWidth="1"/>
    <col min="8" max="8" width="3.7265625" customWidth="1"/>
    <col min="9" max="10" width="15.7265625" customWidth="1"/>
    <col min="11" max="11" width="3.26953125" customWidth="1"/>
    <col min="12" max="12" width="15.7265625" customWidth="1"/>
    <col min="13" max="26" width="9.08984375" customWidth="1"/>
  </cols>
  <sheetData>
    <row r="1" spans="1:26" ht="14.25" customHeight="1">
      <c r="A1" s="1502" t="s">
        <v>2453</v>
      </c>
      <c r="B1" s="961"/>
      <c r="C1" s="961"/>
      <c r="D1" s="961"/>
      <c r="E1" s="961"/>
      <c r="F1" s="961"/>
      <c r="G1" s="961"/>
      <c r="H1" s="961"/>
      <c r="I1" s="961"/>
      <c r="J1" s="961"/>
      <c r="K1" s="1"/>
      <c r="L1" s="1"/>
      <c r="M1" s="472"/>
      <c r="N1" s="472"/>
      <c r="O1" s="472"/>
      <c r="P1" s="472"/>
      <c r="Q1" s="472"/>
      <c r="R1" s="472"/>
      <c r="S1" s="472"/>
      <c r="T1" s="472"/>
      <c r="U1" s="472"/>
      <c r="V1" s="472"/>
      <c r="W1" s="472"/>
      <c r="X1" s="472"/>
      <c r="Y1" s="472"/>
      <c r="Z1" s="472"/>
    </row>
    <row r="2" spans="1:26" ht="14.25" customHeight="1">
      <c r="A2" s="472"/>
      <c r="B2" s="472"/>
      <c r="C2" s="472"/>
      <c r="D2" s="472"/>
      <c r="E2" s="472"/>
      <c r="F2" s="472"/>
      <c r="G2" s="472"/>
      <c r="H2" s="472"/>
      <c r="I2" s="472"/>
      <c r="J2" s="472"/>
      <c r="K2" s="472"/>
      <c r="L2" s="472"/>
      <c r="M2" s="472"/>
      <c r="N2" s="472"/>
      <c r="O2" s="472"/>
      <c r="P2" s="472"/>
      <c r="Q2" s="472"/>
      <c r="R2" s="472"/>
      <c r="S2" s="472"/>
      <c r="T2" s="472"/>
      <c r="U2" s="472"/>
      <c r="V2" s="472"/>
      <c r="W2" s="472"/>
      <c r="X2" s="472"/>
      <c r="Y2" s="472"/>
      <c r="Z2" s="472"/>
    </row>
    <row r="3" spans="1:26" ht="14.25" customHeight="1">
      <c r="A3" s="738" t="s">
        <v>2454</v>
      </c>
      <c r="B3" s="738" t="s">
        <v>2455</v>
      </c>
      <c r="C3" s="738" t="s">
        <v>2456</v>
      </c>
      <c r="D3" s="738" t="s">
        <v>2457</v>
      </c>
      <c r="E3" s="1"/>
      <c r="F3" s="738" t="s">
        <v>2458</v>
      </c>
      <c r="G3" s="738" t="s">
        <v>2459</v>
      </c>
      <c r="H3" s="740"/>
      <c r="I3" s="738" t="s">
        <v>2460</v>
      </c>
      <c r="J3" s="738" t="s">
        <v>2461</v>
      </c>
      <c r="K3" s="1"/>
      <c r="L3" s="472"/>
      <c r="M3" s="472"/>
      <c r="N3" s="472"/>
      <c r="O3" s="472"/>
      <c r="P3" s="472"/>
      <c r="Q3" s="472"/>
      <c r="R3" s="472"/>
      <c r="S3" s="472"/>
      <c r="T3" s="472"/>
      <c r="U3" s="472"/>
      <c r="V3" s="472"/>
      <c r="W3" s="472"/>
      <c r="X3" s="472"/>
      <c r="Y3" s="472"/>
      <c r="Z3" s="472"/>
    </row>
    <row r="4" spans="1:26" ht="14.25" customHeight="1">
      <c r="A4" s="741" t="str">
        <f>Application!B726</f>
        <v>1 Bedroom</v>
      </c>
      <c r="B4" s="742">
        <f>Application!G726</f>
        <v>8</v>
      </c>
      <c r="C4" s="743"/>
      <c r="D4" s="741">
        <f>Application!O726</f>
        <v>880</v>
      </c>
      <c r="E4" s="744"/>
      <c r="F4" s="746"/>
      <c r="G4" s="741">
        <f t="shared" ref="G4:G38" si="0">F4*B4</f>
        <v>0</v>
      </c>
      <c r="H4" s="744"/>
      <c r="I4" s="741" t="str">
        <f t="shared" ref="I4:I38" si="1">IF(F4=0,"",MAX((F4-D4),0))</f>
        <v/>
      </c>
      <c r="J4" s="741" t="str">
        <f t="shared" ref="J4:J38" si="2">IF(F4=0,"",(I4*B4))</f>
        <v/>
      </c>
      <c r="K4" s="1"/>
      <c r="L4" s="472"/>
      <c r="M4" s="472"/>
      <c r="N4" s="472"/>
      <c r="O4" s="472"/>
      <c r="P4" s="472"/>
      <c r="Q4" s="472"/>
      <c r="R4" s="472"/>
      <c r="S4" s="472"/>
      <c r="T4" s="472"/>
      <c r="U4" s="472"/>
      <c r="V4" s="472"/>
      <c r="W4" s="472"/>
      <c r="X4" s="472"/>
      <c r="Y4" s="472"/>
      <c r="Z4" s="472"/>
    </row>
    <row r="5" spans="1:26" ht="14.25" customHeight="1">
      <c r="A5" s="741" t="str">
        <f>Application!B727</f>
        <v>1 Bedroom</v>
      </c>
      <c r="B5" s="742">
        <f>Application!G727</f>
        <v>8</v>
      </c>
      <c r="C5" s="743"/>
      <c r="D5" s="741">
        <f>Application!O727</f>
        <v>1536</v>
      </c>
      <c r="E5" s="744"/>
      <c r="F5" s="746"/>
      <c r="G5" s="741">
        <f t="shared" si="0"/>
        <v>0</v>
      </c>
      <c r="H5" s="744"/>
      <c r="I5" s="741" t="str">
        <f t="shared" si="1"/>
        <v/>
      </c>
      <c r="J5" s="741" t="str">
        <f t="shared" si="2"/>
        <v/>
      </c>
      <c r="K5" s="1"/>
      <c r="L5" s="472"/>
      <c r="M5" s="472"/>
      <c r="N5" s="472"/>
      <c r="O5" s="472"/>
      <c r="P5" s="472"/>
      <c r="Q5" s="472"/>
      <c r="R5" s="472"/>
      <c r="S5" s="472"/>
      <c r="T5" s="472"/>
      <c r="U5" s="472"/>
      <c r="V5" s="472"/>
      <c r="W5" s="472"/>
      <c r="X5" s="472"/>
      <c r="Y5" s="472"/>
      <c r="Z5" s="472"/>
    </row>
    <row r="6" spans="1:26" ht="14.25" customHeight="1">
      <c r="A6" s="741" t="str">
        <f>Application!B728</f>
        <v>1 Bedroom</v>
      </c>
      <c r="B6" s="742">
        <f>Application!G728</f>
        <v>64</v>
      </c>
      <c r="C6" s="743"/>
      <c r="D6" s="741">
        <f>Application!O728</f>
        <v>1864</v>
      </c>
      <c r="E6" s="744"/>
      <c r="F6" s="746"/>
      <c r="G6" s="741">
        <f t="shared" si="0"/>
        <v>0</v>
      </c>
      <c r="H6" s="744"/>
      <c r="I6" s="741" t="str">
        <f t="shared" si="1"/>
        <v/>
      </c>
      <c r="J6" s="741" t="str">
        <f t="shared" si="2"/>
        <v/>
      </c>
      <c r="K6" s="1"/>
      <c r="L6" s="472"/>
      <c r="M6" s="472"/>
      <c r="N6" s="472"/>
      <c r="O6" s="472"/>
      <c r="P6" s="472"/>
      <c r="Q6" s="472"/>
      <c r="R6" s="472"/>
      <c r="S6" s="472"/>
      <c r="T6" s="472"/>
      <c r="U6" s="472"/>
      <c r="V6" s="472"/>
      <c r="W6" s="472"/>
      <c r="X6" s="472"/>
      <c r="Y6" s="472"/>
      <c r="Z6" s="472"/>
    </row>
    <row r="7" spans="1:26" ht="14.25" customHeight="1">
      <c r="A7" s="741" t="e">
        <f>Application!#REF!</f>
        <v>#REF!</v>
      </c>
      <c r="B7" s="742" t="e">
        <f>Application!#REF!</f>
        <v>#REF!</v>
      </c>
      <c r="C7" s="743"/>
      <c r="D7" s="741" t="e">
        <f>Application!#REF!</f>
        <v>#REF!</v>
      </c>
      <c r="E7" s="744"/>
      <c r="F7" s="746"/>
      <c r="G7" s="741" t="e">
        <f t="shared" si="0"/>
        <v>#REF!</v>
      </c>
      <c r="H7" s="744"/>
      <c r="I7" s="741" t="str">
        <f t="shared" si="1"/>
        <v/>
      </c>
      <c r="J7" s="741" t="str">
        <f t="shared" si="2"/>
        <v/>
      </c>
      <c r="K7" s="1"/>
      <c r="L7" s="472"/>
      <c r="M7" s="472"/>
      <c r="N7" s="472"/>
      <c r="O7" s="472"/>
      <c r="P7" s="472"/>
      <c r="Q7" s="472"/>
      <c r="R7" s="472"/>
      <c r="S7" s="472"/>
      <c r="T7" s="472"/>
      <c r="U7" s="472"/>
      <c r="V7" s="472"/>
      <c r="W7" s="472"/>
      <c r="X7" s="472"/>
      <c r="Y7" s="472"/>
      <c r="Z7" s="472"/>
    </row>
    <row r="8" spans="1:26" ht="14.25" customHeight="1">
      <c r="A8" s="741" t="str">
        <f>Application!B729</f>
        <v>2 Bedrooms</v>
      </c>
      <c r="B8" s="742">
        <f>Application!G729</f>
        <v>6</v>
      </c>
      <c r="C8" s="743"/>
      <c r="D8" s="741">
        <f>Application!O729</f>
        <v>1043</v>
      </c>
      <c r="E8" s="744"/>
      <c r="F8" s="746"/>
      <c r="G8" s="741">
        <f t="shared" si="0"/>
        <v>0</v>
      </c>
      <c r="H8" s="744"/>
      <c r="I8" s="741" t="str">
        <f t="shared" si="1"/>
        <v/>
      </c>
      <c r="J8" s="741" t="str">
        <f t="shared" si="2"/>
        <v/>
      </c>
      <c r="K8" s="1"/>
      <c r="L8" s="472"/>
      <c r="M8" s="472"/>
      <c r="N8" s="472"/>
      <c r="O8" s="472"/>
      <c r="P8" s="472"/>
      <c r="Q8" s="472"/>
      <c r="R8" s="472"/>
      <c r="S8" s="472"/>
      <c r="T8" s="472"/>
      <c r="U8" s="472"/>
      <c r="V8" s="472"/>
      <c r="W8" s="472"/>
      <c r="X8" s="472"/>
      <c r="Y8" s="472"/>
      <c r="Z8" s="472"/>
    </row>
    <row r="9" spans="1:26" ht="14.25" customHeight="1">
      <c r="A9" s="741" t="str">
        <f>Application!B730</f>
        <v>2 Bedrooms</v>
      </c>
      <c r="B9" s="742">
        <f>Application!G730</f>
        <v>6</v>
      </c>
      <c r="C9" s="743"/>
      <c r="D9" s="741">
        <f>Application!O730</f>
        <v>1830</v>
      </c>
      <c r="E9" s="744"/>
      <c r="F9" s="746"/>
      <c r="G9" s="741">
        <f t="shared" si="0"/>
        <v>0</v>
      </c>
      <c r="H9" s="744"/>
      <c r="I9" s="741" t="str">
        <f t="shared" si="1"/>
        <v/>
      </c>
      <c r="J9" s="741" t="str">
        <f t="shared" si="2"/>
        <v/>
      </c>
      <c r="K9" s="1"/>
      <c r="L9" s="472"/>
      <c r="M9" s="472"/>
      <c r="N9" s="472"/>
      <c r="O9" s="472"/>
      <c r="P9" s="472"/>
      <c r="Q9" s="472"/>
      <c r="R9" s="472"/>
      <c r="S9" s="472"/>
      <c r="T9" s="472"/>
      <c r="U9" s="472"/>
      <c r="V9" s="472"/>
      <c r="W9" s="472"/>
      <c r="X9" s="472"/>
      <c r="Y9" s="472"/>
      <c r="Z9" s="472"/>
    </row>
    <row r="10" spans="1:26" ht="14.25" customHeight="1">
      <c r="A10" s="741" t="str">
        <f>Application!B731</f>
        <v>2 Bedrooms</v>
      </c>
      <c r="B10" s="742">
        <f>Application!G731</f>
        <v>39</v>
      </c>
      <c r="C10" s="743"/>
      <c r="D10" s="741">
        <f>Application!O731</f>
        <v>2224</v>
      </c>
      <c r="E10" s="744"/>
      <c r="F10" s="746"/>
      <c r="G10" s="741">
        <f t="shared" si="0"/>
        <v>0</v>
      </c>
      <c r="H10" s="744"/>
      <c r="I10" s="741" t="str">
        <f t="shared" si="1"/>
        <v/>
      </c>
      <c r="J10" s="741" t="str">
        <f t="shared" si="2"/>
        <v/>
      </c>
      <c r="K10" s="1"/>
      <c r="L10" s="472"/>
      <c r="M10" s="472"/>
      <c r="N10" s="472"/>
      <c r="O10" s="472"/>
      <c r="P10" s="472"/>
      <c r="Q10" s="472"/>
      <c r="R10" s="472"/>
      <c r="S10" s="472"/>
      <c r="T10" s="472"/>
      <c r="U10" s="472"/>
      <c r="V10" s="472"/>
      <c r="W10" s="472"/>
      <c r="X10" s="472"/>
      <c r="Y10" s="472"/>
      <c r="Z10" s="472"/>
    </row>
    <row r="11" spans="1:26" ht="14.25" customHeight="1">
      <c r="A11" s="741" t="str">
        <f>Application!B732</f>
        <v>1 Bedroom</v>
      </c>
      <c r="B11" s="742">
        <f>Application!G732</f>
        <v>4</v>
      </c>
      <c r="C11" s="743"/>
      <c r="D11" s="741">
        <f>Application!O732</f>
        <v>880</v>
      </c>
      <c r="E11" s="744"/>
      <c r="F11" s="746"/>
      <c r="G11" s="741">
        <f t="shared" si="0"/>
        <v>0</v>
      </c>
      <c r="H11" s="744"/>
      <c r="I11" s="741" t="str">
        <f t="shared" si="1"/>
        <v/>
      </c>
      <c r="J11" s="741" t="str">
        <f t="shared" si="2"/>
        <v/>
      </c>
      <c r="K11" s="1"/>
      <c r="L11" s="472"/>
      <c r="M11" s="472"/>
      <c r="N11" s="472"/>
      <c r="O11" s="472"/>
      <c r="P11" s="472"/>
      <c r="Q11" s="472"/>
      <c r="R11" s="472"/>
      <c r="S11" s="472"/>
      <c r="T11" s="472"/>
      <c r="U11" s="472"/>
      <c r="V11" s="472"/>
      <c r="W11" s="472"/>
      <c r="X11" s="472"/>
      <c r="Y11" s="472"/>
      <c r="Z11" s="472"/>
    </row>
    <row r="12" spans="1:26" ht="14.25" customHeight="1">
      <c r="A12" s="741" t="str">
        <f>Application!B733</f>
        <v>1 Bedroom</v>
      </c>
      <c r="B12" s="742">
        <f>Application!G733</f>
        <v>4</v>
      </c>
      <c r="C12" s="743"/>
      <c r="D12" s="741">
        <f>Application!O733</f>
        <v>1536</v>
      </c>
      <c r="E12" s="744"/>
      <c r="F12" s="746"/>
      <c r="G12" s="741">
        <f t="shared" si="0"/>
        <v>0</v>
      </c>
      <c r="H12" s="744"/>
      <c r="I12" s="741" t="str">
        <f t="shared" si="1"/>
        <v/>
      </c>
      <c r="J12" s="741" t="str">
        <f t="shared" si="2"/>
        <v/>
      </c>
      <c r="K12" s="1"/>
      <c r="L12" s="472"/>
      <c r="M12" s="472"/>
      <c r="N12" s="472"/>
      <c r="O12" s="472"/>
      <c r="P12" s="472"/>
      <c r="Q12" s="472"/>
      <c r="R12" s="472"/>
      <c r="S12" s="472"/>
      <c r="T12" s="472"/>
      <c r="U12" s="472"/>
      <c r="V12" s="472"/>
      <c r="W12" s="472"/>
      <c r="X12" s="472"/>
      <c r="Y12" s="472"/>
      <c r="Z12" s="472"/>
    </row>
    <row r="13" spans="1:26" ht="14.25" customHeight="1">
      <c r="A13" s="741" t="str">
        <f>Application!B734</f>
        <v>1 Bedroom</v>
      </c>
      <c r="B13" s="742">
        <f>Application!G734</f>
        <v>31</v>
      </c>
      <c r="C13" s="743"/>
      <c r="D13" s="741">
        <f>Application!O734</f>
        <v>1864</v>
      </c>
      <c r="E13" s="744"/>
      <c r="F13" s="746"/>
      <c r="G13" s="741">
        <f t="shared" si="0"/>
        <v>0</v>
      </c>
      <c r="H13" s="744"/>
      <c r="I13" s="741" t="str">
        <f t="shared" si="1"/>
        <v/>
      </c>
      <c r="J13" s="741" t="str">
        <f t="shared" si="2"/>
        <v/>
      </c>
      <c r="K13" s="1"/>
      <c r="L13" s="472"/>
      <c r="M13" s="472"/>
      <c r="N13" s="472"/>
      <c r="O13" s="472"/>
      <c r="P13" s="472"/>
      <c r="Q13" s="472"/>
      <c r="R13" s="472"/>
      <c r="S13" s="472"/>
      <c r="T13" s="472"/>
      <c r="U13" s="472"/>
      <c r="V13" s="472"/>
      <c r="W13" s="472"/>
      <c r="X13" s="472"/>
      <c r="Y13" s="472"/>
      <c r="Z13" s="472"/>
    </row>
    <row r="14" spans="1:26" ht="14.25" customHeight="1">
      <c r="A14" s="741" t="e">
        <f>Application!#REF!</f>
        <v>#REF!</v>
      </c>
      <c r="B14" s="742" t="e">
        <f>Application!#REF!</f>
        <v>#REF!</v>
      </c>
      <c r="C14" s="743"/>
      <c r="D14" s="741" t="e">
        <f>Application!#REF!</f>
        <v>#REF!</v>
      </c>
      <c r="E14" s="744"/>
      <c r="F14" s="746"/>
      <c r="G14" s="741" t="e">
        <f t="shared" si="0"/>
        <v>#REF!</v>
      </c>
      <c r="H14" s="744"/>
      <c r="I14" s="741" t="str">
        <f t="shared" si="1"/>
        <v/>
      </c>
      <c r="J14" s="741" t="str">
        <f t="shared" si="2"/>
        <v/>
      </c>
      <c r="K14" s="1"/>
      <c r="L14" s="472"/>
      <c r="M14" s="472"/>
      <c r="N14" s="472"/>
      <c r="O14" s="472"/>
      <c r="P14" s="472"/>
      <c r="Q14" s="472"/>
      <c r="R14" s="472"/>
      <c r="S14" s="472"/>
      <c r="T14" s="472"/>
      <c r="U14" s="472"/>
      <c r="V14" s="472"/>
      <c r="W14" s="472"/>
      <c r="X14" s="472"/>
      <c r="Y14" s="472"/>
      <c r="Z14" s="472"/>
    </row>
    <row r="15" spans="1:26" ht="14.25" customHeight="1">
      <c r="A15" s="741" t="str">
        <f>Application!B735</f>
        <v>2 Bedrooms</v>
      </c>
      <c r="B15" s="742">
        <f>Application!G735</f>
        <v>2</v>
      </c>
      <c r="C15" s="743"/>
      <c r="D15" s="741">
        <f>Application!O735</f>
        <v>1043</v>
      </c>
      <c r="E15" s="744"/>
      <c r="F15" s="746"/>
      <c r="G15" s="741">
        <f t="shared" si="0"/>
        <v>0</v>
      </c>
      <c r="H15" s="744"/>
      <c r="I15" s="741" t="str">
        <f t="shared" si="1"/>
        <v/>
      </c>
      <c r="J15" s="741" t="str">
        <f t="shared" si="2"/>
        <v/>
      </c>
      <c r="K15" s="1"/>
      <c r="L15" s="472"/>
      <c r="M15" s="472"/>
      <c r="N15" s="472"/>
      <c r="O15" s="472"/>
      <c r="P15" s="472"/>
      <c r="Q15" s="472"/>
      <c r="R15" s="472"/>
      <c r="S15" s="472"/>
      <c r="T15" s="472"/>
      <c r="U15" s="472"/>
      <c r="V15" s="472"/>
      <c r="W15" s="472"/>
      <c r="X15" s="472"/>
      <c r="Y15" s="472"/>
      <c r="Z15" s="472"/>
    </row>
    <row r="16" spans="1:26" ht="14.25" customHeight="1">
      <c r="A16" s="741" t="str">
        <f>Application!B736</f>
        <v>2 Bedrooms</v>
      </c>
      <c r="B16" s="742">
        <f>Application!G736</f>
        <v>2</v>
      </c>
      <c r="C16" s="743"/>
      <c r="D16" s="741">
        <f>Application!O736</f>
        <v>1830</v>
      </c>
      <c r="E16" s="744"/>
      <c r="F16" s="746"/>
      <c r="G16" s="741">
        <f t="shared" si="0"/>
        <v>0</v>
      </c>
      <c r="H16" s="744"/>
      <c r="I16" s="741" t="str">
        <f t="shared" si="1"/>
        <v/>
      </c>
      <c r="J16" s="741" t="str">
        <f t="shared" si="2"/>
        <v/>
      </c>
      <c r="K16" s="1"/>
      <c r="L16" s="472"/>
      <c r="M16" s="472"/>
      <c r="N16" s="472"/>
      <c r="O16" s="472"/>
      <c r="P16" s="472"/>
      <c r="Q16" s="472"/>
      <c r="R16" s="472"/>
      <c r="S16" s="472"/>
      <c r="T16" s="472"/>
      <c r="U16" s="472"/>
      <c r="V16" s="472"/>
      <c r="W16" s="472"/>
      <c r="X16" s="472"/>
      <c r="Y16" s="472"/>
      <c r="Z16" s="472"/>
    </row>
    <row r="17" spans="1:26" ht="14.25" customHeight="1">
      <c r="A17" s="741" t="str">
        <f>Application!B737</f>
        <v>2 Bedrooms</v>
      </c>
      <c r="B17" s="742">
        <f>Application!G737</f>
        <v>13</v>
      </c>
      <c r="C17" s="743"/>
      <c r="D17" s="741">
        <f>Application!O737</f>
        <v>2224</v>
      </c>
      <c r="E17" s="744"/>
      <c r="F17" s="746"/>
      <c r="G17" s="741">
        <f t="shared" si="0"/>
        <v>0</v>
      </c>
      <c r="H17" s="744"/>
      <c r="I17" s="741" t="str">
        <f t="shared" si="1"/>
        <v/>
      </c>
      <c r="J17" s="741" t="str">
        <f t="shared" si="2"/>
        <v/>
      </c>
      <c r="K17" s="1"/>
      <c r="L17" s="472"/>
      <c r="M17" s="472"/>
      <c r="N17" s="472"/>
      <c r="O17" s="472"/>
      <c r="P17" s="472"/>
      <c r="Q17" s="472"/>
      <c r="R17" s="472"/>
      <c r="S17" s="472"/>
      <c r="T17" s="472"/>
      <c r="U17" s="472"/>
      <c r="V17" s="472"/>
      <c r="W17" s="472"/>
      <c r="X17" s="472"/>
      <c r="Y17" s="472"/>
      <c r="Z17" s="472"/>
    </row>
    <row r="18" spans="1:26" ht="14.25" customHeight="1">
      <c r="A18" s="741" t="str">
        <f>Application!B738</f>
        <v>3 Bedrooms</v>
      </c>
      <c r="B18" s="742">
        <f>Application!G738</f>
        <v>2</v>
      </c>
      <c r="C18" s="743"/>
      <c r="D18" s="741">
        <f>Application!O738</f>
        <v>1186</v>
      </c>
      <c r="E18" s="744"/>
      <c r="F18" s="746"/>
      <c r="G18" s="741">
        <f t="shared" si="0"/>
        <v>0</v>
      </c>
      <c r="H18" s="744"/>
      <c r="I18" s="741" t="str">
        <f t="shared" si="1"/>
        <v/>
      </c>
      <c r="J18" s="741" t="str">
        <f t="shared" si="2"/>
        <v/>
      </c>
      <c r="K18" s="1"/>
      <c r="L18" s="472"/>
      <c r="M18" s="472"/>
      <c r="N18" s="472"/>
      <c r="O18" s="472"/>
      <c r="P18" s="472"/>
      <c r="Q18" s="472"/>
      <c r="R18" s="472"/>
      <c r="S18" s="472"/>
      <c r="T18" s="472"/>
      <c r="U18" s="472"/>
      <c r="V18" s="472"/>
      <c r="W18" s="472"/>
      <c r="X18" s="472"/>
      <c r="Y18" s="472"/>
      <c r="Z18" s="472"/>
    </row>
    <row r="19" spans="1:26" ht="14.25" customHeight="1">
      <c r="A19" s="741" t="str">
        <f>Application!B739</f>
        <v>3 Bedrooms</v>
      </c>
      <c r="B19" s="742">
        <f>Application!G739</f>
        <v>2</v>
      </c>
      <c r="C19" s="743"/>
      <c r="D19" s="741">
        <f>Application!O739</f>
        <v>2095</v>
      </c>
      <c r="E19" s="744"/>
      <c r="F19" s="746"/>
      <c r="G19" s="741">
        <f t="shared" si="0"/>
        <v>0</v>
      </c>
      <c r="H19" s="744"/>
      <c r="I19" s="741" t="str">
        <f t="shared" si="1"/>
        <v/>
      </c>
      <c r="J19" s="741" t="str">
        <f t="shared" si="2"/>
        <v/>
      </c>
      <c r="K19" s="1"/>
      <c r="L19" s="472"/>
      <c r="M19" s="472"/>
      <c r="N19" s="472"/>
      <c r="O19" s="472"/>
      <c r="P19" s="472"/>
      <c r="Q19" s="472"/>
      <c r="R19" s="472"/>
      <c r="S19" s="472"/>
      <c r="T19" s="472"/>
      <c r="U19" s="472"/>
      <c r="V19" s="472"/>
      <c r="W19" s="472"/>
      <c r="X19" s="472"/>
      <c r="Y19" s="472"/>
      <c r="Z19" s="472"/>
    </row>
    <row r="20" spans="1:26" ht="14.25" customHeight="1">
      <c r="A20" s="741" t="str">
        <f>Application!B740</f>
        <v>3 Bedrooms</v>
      </c>
      <c r="B20" s="742">
        <f>Application!G740</f>
        <v>10</v>
      </c>
      <c r="C20" s="743"/>
      <c r="D20" s="741">
        <f>Application!O740</f>
        <v>2550</v>
      </c>
      <c r="E20" s="744"/>
      <c r="F20" s="746"/>
      <c r="G20" s="741">
        <f t="shared" si="0"/>
        <v>0</v>
      </c>
      <c r="H20" s="744"/>
      <c r="I20" s="741" t="str">
        <f t="shared" si="1"/>
        <v/>
      </c>
      <c r="J20" s="741" t="str">
        <f t="shared" si="2"/>
        <v/>
      </c>
      <c r="K20" s="1"/>
      <c r="L20" s="472"/>
      <c r="M20" s="472"/>
      <c r="N20" s="472"/>
      <c r="O20" s="472"/>
      <c r="P20" s="472"/>
      <c r="Q20" s="472"/>
      <c r="R20" s="472"/>
      <c r="S20" s="472"/>
      <c r="T20" s="472"/>
      <c r="U20" s="472"/>
      <c r="V20" s="472"/>
      <c r="W20" s="472"/>
      <c r="X20" s="472"/>
      <c r="Y20" s="472"/>
      <c r="Z20" s="472"/>
    </row>
    <row r="21" spans="1:26" ht="14.25" customHeight="1">
      <c r="A21" s="741" t="str">
        <f>Application!B741</f>
        <v>3 Bedrooms</v>
      </c>
      <c r="B21" s="742">
        <f>Application!G741</f>
        <v>4</v>
      </c>
      <c r="C21" s="743"/>
      <c r="D21" s="741">
        <f>Application!O741</f>
        <v>1186</v>
      </c>
      <c r="E21" s="744"/>
      <c r="F21" s="746"/>
      <c r="G21" s="741">
        <f t="shared" si="0"/>
        <v>0</v>
      </c>
      <c r="H21" s="744"/>
      <c r="I21" s="741" t="str">
        <f t="shared" si="1"/>
        <v/>
      </c>
      <c r="J21" s="741" t="str">
        <f t="shared" si="2"/>
        <v/>
      </c>
      <c r="K21" s="1"/>
      <c r="L21" s="472"/>
      <c r="M21" s="472"/>
      <c r="N21" s="472"/>
      <c r="O21" s="472"/>
      <c r="P21" s="472"/>
      <c r="Q21" s="472"/>
      <c r="R21" s="472"/>
      <c r="S21" s="472"/>
      <c r="T21" s="472"/>
      <c r="U21" s="472"/>
      <c r="V21" s="472"/>
      <c r="W21" s="472"/>
      <c r="X21" s="472"/>
      <c r="Y21" s="472"/>
      <c r="Z21" s="472"/>
    </row>
    <row r="22" spans="1:26" ht="14.25" customHeight="1">
      <c r="A22" s="741" t="str">
        <f>Application!B742</f>
        <v>3 Bedrooms</v>
      </c>
      <c r="B22" s="742">
        <f>Application!G742</f>
        <v>4</v>
      </c>
      <c r="C22" s="743"/>
      <c r="D22" s="741">
        <f>Application!O742</f>
        <v>2095</v>
      </c>
      <c r="E22" s="744"/>
      <c r="F22" s="746"/>
      <c r="G22" s="741">
        <f t="shared" si="0"/>
        <v>0</v>
      </c>
      <c r="H22" s="744"/>
      <c r="I22" s="741" t="str">
        <f t="shared" si="1"/>
        <v/>
      </c>
      <c r="J22" s="741" t="str">
        <f t="shared" si="2"/>
        <v/>
      </c>
      <c r="K22" s="1"/>
      <c r="L22" s="472"/>
      <c r="M22" s="472"/>
      <c r="N22" s="472"/>
      <c r="O22" s="472"/>
      <c r="P22" s="472"/>
      <c r="Q22" s="472"/>
      <c r="R22" s="472"/>
      <c r="S22" s="472"/>
      <c r="T22" s="472"/>
      <c r="U22" s="472"/>
      <c r="V22" s="472"/>
      <c r="W22" s="472"/>
      <c r="X22" s="472"/>
      <c r="Y22" s="472"/>
      <c r="Z22" s="472"/>
    </row>
    <row r="23" spans="1:26" ht="14.25" customHeight="1">
      <c r="A23" s="741" t="str">
        <f>Application!B743</f>
        <v>3 Bedrooms</v>
      </c>
      <c r="B23" s="742">
        <f>Application!G743</f>
        <v>23</v>
      </c>
      <c r="C23" s="743"/>
      <c r="D23" s="741">
        <f>Application!O743</f>
        <v>2550</v>
      </c>
      <c r="E23" s="744"/>
      <c r="F23" s="746"/>
      <c r="G23" s="741">
        <f t="shared" si="0"/>
        <v>0</v>
      </c>
      <c r="H23" s="744"/>
      <c r="I23" s="741" t="str">
        <f t="shared" si="1"/>
        <v/>
      </c>
      <c r="J23" s="741" t="str">
        <f t="shared" si="2"/>
        <v/>
      </c>
      <c r="K23" s="1"/>
      <c r="L23" s="472"/>
      <c r="M23" s="472"/>
      <c r="N23" s="472"/>
      <c r="O23" s="472"/>
      <c r="P23" s="472"/>
      <c r="Q23" s="472"/>
      <c r="R23" s="472"/>
      <c r="S23" s="472"/>
      <c r="T23" s="472"/>
      <c r="U23" s="472"/>
      <c r="V23" s="472"/>
      <c r="W23" s="472"/>
      <c r="X23" s="472"/>
      <c r="Y23" s="472"/>
      <c r="Z23" s="472"/>
    </row>
    <row r="24" spans="1:26" ht="14.25" customHeight="1">
      <c r="A24" s="741">
        <f>Application!B744</f>
        <v>0</v>
      </c>
      <c r="B24" s="742">
        <f>Application!G744</f>
        <v>0</v>
      </c>
      <c r="C24" s="743"/>
      <c r="D24" s="741">
        <f>Application!O744</f>
        <v>0</v>
      </c>
      <c r="E24" s="744"/>
      <c r="F24" s="746"/>
      <c r="G24" s="741">
        <f t="shared" si="0"/>
        <v>0</v>
      </c>
      <c r="H24" s="744"/>
      <c r="I24" s="741" t="str">
        <f t="shared" si="1"/>
        <v/>
      </c>
      <c r="J24" s="741" t="str">
        <f t="shared" si="2"/>
        <v/>
      </c>
      <c r="K24" s="1"/>
      <c r="L24" s="472"/>
      <c r="M24" s="472"/>
      <c r="N24" s="472"/>
      <c r="O24" s="472"/>
      <c r="P24" s="472"/>
      <c r="Q24" s="472"/>
      <c r="R24" s="472"/>
      <c r="S24" s="472"/>
      <c r="T24" s="472"/>
      <c r="U24" s="472"/>
      <c r="V24" s="472"/>
      <c r="W24" s="472"/>
      <c r="X24" s="472"/>
      <c r="Y24" s="472"/>
      <c r="Z24" s="472"/>
    </row>
    <row r="25" spans="1:26" ht="14.25" customHeight="1">
      <c r="A25" s="741">
        <f>Application!B745</f>
        <v>0</v>
      </c>
      <c r="B25" s="742">
        <f>Application!G745</f>
        <v>0</v>
      </c>
      <c r="C25" s="743"/>
      <c r="D25" s="741">
        <f>Application!O745</f>
        <v>0</v>
      </c>
      <c r="E25" s="744"/>
      <c r="F25" s="746"/>
      <c r="G25" s="741">
        <f t="shared" si="0"/>
        <v>0</v>
      </c>
      <c r="H25" s="744"/>
      <c r="I25" s="741" t="str">
        <f t="shared" si="1"/>
        <v/>
      </c>
      <c r="J25" s="741" t="str">
        <f t="shared" si="2"/>
        <v/>
      </c>
      <c r="K25" s="1"/>
      <c r="L25" s="472"/>
      <c r="M25" s="472"/>
      <c r="N25" s="472"/>
      <c r="O25" s="472"/>
      <c r="P25" s="472"/>
      <c r="Q25" s="472"/>
      <c r="R25" s="472"/>
      <c r="S25" s="472"/>
      <c r="T25" s="472"/>
      <c r="U25" s="472"/>
      <c r="V25" s="472"/>
      <c r="W25" s="472"/>
      <c r="X25" s="472"/>
      <c r="Y25" s="472"/>
      <c r="Z25" s="472"/>
    </row>
    <row r="26" spans="1:26" ht="14.25" customHeight="1">
      <c r="A26" s="741">
        <f>Application!B746</f>
        <v>0</v>
      </c>
      <c r="B26" s="742">
        <f>Application!G746</f>
        <v>0</v>
      </c>
      <c r="C26" s="743"/>
      <c r="D26" s="741">
        <f>Application!O746</f>
        <v>0</v>
      </c>
      <c r="E26" s="744"/>
      <c r="F26" s="746"/>
      <c r="G26" s="741">
        <f t="shared" si="0"/>
        <v>0</v>
      </c>
      <c r="H26" s="744"/>
      <c r="I26" s="741" t="str">
        <f t="shared" si="1"/>
        <v/>
      </c>
      <c r="J26" s="741" t="str">
        <f t="shared" si="2"/>
        <v/>
      </c>
      <c r="K26" s="1"/>
      <c r="L26" s="472"/>
      <c r="M26" s="472"/>
      <c r="N26" s="472"/>
      <c r="O26" s="472"/>
      <c r="P26" s="472"/>
      <c r="Q26" s="472"/>
      <c r="R26" s="472"/>
      <c r="S26" s="472"/>
      <c r="T26" s="472"/>
      <c r="U26" s="472"/>
      <c r="V26" s="472"/>
      <c r="W26" s="472"/>
      <c r="X26" s="472"/>
      <c r="Y26" s="472"/>
      <c r="Z26" s="472"/>
    </row>
    <row r="27" spans="1:26" ht="14.25" customHeight="1">
      <c r="A27" s="741">
        <f>Application!B747</f>
        <v>0</v>
      </c>
      <c r="B27" s="742">
        <f>Application!G747</f>
        <v>0</v>
      </c>
      <c r="C27" s="743"/>
      <c r="D27" s="741">
        <f>Application!O747</f>
        <v>0</v>
      </c>
      <c r="E27" s="744"/>
      <c r="F27" s="746"/>
      <c r="G27" s="741">
        <f t="shared" si="0"/>
        <v>0</v>
      </c>
      <c r="H27" s="744"/>
      <c r="I27" s="741" t="str">
        <f t="shared" si="1"/>
        <v/>
      </c>
      <c r="J27" s="741" t="str">
        <f t="shared" si="2"/>
        <v/>
      </c>
      <c r="K27" s="1"/>
      <c r="L27" s="472"/>
      <c r="M27" s="472"/>
      <c r="N27" s="472"/>
      <c r="O27" s="472"/>
      <c r="P27" s="472"/>
      <c r="Q27" s="472"/>
      <c r="R27" s="472"/>
      <c r="S27" s="472"/>
      <c r="T27" s="472"/>
      <c r="U27" s="472"/>
      <c r="V27" s="472"/>
      <c r="W27" s="472"/>
      <c r="X27" s="472"/>
      <c r="Y27" s="472"/>
      <c r="Z27" s="472"/>
    </row>
    <row r="28" spans="1:26" ht="14.25" customHeight="1">
      <c r="A28" s="741">
        <f>Application!B748</f>
        <v>0</v>
      </c>
      <c r="B28" s="742">
        <f>Application!G748</f>
        <v>0</v>
      </c>
      <c r="C28" s="743"/>
      <c r="D28" s="741">
        <f>Application!O748</f>
        <v>0</v>
      </c>
      <c r="E28" s="744"/>
      <c r="F28" s="746"/>
      <c r="G28" s="741">
        <f t="shared" si="0"/>
        <v>0</v>
      </c>
      <c r="H28" s="744"/>
      <c r="I28" s="741" t="str">
        <f t="shared" si="1"/>
        <v/>
      </c>
      <c r="J28" s="741" t="str">
        <f t="shared" si="2"/>
        <v/>
      </c>
      <c r="K28" s="1"/>
      <c r="L28" s="472"/>
      <c r="M28" s="472"/>
      <c r="N28" s="472"/>
      <c r="O28" s="472"/>
      <c r="P28" s="472"/>
      <c r="Q28" s="472"/>
      <c r="R28" s="472"/>
      <c r="S28" s="472"/>
      <c r="T28" s="472"/>
      <c r="U28" s="472"/>
      <c r="V28" s="472"/>
      <c r="W28" s="472"/>
      <c r="X28" s="472"/>
      <c r="Y28" s="472"/>
      <c r="Z28" s="472"/>
    </row>
    <row r="29" spans="1:26" ht="14.25" customHeight="1">
      <c r="A29" s="741">
        <f>Application!B749</f>
        <v>0</v>
      </c>
      <c r="B29" s="742">
        <f>Application!G749</f>
        <v>0</v>
      </c>
      <c r="C29" s="743"/>
      <c r="D29" s="741">
        <f>Application!O749</f>
        <v>0</v>
      </c>
      <c r="E29" s="744"/>
      <c r="F29" s="746"/>
      <c r="G29" s="741">
        <f t="shared" si="0"/>
        <v>0</v>
      </c>
      <c r="H29" s="744"/>
      <c r="I29" s="741" t="str">
        <f t="shared" si="1"/>
        <v/>
      </c>
      <c r="J29" s="741" t="str">
        <f t="shared" si="2"/>
        <v/>
      </c>
      <c r="K29" s="1"/>
      <c r="L29" s="472"/>
      <c r="M29" s="472"/>
      <c r="N29" s="472"/>
      <c r="O29" s="472"/>
      <c r="P29" s="472"/>
      <c r="Q29" s="472"/>
      <c r="R29" s="472"/>
      <c r="S29" s="472"/>
      <c r="T29" s="472"/>
      <c r="U29" s="472"/>
      <c r="V29" s="472"/>
      <c r="W29" s="472"/>
      <c r="X29" s="472"/>
      <c r="Y29" s="472"/>
      <c r="Z29" s="472"/>
    </row>
    <row r="30" spans="1:26" ht="14.25" customHeight="1">
      <c r="A30" s="741">
        <f>Application!B750</f>
        <v>0</v>
      </c>
      <c r="B30" s="742">
        <f>Application!G750</f>
        <v>0</v>
      </c>
      <c r="C30" s="743"/>
      <c r="D30" s="741">
        <f>Application!O750</f>
        <v>0</v>
      </c>
      <c r="E30" s="744"/>
      <c r="F30" s="746"/>
      <c r="G30" s="741">
        <f t="shared" si="0"/>
        <v>0</v>
      </c>
      <c r="H30" s="744"/>
      <c r="I30" s="741" t="str">
        <f t="shared" si="1"/>
        <v/>
      </c>
      <c r="J30" s="741" t="str">
        <f t="shared" si="2"/>
        <v/>
      </c>
      <c r="K30" s="1"/>
      <c r="L30" s="472"/>
      <c r="M30" s="472"/>
      <c r="N30" s="472"/>
      <c r="O30" s="472"/>
      <c r="P30" s="472"/>
      <c r="Q30" s="472"/>
      <c r="R30" s="472"/>
      <c r="S30" s="472"/>
      <c r="T30" s="472"/>
      <c r="U30" s="472"/>
      <c r="V30" s="472"/>
      <c r="W30" s="472"/>
      <c r="X30" s="472"/>
      <c r="Y30" s="472"/>
      <c r="Z30" s="472"/>
    </row>
    <row r="31" spans="1:26" ht="14.25" customHeight="1">
      <c r="A31" s="741">
        <f>Application!B751</f>
        <v>0</v>
      </c>
      <c r="B31" s="742">
        <f>Application!G751</f>
        <v>0</v>
      </c>
      <c r="C31" s="743"/>
      <c r="D31" s="741">
        <f>Application!O751</f>
        <v>0</v>
      </c>
      <c r="E31" s="744"/>
      <c r="F31" s="746"/>
      <c r="G31" s="741">
        <f t="shared" si="0"/>
        <v>0</v>
      </c>
      <c r="H31" s="744"/>
      <c r="I31" s="741" t="str">
        <f t="shared" si="1"/>
        <v/>
      </c>
      <c r="J31" s="741" t="str">
        <f t="shared" si="2"/>
        <v/>
      </c>
      <c r="K31" s="1"/>
      <c r="L31" s="472"/>
      <c r="M31" s="472"/>
      <c r="N31" s="472"/>
      <c r="O31" s="472"/>
      <c r="P31" s="472"/>
      <c r="Q31" s="472"/>
      <c r="R31" s="472"/>
      <c r="S31" s="472"/>
      <c r="T31" s="472"/>
      <c r="U31" s="472"/>
      <c r="V31" s="472"/>
      <c r="W31" s="472"/>
      <c r="X31" s="472"/>
      <c r="Y31" s="472"/>
      <c r="Z31" s="472"/>
    </row>
    <row r="32" spans="1:26" ht="14.25" customHeight="1">
      <c r="A32" s="741">
        <f>Application!B752</f>
        <v>0</v>
      </c>
      <c r="B32" s="742">
        <f>Application!G752</f>
        <v>0</v>
      </c>
      <c r="C32" s="743"/>
      <c r="D32" s="741">
        <f>Application!O752</f>
        <v>0</v>
      </c>
      <c r="E32" s="744"/>
      <c r="F32" s="746"/>
      <c r="G32" s="741">
        <f t="shared" si="0"/>
        <v>0</v>
      </c>
      <c r="H32" s="744"/>
      <c r="I32" s="741" t="str">
        <f t="shared" si="1"/>
        <v/>
      </c>
      <c r="J32" s="741" t="str">
        <f t="shared" si="2"/>
        <v/>
      </c>
      <c r="K32" s="1"/>
      <c r="L32" s="472"/>
      <c r="M32" s="472"/>
      <c r="N32" s="472"/>
      <c r="O32" s="472"/>
      <c r="P32" s="472"/>
      <c r="Q32" s="472"/>
      <c r="R32" s="472"/>
      <c r="S32" s="472"/>
      <c r="T32" s="472"/>
      <c r="U32" s="472"/>
      <c r="V32" s="472"/>
      <c r="W32" s="472"/>
      <c r="X32" s="472"/>
      <c r="Y32" s="472"/>
      <c r="Z32" s="472"/>
    </row>
    <row r="33" spans="1:26" ht="14.25" customHeight="1">
      <c r="A33" s="741">
        <f>Application!B753</f>
        <v>0</v>
      </c>
      <c r="B33" s="742">
        <f>Application!G753</f>
        <v>0</v>
      </c>
      <c r="C33" s="743"/>
      <c r="D33" s="741">
        <f>Application!O753</f>
        <v>0</v>
      </c>
      <c r="E33" s="744"/>
      <c r="F33" s="746"/>
      <c r="G33" s="741">
        <f t="shared" si="0"/>
        <v>0</v>
      </c>
      <c r="H33" s="744"/>
      <c r="I33" s="741" t="str">
        <f t="shared" si="1"/>
        <v/>
      </c>
      <c r="J33" s="741" t="str">
        <f t="shared" si="2"/>
        <v/>
      </c>
      <c r="K33" s="1"/>
      <c r="L33" s="472"/>
      <c r="M33" s="472"/>
      <c r="N33" s="472"/>
      <c r="O33" s="472"/>
      <c r="P33" s="472"/>
      <c r="Q33" s="472"/>
      <c r="R33" s="472"/>
      <c r="S33" s="472"/>
      <c r="T33" s="472"/>
      <c r="U33" s="472"/>
      <c r="V33" s="472"/>
      <c r="W33" s="472"/>
      <c r="X33" s="472"/>
      <c r="Y33" s="472"/>
      <c r="Z33" s="472"/>
    </row>
    <row r="34" spans="1:26" ht="14.25" customHeight="1">
      <c r="A34" s="741">
        <f>Application!B754</f>
        <v>0</v>
      </c>
      <c r="B34" s="742">
        <f>Application!G754</f>
        <v>0</v>
      </c>
      <c r="C34" s="743"/>
      <c r="D34" s="741">
        <f>Application!O754</f>
        <v>0</v>
      </c>
      <c r="E34" s="744"/>
      <c r="F34" s="746"/>
      <c r="G34" s="741">
        <f t="shared" si="0"/>
        <v>0</v>
      </c>
      <c r="H34" s="744"/>
      <c r="I34" s="741" t="str">
        <f t="shared" si="1"/>
        <v/>
      </c>
      <c r="J34" s="741" t="str">
        <f t="shared" si="2"/>
        <v/>
      </c>
      <c r="K34" s="1"/>
      <c r="L34" s="472"/>
      <c r="M34" s="472"/>
      <c r="N34" s="472"/>
      <c r="O34" s="472"/>
      <c r="P34" s="472"/>
      <c r="Q34" s="472"/>
      <c r="R34" s="472"/>
      <c r="S34" s="472"/>
      <c r="T34" s="472"/>
      <c r="U34" s="472"/>
      <c r="V34" s="472"/>
      <c r="W34" s="472"/>
      <c r="X34" s="472"/>
      <c r="Y34" s="472"/>
      <c r="Z34" s="472"/>
    </row>
    <row r="35" spans="1:26" ht="14.25" customHeight="1">
      <c r="A35" s="741">
        <f>Application!B755</f>
        <v>0</v>
      </c>
      <c r="B35" s="742">
        <f>Application!G755</f>
        <v>0</v>
      </c>
      <c r="C35" s="743"/>
      <c r="D35" s="741">
        <f>Application!O755</f>
        <v>0</v>
      </c>
      <c r="E35" s="744"/>
      <c r="F35" s="746"/>
      <c r="G35" s="741">
        <f t="shared" si="0"/>
        <v>0</v>
      </c>
      <c r="H35" s="744"/>
      <c r="I35" s="741" t="str">
        <f t="shared" si="1"/>
        <v/>
      </c>
      <c r="J35" s="741" t="str">
        <f t="shared" si="2"/>
        <v/>
      </c>
      <c r="K35" s="1"/>
      <c r="L35" s="472"/>
      <c r="M35" s="472"/>
      <c r="N35" s="472"/>
      <c r="O35" s="472"/>
      <c r="P35" s="472"/>
      <c r="Q35" s="472"/>
      <c r="R35" s="472"/>
      <c r="S35" s="472"/>
      <c r="T35" s="472"/>
      <c r="U35" s="472"/>
      <c r="V35" s="472"/>
      <c r="W35" s="472"/>
      <c r="X35" s="472"/>
      <c r="Y35" s="472"/>
      <c r="Z35" s="472"/>
    </row>
    <row r="36" spans="1:26" ht="14.25" customHeight="1">
      <c r="A36" s="741">
        <f>Application!B756</f>
        <v>0</v>
      </c>
      <c r="B36" s="742">
        <f>Application!G756</f>
        <v>0</v>
      </c>
      <c r="C36" s="743"/>
      <c r="D36" s="741">
        <f>Application!O756</f>
        <v>0</v>
      </c>
      <c r="E36" s="744"/>
      <c r="F36" s="746"/>
      <c r="G36" s="741">
        <f t="shared" si="0"/>
        <v>0</v>
      </c>
      <c r="H36" s="744"/>
      <c r="I36" s="741" t="str">
        <f t="shared" si="1"/>
        <v/>
      </c>
      <c r="J36" s="741" t="str">
        <f t="shared" si="2"/>
        <v/>
      </c>
      <c r="K36" s="1"/>
      <c r="L36" s="472"/>
      <c r="M36" s="472"/>
      <c r="N36" s="472"/>
      <c r="O36" s="472"/>
      <c r="P36" s="472"/>
      <c r="Q36" s="472"/>
      <c r="R36" s="472"/>
      <c r="S36" s="472"/>
      <c r="T36" s="472"/>
      <c r="U36" s="472"/>
      <c r="V36" s="472"/>
      <c r="W36" s="472"/>
      <c r="X36" s="472"/>
      <c r="Y36" s="472"/>
      <c r="Z36" s="472"/>
    </row>
    <row r="37" spans="1:26" ht="14.25" customHeight="1">
      <c r="A37" s="741">
        <f>Application!B757</f>
        <v>0</v>
      </c>
      <c r="B37" s="742">
        <f>Application!G757</f>
        <v>0</v>
      </c>
      <c r="C37" s="743"/>
      <c r="D37" s="741">
        <f>Application!O757</f>
        <v>0</v>
      </c>
      <c r="E37" s="744"/>
      <c r="F37" s="746"/>
      <c r="G37" s="741">
        <f t="shared" si="0"/>
        <v>0</v>
      </c>
      <c r="H37" s="744"/>
      <c r="I37" s="741" t="str">
        <f t="shared" si="1"/>
        <v/>
      </c>
      <c r="J37" s="741" t="str">
        <f t="shared" si="2"/>
        <v/>
      </c>
      <c r="K37" s="1"/>
      <c r="L37" s="472"/>
      <c r="M37" s="472"/>
      <c r="N37" s="472"/>
      <c r="O37" s="472"/>
      <c r="P37" s="472"/>
      <c r="Q37" s="472"/>
      <c r="R37" s="472"/>
      <c r="S37" s="472"/>
      <c r="T37" s="472"/>
      <c r="U37" s="472"/>
      <c r="V37" s="472"/>
      <c r="W37" s="472"/>
      <c r="X37" s="472"/>
      <c r="Y37" s="472"/>
      <c r="Z37" s="472"/>
    </row>
    <row r="38" spans="1:26" ht="14.25" customHeight="1">
      <c r="A38" s="741">
        <f>Application!B758</f>
        <v>0</v>
      </c>
      <c r="B38" s="742">
        <f>Application!G758</f>
        <v>0</v>
      </c>
      <c r="C38" s="743"/>
      <c r="D38" s="741">
        <f>Application!O758</f>
        <v>0</v>
      </c>
      <c r="E38" s="744"/>
      <c r="F38" s="746"/>
      <c r="G38" s="741">
        <f t="shared" si="0"/>
        <v>0</v>
      </c>
      <c r="H38" s="744"/>
      <c r="I38" s="741" t="str">
        <f t="shared" si="1"/>
        <v/>
      </c>
      <c r="J38" s="741" t="str">
        <f t="shared" si="2"/>
        <v/>
      </c>
      <c r="K38" s="1"/>
      <c r="L38" s="472"/>
      <c r="M38" s="472"/>
      <c r="N38" s="472"/>
      <c r="O38" s="472"/>
      <c r="P38" s="472"/>
      <c r="Q38" s="472"/>
      <c r="R38" s="472"/>
      <c r="S38" s="472"/>
      <c r="T38" s="472"/>
      <c r="U38" s="472"/>
      <c r="V38" s="472"/>
      <c r="W38" s="472"/>
      <c r="X38" s="472"/>
      <c r="Y38" s="472"/>
      <c r="Z38" s="472"/>
    </row>
    <row r="39" spans="1:26" ht="14.25" customHeight="1">
      <c r="A39" s="1"/>
      <c r="B39" s="1"/>
      <c r="C39" s="1"/>
      <c r="D39" s="744"/>
      <c r="E39" s="744"/>
      <c r="F39" s="744"/>
      <c r="G39" s="744"/>
      <c r="H39" s="744"/>
      <c r="I39" s="744"/>
      <c r="J39" s="1"/>
      <c r="K39" s="1"/>
      <c r="L39" s="472"/>
      <c r="M39" s="472"/>
      <c r="N39" s="472"/>
      <c r="O39" s="472"/>
      <c r="P39" s="472"/>
      <c r="Q39" s="472"/>
      <c r="R39" s="472"/>
      <c r="S39" s="472"/>
      <c r="T39" s="472"/>
      <c r="U39" s="472"/>
      <c r="V39" s="472"/>
      <c r="W39" s="472"/>
      <c r="X39" s="472"/>
      <c r="Y39" s="472"/>
      <c r="Z39" s="472"/>
    </row>
    <row r="40" spans="1:26" ht="14.25" customHeight="1">
      <c r="A40" s="761" t="s">
        <v>2497</v>
      </c>
      <c r="B40" s="603"/>
      <c r="C40" s="603"/>
      <c r="D40" s="762">
        <f>Application!O759</f>
        <v>448540</v>
      </c>
      <c r="E40" s="744"/>
      <c r="F40" s="744"/>
      <c r="G40" s="762" t="e">
        <f>SUM(G4:G38)*12</f>
        <v>#REF!</v>
      </c>
      <c r="H40" s="753"/>
      <c r="I40" s="603"/>
      <c r="J40" s="762">
        <f>SUM(J4:J38)*12</f>
        <v>0</v>
      </c>
      <c r="K40" s="1"/>
      <c r="L40" s="753"/>
      <c r="M40" s="472"/>
      <c r="N40" s="472"/>
      <c r="O40" s="472"/>
      <c r="P40" s="472"/>
      <c r="Q40" s="472"/>
      <c r="R40" s="472"/>
      <c r="S40" s="472"/>
      <c r="T40" s="472"/>
      <c r="U40" s="472"/>
      <c r="V40" s="472"/>
      <c r="W40" s="472"/>
      <c r="X40" s="472"/>
      <c r="Y40" s="472"/>
      <c r="Z40" s="472"/>
    </row>
    <row r="41" spans="1:26" ht="14.25" customHeight="1">
      <c r="A41" s="761"/>
      <c r="B41" s="603"/>
      <c r="C41" s="603"/>
      <c r="D41" s="753"/>
      <c r="E41" s="744"/>
      <c r="F41" s="744"/>
      <c r="G41" s="753"/>
      <c r="H41" s="753"/>
      <c r="I41" s="603"/>
      <c r="J41" s="753"/>
      <c r="K41" s="1"/>
      <c r="L41" s="753"/>
      <c r="M41" s="472"/>
      <c r="N41" s="472"/>
      <c r="O41" s="472"/>
      <c r="P41" s="472"/>
      <c r="Q41" s="472"/>
      <c r="R41" s="472"/>
      <c r="S41" s="472"/>
      <c r="T41" s="472"/>
      <c r="U41" s="472"/>
      <c r="V41" s="472"/>
      <c r="W41" s="472"/>
      <c r="X41" s="472"/>
      <c r="Y41" s="472"/>
      <c r="Z41" s="472"/>
    </row>
    <row r="42" spans="1:26" ht="14.25" customHeight="1">
      <c r="A42" s="472" t="s">
        <v>2498</v>
      </c>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row>
    <row r="43" spans="1:26" ht="14.25" customHeight="1">
      <c r="A43" s="1483" t="s">
        <v>2500</v>
      </c>
      <c r="B43" s="893"/>
      <c r="C43" s="893"/>
      <c r="D43" s="893"/>
      <c r="E43" s="893"/>
      <c r="F43" s="893"/>
      <c r="G43" s="893"/>
      <c r="H43" s="893"/>
      <c r="I43" s="893"/>
      <c r="J43" s="893"/>
      <c r="K43" s="472"/>
      <c r="L43" s="472"/>
      <c r="M43" s="472"/>
      <c r="N43" s="472"/>
      <c r="O43" s="472"/>
      <c r="P43" s="472"/>
      <c r="Q43" s="472"/>
      <c r="R43" s="472"/>
      <c r="S43" s="472"/>
      <c r="T43" s="472"/>
      <c r="U43" s="472"/>
      <c r="V43" s="472"/>
      <c r="W43" s="472"/>
      <c r="X43" s="472"/>
      <c r="Y43" s="472"/>
      <c r="Z43" s="472"/>
    </row>
    <row r="44" spans="1:26" ht="14.25" customHeight="1">
      <c r="A44" s="893"/>
      <c r="B44" s="893"/>
      <c r="C44" s="893"/>
      <c r="D44" s="893"/>
      <c r="E44" s="893"/>
      <c r="F44" s="893"/>
      <c r="G44" s="893"/>
      <c r="H44" s="893"/>
      <c r="I44" s="893"/>
      <c r="J44" s="893"/>
      <c r="K44" s="472"/>
      <c r="L44" s="472"/>
      <c r="M44" s="472"/>
      <c r="N44" s="472"/>
      <c r="O44" s="472"/>
      <c r="P44" s="472"/>
      <c r="Q44" s="472"/>
      <c r="R44" s="472"/>
      <c r="S44" s="472"/>
      <c r="T44" s="472"/>
      <c r="U44" s="472"/>
      <c r="V44" s="472"/>
      <c r="W44" s="472"/>
      <c r="X44" s="472"/>
      <c r="Y44" s="472"/>
      <c r="Z44" s="472"/>
    </row>
    <row r="45" spans="1:26" ht="14.25" customHeight="1">
      <c r="A45" s="1483" t="s">
        <v>2502</v>
      </c>
      <c r="B45" s="893"/>
      <c r="C45" s="893"/>
      <c r="D45" s="893"/>
      <c r="E45" s="893"/>
      <c r="F45" s="893"/>
      <c r="G45" s="893"/>
      <c r="H45" s="893"/>
      <c r="I45" s="893"/>
      <c r="J45" s="893"/>
      <c r="K45" s="472"/>
      <c r="L45" s="472"/>
      <c r="M45" s="472"/>
      <c r="N45" s="472"/>
      <c r="O45" s="472"/>
      <c r="P45" s="472"/>
      <c r="Q45" s="472"/>
      <c r="R45" s="472"/>
      <c r="S45" s="472"/>
      <c r="T45" s="472"/>
      <c r="U45" s="472"/>
      <c r="V45" s="472"/>
      <c r="W45" s="472"/>
      <c r="X45" s="472"/>
      <c r="Y45" s="472"/>
      <c r="Z45" s="472"/>
    </row>
    <row r="46" spans="1:26" ht="14.25" customHeight="1">
      <c r="A46" s="893"/>
      <c r="B46" s="893"/>
      <c r="C46" s="893"/>
      <c r="D46" s="893"/>
      <c r="E46" s="893"/>
      <c r="F46" s="893"/>
      <c r="G46" s="893"/>
      <c r="H46" s="893"/>
      <c r="I46" s="893"/>
      <c r="J46" s="893"/>
      <c r="K46" s="472"/>
      <c r="L46" s="472"/>
      <c r="M46" s="472"/>
      <c r="N46" s="472"/>
      <c r="O46" s="472"/>
      <c r="P46" s="472"/>
      <c r="Q46" s="472"/>
      <c r="R46" s="472"/>
      <c r="S46" s="472"/>
      <c r="T46" s="472"/>
      <c r="U46" s="472"/>
      <c r="V46" s="472"/>
      <c r="W46" s="472"/>
      <c r="X46" s="472"/>
      <c r="Y46" s="472"/>
      <c r="Z46" s="472"/>
    </row>
    <row r="47" spans="1:26" ht="14.25" customHeight="1">
      <c r="A47" s="472"/>
      <c r="B47" s="472"/>
      <c r="C47" s="472"/>
      <c r="D47" s="472"/>
      <c r="E47" s="472"/>
      <c r="F47" s="472"/>
      <c r="G47" s="472"/>
      <c r="H47" s="472"/>
      <c r="I47" s="472"/>
      <c r="J47" s="472"/>
      <c r="K47" s="472"/>
      <c r="L47" s="472"/>
      <c r="M47" s="472"/>
      <c r="N47" s="472"/>
      <c r="O47" s="472"/>
      <c r="P47" s="472"/>
      <c r="Q47" s="472"/>
      <c r="R47" s="472"/>
      <c r="S47" s="472"/>
      <c r="T47" s="472"/>
      <c r="U47" s="472"/>
      <c r="V47" s="472"/>
      <c r="W47" s="472"/>
      <c r="X47" s="472"/>
      <c r="Y47" s="472"/>
      <c r="Z47" s="472"/>
    </row>
    <row r="48" spans="1:26" ht="14.25" customHeight="1">
      <c r="A48" s="472"/>
      <c r="B48" s="472"/>
      <c r="C48" s="472"/>
      <c r="D48" s="472"/>
      <c r="E48" s="472"/>
      <c r="F48" s="472"/>
      <c r="G48" s="472"/>
      <c r="H48" s="472"/>
      <c r="I48" s="472"/>
      <c r="J48" s="472"/>
      <c r="K48" s="472"/>
      <c r="L48" s="472"/>
      <c r="M48" s="472"/>
      <c r="N48" s="472"/>
      <c r="O48" s="472"/>
      <c r="P48" s="472"/>
      <c r="Q48" s="472"/>
      <c r="R48" s="472"/>
      <c r="S48" s="472"/>
      <c r="T48" s="472"/>
      <c r="U48" s="472"/>
      <c r="V48" s="472"/>
      <c r="W48" s="472"/>
      <c r="X48" s="472"/>
      <c r="Y48" s="472"/>
      <c r="Z48" s="472"/>
    </row>
    <row r="49" spans="1:26" ht="14.25" customHeight="1">
      <c r="A49" s="472"/>
      <c r="B49" s="472"/>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row>
    <row r="50" spans="1:26" ht="14.25" customHeight="1">
      <c r="A50" s="472"/>
      <c r="B50" s="472"/>
      <c r="C50" s="472"/>
      <c r="D50" s="472"/>
      <c r="E50" s="472"/>
      <c r="F50" s="472"/>
      <c r="G50" s="472"/>
      <c r="H50" s="472"/>
      <c r="I50" s="472"/>
      <c r="J50" s="472"/>
      <c r="K50" s="472"/>
      <c r="L50" s="472"/>
      <c r="M50" s="472"/>
      <c r="N50" s="472"/>
      <c r="O50" s="472"/>
      <c r="P50" s="472"/>
      <c r="Q50" s="472"/>
      <c r="R50" s="472"/>
      <c r="S50" s="472"/>
      <c r="T50" s="472"/>
      <c r="U50" s="472"/>
      <c r="V50" s="472"/>
      <c r="W50" s="472"/>
      <c r="X50" s="472"/>
      <c r="Y50" s="472"/>
      <c r="Z50" s="472"/>
    </row>
    <row r="51" spans="1:26" ht="14.25" customHeight="1">
      <c r="A51" s="472"/>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row>
    <row r="52" spans="1:26" ht="14.25" customHeight="1">
      <c r="A52" s="472"/>
      <c r="B52" s="472"/>
      <c r="C52" s="472"/>
      <c r="D52" s="472"/>
      <c r="E52" s="472"/>
      <c r="F52" s="472"/>
      <c r="G52" s="472"/>
      <c r="H52" s="472"/>
      <c r="I52" s="472"/>
      <c r="J52" s="472"/>
      <c r="K52" s="472"/>
      <c r="L52" s="472"/>
      <c r="M52" s="472"/>
      <c r="N52" s="472"/>
      <c r="O52" s="472"/>
      <c r="P52" s="472"/>
      <c r="Q52" s="472"/>
      <c r="R52" s="472"/>
      <c r="S52" s="472"/>
      <c r="T52" s="472"/>
      <c r="U52" s="472"/>
      <c r="V52" s="472"/>
      <c r="W52" s="472"/>
      <c r="X52" s="472"/>
      <c r="Y52" s="472"/>
      <c r="Z52" s="472"/>
    </row>
    <row r="53" spans="1:26" ht="14.25" customHeight="1">
      <c r="A53" s="472"/>
      <c r="B53" s="472"/>
      <c r="C53" s="472"/>
      <c r="D53" s="472"/>
      <c r="E53" s="472"/>
      <c r="F53" s="472"/>
      <c r="G53" s="472"/>
      <c r="H53" s="472"/>
      <c r="I53" s="472"/>
      <c r="J53" s="472"/>
      <c r="K53" s="472"/>
      <c r="L53" s="472"/>
      <c r="M53" s="472"/>
      <c r="N53" s="472"/>
      <c r="O53" s="472"/>
      <c r="P53" s="472"/>
      <c r="Q53" s="472"/>
      <c r="R53" s="472"/>
      <c r="S53" s="472"/>
      <c r="T53" s="472"/>
      <c r="U53" s="472"/>
      <c r="V53" s="472"/>
      <c r="W53" s="472"/>
      <c r="X53" s="472"/>
      <c r="Y53" s="472"/>
      <c r="Z53" s="472"/>
    </row>
    <row r="54" spans="1:26" ht="14.25" customHeight="1">
      <c r="A54" s="472"/>
      <c r="B54" s="472"/>
      <c r="C54" s="472"/>
      <c r="D54" s="472"/>
      <c r="E54" s="472"/>
      <c r="F54" s="472"/>
      <c r="G54" s="472"/>
      <c r="H54" s="472"/>
      <c r="I54" s="472"/>
      <c r="J54" s="472"/>
      <c r="K54" s="472"/>
      <c r="L54" s="472"/>
      <c r="M54" s="472"/>
      <c r="N54" s="472"/>
      <c r="O54" s="472"/>
      <c r="P54" s="472"/>
      <c r="Q54" s="472"/>
      <c r="R54" s="472"/>
      <c r="S54" s="472"/>
      <c r="T54" s="472"/>
      <c r="U54" s="472"/>
      <c r="V54" s="472"/>
      <c r="W54" s="472"/>
      <c r="X54" s="472"/>
      <c r="Y54" s="472"/>
      <c r="Z54" s="472"/>
    </row>
    <row r="55" spans="1:26" ht="14.25" customHeight="1">
      <c r="A55" s="472"/>
      <c r="B55" s="472"/>
      <c r="C55" s="472"/>
      <c r="D55" s="472"/>
      <c r="E55" s="472"/>
      <c r="F55" s="472"/>
      <c r="G55" s="472"/>
      <c r="H55" s="472"/>
      <c r="I55" s="472"/>
      <c r="J55" s="472"/>
      <c r="K55" s="472"/>
      <c r="L55" s="472"/>
      <c r="M55" s="472"/>
      <c r="N55" s="472"/>
      <c r="O55" s="472"/>
      <c r="P55" s="472"/>
      <c r="Q55" s="472"/>
      <c r="R55" s="472"/>
      <c r="S55" s="472"/>
      <c r="T55" s="472"/>
      <c r="U55" s="472"/>
      <c r="V55" s="472"/>
      <c r="W55" s="472"/>
      <c r="X55" s="472"/>
      <c r="Y55" s="472"/>
      <c r="Z55" s="472"/>
    </row>
    <row r="56" spans="1:26" ht="14.25" customHeight="1">
      <c r="A56" s="472"/>
      <c r="B56" s="472"/>
      <c r="C56" s="472"/>
      <c r="D56" s="472"/>
      <c r="E56" s="472"/>
      <c r="F56" s="472"/>
      <c r="G56" s="472"/>
      <c r="H56" s="472"/>
      <c r="I56" s="472"/>
      <c r="J56" s="472"/>
      <c r="K56" s="472"/>
      <c r="L56" s="472"/>
      <c r="M56" s="472"/>
      <c r="N56" s="472"/>
      <c r="O56" s="472"/>
      <c r="P56" s="472"/>
      <c r="Q56" s="472"/>
      <c r="R56" s="472"/>
      <c r="S56" s="472"/>
      <c r="T56" s="472"/>
      <c r="U56" s="472"/>
      <c r="V56" s="472"/>
      <c r="W56" s="472"/>
      <c r="X56" s="472"/>
      <c r="Y56" s="472"/>
      <c r="Z56" s="472"/>
    </row>
    <row r="57" spans="1:26" ht="14.25" customHeight="1">
      <c r="A57" s="472"/>
      <c r="B57" s="472"/>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row>
    <row r="58" spans="1:26" ht="14.25" customHeight="1">
      <c r="A58" s="472"/>
      <c r="B58" s="472"/>
      <c r="C58" s="472"/>
      <c r="D58" s="472"/>
      <c r="E58" s="472"/>
      <c r="F58" s="472"/>
      <c r="G58" s="472"/>
      <c r="H58" s="472"/>
      <c r="I58" s="472"/>
      <c r="J58" s="472"/>
      <c r="K58" s="472"/>
      <c r="L58" s="472"/>
      <c r="M58" s="472"/>
      <c r="N58" s="472"/>
      <c r="O58" s="472"/>
      <c r="P58" s="472"/>
      <c r="Q58" s="472"/>
      <c r="R58" s="472"/>
      <c r="S58" s="472"/>
      <c r="T58" s="472"/>
      <c r="U58" s="472"/>
      <c r="V58" s="472"/>
      <c r="W58" s="472"/>
      <c r="X58" s="472"/>
      <c r="Y58" s="472"/>
      <c r="Z58" s="472"/>
    </row>
    <row r="59" spans="1:26" ht="14.25" customHeight="1">
      <c r="A59" s="472"/>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row>
    <row r="60" spans="1:26" ht="14.25" customHeight="1">
      <c r="A60" s="472"/>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row>
    <row r="61" spans="1:26" ht="14.25" customHeight="1">
      <c r="A61" s="472"/>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row>
    <row r="62" spans="1:26" ht="14.25" customHeight="1">
      <c r="A62" s="472"/>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row>
    <row r="63" spans="1:26" ht="14.25" customHeight="1">
      <c r="A63" s="472"/>
      <c r="B63" s="472"/>
      <c r="C63" s="472"/>
      <c r="D63" s="472"/>
      <c r="E63" s="472"/>
      <c r="F63" s="472"/>
      <c r="G63" s="472"/>
      <c r="H63" s="472"/>
      <c r="I63" s="472"/>
      <c r="J63" s="472"/>
      <c r="K63" s="472"/>
      <c r="L63" s="472"/>
      <c r="M63" s="472"/>
      <c r="N63" s="472"/>
      <c r="O63" s="472"/>
      <c r="P63" s="472"/>
      <c r="Q63" s="472"/>
      <c r="R63" s="472"/>
      <c r="S63" s="472"/>
      <c r="T63" s="472"/>
      <c r="U63" s="472"/>
      <c r="V63" s="472"/>
      <c r="W63" s="472"/>
      <c r="X63" s="472"/>
      <c r="Y63" s="472"/>
      <c r="Z63" s="472"/>
    </row>
    <row r="64" spans="1:26" ht="14.25" customHeight="1">
      <c r="A64" s="472"/>
      <c r="B64" s="472"/>
      <c r="C64" s="472"/>
      <c r="D64" s="472"/>
      <c r="E64" s="472"/>
      <c r="F64" s="472"/>
      <c r="G64" s="472"/>
      <c r="H64" s="472"/>
      <c r="I64" s="472"/>
      <c r="J64" s="472"/>
      <c r="K64" s="472"/>
      <c r="L64" s="472"/>
      <c r="M64" s="472"/>
      <c r="N64" s="472"/>
      <c r="O64" s="472"/>
      <c r="P64" s="472"/>
      <c r="Q64" s="472"/>
      <c r="R64" s="472"/>
      <c r="S64" s="472"/>
      <c r="T64" s="472"/>
      <c r="U64" s="472"/>
      <c r="V64" s="472"/>
      <c r="W64" s="472"/>
      <c r="X64" s="472"/>
      <c r="Y64" s="472"/>
      <c r="Z64" s="472"/>
    </row>
    <row r="65" spans="1:26" ht="14.25" customHeight="1">
      <c r="A65" s="472"/>
      <c r="B65" s="472"/>
      <c r="C65" s="472"/>
      <c r="D65" s="472"/>
      <c r="E65" s="472"/>
      <c r="F65" s="472"/>
      <c r="G65" s="472"/>
      <c r="H65" s="472"/>
      <c r="I65" s="472"/>
      <c r="J65" s="472"/>
      <c r="K65" s="472"/>
      <c r="L65" s="472"/>
      <c r="M65" s="472"/>
      <c r="N65" s="472"/>
      <c r="O65" s="472"/>
      <c r="P65" s="472"/>
      <c r="Q65" s="472"/>
      <c r="R65" s="472"/>
      <c r="S65" s="472"/>
      <c r="T65" s="472"/>
      <c r="U65" s="472"/>
      <c r="V65" s="472"/>
      <c r="W65" s="472"/>
      <c r="X65" s="472"/>
      <c r="Y65" s="472"/>
      <c r="Z65" s="472"/>
    </row>
    <row r="66" spans="1:26" ht="14.25" customHeight="1">
      <c r="A66" s="472"/>
      <c r="B66" s="472"/>
      <c r="C66" s="472"/>
      <c r="D66" s="472"/>
      <c r="E66" s="472"/>
      <c r="F66" s="472"/>
      <c r="G66" s="472"/>
      <c r="H66" s="472"/>
      <c r="I66" s="472"/>
      <c r="J66" s="472"/>
      <c r="K66" s="472"/>
      <c r="L66" s="472"/>
      <c r="M66" s="472"/>
      <c r="N66" s="472"/>
      <c r="O66" s="472"/>
      <c r="P66" s="472"/>
      <c r="Q66" s="472"/>
      <c r="R66" s="472"/>
      <c r="S66" s="472"/>
      <c r="T66" s="472"/>
      <c r="U66" s="472"/>
      <c r="V66" s="472"/>
      <c r="W66" s="472"/>
      <c r="X66" s="472"/>
      <c r="Y66" s="472"/>
      <c r="Z66" s="472"/>
    </row>
    <row r="67" spans="1:26" ht="14.25" customHeight="1">
      <c r="A67" s="472"/>
      <c r="B67" s="472"/>
      <c r="C67" s="472"/>
      <c r="D67" s="472"/>
      <c r="E67" s="472"/>
      <c r="F67" s="472"/>
      <c r="G67" s="472"/>
      <c r="H67" s="472"/>
      <c r="I67" s="472"/>
      <c r="J67" s="472"/>
      <c r="K67" s="472"/>
      <c r="L67" s="472"/>
      <c r="M67" s="472"/>
      <c r="N67" s="472"/>
      <c r="O67" s="472"/>
      <c r="P67" s="472"/>
      <c r="Q67" s="472"/>
      <c r="R67" s="472"/>
      <c r="S67" s="472"/>
      <c r="T67" s="472"/>
      <c r="U67" s="472"/>
      <c r="V67" s="472"/>
      <c r="W67" s="472"/>
      <c r="X67" s="472"/>
      <c r="Y67" s="472"/>
      <c r="Z67" s="472"/>
    </row>
    <row r="68" spans="1:26" ht="14.25" customHeight="1">
      <c r="A68" s="472"/>
      <c r="B68" s="472"/>
      <c r="C68" s="472"/>
      <c r="D68" s="472"/>
      <c r="E68" s="472"/>
      <c r="F68" s="472"/>
      <c r="G68" s="472"/>
      <c r="H68" s="472"/>
      <c r="I68" s="472"/>
      <c r="J68" s="472"/>
      <c r="K68" s="472"/>
      <c r="L68" s="472"/>
      <c r="M68" s="472"/>
      <c r="N68" s="472"/>
      <c r="O68" s="472"/>
      <c r="P68" s="472"/>
      <c r="Q68" s="472"/>
      <c r="R68" s="472"/>
      <c r="S68" s="472"/>
      <c r="T68" s="472"/>
      <c r="U68" s="472"/>
      <c r="V68" s="472"/>
      <c r="W68" s="472"/>
      <c r="X68" s="472"/>
      <c r="Y68" s="472"/>
      <c r="Z68" s="472"/>
    </row>
    <row r="69" spans="1:26" ht="14.25" customHeight="1">
      <c r="A69" s="472"/>
      <c r="B69" s="472"/>
      <c r="C69" s="472"/>
      <c r="D69" s="472"/>
      <c r="E69" s="472"/>
      <c r="F69" s="472"/>
      <c r="G69" s="472"/>
      <c r="H69" s="472"/>
      <c r="I69" s="472"/>
      <c r="J69" s="472"/>
      <c r="K69" s="472"/>
      <c r="L69" s="472"/>
      <c r="M69" s="472"/>
      <c r="N69" s="472"/>
      <c r="O69" s="472"/>
      <c r="P69" s="472"/>
      <c r="Q69" s="472"/>
      <c r="R69" s="472"/>
      <c r="S69" s="472"/>
      <c r="T69" s="472"/>
      <c r="U69" s="472"/>
      <c r="V69" s="472"/>
      <c r="W69" s="472"/>
      <c r="X69" s="472"/>
      <c r="Y69" s="472"/>
      <c r="Z69" s="472"/>
    </row>
    <row r="70" spans="1:26" ht="14.25" customHeight="1">
      <c r="A70" s="472"/>
      <c r="B70" s="472"/>
      <c r="C70" s="472"/>
      <c r="D70" s="472"/>
      <c r="E70" s="472"/>
      <c r="F70" s="472"/>
      <c r="G70" s="472"/>
      <c r="H70" s="472"/>
      <c r="I70" s="472"/>
      <c r="J70" s="472"/>
      <c r="K70" s="472"/>
      <c r="L70" s="472"/>
      <c r="M70" s="472"/>
      <c r="N70" s="472"/>
      <c r="O70" s="472"/>
      <c r="P70" s="472"/>
      <c r="Q70" s="472"/>
      <c r="R70" s="472"/>
      <c r="S70" s="472"/>
      <c r="T70" s="472"/>
      <c r="U70" s="472"/>
      <c r="V70" s="472"/>
      <c r="W70" s="472"/>
      <c r="X70" s="472"/>
      <c r="Y70" s="472"/>
      <c r="Z70" s="472"/>
    </row>
    <row r="71" spans="1:26" ht="14.25" customHeight="1">
      <c r="A71" s="472"/>
      <c r="B71" s="472"/>
      <c r="C71" s="472"/>
      <c r="D71" s="472"/>
      <c r="E71" s="472"/>
      <c r="F71" s="472"/>
      <c r="G71" s="472"/>
      <c r="H71" s="472"/>
      <c r="I71" s="472"/>
      <c r="J71" s="472"/>
      <c r="K71" s="472"/>
      <c r="L71" s="472"/>
      <c r="M71" s="472"/>
      <c r="N71" s="472"/>
      <c r="O71" s="472"/>
      <c r="P71" s="472"/>
      <c r="Q71" s="472"/>
      <c r="R71" s="472"/>
      <c r="S71" s="472"/>
      <c r="T71" s="472"/>
      <c r="U71" s="472"/>
      <c r="V71" s="472"/>
      <c r="W71" s="472"/>
      <c r="X71" s="472"/>
      <c r="Y71" s="472"/>
      <c r="Z71" s="472"/>
    </row>
    <row r="72" spans="1:26" ht="14.25" customHeight="1">
      <c r="A72" s="472"/>
      <c r="B72" s="472"/>
      <c r="C72" s="472"/>
      <c r="D72" s="472"/>
      <c r="E72" s="472"/>
      <c r="F72" s="472"/>
      <c r="G72" s="472"/>
      <c r="H72" s="472"/>
      <c r="I72" s="472"/>
      <c r="J72" s="472"/>
      <c r="K72" s="472"/>
      <c r="L72" s="472"/>
      <c r="M72" s="472"/>
      <c r="N72" s="472"/>
      <c r="O72" s="472"/>
      <c r="P72" s="472"/>
      <c r="Q72" s="472"/>
      <c r="R72" s="472"/>
      <c r="S72" s="472"/>
      <c r="T72" s="472"/>
      <c r="U72" s="472"/>
      <c r="V72" s="472"/>
      <c r="W72" s="472"/>
      <c r="X72" s="472"/>
      <c r="Y72" s="472"/>
      <c r="Z72" s="472"/>
    </row>
    <row r="73" spans="1:26" ht="14.25" customHeight="1">
      <c r="A73" s="472"/>
      <c r="B73" s="472"/>
      <c r="C73" s="472"/>
      <c r="D73" s="472"/>
      <c r="E73" s="472"/>
      <c r="F73" s="472"/>
      <c r="G73" s="472"/>
      <c r="H73" s="472"/>
      <c r="I73" s="472"/>
      <c r="J73" s="472"/>
      <c r="K73" s="472"/>
      <c r="L73" s="472"/>
      <c r="M73" s="472"/>
      <c r="N73" s="472"/>
      <c r="O73" s="472"/>
      <c r="P73" s="472"/>
      <c r="Q73" s="472"/>
      <c r="R73" s="472"/>
      <c r="S73" s="472"/>
      <c r="T73" s="472"/>
      <c r="U73" s="472"/>
      <c r="V73" s="472"/>
      <c r="W73" s="472"/>
      <c r="X73" s="472"/>
      <c r="Y73" s="472"/>
      <c r="Z73" s="472"/>
    </row>
    <row r="74" spans="1:26" ht="14.25" customHeight="1">
      <c r="A74" s="472"/>
      <c r="B74" s="472"/>
      <c r="C74" s="472"/>
      <c r="D74" s="472"/>
      <c r="E74" s="472"/>
      <c r="F74" s="472"/>
      <c r="G74" s="472"/>
      <c r="H74" s="472"/>
      <c r="I74" s="472"/>
      <c r="J74" s="472"/>
      <c r="K74" s="472"/>
      <c r="L74" s="472"/>
      <c r="M74" s="472"/>
      <c r="N74" s="472"/>
      <c r="O74" s="472"/>
      <c r="P74" s="472"/>
      <c r="Q74" s="472"/>
      <c r="R74" s="472"/>
      <c r="S74" s="472"/>
      <c r="T74" s="472"/>
      <c r="U74" s="472"/>
      <c r="V74" s="472"/>
      <c r="W74" s="472"/>
      <c r="X74" s="472"/>
      <c r="Y74" s="472"/>
      <c r="Z74" s="472"/>
    </row>
    <row r="75" spans="1:26" ht="14.25" customHeight="1">
      <c r="A75" s="472"/>
      <c r="B75" s="472"/>
      <c r="C75" s="472"/>
      <c r="D75" s="472"/>
      <c r="E75" s="472"/>
      <c r="F75" s="472"/>
      <c r="G75" s="472"/>
      <c r="H75" s="472"/>
      <c r="I75" s="472"/>
      <c r="J75" s="472"/>
      <c r="K75" s="472"/>
      <c r="L75" s="472"/>
      <c r="M75" s="472"/>
      <c r="N75" s="472"/>
      <c r="O75" s="472"/>
      <c r="P75" s="472"/>
      <c r="Q75" s="472"/>
      <c r="R75" s="472"/>
      <c r="S75" s="472"/>
      <c r="T75" s="472"/>
      <c r="U75" s="472"/>
      <c r="V75" s="472"/>
      <c r="W75" s="472"/>
      <c r="X75" s="472"/>
      <c r="Y75" s="472"/>
      <c r="Z75" s="472"/>
    </row>
    <row r="76" spans="1:26" ht="14.25" customHeight="1">
      <c r="A76" s="472"/>
      <c r="B76" s="472"/>
      <c r="C76" s="472"/>
      <c r="D76" s="472"/>
      <c r="E76" s="472"/>
      <c r="F76" s="472"/>
      <c r="G76" s="472"/>
      <c r="H76" s="472"/>
      <c r="I76" s="472"/>
      <c r="J76" s="472"/>
      <c r="K76" s="472"/>
      <c r="L76" s="472"/>
      <c r="M76" s="472"/>
      <c r="N76" s="472"/>
      <c r="O76" s="472"/>
      <c r="P76" s="472"/>
      <c r="Q76" s="472"/>
      <c r="R76" s="472"/>
      <c r="S76" s="472"/>
      <c r="T76" s="472"/>
      <c r="U76" s="472"/>
      <c r="V76" s="472"/>
      <c r="W76" s="472"/>
      <c r="X76" s="472"/>
      <c r="Y76" s="472"/>
      <c r="Z76" s="472"/>
    </row>
    <row r="77" spans="1:26" ht="14.25" customHeight="1">
      <c r="A77" s="472"/>
      <c r="B77" s="472"/>
      <c r="C77" s="472"/>
      <c r="D77" s="472"/>
      <c r="E77" s="472"/>
      <c r="F77" s="472"/>
      <c r="G77" s="472"/>
      <c r="H77" s="472"/>
      <c r="I77" s="472"/>
      <c r="J77" s="472"/>
      <c r="K77" s="472"/>
      <c r="L77" s="472"/>
      <c r="M77" s="472"/>
      <c r="N77" s="472"/>
      <c r="O77" s="472"/>
      <c r="P77" s="472"/>
      <c r="Q77" s="472"/>
      <c r="R77" s="472"/>
      <c r="S77" s="472"/>
      <c r="T77" s="472"/>
      <c r="U77" s="472"/>
      <c r="V77" s="472"/>
      <c r="W77" s="472"/>
      <c r="X77" s="472"/>
      <c r="Y77" s="472"/>
      <c r="Z77" s="472"/>
    </row>
    <row r="78" spans="1:26" ht="14.25" customHeight="1">
      <c r="A78" s="472"/>
      <c r="B78" s="472"/>
      <c r="C78" s="472"/>
      <c r="D78" s="472"/>
      <c r="E78" s="472"/>
      <c r="F78" s="472"/>
      <c r="G78" s="472"/>
      <c r="H78" s="472"/>
      <c r="I78" s="472"/>
      <c r="J78" s="472"/>
      <c r="K78" s="472"/>
      <c r="L78" s="472"/>
      <c r="M78" s="472"/>
      <c r="N78" s="472"/>
      <c r="O78" s="472"/>
      <c r="P78" s="472"/>
      <c r="Q78" s="472"/>
      <c r="R78" s="472"/>
      <c r="S78" s="472"/>
      <c r="T78" s="472"/>
      <c r="U78" s="472"/>
      <c r="V78" s="472"/>
      <c r="W78" s="472"/>
      <c r="X78" s="472"/>
      <c r="Y78" s="472"/>
      <c r="Z78" s="472"/>
    </row>
    <row r="79" spans="1:26" ht="14.25" customHeight="1">
      <c r="A79" s="472"/>
      <c r="B79" s="472"/>
      <c r="C79" s="472"/>
      <c r="D79" s="472"/>
      <c r="E79" s="472"/>
      <c r="F79" s="472"/>
      <c r="G79" s="472"/>
      <c r="H79" s="472"/>
      <c r="I79" s="472"/>
      <c r="J79" s="472"/>
      <c r="K79" s="472"/>
      <c r="L79" s="472"/>
      <c r="M79" s="472"/>
      <c r="N79" s="472"/>
      <c r="O79" s="472"/>
      <c r="P79" s="472"/>
      <c r="Q79" s="472"/>
      <c r="R79" s="472"/>
      <c r="S79" s="472"/>
      <c r="T79" s="472"/>
      <c r="U79" s="472"/>
      <c r="V79" s="472"/>
      <c r="W79" s="472"/>
      <c r="X79" s="472"/>
      <c r="Y79" s="472"/>
      <c r="Z79" s="472"/>
    </row>
    <row r="80" spans="1:26" ht="14.25" customHeight="1">
      <c r="A80" s="472"/>
      <c r="B80" s="472"/>
      <c r="C80" s="472"/>
      <c r="D80" s="472"/>
      <c r="E80" s="472"/>
      <c r="F80" s="472"/>
      <c r="G80" s="472"/>
      <c r="H80" s="472"/>
      <c r="I80" s="472"/>
      <c r="J80" s="472"/>
      <c r="K80" s="472"/>
      <c r="L80" s="472"/>
      <c r="M80" s="472"/>
      <c r="N80" s="472"/>
      <c r="O80" s="472"/>
      <c r="P80" s="472"/>
      <c r="Q80" s="472"/>
      <c r="R80" s="472"/>
      <c r="S80" s="472"/>
      <c r="T80" s="472"/>
      <c r="U80" s="472"/>
      <c r="V80" s="472"/>
      <c r="W80" s="472"/>
      <c r="X80" s="472"/>
      <c r="Y80" s="472"/>
      <c r="Z80" s="472"/>
    </row>
    <row r="81" spans="1:26" ht="14.25" customHeight="1">
      <c r="A81" s="472"/>
      <c r="B81" s="472"/>
      <c r="C81" s="472"/>
      <c r="D81" s="472"/>
      <c r="E81" s="472"/>
      <c r="F81" s="472"/>
      <c r="G81" s="472"/>
      <c r="H81" s="472"/>
      <c r="I81" s="472"/>
      <c r="J81" s="472"/>
      <c r="K81" s="472"/>
      <c r="L81" s="472"/>
      <c r="M81" s="472"/>
      <c r="N81" s="472"/>
      <c r="O81" s="472"/>
      <c r="P81" s="472"/>
      <c r="Q81" s="472"/>
      <c r="R81" s="472"/>
      <c r="S81" s="472"/>
      <c r="T81" s="472"/>
      <c r="U81" s="472"/>
      <c r="V81" s="472"/>
      <c r="W81" s="472"/>
      <c r="X81" s="472"/>
      <c r="Y81" s="472"/>
      <c r="Z81" s="472"/>
    </row>
    <row r="82" spans="1:26" ht="14.25" customHeight="1">
      <c r="A82" s="472"/>
      <c r="B82" s="472"/>
      <c r="C82" s="472"/>
      <c r="D82" s="472"/>
      <c r="E82" s="472"/>
      <c r="F82" s="472"/>
      <c r="G82" s="472"/>
      <c r="H82" s="472"/>
      <c r="I82" s="472"/>
      <c r="J82" s="472"/>
      <c r="K82" s="472"/>
      <c r="L82" s="472"/>
      <c r="M82" s="472"/>
      <c r="N82" s="472"/>
      <c r="O82" s="472"/>
      <c r="P82" s="472"/>
      <c r="Q82" s="472"/>
      <c r="R82" s="472"/>
      <c r="S82" s="472"/>
      <c r="T82" s="472"/>
      <c r="U82" s="472"/>
      <c r="V82" s="472"/>
      <c r="W82" s="472"/>
      <c r="X82" s="472"/>
      <c r="Y82" s="472"/>
      <c r="Z82" s="472"/>
    </row>
    <row r="83" spans="1:26" ht="14.25" customHeight="1">
      <c r="A83" s="472"/>
      <c r="B83" s="472"/>
      <c r="C83" s="472"/>
      <c r="D83" s="472"/>
      <c r="E83" s="472"/>
      <c r="F83" s="472"/>
      <c r="G83" s="472"/>
      <c r="H83" s="472"/>
      <c r="I83" s="472"/>
      <c r="J83" s="472"/>
      <c r="K83" s="472"/>
      <c r="L83" s="472"/>
      <c r="M83" s="472"/>
      <c r="N83" s="472"/>
      <c r="O83" s="472"/>
      <c r="P83" s="472"/>
      <c r="Q83" s="472"/>
      <c r="R83" s="472"/>
      <c r="S83" s="472"/>
      <c r="T83" s="472"/>
      <c r="U83" s="472"/>
      <c r="V83" s="472"/>
      <c r="W83" s="472"/>
      <c r="X83" s="472"/>
      <c r="Y83" s="472"/>
      <c r="Z83" s="472"/>
    </row>
    <row r="84" spans="1:26" ht="14.25" customHeight="1">
      <c r="A84" s="472"/>
      <c r="B84" s="472"/>
      <c r="C84" s="472"/>
      <c r="D84" s="472"/>
      <c r="E84" s="472"/>
      <c r="F84" s="472"/>
      <c r="G84" s="472"/>
      <c r="H84" s="472"/>
      <c r="I84" s="472"/>
      <c r="J84" s="472"/>
      <c r="K84" s="472"/>
      <c r="L84" s="472"/>
      <c r="M84" s="472"/>
      <c r="N84" s="472"/>
      <c r="O84" s="472"/>
      <c r="P84" s="472"/>
      <c r="Q84" s="472"/>
      <c r="R84" s="472"/>
      <c r="S84" s="472"/>
      <c r="T84" s="472"/>
      <c r="U84" s="472"/>
      <c r="V84" s="472"/>
      <c r="W84" s="472"/>
      <c r="X84" s="472"/>
      <c r="Y84" s="472"/>
      <c r="Z84" s="472"/>
    </row>
    <row r="85" spans="1:26" ht="14.25" customHeight="1">
      <c r="A85" s="472"/>
      <c r="B85" s="472"/>
      <c r="C85" s="472"/>
      <c r="D85" s="472"/>
      <c r="E85" s="472"/>
      <c r="F85" s="472"/>
      <c r="G85" s="472"/>
      <c r="H85" s="472"/>
      <c r="I85" s="472"/>
      <c r="J85" s="472"/>
      <c r="K85" s="472"/>
      <c r="L85" s="472"/>
      <c r="M85" s="472"/>
      <c r="N85" s="472"/>
      <c r="O85" s="472"/>
      <c r="P85" s="472"/>
      <c r="Q85" s="472"/>
      <c r="R85" s="472"/>
      <c r="S85" s="472"/>
      <c r="T85" s="472"/>
      <c r="U85" s="472"/>
      <c r="V85" s="472"/>
      <c r="W85" s="472"/>
      <c r="X85" s="472"/>
      <c r="Y85" s="472"/>
      <c r="Z85" s="472"/>
    </row>
    <row r="86" spans="1:26" ht="14.25" customHeight="1">
      <c r="A86" s="472"/>
      <c r="B86" s="472"/>
      <c r="C86" s="472"/>
      <c r="D86" s="472"/>
      <c r="E86" s="472"/>
      <c r="F86" s="472"/>
      <c r="G86" s="472"/>
      <c r="H86" s="472"/>
      <c r="I86" s="472"/>
      <c r="J86" s="472"/>
      <c r="K86" s="472"/>
      <c r="L86" s="472"/>
      <c r="M86" s="472"/>
      <c r="N86" s="472"/>
      <c r="O86" s="472"/>
      <c r="P86" s="472"/>
      <c r="Q86" s="472"/>
      <c r="R86" s="472"/>
      <c r="S86" s="472"/>
      <c r="T86" s="472"/>
      <c r="U86" s="472"/>
      <c r="V86" s="472"/>
      <c r="W86" s="472"/>
      <c r="X86" s="472"/>
      <c r="Y86" s="472"/>
      <c r="Z86" s="472"/>
    </row>
    <row r="87" spans="1:26" ht="14.25" customHeight="1">
      <c r="A87" s="472"/>
      <c r="B87" s="472"/>
      <c r="C87" s="472"/>
      <c r="D87" s="472"/>
      <c r="E87" s="472"/>
      <c r="F87" s="472"/>
      <c r="G87" s="472"/>
      <c r="H87" s="472"/>
      <c r="I87" s="472"/>
      <c r="J87" s="472"/>
      <c r="K87" s="472"/>
      <c r="L87" s="472"/>
      <c r="M87" s="472"/>
      <c r="N87" s="472"/>
      <c r="O87" s="472"/>
      <c r="P87" s="472"/>
      <c r="Q87" s="472"/>
      <c r="R87" s="472"/>
      <c r="S87" s="472"/>
      <c r="T87" s="472"/>
      <c r="U87" s="472"/>
      <c r="V87" s="472"/>
      <c r="W87" s="472"/>
      <c r="X87" s="472"/>
      <c r="Y87" s="472"/>
      <c r="Z87" s="472"/>
    </row>
    <row r="88" spans="1:26" ht="14.25" customHeight="1">
      <c r="A88" s="472"/>
      <c r="B88" s="472"/>
      <c r="C88" s="472"/>
      <c r="D88" s="472"/>
      <c r="E88" s="472"/>
      <c r="F88" s="472"/>
      <c r="G88" s="472"/>
      <c r="H88" s="472"/>
      <c r="I88" s="472"/>
      <c r="J88" s="472"/>
      <c r="K88" s="472"/>
      <c r="L88" s="472"/>
      <c r="M88" s="472"/>
      <c r="N88" s="472"/>
      <c r="O88" s="472"/>
      <c r="P88" s="472"/>
      <c r="Q88" s="472"/>
      <c r="R88" s="472"/>
      <c r="S88" s="472"/>
      <c r="T88" s="472"/>
      <c r="U88" s="472"/>
      <c r="V88" s="472"/>
      <c r="W88" s="472"/>
      <c r="X88" s="472"/>
      <c r="Y88" s="472"/>
      <c r="Z88" s="472"/>
    </row>
    <row r="89" spans="1:26" ht="14.25" customHeight="1">
      <c r="A89" s="472"/>
      <c r="B89" s="472"/>
      <c r="C89" s="472"/>
      <c r="D89" s="472"/>
      <c r="E89" s="472"/>
      <c r="F89" s="472"/>
      <c r="G89" s="472"/>
      <c r="H89" s="472"/>
      <c r="I89" s="472"/>
      <c r="J89" s="472"/>
      <c r="K89" s="472"/>
      <c r="L89" s="472"/>
      <c r="M89" s="472"/>
      <c r="N89" s="472"/>
      <c r="O89" s="472"/>
      <c r="P89" s="472"/>
      <c r="Q89" s="472"/>
      <c r="R89" s="472"/>
      <c r="S89" s="472"/>
      <c r="T89" s="472"/>
      <c r="U89" s="472"/>
      <c r="V89" s="472"/>
      <c r="W89" s="472"/>
      <c r="X89" s="472"/>
      <c r="Y89" s="472"/>
      <c r="Z89" s="472"/>
    </row>
    <row r="90" spans="1:26" ht="14.25" customHeight="1">
      <c r="A90" s="472"/>
      <c r="B90" s="472"/>
      <c r="C90" s="472"/>
      <c r="D90" s="472"/>
      <c r="E90" s="472"/>
      <c r="F90" s="472"/>
      <c r="G90" s="472"/>
      <c r="H90" s="472"/>
      <c r="I90" s="472"/>
      <c r="J90" s="472"/>
      <c r="K90" s="472"/>
      <c r="L90" s="472"/>
      <c r="M90" s="472"/>
      <c r="N90" s="472"/>
      <c r="O90" s="472"/>
      <c r="P90" s="472"/>
      <c r="Q90" s="472"/>
      <c r="R90" s="472"/>
      <c r="S90" s="472"/>
      <c r="T90" s="472"/>
      <c r="U90" s="472"/>
      <c r="V90" s="472"/>
      <c r="W90" s="472"/>
      <c r="X90" s="472"/>
      <c r="Y90" s="472"/>
      <c r="Z90" s="472"/>
    </row>
    <row r="91" spans="1:26" ht="14.25" customHeight="1">
      <c r="A91" s="472"/>
      <c r="B91" s="472"/>
      <c r="C91" s="472"/>
      <c r="D91" s="472"/>
      <c r="E91" s="472"/>
      <c r="F91" s="472"/>
      <c r="G91" s="472"/>
      <c r="H91" s="472"/>
      <c r="I91" s="472"/>
      <c r="J91" s="472"/>
      <c r="K91" s="472"/>
      <c r="L91" s="472"/>
      <c r="M91" s="472"/>
      <c r="N91" s="472"/>
      <c r="O91" s="472"/>
      <c r="P91" s="472"/>
      <c r="Q91" s="472"/>
      <c r="R91" s="472"/>
      <c r="S91" s="472"/>
      <c r="T91" s="472"/>
      <c r="U91" s="472"/>
      <c r="V91" s="472"/>
      <c r="W91" s="472"/>
      <c r="X91" s="472"/>
      <c r="Y91" s="472"/>
      <c r="Z91" s="472"/>
    </row>
    <row r="92" spans="1:26" ht="14.25" customHeight="1">
      <c r="A92" s="472"/>
      <c r="B92" s="472"/>
      <c r="C92" s="472"/>
      <c r="D92" s="472"/>
      <c r="E92" s="472"/>
      <c r="F92" s="472"/>
      <c r="G92" s="472"/>
      <c r="H92" s="472"/>
      <c r="I92" s="472"/>
      <c r="J92" s="472"/>
      <c r="K92" s="472"/>
      <c r="L92" s="472"/>
      <c r="M92" s="472"/>
      <c r="N92" s="472"/>
      <c r="O92" s="472"/>
      <c r="P92" s="472"/>
      <c r="Q92" s="472"/>
      <c r="R92" s="472"/>
      <c r="S92" s="472"/>
      <c r="T92" s="472"/>
      <c r="U92" s="472"/>
      <c r="V92" s="472"/>
      <c r="W92" s="472"/>
      <c r="X92" s="472"/>
      <c r="Y92" s="472"/>
      <c r="Z92" s="472"/>
    </row>
    <row r="93" spans="1:26" ht="14.25" customHeight="1">
      <c r="A93" s="472"/>
      <c r="B93" s="472"/>
      <c r="C93" s="472"/>
      <c r="D93" s="472"/>
      <c r="E93" s="472"/>
      <c r="F93" s="472"/>
      <c r="G93" s="472"/>
      <c r="H93" s="472"/>
      <c r="I93" s="472"/>
      <c r="J93" s="472"/>
      <c r="K93" s="472"/>
      <c r="L93" s="472"/>
      <c r="M93" s="472"/>
      <c r="N93" s="472"/>
      <c r="O93" s="472"/>
      <c r="P93" s="472"/>
      <c r="Q93" s="472"/>
      <c r="R93" s="472"/>
      <c r="S93" s="472"/>
      <c r="T93" s="472"/>
      <c r="U93" s="472"/>
      <c r="V93" s="472"/>
      <c r="W93" s="472"/>
      <c r="X93" s="472"/>
      <c r="Y93" s="472"/>
      <c r="Z93" s="472"/>
    </row>
    <row r="94" spans="1:26" ht="14.25" customHeight="1">
      <c r="A94" s="472"/>
      <c r="B94" s="472"/>
      <c r="C94" s="472"/>
      <c r="D94" s="472"/>
      <c r="E94" s="472"/>
      <c r="F94" s="472"/>
      <c r="G94" s="472"/>
      <c r="H94" s="472"/>
      <c r="I94" s="472"/>
      <c r="J94" s="472"/>
      <c r="K94" s="472"/>
      <c r="L94" s="472"/>
      <c r="M94" s="472"/>
      <c r="N94" s="472"/>
      <c r="O94" s="472"/>
      <c r="P94" s="472"/>
      <c r="Q94" s="472"/>
      <c r="R94" s="472"/>
      <c r="S94" s="472"/>
      <c r="T94" s="472"/>
      <c r="U94" s="472"/>
      <c r="V94" s="472"/>
      <c r="W94" s="472"/>
      <c r="X94" s="472"/>
      <c r="Y94" s="472"/>
      <c r="Z94" s="472"/>
    </row>
    <row r="95" spans="1:26" ht="14.25" customHeight="1">
      <c r="A95" s="472"/>
      <c r="B95" s="472"/>
      <c r="C95" s="472"/>
      <c r="D95" s="472"/>
      <c r="E95" s="472"/>
      <c r="F95" s="472"/>
      <c r="G95" s="472"/>
      <c r="H95" s="472"/>
      <c r="I95" s="472"/>
      <c r="J95" s="472"/>
      <c r="K95" s="472"/>
      <c r="L95" s="472"/>
      <c r="M95" s="472"/>
      <c r="N95" s="472"/>
      <c r="O95" s="472"/>
      <c r="P95" s="472"/>
      <c r="Q95" s="472"/>
      <c r="R95" s="472"/>
      <c r="S95" s="472"/>
      <c r="T95" s="472"/>
      <c r="U95" s="472"/>
      <c r="V95" s="472"/>
      <c r="W95" s="472"/>
      <c r="X95" s="472"/>
      <c r="Y95" s="472"/>
      <c r="Z95" s="472"/>
    </row>
    <row r="96" spans="1:26" ht="14.25" customHeight="1">
      <c r="A96" s="472"/>
      <c r="B96" s="472"/>
      <c r="C96" s="472"/>
      <c r="D96" s="472"/>
      <c r="E96" s="472"/>
      <c r="F96" s="472"/>
      <c r="G96" s="472"/>
      <c r="H96" s="472"/>
      <c r="I96" s="472"/>
      <c r="J96" s="472"/>
      <c r="K96" s="472"/>
      <c r="L96" s="472"/>
      <c r="M96" s="472"/>
      <c r="N96" s="472"/>
      <c r="O96" s="472"/>
      <c r="P96" s="472"/>
      <c r="Q96" s="472"/>
      <c r="R96" s="472"/>
      <c r="S96" s="472"/>
      <c r="T96" s="472"/>
      <c r="U96" s="472"/>
      <c r="V96" s="472"/>
      <c r="W96" s="472"/>
      <c r="X96" s="472"/>
      <c r="Y96" s="472"/>
      <c r="Z96" s="472"/>
    </row>
    <row r="97" spans="1:26" ht="14.25" customHeight="1">
      <c r="A97" s="472"/>
      <c r="B97" s="472"/>
      <c r="C97" s="472"/>
      <c r="D97" s="472"/>
      <c r="E97" s="472"/>
      <c r="F97" s="472"/>
      <c r="G97" s="472"/>
      <c r="H97" s="472"/>
      <c r="I97" s="472"/>
      <c r="J97" s="472"/>
      <c r="K97" s="472"/>
      <c r="L97" s="472"/>
      <c r="M97" s="472"/>
      <c r="N97" s="472"/>
      <c r="O97" s="472"/>
      <c r="P97" s="472"/>
      <c r="Q97" s="472"/>
      <c r="R97" s="472"/>
      <c r="S97" s="472"/>
      <c r="T97" s="472"/>
      <c r="U97" s="472"/>
      <c r="V97" s="472"/>
      <c r="W97" s="472"/>
      <c r="X97" s="472"/>
      <c r="Y97" s="472"/>
      <c r="Z97" s="472"/>
    </row>
    <row r="98" spans="1:26" ht="14.25" customHeight="1">
      <c r="A98" s="472"/>
      <c r="B98" s="472"/>
      <c r="C98" s="472"/>
      <c r="D98" s="472"/>
      <c r="E98" s="472"/>
      <c r="F98" s="472"/>
      <c r="G98" s="472"/>
      <c r="H98" s="472"/>
      <c r="I98" s="472"/>
      <c r="J98" s="472"/>
      <c r="K98" s="472"/>
      <c r="L98" s="472"/>
      <c r="M98" s="472"/>
      <c r="N98" s="472"/>
      <c r="O98" s="472"/>
      <c r="P98" s="472"/>
      <c r="Q98" s="472"/>
      <c r="R98" s="472"/>
      <c r="S98" s="472"/>
      <c r="T98" s="472"/>
      <c r="U98" s="472"/>
      <c r="V98" s="472"/>
      <c r="W98" s="472"/>
      <c r="X98" s="472"/>
      <c r="Y98" s="472"/>
      <c r="Z98" s="472"/>
    </row>
    <row r="99" spans="1:26" ht="14.25" customHeight="1">
      <c r="A99" s="472"/>
      <c r="B99" s="472"/>
      <c r="C99" s="472"/>
      <c r="D99" s="472"/>
      <c r="E99" s="472"/>
      <c r="F99" s="472"/>
      <c r="G99" s="472"/>
      <c r="H99" s="472"/>
      <c r="I99" s="472"/>
      <c r="J99" s="472"/>
      <c r="K99" s="472"/>
      <c r="L99" s="472"/>
      <c r="M99" s="472"/>
      <c r="N99" s="472"/>
      <c r="O99" s="472"/>
      <c r="P99" s="472"/>
      <c r="Q99" s="472"/>
      <c r="R99" s="472"/>
      <c r="S99" s="472"/>
      <c r="T99" s="472"/>
      <c r="U99" s="472"/>
      <c r="V99" s="472"/>
      <c r="W99" s="472"/>
      <c r="X99" s="472"/>
      <c r="Y99" s="472"/>
      <c r="Z99" s="472"/>
    </row>
    <row r="100" spans="1:26" ht="14.25" customHeight="1">
      <c r="A100" s="472"/>
      <c r="B100" s="472"/>
      <c r="C100" s="472"/>
      <c r="D100" s="472"/>
      <c r="E100" s="472"/>
      <c r="F100" s="472"/>
      <c r="G100" s="472"/>
      <c r="H100" s="472"/>
      <c r="I100" s="472"/>
      <c r="J100" s="472"/>
      <c r="K100" s="472"/>
      <c r="L100" s="472"/>
      <c r="M100" s="472"/>
      <c r="N100" s="472"/>
      <c r="O100" s="472"/>
      <c r="P100" s="472"/>
      <c r="Q100" s="472"/>
      <c r="R100" s="472"/>
      <c r="S100" s="472"/>
      <c r="T100" s="472"/>
      <c r="U100" s="472"/>
      <c r="V100" s="472"/>
      <c r="W100" s="472"/>
      <c r="X100" s="472"/>
      <c r="Y100" s="472"/>
      <c r="Z100" s="472"/>
    </row>
    <row r="101" spans="1:26" ht="14.25" customHeight="1">
      <c r="A101" s="472"/>
      <c r="B101" s="472"/>
      <c r="C101" s="472"/>
      <c r="D101" s="472"/>
      <c r="E101" s="472"/>
      <c r="F101" s="472"/>
      <c r="G101" s="472"/>
      <c r="H101" s="472"/>
      <c r="I101" s="472"/>
      <c r="J101" s="472"/>
      <c r="K101" s="472"/>
      <c r="L101" s="472"/>
      <c r="M101" s="472"/>
      <c r="N101" s="472"/>
      <c r="O101" s="472"/>
      <c r="P101" s="472"/>
      <c r="Q101" s="472"/>
      <c r="R101" s="472"/>
      <c r="S101" s="472"/>
      <c r="T101" s="472"/>
      <c r="U101" s="472"/>
      <c r="V101" s="472"/>
      <c r="W101" s="472"/>
      <c r="X101" s="472"/>
      <c r="Y101" s="472"/>
      <c r="Z101" s="472"/>
    </row>
    <row r="102" spans="1:26" ht="14.25" customHeight="1">
      <c r="A102" s="472"/>
      <c r="B102" s="472"/>
      <c r="C102" s="472"/>
      <c r="D102" s="472"/>
      <c r="E102" s="472"/>
      <c r="F102" s="472"/>
      <c r="G102" s="472"/>
      <c r="H102" s="472"/>
      <c r="I102" s="472"/>
      <c r="J102" s="472"/>
      <c r="K102" s="472"/>
      <c r="L102" s="472"/>
      <c r="M102" s="472"/>
      <c r="N102" s="472"/>
      <c r="O102" s="472"/>
      <c r="P102" s="472"/>
      <c r="Q102" s="472"/>
      <c r="R102" s="472"/>
      <c r="S102" s="472"/>
      <c r="T102" s="472"/>
      <c r="U102" s="472"/>
      <c r="V102" s="472"/>
      <c r="W102" s="472"/>
      <c r="X102" s="472"/>
      <c r="Y102" s="472"/>
      <c r="Z102" s="472"/>
    </row>
    <row r="103" spans="1:26" ht="14.25" customHeight="1">
      <c r="A103" s="472"/>
      <c r="B103" s="472"/>
      <c r="C103" s="472"/>
      <c r="D103" s="472"/>
      <c r="E103" s="472"/>
      <c r="F103" s="472"/>
      <c r="G103" s="472"/>
      <c r="H103" s="472"/>
      <c r="I103" s="472"/>
      <c r="J103" s="472"/>
      <c r="K103" s="472"/>
      <c r="L103" s="472"/>
      <c r="M103" s="472"/>
      <c r="N103" s="472"/>
      <c r="O103" s="472"/>
      <c r="P103" s="472"/>
      <c r="Q103" s="472"/>
      <c r="R103" s="472"/>
      <c r="S103" s="472"/>
      <c r="T103" s="472"/>
      <c r="U103" s="472"/>
      <c r="V103" s="472"/>
      <c r="W103" s="472"/>
      <c r="X103" s="472"/>
      <c r="Y103" s="472"/>
      <c r="Z103" s="472"/>
    </row>
    <row r="104" spans="1:26" ht="14.25" customHeight="1">
      <c r="A104" s="472"/>
      <c r="B104" s="472"/>
      <c r="C104" s="472"/>
      <c r="D104" s="472"/>
      <c r="E104" s="472"/>
      <c r="F104" s="472"/>
      <c r="G104" s="472"/>
      <c r="H104" s="472"/>
      <c r="I104" s="472"/>
      <c r="J104" s="472"/>
      <c r="K104" s="472"/>
      <c r="L104" s="472"/>
      <c r="M104" s="472"/>
      <c r="N104" s="472"/>
      <c r="O104" s="472"/>
      <c r="P104" s="472"/>
      <c r="Q104" s="472"/>
      <c r="R104" s="472"/>
      <c r="S104" s="472"/>
      <c r="T104" s="472"/>
      <c r="U104" s="472"/>
      <c r="V104" s="472"/>
      <c r="W104" s="472"/>
      <c r="X104" s="472"/>
      <c r="Y104" s="472"/>
      <c r="Z104" s="472"/>
    </row>
    <row r="105" spans="1:26" ht="14.25" customHeight="1">
      <c r="A105" s="472"/>
      <c r="B105" s="472"/>
      <c r="C105" s="472"/>
      <c r="D105" s="472"/>
      <c r="E105" s="472"/>
      <c r="F105" s="472"/>
      <c r="G105" s="472"/>
      <c r="H105" s="472"/>
      <c r="I105" s="472"/>
      <c r="J105" s="472"/>
      <c r="K105" s="472"/>
      <c r="L105" s="472"/>
      <c r="M105" s="472"/>
      <c r="N105" s="472"/>
      <c r="O105" s="472"/>
      <c r="P105" s="472"/>
      <c r="Q105" s="472"/>
      <c r="R105" s="472"/>
      <c r="S105" s="472"/>
      <c r="T105" s="472"/>
      <c r="U105" s="472"/>
      <c r="V105" s="472"/>
      <c r="W105" s="472"/>
      <c r="X105" s="472"/>
      <c r="Y105" s="472"/>
      <c r="Z105" s="472"/>
    </row>
    <row r="106" spans="1:26" ht="14.25" customHeight="1">
      <c r="A106" s="472"/>
      <c r="B106" s="472"/>
      <c r="C106" s="472"/>
      <c r="D106" s="472"/>
      <c r="E106" s="472"/>
      <c r="F106" s="472"/>
      <c r="G106" s="472"/>
      <c r="H106" s="472"/>
      <c r="I106" s="472"/>
      <c r="J106" s="472"/>
      <c r="K106" s="472"/>
      <c r="L106" s="472"/>
      <c r="M106" s="472"/>
      <c r="N106" s="472"/>
      <c r="O106" s="472"/>
      <c r="P106" s="472"/>
      <c r="Q106" s="472"/>
      <c r="R106" s="472"/>
      <c r="S106" s="472"/>
      <c r="T106" s="472"/>
      <c r="U106" s="472"/>
      <c r="V106" s="472"/>
      <c r="W106" s="472"/>
      <c r="X106" s="472"/>
      <c r="Y106" s="472"/>
      <c r="Z106" s="472"/>
    </row>
    <row r="107" spans="1:26" ht="14.25" customHeight="1">
      <c r="A107" s="472"/>
      <c r="B107" s="472"/>
      <c r="C107" s="472"/>
      <c r="D107" s="472"/>
      <c r="E107" s="472"/>
      <c r="F107" s="472"/>
      <c r="G107" s="472"/>
      <c r="H107" s="472"/>
      <c r="I107" s="472"/>
      <c r="J107" s="472"/>
      <c r="K107" s="472"/>
      <c r="L107" s="472"/>
      <c r="M107" s="472"/>
      <c r="N107" s="472"/>
      <c r="O107" s="472"/>
      <c r="P107" s="472"/>
      <c r="Q107" s="472"/>
      <c r="R107" s="472"/>
      <c r="S107" s="472"/>
      <c r="T107" s="472"/>
      <c r="U107" s="472"/>
      <c r="V107" s="472"/>
      <c r="W107" s="472"/>
      <c r="X107" s="472"/>
      <c r="Y107" s="472"/>
      <c r="Z107" s="472"/>
    </row>
    <row r="108" spans="1:26" ht="14.25" customHeight="1">
      <c r="A108" s="472"/>
      <c r="B108" s="472"/>
      <c r="C108" s="472"/>
      <c r="D108" s="472"/>
      <c r="E108" s="472"/>
      <c r="F108" s="472"/>
      <c r="G108" s="472"/>
      <c r="H108" s="472"/>
      <c r="I108" s="472"/>
      <c r="J108" s="472"/>
      <c r="K108" s="472"/>
      <c r="L108" s="472"/>
      <c r="M108" s="472"/>
      <c r="N108" s="472"/>
      <c r="O108" s="472"/>
      <c r="P108" s="472"/>
      <c r="Q108" s="472"/>
      <c r="R108" s="472"/>
      <c r="S108" s="472"/>
      <c r="T108" s="472"/>
      <c r="U108" s="472"/>
      <c r="V108" s="472"/>
      <c r="W108" s="472"/>
      <c r="X108" s="472"/>
      <c r="Y108" s="472"/>
      <c r="Z108" s="472"/>
    </row>
    <row r="109" spans="1:26" ht="14.25" customHeight="1">
      <c r="A109" s="472"/>
      <c r="B109" s="472"/>
      <c r="C109" s="472"/>
      <c r="D109" s="472"/>
      <c r="E109" s="472"/>
      <c r="F109" s="472"/>
      <c r="G109" s="472"/>
      <c r="H109" s="472"/>
      <c r="I109" s="472"/>
      <c r="J109" s="472"/>
      <c r="K109" s="472"/>
      <c r="L109" s="472"/>
      <c r="M109" s="472"/>
      <c r="N109" s="472"/>
      <c r="O109" s="472"/>
      <c r="P109" s="472"/>
      <c r="Q109" s="472"/>
      <c r="R109" s="472"/>
      <c r="S109" s="472"/>
      <c r="T109" s="472"/>
      <c r="U109" s="472"/>
      <c r="V109" s="472"/>
      <c r="W109" s="472"/>
      <c r="X109" s="472"/>
      <c r="Y109" s="472"/>
      <c r="Z109" s="472"/>
    </row>
    <row r="110" spans="1:26" ht="14.25" customHeight="1">
      <c r="A110" s="472"/>
      <c r="B110" s="472"/>
      <c r="C110" s="472"/>
      <c r="D110" s="472"/>
      <c r="E110" s="472"/>
      <c r="F110" s="472"/>
      <c r="G110" s="472"/>
      <c r="H110" s="472"/>
      <c r="I110" s="472"/>
      <c r="J110" s="472"/>
      <c r="K110" s="472"/>
      <c r="L110" s="472"/>
      <c r="M110" s="472"/>
      <c r="N110" s="472"/>
      <c r="O110" s="472"/>
      <c r="P110" s="472"/>
      <c r="Q110" s="472"/>
      <c r="R110" s="472"/>
      <c r="S110" s="472"/>
      <c r="T110" s="472"/>
      <c r="U110" s="472"/>
      <c r="V110" s="472"/>
      <c r="W110" s="472"/>
      <c r="X110" s="472"/>
      <c r="Y110" s="472"/>
      <c r="Z110" s="472"/>
    </row>
    <row r="111" spans="1:26" ht="14.25" customHeight="1">
      <c r="A111" s="472"/>
      <c r="B111" s="472"/>
      <c r="C111" s="472"/>
      <c r="D111" s="472"/>
      <c r="E111" s="472"/>
      <c r="F111" s="472"/>
      <c r="G111" s="472"/>
      <c r="H111" s="472"/>
      <c r="I111" s="472"/>
      <c r="J111" s="472"/>
      <c r="K111" s="472"/>
      <c r="L111" s="472"/>
      <c r="M111" s="472"/>
      <c r="N111" s="472"/>
      <c r="O111" s="472"/>
      <c r="P111" s="472"/>
      <c r="Q111" s="472"/>
      <c r="R111" s="472"/>
      <c r="S111" s="472"/>
      <c r="T111" s="472"/>
      <c r="U111" s="472"/>
      <c r="V111" s="472"/>
      <c r="W111" s="472"/>
      <c r="X111" s="472"/>
      <c r="Y111" s="472"/>
      <c r="Z111" s="472"/>
    </row>
    <row r="112" spans="1:26" ht="14.25" customHeight="1">
      <c r="A112" s="472"/>
      <c r="B112" s="472"/>
      <c r="C112" s="472"/>
      <c r="D112" s="472"/>
      <c r="E112" s="472"/>
      <c r="F112" s="472"/>
      <c r="G112" s="472"/>
      <c r="H112" s="472"/>
      <c r="I112" s="472"/>
      <c r="J112" s="472"/>
      <c r="K112" s="472"/>
      <c r="L112" s="472"/>
      <c r="M112" s="472"/>
      <c r="N112" s="472"/>
      <c r="O112" s="472"/>
      <c r="P112" s="472"/>
      <c r="Q112" s="472"/>
      <c r="R112" s="472"/>
      <c r="S112" s="472"/>
      <c r="T112" s="472"/>
      <c r="U112" s="472"/>
      <c r="V112" s="472"/>
      <c r="W112" s="472"/>
      <c r="X112" s="472"/>
      <c r="Y112" s="472"/>
      <c r="Z112" s="472"/>
    </row>
    <row r="113" spans="1:26" ht="14.25" customHeight="1">
      <c r="A113" s="472"/>
      <c r="B113" s="472"/>
      <c r="C113" s="472"/>
      <c r="D113" s="472"/>
      <c r="E113" s="472"/>
      <c r="F113" s="472"/>
      <c r="G113" s="472"/>
      <c r="H113" s="472"/>
      <c r="I113" s="472"/>
      <c r="J113" s="472"/>
      <c r="K113" s="472"/>
      <c r="L113" s="472"/>
      <c r="M113" s="472"/>
      <c r="N113" s="472"/>
      <c r="O113" s="472"/>
      <c r="P113" s="472"/>
      <c r="Q113" s="472"/>
      <c r="R113" s="472"/>
      <c r="S113" s="472"/>
      <c r="T113" s="472"/>
      <c r="U113" s="472"/>
      <c r="V113" s="472"/>
      <c r="W113" s="472"/>
      <c r="X113" s="472"/>
      <c r="Y113" s="472"/>
      <c r="Z113" s="472"/>
    </row>
    <row r="114" spans="1:26" ht="14.25" customHeight="1">
      <c r="A114" s="472"/>
      <c r="B114" s="472"/>
      <c r="C114" s="472"/>
      <c r="D114" s="472"/>
      <c r="E114" s="472"/>
      <c r="F114" s="472"/>
      <c r="G114" s="472"/>
      <c r="H114" s="472"/>
      <c r="I114" s="472"/>
      <c r="J114" s="472"/>
      <c r="K114" s="472"/>
      <c r="L114" s="472"/>
      <c r="M114" s="472"/>
      <c r="N114" s="472"/>
      <c r="O114" s="472"/>
      <c r="P114" s="472"/>
      <c r="Q114" s="472"/>
      <c r="R114" s="472"/>
      <c r="S114" s="472"/>
      <c r="T114" s="472"/>
      <c r="U114" s="472"/>
      <c r="V114" s="472"/>
      <c r="W114" s="472"/>
      <c r="X114" s="472"/>
      <c r="Y114" s="472"/>
      <c r="Z114" s="472"/>
    </row>
    <row r="115" spans="1:26" ht="14.25" customHeight="1">
      <c r="A115" s="472"/>
      <c r="B115" s="472"/>
      <c r="C115" s="472"/>
      <c r="D115" s="472"/>
      <c r="E115" s="472"/>
      <c r="F115" s="472"/>
      <c r="G115" s="472"/>
      <c r="H115" s="472"/>
      <c r="I115" s="472"/>
      <c r="J115" s="472"/>
      <c r="K115" s="472"/>
      <c r="L115" s="472"/>
      <c r="M115" s="472"/>
      <c r="N115" s="472"/>
      <c r="O115" s="472"/>
      <c r="P115" s="472"/>
      <c r="Q115" s="472"/>
      <c r="R115" s="472"/>
      <c r="S115" s="472"/>
      <c r="T115" s="472"/>
      <c r="U115" s="472"/>
      <c r="V115" s="472"/>
      <c r="W115" s="472"/>
      <c r="X115" s="472"/>
      <c r="Y115" s="472"/>
      <c r="Z115" s="472"/>
    </row>
    <row r="116" spans="1:26" ht="14.25" customHeight="1">
      <c r="A116" s="472"/>
      <c r="B116" s="472"/>
      <c r="C116" s="472"/>
      <c r="D116" s="472"/>
      <c r="E116" s="472"/>
      <c r="F116" s="472"/>
      <c r="G116" s="472"/>
      <c r="H116" s="472"/>
      <c r="I116" s="472"/>
      <c r="J116" s="472"/>
      <c r="K116" s="472"/>
      <c r="L116" s="472"/>
      <c r="M116" s="472"/>
      <c r="N116" s="472"/>
      <c r="O116" s="472"/>
      <c r="P116" s="472"/>
      <c r="Q116" s="472"/>
      <c r="R116" s="472"/>
      <c r="S116" s="472"/>
      <c r="T116" s="472"/>
      <c r="U116" s="472"/>
      <c r="V116" s="472"/>
      <c r="W116" s="472"/>
      <c r="X116" s="472"/>
      <c r="Y116" s="472"/>
      <c r="Z116" s="472"/>
    </row>
    <row r="117" spans="1:26" ht="14.25" customHeight="1">
      <c r="A117" s="472"/>
      <c r="B117" s="472"/>
      <c r="C117" s="472"/>
      <c r="D117" s="472"/>
      <c r="E117" s="472"/>
      <c r="F117" s="472"/>
      <c r="G117" s="472"/>
      <c r="H117" s="472"/>
      <c r="I117" s="472"/>
      <c r="J117" s="472"/>
      <c r="K117" s="472"/>
      <c r="L117" s="472"/>
      <c r="M117" s="472"/>
      <c r="N117" s="472"/>
      <c r="O117" s="472"/>
      <c r="P117" s="472"/>
      <c r="Q117" s="472"/>
      <c r="R117" s="472"/>
      <c r="S117" s="472"/>
      <c r="T117" s="472"/>
      <c r="U117" s="472"/>
      <c r="V117" s="472"/>
      <c r="W117" s="472"/>
      <c r="X117" s="472"/>
      <c r="Y117" s="472"/>
      <c r="Z117" s="472"/>
    </row>
    <row r="118" spans="1:26" ht="14.25" customHeight="1">
      <c r="A118" s="472"/>
      <c r="B118" s="472"/>
      <c r="C118" s="472"/>
      <c r="D118" s="472"/>
      <c r="E118" s="472"/>
      <c r="F118" s="472"/>
      <c r="G118" s="472"/>
      <c r="H118" s="472"/>
      <c r="I118" s="472"/>
      <c r="J118" s="472"/>
      <c r="K118" s="472"/>
      <c r="L118" s="472"/>
      <c r="M118" s="472"/>
      <c r="N118" s="472"/>
      <c r="O118" s="472"/>
      <c r="P118" s="472"/>
      <c r="Q118" s="472"/>
      <c r="R118" s="472"/>
      <c r="S118" s="472"/>
      <c r="T118" s="472"/>
      <c r="U118" s="472"/>
      <c r="V118" s="472"/>
      <c r="W118" s="472"/>
      <c r="X118" s="472"/>
      <c r="Y118" s="472"/>
      <c r="Z118" s="472"/>
    </row>
    <row r="119" spans="1:26" ht="14.25" customHeight="1">
      <c r="A119" s="472"/>
      <c r="B119" s="472"/>
      <c r="C119" s="472"/>
      <c r="D119" s="472"/>
      <c r="E119" s="472"/>
      <c r="F119" s="472"/>
      <c r="G119" s="472"/>
      <c r="H119" s="472"/>
      <c r="I119" s="472"/>
      <c r="J119" s="472"/>
      <c r="K119" s="472"/>
      <c r="L119" s="472"/>
      <c r="M119" s="472"/>
      <c r="N119" s="472"/>
      <c r="O119" s="472"/>
      <c r="P119" s="472"/>
      <c r="Q119" s="472"/>
      <c r="R119" s="472"/>
      <c r="S119" s="472"/>
      <c r="T119" s="472"/>
      <c r="U119" s="472"/>
      <c r="V119" s="472"/>
      <c r="W119" s="472"/>
      <c r="X119" s="472"/>
      <c r="Y119" s="472"/>
      <c r="Z119" s="472"/>
    </row>
    <row r="120" spans="1:26" ht="14.25" customHeight="1">
      <c r="A120" s="472"/>
      <c r="B120" s="472"/>
      <c r="C120" s="472"/>
      <c r="D120" s="472"/>
      <c r="E120" s="472"/>
      <c r="F120" s="472"/>
      <c r="G120" s="472"/>
      <c r="H120" s="472"/>
      <c r="I120" s="472"/>
      <c r="J120" s="472"/>
      <c r="K120" s="472"/>
      <c r="L120" s="472"/>
      <c r="M120" s="472"/>
      <c r="N120" s="472"/>
      <c r="O120" s="472"/>
      <c r="P120" s="472"/>
      <c r="Q120" s="472"/>
      <c r="R120" s="472"/>
      <c r="S120" s="472"/>
      <c r="T120" s="472"/>
      <c r="U120" s="472"/>
      <c r="V120" s="472"/>
      <c r="W120" s="472"/>
      <c r="X120" s="472"/>
      <c r="Y120" s="472"/>
      <c r="Z120" s="472"/>
    </row>
    <row r="121" spans="1:26" ht="14.25" customHeight="1">
      <c r="A121" s="472"/>
      <c r="B121" s="472"/>
      <c r="C121" s="472"/>
      <c r="D121" s="472"/>
      <c r="E121" s="472"/>
      <c r="F121" s="472"/>
      <c r="G121" s="472"/>
      <c r="H121" s="472"/>
      <c r="I121" s="472"/>
      <c r="J121" s="472"/>
      <c r="K121" s="472"/>
      <c r="L121" s="472"/>
      <c r="M121" s="472"/>
      <c r="N121" s="472"/>
      <c r="O121" s="472"/>
      <c r="P121" s="472"/>
      <c r="Q121" s="472"/>
      <c r="R121" s="472"/>
      <c r="S121" s="472"/>
      <c r="T121" s="472"/>
      <c r="U121" s="472"/>
      <c r="V121" s="472"/>
      <c r="W121" s="472"/>
      <c r="X121" s="472"/>
      <c r="Y121" s="472"/>
      <c r="Z121" s="472"/>
    </row>
    <row r="122" spans="1:26" ht="14.25" customHeight="1">
      <c r="A122" s="472"/>
      <c r="B122" s="472"/>
      <c r="C122" s="472"/>
      <c r="D122" s="472"/>
      <c r="E122" s="472"/>
      <c r="F122" s="472"/>
      <c r="G122" s="472"/>
      <c r="H122" s="472"/>
      <c r="I122" s="472"/>
      <c r="J122" s="472"/>
      <c r="K122" s="472"/>
      <c r="L122" s="472"/>
      <c r="M122" s="472"/>
      <c r="N122" s="472"/>
      <c r="O122" s="472"/>
      <c r="P122" s="472"/>
      <c r="Q122" s="472"/>
      <c r="R122" s="472"/>
      <c r="S122" s="472"/>
      <c r="T122" s="472"/>
      <c r="U122" s="472"/>
      <c r="V122" s="472"/>
      <c r="W122" s="472"/>
      <c r="X122" s="472"/>
      <c r="Y122" s="472"/>
      <c r="Z122" s="472"/>
    </row>
    <row r="123" spans="1:26" ht="14.25" customHeight="1">
      <c r="A123" s="472"/>
      <c r="B123" s="472"/>
      <c r="C123" s="472"/>
      <c r="D123" s="472"/>
      <c r="E123" s="472"/>
      <c r="F123" s="472"/>
      <c r="G123" s="472"/>
      <c r="H123" s="472"/>
      <c r="I123" s="472"/>
      <c r="J123" s="472"/>
      <c r="K123" s="472"/>
      <c r="L123" s="472"/>
      <c r="M123" s="472"/>
      <c r="N123" s="472"/>
      <c r="O123" s="472"/>
      <c r="P123" s="472"/>
      <c r="Q123" s="472"/>
      <c r="R123" s="472"/>
      <c r="S123" s="472"/>
      <c r="T123" s="472"/>
      <c r="U123" s="472"/>
      <c r="V123" s="472"/>
      <c r="W123" s="472"/>
      <c r="X123" s="472"/>
      <c r="Y123" s="472"/>
      <c r="Z123" s="472"/>
    </row>
    <row r="124" spans="1:26" ht="14.25" customHeight="1">
      <c r="A124" s="472"/>
      <c r="B124" s="472"/>
      <c r="C124" s="472"/>
      <c r="D124" s="472"/>
      <c r="E124" s="472"/>
      <c r="F124" s="472"/>
      <c r="G124" s="472"/>
      <c r="H124" s="472"/>
      <c r="I124" s="472"/>
      <c r="J124" s="472"/>
      <c r="K124" s="472"/>
      <c r="L124" s="472"/>
      <c r="M124" s="472"/>
      <c r="N124" s="472"/>
      <c r="O124" s="472"/>
      <c r="P124" s="472"/>
      <c r="Q124" s="472"/>
      <c r="R124" s="472"/>
      <c r="S124" s="472"/>
      <c r="T124" s="472"/>
      <c r="U124" s="472"/>
      <c r="V124" s="472"/>
      <c r="W124" s="472"/>
      <c r="X124" s="472"/>
      <c r="Y124" s="472"/>
      <c r="Z124" s="472"/>
    </row>
    <row r="125" spans="1:26" ht="14.25" customHeight="1">
      <c r="A125" s="472"/>
      <c r="B125" s="472"/>
      <c r="C125" s="472"/>
      <c r="D125" s="472"/>
      <c r="E125" s="472"/>
      <c r="F125" s="472"/>
      <c r="G125" s="472"/>
      <c r="H125" s="472"/>
      <c r="I125" s="472"/>
      <c r="J125" s="472"/>
      <c r="K125" s="472"/>
      <c r="L125" s="472"/>
      <c r="M125" s="472"/>
      <c r="N125" s="472"/>
      <c r="O125" s="472"/>
      <c r="P125" s="472"/>
      <c r="Q125" s="472"/>
      <c r="R125" s="472"/>
      <c r="S125" s="472"/>
      <c r="T125" s="472"/>
      <c r="U125" s="472"/>
      <c r="V125" s="472"/>
      <c r="W125" s="472"/>
      <c r="X125" s="472"/>
      <c r="Y125" s="472"/>
      <c r="Z125" s="472"/>
    </row>
    <row r="126" spans="1:26" ht="14.25" customHeight="1">
      <c r="A126" s="472"/>
      <c r="B126" s="472"/>
      <c r="C126" s="472"/>
      <c r="D126" s="472"/>
      <c r="E126" s="472"/>
      <c r="F126" s="472"/>
      <c r="G126" s="472"/>
      <c r="H126" s="472"/>
      <c r="I126" s="472"/>
      <c r="J126" s="472"/>
      <c r="K126" s="472"/>
      <c r="L126" s="472"/>
      <c r="M126" s="472"/>
      <c r="N126" s="472"/>
      <c r="O126" s="472"/>
      <c r="P126" s="472"/>
      <c r="Q126" s="472"/>
      <c r="R126" s="472"/>
      <c r="S126" s="472"/>
      <c r="T126" s="472"/>
      <c r="U126" s="472"/>
      <c r="V126" s="472"/>
      <c r="W126" s="472"/>
      <c r="X126" s="472"/>
      <c r="Y126" s="472"/>
      <c r="Z126" s="472"/>
    </row>
    <row r="127" spans="1:26" ht="14.25" customHeight="1">
      <c r="A127" s="472"/>
      <c r="B127" s="472"/>
      <c r="C127" s="472"/>
      <c r="D127" s="472"/>
      <c r="E127" s="472"/>
      <c r="F127" s="472"/>
      <c r="G127" s="472"/>
      <c r="H127" s="472"/>
      <c r="I127" s="472"/>
      <c r="J127" s="472"/>
      <c r="K127" s="472"/>
      <c r="L127" s="472"/>
      <c r="M127" s="472"/>
      <c r="N127" s="472"/>
      <c r="O127" s="472"/>
      <c r="P127" s="472"/>
      <c r="Q127" s="472"/>
      <c r="R127" s="472"/>
      <c r="S127" s="472"/>
      <c r="T127" s="472"/>
      <c r="U127" s="472"/>
      <c r="V127" s="472"/>
      <c r="W127" s="472"/>
      <c r="X127" s="472"/>
      <c r="Y127" s="472"/>
      <c r="Z127" s="472"/>
    </row>
    <row r="128" spans="1:26" ht="14.25" customHeight="1">
      <c r="A128" s="472"/>
      <c r="B128" s="472"/>
      <c r="C128" s="472"/>
      <c r="D128" s="472"/>
      <c r="E128" s="472"/>
      <c r="F128" s="472"/>
      <c r="G128" s="472"/>
      <c r="H128" s="472"/>
      <c r="I128" s="472"/>
      <c r="J128" s="472"/>
      <c r="K128" s="472"/>
      <c r="L128" s="472"/>
      <c r="M128" s="472"/>
      <c r="N128" s="472"/>
      <c r="O128" s="472"/>
      <c r="P128" s="472"/>
      <c r="Q128" s="472"/>
      <c r="R128" s="472"/>
      <c r="S128" s="472"/>
      <c r="T128" s="472"/>
      <c r="U128" s="472"/>
      <c r="V128" s="472"/>
      <c r="W128" s="472"/>
      <c r="X128" s="472"/>
      <c r="Y128" s="472"/>
      <c r="Z128" s="472"/>
    </row>
    <row r="129" spans="1:26" ht="14.25" customHeight="1">
      <c r="A129" s="472"/>
      <c r="B129" s="472"/>
      <c r="C129" s="472"/>
      <c r="D129" s="472"/>
      <c r="E129" s="472"/>
      <c r="F129" s="472"/>
      <c r="G129" s="472"/>
      <c r="H129" s="472"/>
      <c r="I129" s="472"/>
      <c r="J129" s="472"/>
      <c r="K129" s="472"/>
      <c r="L129" s="472"/>
      <c r="M129" s="472"/>
      <c r="N129" s="472"/>
      <c r="O129" s="472"/>
      <c r="P129" s="472"/>
      <c r="Q129" s="472"/>
      <c r="R129" s="472"/>
      <c r="S129" s="472"/>
      <c r="T129" s="472"/>
      <c r="U129" s="472"/>
      <c r="V129" s="472"/>
      <c r="W129" s="472"/>
      <c r="X129" s="472"/>
      <c r="Y129" s="472"/>
      <c r="Z129" s="472"/>
    </row>
    <row r="130" spans="1:26" ht="14.25" customHeight="1">
      <c r="A130" s="472"/>
      <c r="B130" s="472"/>
      <c r="C130" s="472"/>
      <c r="D130" s="472"/>
      <c r="E130" s="472"/>
      <c r="F130" s="472"/>
      <c r="G130" s="472"/>
      <c r="H130" s="472"/>
      <c r="I130" s="472"/>
      <c r="J130" s="472"/>
      <c r="K130" s="472"/>
      <c r="L130" s="472"/>
      <c r="M130" s="472"/>
      <c r="N130" s="472"/>
      <c r="O130" s="472"/>
      <c r="P130" s="472"/>
      <c r="Q130" s="472"/>
      <c r="R130" s="472"/>
      <c r="S130" s="472"/>
      <c r="T130" s="472"/>
      <c r="U130" s="472"/>
      <c r="V130" s="472"/>
      <c r="W130" s="472"/>
      <c r="X130" s="472"/>
      <c r="Y130" s="472"/>
      <c r="Z130" s="472"/>
    </row>
    <row r="131" spans="1:26" ht="14.25" customHeight="1">
      <c r="A131" s="472"/>
      <c r="B131" s="472"/>
      <c r="C131" s="472"/>
      <c r="D131" s="472"/>
      <c r="E131" s="472"/>
      <c r="F131" s="472"/>
      <c r="G131" s="472"/>
      <c r="H131" s="472"/>
      <c r="I131" s="472"/>
      <c r="J131" s="472"/>
      <c r="K131" s="472"/>
      <c r="L131" s="472"/>
      <c r="M131" s="472"/>
      <c r="N131" s="472"/>
      <c r="O131" s="472"/>
      <c r="P131" s="472"/>
      <c r="Q131" s="472"/>
      <c r="R131" s="472"/>
      <c r="S131" s="472"/>
      <c r="T131" s="472"/>
      <c r="U131" s="472"/>
      <c r="V131" s="472"/>
      <c r="W131" s="472"/>
      <c r="X131" s="472"/>
      <c r="Y131" s="472"/>
      <c r="Z131" s="472"/>
    </row>
    <row r="132" spans="1:26" ht="14.25" customHeight="1">
      <c r="A132" s="472"/>
      <c r="B132" s="472"/>
      <c r="C132" s="472"/>
      <c r="D132" s="472"/>
      <c r="E132" s="472"/>
      <c r="F132" s="472"/>
      <c r="G132" s="472"/>
      <c r="H132" s="472"/>
      <c r="I132" s="472"/>
      <c r="J132" s="472"/>
      <c r="K132" s="472"/>
      <c r="L132" s="472"/>
      <c r="M132" s="472"/>
      <c r="N132" s="472"/>
      <c r="O132" s="472"/>
      <c r="P132" s="472"/>
      <c r="Q132" s="472"/>
      <c r="R132" s="472"/>
      <c r="S132" s="472"/>
      <c r="T132" s="472"/>
      <c r="U132" s="472"/>
      <c r="V132" s="472"/>
      <c r="W132" s="472"/>
      <c r="X132" s="472"/>
      <c r="Y132" s="472"/>
      <c r="Z132" s="472"/>
    </row>
    <row r="133" spans="1:26" ht="14.25" customHeight="1">
      <c r="A133" s="472"/>
      <c r="B133" s="472"/>
      <c r="C133" s="472"/>
      <c r="D133" s="472"/>
      <c r="E133" s="472"/>
      <c r="F133" s="472"/>
      <c r="G133" s="472"/>
      <c r="H133" s="472"/>
      <c r="I133" s="472"/>
      <c r="J133" s="472"/>
      <c r="K133" s="472"/>
      <c r="L133" s="472"/>
      <c r="M133" s="472"/>
      <c r="N133" s="472"/>
      <c r="O133" s="472"/>
      <c r="P133" s="472"/>
      <c r="Q133" s="472"/>
      <c r="R133" s="472"/>
      <c r="S133" s="472"/>
      <c r="T133" s="472"/>
      <c r="U133" s="472"/>
      <c r="V133" s="472"/>
      <c r="W133" s="472"/>
      <c r="X133" s="472"/>
      <c r="Y133" s="472"/>
      <c r="Z133" s="472"/>
    </row>
    <row r="134" spans="1:26" ht="14.25" customHeight="1">
      <c r="A134" s="472"/>
      <c r="B134" s="472"/>
      <c r="C134" s="472"/>
      <c r="D134" s="472"/>
      <c r="E134" s="472"/>
      <c r="F134" s="472"/>
      <c r="G134" s="472"/>
      <c r="H134" s="472"/>
      <c r="I134" s="472"/>
      <c r="J134" s="472"/>
      <c r="K134" s="472"/>
      <c r="L134" s="472"/>
      <c r="M134" s="472"/>
      <c r="N134" s="472"/>
      <c r="O134" s="472"/>
      <c r="P134" s="472"/>
      <c r="Q134" s="472"/>
      <c r="R134" s="472"/>
      <c r="S134" s="472"/>
      <c r="T134" s="472"/>
      <c r="U134" s="472"/>
      <c r="V134" s="472"/>
      <c r="W134" s="472"/>
      <c r="X134" s="472"/>
      <c r="Y134" s="472"/>
      <c r="Z134" s="472"/>
    </row>
    <row r="135" spans="1:26" ht="14.25" customHeight="1">
      <c r="A135" s="472"/>
      <c r="B135" s="472"/>
      <c r="C135" s="472"/>
      <c r="D135" s="472"/>
      <c r="E135" s="472"/>
      <c r="F135" s="472"/>
      <c r="G135" s="472"/>
      <c r="H135" s="472"/>
      <c r="I135" s="472"/>
      <c r="J135" s="472"/>
      <c r="K135" s="472"/>
      <c r="L135" s="472"/>
      <c r="M135" s="472"/>
      <c r="N135" s="472"/>
      <c r="O135" s="472"/>
      <c r="P135" s="472"/>
      <c r="Q135" s="472"/>
      <c r="R135" s="472"/>
      <c r="S135" s="472"/>
      <c r="T135" s="472"/>
      <c r="U135" s="472"/>
      <c r="V135" s="472"/>
      <c r="W135" s="472"/>
      <c r="X135" s="472"/>
      <c r="Y135" s="472"/>
      <c r="Z135" s="472"/>
    </row>
    <row r="136" spans="1:26" ht="14.25" customHeight="1">
      <c r="A136" s="472"/>
      <c r="B136" s="472"/>
      <c r="C136" s="472"/>
      <c r="D136" s="472"/>
      <c r="E136" s="472"/>
      <c r="F136" s="472"/>
      <c r="G136" s="472"/>
      <c r="H136" s="472"/>
      <c r="I136" s="472"/>
      <c r="J136" s="472"/>
      <c r="K136" s="472"/>
      <c r="L136" s="472"/>
      <c r="M136" s="472"/>
      <c r="N136" s="472"/>
      <c r="O136" s="472"/>
      <c r="P136" s="472"/>
      <c r="Q136" s="472"/>
      <c r="R136" s="472"/>
      <c r="S136" s="472"/>
      <c r="T136" s="472"/>
      <c r="U136" s="472"/>
      <c r="V136" s="472"/>
      <c r="W136" s="472"/>
      <c r="X136" s="472"/>
      <c r="Y136" s="472"/>
      <c r="Z136" s="472"/>
    </row>
    <row r="137" spans="1:26" ht="14.25" customHeight="1">
      <c r="A137" s="472"/>
      <c r="B137" s="472"/>
      <c r="C137" s="472"/>
      <c r="D137" s="472"/>
      <c r="E137" s="472"/>
      <c r="F137" s="472"/>
      <c r="G137" s="472"/>
      <c r="H137" s="472"/>
      <c r="I137" s="472"/>
      <c r="J137" s="472"/>
      <c r="K137" s="472"/>
      <c r="L137" s="472"/>
      <c r="M137" s="472"/>
      <c r="N137" s="472"/>
      <c r="O137" s="472"/>
      <c r="P137" s="472"/>
      <c r="Q137" s="472"/>
      <c r="R137" s="472"/>
      <c r="S137" s="472"/>
      <c r="T137" s="472"/>
      <c r="U137" s="472"/>
      <c r="V137" s="472"/>
      <c r="W137" s="472"/>
      <c r="X137" s="472"/>
      <c r="Y137" s="472"/>
      <c r="Z137" s="472"/>
    </row>
    <row r="138" spans="1:26" ht="14.25" customHeight="1">
      <c r="A138" s="472"/>
      <c r="B138" s="472"/>
      <c r="C138" s="472"/>
      <c r="D138" s="472"/>
      <c r="E138" s="472"/>
      <c r="F138" s="472"/>
      <c r="G138" s="472"/>
      <c r="H138" s="472"/>
      <c r="I138" s="472"/>
      <c r="J138" s="472"/>
      <c r="K138" s="472"/>
      <c r="L138" s="472"/>
      <c r="M138" s="472"/>
      <c r="N138" s="472"/>
      <c r="O138" s="472"/>
      <c r="P138" s="472"/>
      <c r="Q138" s="472"/>
      <c r="R138" s="472"/>
      <c r="S138" s="472"/>
      <c r="T138" s="472"/>
      <c r="U138" s="472"/>
      <c r="V138" s="472"/>
      <c r="W138" s="472"/>
      <c r="X138" s="472"/>
      <c r="Y138" s="472"/>
      <c r="Z138" s="472"/>
    </row>
    <row r="139" spans="1:26" ht="14.25" customHeight="1">
      <c r="A139" s="472"/>
      <c r="B139" s="472"/>
      <c r="C139" s="472"/>
      <c r="D139" s="472"/>
      <c r="E139" s="472"/>
      <c r="F139" s="472"/>
      <c r="G139" s="472"/>
      <c r="H139" s="472"/>
      <c r="I139" s="472"/>
      <c r="J139" s="472"/>
      <c r="K139" s="472"/>
      <c r="L139" s="472"/>
      <c r="M139" s="472"/>
      <c r="N139" s="472"/>
      <c r="O139" s="472"/>
      <c r="P139" s="472"/>
      <c r="Q139" s="472"/>
      <c r="R139" s="472"/>
      <c r="S139" s="472"/>
      <c r="T139" s="472"/>
      <c r="U139" s="472"/>
      <c r="V139" s="472"/>
      <c r="W139" s="472"/>
      <c r="X139" s="472"/>
      <c r="Y139" s="472"/>
      <c r="Z139" s="472"/>
    </row>
    <row r="140" spans="1:26" ht="14.25" customHeight="1">
      <c r="A140" s="472"/>
      <c r="B140" s="472"/>
      <c r="C140" s="472"/>
      <c r="D140" s="472"/>
      <c r="E140" s="472"/>
      <c r="F140" s="472"/>
      <c r="G140" s="472"/>
      <c r="H140" s="472"/>
      <c r="I140" s="472"/>
      <c r="J140" s="472"/>
      <c r="K140" s="472"/>
      <c r="L140" s="472"/>
      <c r="M140" s="472"/>
      <c r="N140" s="472"/>
      <c r="O140" s="472"/>
      <c r="P140" s="472"/>
      <c r="Q140" s="472"/>
      <c r="R140" s="472"/>
      <c r="S140" s="472"/>
      <c r="T140" s="472"/>
      <c r="U140" s="472"/>
      <c r="V140" s="472"/>
      <c r="W140" s="472"/>
      <c r="X140" s="472"/>
      <c r="Y140" s="472"/>
      <c r="Z140" s="472"/>
    </row>
    <row r="141" spans="1:26" ht="14.25" customHeight="1">
      <c r="A141" s="472"/>
      <c r="B141" s="472"/>
      <c r="C141" s="472"/>
      <c r="D141" s="472"/>
      <c r="E141" s="472"/>
      <c r="F141" s="472"/>
      <c r="G141" s="472"/>
      <c r="H141" s="472"/>
      <c r="I141" s="472"/>
      <c r="J141" s="472"/>
      <c r="K141" s="472"/>
      <c r="L141" s="472"/>
      <c r="M141" s="472"/>
      <c r="N141" s="472"/>
      <c r="O141" s="472"/>
      <c r="P141" s="472"/>
      <c r="Q141" s="472"/>
      <c r="R141" s="472"/>
      <c r="S141" s="472"/>
      <c r="T141" s="472"/>
      <c r="U141" s="472"/>
      <c r="V141" s="472"/>
      <c r="W141" s="472"/>
      <c r="X141" s="472"/>
      <c r="Y141" s="472"/>
      <c r="Z141" s="472"/>
    </row>
    <row r="142" spans="1:26" ht="14.25" customHeight="1">
      <c r="A142" s="472"/>
      <c r="B142" s="472"/>
      <c r="C142" s="472"/>
      <c r="D142" s="472"/>
      <c r="E142" s="472"/>
      <c r="F142" s="472"/>
      <c r="G142" s="472"/>
      <c r="H142" s="472"/>
      <c r="I142" s="472"/>
      <c r="J142" s="472"/>
      <c r="K142" s="472"/>
      <c r="L142" s="472"/>
      <c r="M142" s="472"/>
      <c r="N142" s="472"/>
      <c r="O142" s="472"/>
      <c r="P142" s="472"/>
      <c r="Q142" s="472"/>
      <c r="R142" s="472"/>
      <c r="S142" s="472"/>
      <c r="T142" s="472"/>
      <c r="U142" s="472"/>
      <c r="V142" s="472"/>
      <c r="W142" s="472"/>
      <c r="X142" s="472"/>
      <c r="Y142" s="472"/>
      <c r="Z142" s="472"/>
    </row>
    <row r="143" spans="1:26" ht="14.25" customHeight="1">
      <c r="A143" s="472"/>
      <c r="B143" s="472"/>
      <c r="C143" s="472"/>
      <c r="D143" s="472"/>
      <c r="E143" s="472"/>
      <c r="F143" s="472"/>
      <c r="G143" s="472"/>
      <c r="H143" s="472"/>
      <c r="I143" s="472"/>
      <c r="J143" s="472"/>
      <c r="K143" s="472"/>
      <c r="L143" s="472"/>
      <c r="M143" s="472"/>
      <c r="N143" s="472"/>
      <c r="O143" s="472"/>
      <c r="P143" s="472"/>
      <c r="Q143" s="472"/>
      <c r="R143" s="472"/>
      <c r="S143" s="472"/>
      <c r="T143" s="472"/>
      <c r="U143" s="472"/>
      <c r="V143" s="472"/>
      <c r="W143" s="472"/>
      <c r="X143" s="472"/>
      <c r="Y143" s="472"/>
      <c r="Z143" s="472"/>
    </row>
    <row r="144" spans="1:26" ht="14.25" customHeight="1">
      <c r="A144" s="472"/>
      <c r="B144" s="472"/>
      <c r="C144" s="472"/>
      <c r="D144" s="472"/>
      <c r="E144" s="472"/>
      <c r="F144" s="472"/>
      <c r="G144" s="472"/>
      <c r="H144" s="472"/>
      <c r="I144" s="472"/>
      <c r="J144" s="472"/>
      <c r="K144" s="472"/>
      <c r="L144" s="472"/>
      <c r="M144" s="472"/>
      <c r="N144" s="472"/>
      <c r="O144" s="472"/>
      <c r="P144" s="472"/>
      <c r="Q144" s="472"/>
      <c r="R144" s="472"/>
      <c r="S144" s="472"/>
      <c r="T144" s="472"/>
      <c r="U144" s="472"/>
      <c r="V144" s="472"/>
      <c r="W144" s="472"/>
      <c r="X144" s="472"/>
      <c r="Y144" s="472"/>
      <c r="Z144" s="472"/>
    </row>
    <row r="145" spans="1:26" ht="14.25" customHeight="1">
      <c r="A145" s="472"/>
      <c r="B145" s="472"/>
      <c r="C145" s="472"/>
      <c r="D145" s="472"/>
      <c r="E145" s="472"/>
      <c r="F145" s="472"/>
      <c r="G145" s="472"/>
      <c r="H145" s="472"/>
      <c r="I145" s="472"/>
      <c r="J145" s="472"/>
      <c r="K145" s="472"/>
      <c r="L145" s="472"/>
      <c r="M145" s="472"/>
      <c r="N145" s="472"/>
      <c r="O145" s="472"/>
      <c r="P145" s="472"/>
      <c r="Q145" s="472"/>
      <c r="R145" s="472"/>
      <c r="S145" s="472"/>
      <c r="T145" s="472"/>
      <c r="U145" s="472"/>
      <c r="V145" s="472"/>
      <c r="W145" s="472"/>
      <c r="X145" s="472"/>
      <c r="Y145" s="472"/>
      <c r="Z145" s="472"/>
    </row>
    <row r="146" spans="1:26" ht="14.25" customHeight="1">
      <c r="A146" s="472"/>
      <c r="B146" s="472"/>
      <c r="C146" s="472"/>
      <c r="D146" s="472"/>
      <c r="E146" s="472"/>
      <c r="F146" s="472"/>
      <c r="G146" s="472"/>
      <c r="H146" s="472"/>
      <c r="I146" s="472"/>
      <c r="J146" s="472"/>
      <c r="K146" s="472"/>
      <c r="L146" s="472"/>
      <c r="M146" s="472"/>
      <c r="N146" s="472"/>
      <c r="O146" s="472"/>
      <c r="P146" s="472"/>
      <c r="Q146" s="472"/>
      <c r="R146" s="472"/>
      <c r="S146" s="472"/>
      <c r="T146" s="472"/>
      <c r="U146" s="472"/>
      <c r="V146" s="472"/>
      <c r="W146" s="472"/>
      <c r="X146" s="472"/>
      <c r="Y146" s="472"/>
      <c r="Z146" s="472"/>
    </row>
    <row r="147" spans="1:26" ht="14.25" customHeight="1">
      <c r="A147" s="472"/>
      <c r="B147" s="472"/>
      <c r="C147" s="472"/>
      <c r="D147" s="472"/>
      <c r="E147" s="472"/>
      <c r="F147" s="472"/>
      <c r="G147" s="472"/>
      <c r="H147" s="472"/>
      <c r="I147" s="472"/>
      <c r="J147" s="472"/>
      <c r="K147" s="472"/>
      <c r="L147" s="472"/>
      <c r="M147" s="472"/>
      <c r="N147" s="472"/>
      <c r="O147" s="472"/>
      <c r="P147" s="472"/>
      <c r="Q147" s="472"/>
      <c r="R147" s="472"/>
      <c r="S147" s="472"/>
      <c r="T147" s="472"/>
      <c r="U147" s="472"/>
      <c r="V147" s="472"/>
      <c r="W147" s="472"/>
      <c r="X147" s="472"/>
      <c r="Y147" s="472"/>
      <c r="Z147" s="472"/>
    </row>
    <row r="148" spans="1:26" ht="14.25" customHeight="1">
      <c r="A148" s="472"/>
      <c r="B148" s="472"/>
      <c r="C148" s="472"/>
      <c r="D148" s="472"/>
      <c r="E148" s="472"/>
      <c r="F148" s="472"/>
      <c r="G148" s="472"/>
      <c r="H148" s="472"/>
      <c r="I148" s="472"/>
      <c r="J148" s="472"/>
      <c r="K148" s="472"/>
      <c r="L148" s="472"/>
      <c r="M148" s="472"/>
      <c r="N148" s="472"/>
      <c r="O148" s="472"/>
      <c r="P148" s="472"/>
      <c r="Q148" s="472"/>
      <c r="R148" s="472"/>
      <c r="S148" s="472"/>
      <c r="T148" s="472"/>
      <c r="U148" s="472"/>
      <c r="V148" s="472"/>
      <c r="W148" s="472"/>
      <c r="X148" s="472"/>
      <c r="Y148" s="472"/>
      <c r="Z148" s="472"/>
    </row>
    <row r="149" spans="1:26" ht="14.25" customHeight="1">
      <c r="A149" s="472"/>
      <c r="B149" s="472"/>
      <c r="C149" s="472"/>
      <c r="D149" s="472"/>
      <c r="E149" s="472"/>
      <c r="F149" s="472"/>
      <c r="G149" s="472"/>
      <c r="H149" s="472"/>
      <c r="I149" s="472"/>
      <c r="J149" s="472"/>
      <c r="K149" s="472"/>
      <c r="L149" s="472"/>
      <c r="M149" s="472"/>
      <c r="N149" s="472"/>
      <c r="O149" s="472"/>
      <c r="P149" s="472"/>
      <c r="Q149" s="472"/>
      <c r="R149" s="472"/>
      <c r="S149" s="472"/>
      <c r="T149" s="472"/>
      <c r="U149" s="472"/>
      <c r="V149" s="472"/>
      <c r="W149" s="472"/>
      <c r="X149" s="472"/>
      <c r="Y149" s="472"/>
      <c r="Z149" s="472"/>
    </row>
    <row r="150" spans="1:26" ht="14.25" customHeight="1">
      <c r="A150" s="472"/>
      <c r="B150" s="472"/>
      <c r="C150" s="472"/>
      <c r="D150" s="472"/>
      <c r="E150" s="472"/>
      <c r="F150" s="472"/>
      <c r="G150" s="472"/>
      <c r="H150" s="472"/>
      <c r="I150" s="472"/>
      <c r="J150" s="472"/>
      <c r="K150" s="472"/>
      <c r="L150" s="472"/>
      <c r="M150" s="472"/>
      <c r="N150" s="472"/>
      <c r="O150" s="472"/>
      <c r="P150" s="472"/>
      <c r="Q150" s="472"/>
      <c r="R150" s="472"/>
      <c r="S150" s="472"/>
      <c r="T150" s="472"/>
      <c r="U150" s="472"/>
      <c r="V150" s="472"/>
      <c r="W150" s="472"/>
      <c r="X150" s="472"/>
      <c r="Y150" s="472"/>
      <c r="Z150" s="472"/>
    </row>
    <row r="151" spans="1:26" ht="14.25" customHeight="1">
      <c r="A151" s="472"/>
      <c r="B151" s="472"/>
      <c r="C151" s="472"/>
      <c r="D151" s="472"/>
      <c r="E151" s="472"/>
      <c r="F151" s="472"/>
      <c r="G151" s="472"/>
      <c r="H151" s="472"/>
      <c r="I151" s="472"/>
      <c r="J151" s="472"/>
      <c r="K151" s="472"/>
      <c r="L151" s="472"/>
      <c r="M151" s="472"/>
      <c r="N151" s="472"/>
      <c r="O151" s="472"/>
      <c r="P151" s="472"/>
      <c r="Q151" s="472"/>
      <c r="R151" s="472"/>
      <c r="S151" s="472"/>
      <c r="T151" s="472"/>
      <c r="U151" s="472"/>
      <c r="V151" s="472"/>
      <c r="W151" s="472"/>
      <c r="X151" s="472"/>
      <c r="Y151" s="472"/>
      <c r="Z151" s="472"/>
    </row>
    <row r="152" spans="1:26" ht="14.25" customHeight="1">
      <c r="A152" s="472"/>
      <c r="B152" s="472"/>
      <c r="C152" s="472"/>
      <c r="D152" s="472"/>
      <c r="E152" s="472"/>
      <c r="F152" s="472"/>
      <c r="G152" s="472"/>
      <c r="H152" s="472"/>
      <c r="I152" s="472"/>
      <c r="J152" s="472"/>
      <c r="K152" s="472"/>
      <c r="L152" s="472"/>
      <c r="M152" s="472"/>
      <c r="N152" s="472"/>
      <c r="O152" s="472"/>
      <c r="P152" s="472"/>
      <c r="Q152" s="472"/>
      <c r="R152" s="472"/>
      <c r="S152" s="472"/>
      <c r="T152" s="472"/>
      <c r="U152" s="472"/>
      <c r="V152" s="472"/>
      <c r="W152" s="472"/>
      <c r="X152" s="472"/>
      <c r="Y152" s="472"/>
      <c r="Z152" s="472"/>
    </row>
    <row r="153" spans="1:26" ht="14.25" customHeight="1">
      <c r="A153" s="472"/>
      <c r="B153" s="472"/>
      <c r="C153" s="472"/>
      <c r="D153" s="472"/>
      <c r="E153" s="472"/>
      <c r="F153" s="472"/>
      <c r="G153" s="472"/>
      <c r="H153" s="472"/>
      <c r="I153" s="472"/>
      <c r="J153" s="472"/>
      <c r="K153" s="472"/>
      <c r="L153" s="472"/>
      <c r="M153" s="472"/>
      <c r="N153" s="472"/>
      <c r="O153" s="472"/>
      <c r="P153" s="472"/>
      <c r="Q153" s="472"/>
      <c r="R153" s="472"/>
      <c r="S153" s="472"/>
      <c r="T153" s="472"/>
      <c r="U153" s="472"/>
      <c r="V153" s="472"/>
      <c r="W153" s="472"/>
      <c r="X153" s="472"/>
      <c r="Y153" s="472"/>
      <c r="Z153" s="472"/>
    </row>
    <row r="154" spans="1:26" ht="14.25" customHeight="1">
      <c r="A154" s="472"/>
      <c r="B154" s="472"/>
      <c r="C154" s="472"/>
      <c r="D154" s="472"/>
      <c r="E154" s="472"/>
      <c r="F154" s="472"/>
      <c r="G154" s="472"/>
      <c r="H154" s="472"/>
      <c r="I154" s="472"/>
      <c r="J154" s="472"/>
      <c r="K154" s="472"/>
      <c r="L154" s="472"/>
      <c r="M154" s="472"/>
      <c r="N154" s="472"/>
      <c r="O154" s="472"/>
      <c r="P154" s="472"/>
      <c r="Q154" s="472"/>
      <c r="R154" s="472"/>
      <c r="S154" s="472"/>
      <c r="T154" s="472"/>
      <c r="U154" s="472"/>
      <c r="V154" s="472"/>
      <c r="W154" s="472"/>
      <c r="X154" s="472"/>
      <c r="Y154" s="472"/>
      <c r="Z154" s="472"/>
    </row>
    <row r="155" spans="1:26" ht="14.25" customHeight="1">
      <c r="A155" s="472"/>
      <c r="B155" s="472"/>
      <c r="C155" s="472"/>
      <c r="D155" s="472"/>
      <c r="E155" s="472"/>
      <c r="F155" s="472"/>
      <c r="G155" s="472"/>
      <c r="H155" s="472"/>
      <c r="I155" s="472"/>
      <c r="J155" s="472"/>
      <c r="K155" s="472"/>
      <c r="L155" s="472"/>
      <c r="M155" s="472"/>
      <c r="N155" s="472"/>
      <c r="O155" s="472"/>
      <c r="P155" s="472"/>
      <c r="Q155" s="472"/>
      <c r="R155" s="472"/>
      <c r="S155" s="472"/>
      <c r="T155" s="472"/>
      <c r="U155" s="472"/>
      <c r="V155" s="472"/>
      <c r="W155" s="472"/>
      <c r="X155" s="472"/>
      <c r="Y155" s="472"/>
      <c r="Z155" s="472"/>
    </row>
    <row r="156" spans="1:26" ht="14.25" customHeight="1">
      <c r="A156" s="472"/>
      <c r="B156" s="472"/>
      <c r="C156" s="472"/>
      <c r="D156" s="472"/>
      <c r="E156" s="472"/>
      <c r="F156" s="472"/>
      <c r="G156" s="472"/>
      <c r="H156" s="472"/>
      <c r="I156" s="472"/>
      <c r="J156" s="472"/>
      <c r="K156" s="472"/>
      <c r="L156" s="472"/>
      <c r="M156" s="472"/>
      <c r="N156" s="472"/>
      <c r="O156" s="472"/>
      <c r="P156" s="472"/>
      <c r="Q156" s="472"/>
      <c r="R156" s="472"/>
      <c r="S156" s="472"/>
      <c r="T156" s="472"/>
      <c r="U156" s="472"/>
      <c r="V156" s="472"/>
      <c r="W156" s="472"/>
      <c r="X156" s="472"/>
      <c r="Y156" s="472"/>
      <c r="Z156" s="472"/>
    </row>
    <row r="157" spans="1:26" ht="14.25" customHeight="1">
      <c r="A157" s="472"/>
      <c r="B157" s="472"/>
      <c r="C157" s="472"/>
      <c r="D157" s="472"/>
      <c r="E157" s="472"/>
      <c r="F157" s="472"/>
      <c r="G157" s="472"/>
      <c r="H157" s="472"/>
      <c r="I157" s="472"/>
      <c r="J157" s="472"/>
      <c r="K157" s="472"/>
      <c r="L157" s="472"/>
      <c r="M157" s="472"/>
      <c r="N157" s="472"/>
      <c r="O157" s="472"/>
      <c r="P157" s="472"/>
      <c r="Q157" s="472"/>
      <c r="R157" s="472"/>
      <c r="S157" s="472"/>
      <c r="T157" s="472"/>
      <c r="U157" s="472"/>
      <c r="V157" s="472"/>
      <c r="W157" s="472"/>
      <c r="X157" s="472"/>
      <c r="Y157" s="472"/>
      <c r="Z157" s="472"/>
    </row>
    <row r="158" spans="1:26" ht="14.25" customHeight="1">
      <c r="A158" s="472"/>
      <c r="B158" s="472"/>
      <c r="C158" s="472"/>
      <c r="D158" s="472"/>
      <c r="E158" s="472"/>
      <c r="F158" s="472"/>
      <c r="G158" s="472"/>
      <c r="H158" s="472"/>
      <c r="I158" s="472"/>
      <c r="J158" s="472"/>
      <c r="K158" s="472"/>
      <c r="L158" s="472"/>
      <c r="M158" s="472"/>
      <c r="N158" s="472"/>
      <c r="O158" s="472"/>
      <c r="P158" s="472"/>
      <c r="Q158" s="472"/>
      <c r="R158" s="472"/>
      <c r="S158" s="472"/>
      <c r="T158" s="472"/>
      <c r="U158" s="472"/>
      <c r="V158" s="472"/>
      <c r="W158" s="472"/>
      <c r="X158" s="472"/>
      <c r="Y158" s="472"/>
      <c r="Z158" s="472"/>
    </row>
    <row r="159" spans="1:26" ht="14.25" customHeight="1">
      <c r="A159" s="472"/>
      <c r="B159" s="472"/>
      <c r="C159" s="472"/>
      <c r="D159" s="472"/>
      <c r="E159" s="472"/>
      <c r="F159" s="472"/>
      <c r="G159" s="472"/>
      <c r="H159" s="472"/>
      <c r="I159" s="472"/>
      <c r="J159" s="472"/>
      <c r="K159" s="472"/>
      <c r="L159" s="472"/>
      <c r="M159" s="472"/>
      <c r="N159" s="472"/>
      <c r="O159" s="472"/>
      <c r="P159" s="472"/>
      <c r="Q159" s="472"/>
      <c r="R159" s="472"/>
      <c r="S159" s="472"/>
      <c r="T159" s="472"/>
      <c r="U159" s="472"/>
      <c r="V159" s="472"/>
      <c r="W159" s="472"/>
      <c r="X159" s="472"/>
      <c r="Y159" s="472"/>
      <c r="Z159" s="472"/>
    </row>
    <row r="160" spans="1:26" ht="14.25" customHeight="1">
      <c r="A160" s="472"/>
      <c r="B160" s="472"/>
      <c r="C160" s="472"/>
      <c r="D160" s="472"/>
      <c r="E160" s="472"/>
      <c r="F160" s="472"/>
      <c r="G160" s="472"/>
      <c r="H160" s="472"/>
      <c r="I160" s="472"/>
      <c r="J160" s="472"/>
      <c r="K160" s="472"/>
      <c r="L160" s="472"/>
      <c r="M160" s="472"/>
      <c r="N160" s="472"/>
      <c r="O160" s="472"/>
      <c r="P160" s="472"/>
      <c r="Q160" s="472"/>
      <c r="R160" s="472"/>
      <c r="S160" s="472"/>
      <c r="T160" s="472"/>
      <c r="U160" s="472"/>
      <c r="V160" s="472"/>
      <c r="W160" s="472"/>
      <c r="X160" s="472"/>
      <c r="Y160" s="472"/>
      <c r="Z160" s="472"/>
    </row>
    <row r="161" spans="1:26" ht="14.25" customHeight="1">
      <c r="A161" s="472"/>
      <c r="B161" s="472"/>
      <c r="C161" s="472"/>
      <c r="D161" s="472"/>
      <c r="E161" s="472"/>
      <c r="F161" s="472"/>
      <c r="G161" s="472"/>
      <c r="H161" s="472"/>
      <c r="I161" s="472"/>
      <c r="J161" s="472"/>
      <c r="K161" s="472"/>
      <c r="L161" s="472"/>
      <c r="M161" s="472"/>
      <c r="N161" s="472"/>
      <c r="O161" s="472"/>
      <c r="P161" s="472"/>
      <c r="Q161" s="472"/>
      <c r="R161" s="472"/>
      <c r="S161" s="472"/>
      <c r="T161" s="472"/>
      <c r="U161" s="472"/>
      <c r="V161" s="472"/>
      <c r="W161" s="472"/>
      <c r="X161" s="472"/>
      <c r="Y161" s="472"/>
      <c r="Z161" s="472"/>
    </row>
    <row r="162" spans="1:26" ht="14.25" customHeight="1">
      <c r="A162" s="472"/>
      <c r="B162" s="472"/>
      <c r="C162" s="472"/>
      <c r="D162" s="472"/>
      <c r="E162" s="472"/>
      <c r="F162" s="472"/>
      <c r="G162" s="472"/>
      <c r="H162" s="472"/>
      <c r="I162" s="472"/>
      <c r="J162" s="472"/>
      <c r="K162" s="472"/>
      <c r="L162" s="472"/>
      <c r="M162" s="472"/>
      <c r="N162" s="472"/>
      <c r="O162" s="472"/>
      <c r="P162" s="472"/>
      <c r="Q162" s="472"/>
      <c r="R162" s="472"/>
      <c r="S162" s="472"/>
      <c r="T162" s="472"/>
      <c r="U162" s="472"/>
      <c r="V162" s="472"/>
      <c r="W162" s="472"/>
      <c r="X162" s="472"/>
      <c r="Y162" s="472"/>
      <c r="Z162" s="472"/>
    </row>
    <row r="163" spans="1:26" ht="14.25" customHeight="1">
      <c r="A163" s="472"/>
      <c r="B163" s="472"/>
      <c r="C163" s="472"/>
      <c r="D163" s="472"/>
      <c r="E163" s="472"/>
      <c r="F163" s="472"/>
      <c r="G163" s="472"/>
      <c r="H163" s="472"/>
      <c r="I163" s="472"/>
      <c r="J163" s="472"/>
      <c r="K163" s="472"/>
      <c r="L163" s="472"/>
      <c r="M163" s="472"/>
      <c r="N163" s="472"/>
      <c r="O163" s="472"/>
      <c r="P163" s="472"/>
      <c r="Q163" s="472"/>
      <c r="R163" s="472"/>
      <c r="S163" s="472"/>
      <c r="T163" s="472"/>
      <c r="U163" s="472"/>
      <c r="V163" s="472"/>
      <c r="W163" s="472"/>
      <c r="X163" s="472"/>
      <c r="Y163" s="472"/>
      <c r="Z163" s="472"/>
    </row>
    <row r="164" spans="1:26" ht="14.25" customHeight="1">
      <c r="A164" s="472"/>
      <c r="B164" s="472"/>
      <c r="C164" s="472"/>
      <c r="D164" s="472"/>
      <c r="E164" s="472"/>
      <c r="F164" s="472"/>
      <c r="G164" s="472"/>
      <c r="H164" s="472"/>
      <c r="I164" s="472"/>
      <c r="J164" s="472"/>
      <c r="K164" s="472"/>
      <c r="L164" s="472"/>
      <c r="M164" s="472"/>
      <c r="N164" s="472"/>
      <c r="O164" s="472"/>
      <c r="P164" s="472"/>
      <c r="Q164" s="472"/>
      <c r="R164" s="472"/>
      <c r="S164" s="472"/>
      <c r="T164" s="472"/>
      <c r="U164" s="472"/>
      <c r="V164" s="472"/>
      <c r="W164" s="472"/>
      <c r="X164" s="472"/>
      <c r="Y164" s="472"/>
      <c r="Z164" s="472"/>
    </row>
    <row r="165" spans="1:26" ht="14.25" customHeight="1">
      <c r="A165" s="472"/>
      <c r="B165" s="472"/>
      <c r="C165" s="472"/>
      <c r="D165" s="472"/>
      <c r="E165" s="472"/>
      <c r="F165" s="472"/>
      <c r="G165" s="472"/>
      <c r="H165" s="472"/>
      <c r="I165" s="472"/>
      <c r="J165" s="472"/>
      <c r="K165" s="472"/>
      <c r="L165" s="472"/>
      <c r="M165" s="472"/>
      <c r="N165" s="472"/>
      <c r="O165" s="472"/>
      <c r="P165" s="472"/>
      <c r="Q165" s="472"/>
      <c r="R165" s="472"/>
      <c r="S165" s="472"/>
      <c r="T165" s="472"/>
      <c r="U165" s="472"/>
      <c r="V165" s="472"/>
      <c r="W165" s="472"/>
      <c r="X165" s="472"/>
      <c r="Y165" s="472"/>
      <c r="Z165" s="472"/>
    </row>
    <row r="166" spans="1:26" ht="14.25" customHeight="1">
      <c r="A166" s="472"/>
      <c r="B166" s="472"/>
      <c r="C166" s="472"/>
      <c r="D166" s="472"/>
      <c r="E166" s="472"/>
      <c r="F166" s="472"/>
      <c r="G166" s="472"/>
      <c r="H166" s="472"/>
      <c r="I166" s="472"/>
      <c r="J166" s="472"/>
      <c r="K166" s="472"/>
      <c r="L166" s="472"/>
      <c r="M166" s="472"/>
      <c r="N166" s="472"/>
      <c r="O166" s="472"/>
      <c r="P166" s="472"/>
      <c r="Q166" s="472"/>
      <c r="R166" s="472"/>
      <c r="S166" s="472"/>
      <c r="T166" s="472"/>
      <c r="U166" s="472"/>
      <c r="V166" s="472"/>
      <c r="W166" s="472"/>
      <c r="X166" s="472"/>
      <c r="Y166" s="472"/>
      <c r="Z166" s="472"/>
    </row>
    <row r="167" spans="1:26" ht="14.25" customHeight="1">
      <c r="A167" s="472"/>
      <c r="B167" s="472"/>
      <c r="C167" s="472"/>
      <c r="D167" s="472"/>
      <c r="E167" s="472"/>
      <c r="F167" s="472"/>
      <c r="G167" s="472"/>
      <c r="H167" s="472"/>
      <c r="I167" s="472"/>
      <c r="J167" s="472"/>
      <c r="K167" s="472"/>
      <c r="L167" s="472"/>
      <c r="M167" s="472"/>
      <c r="N167" s="472"/>
      <c r="O167" s="472"/>
      <c r="P167" s="472"/>
      <c r="Q167" s="472"/>
      <c r="R167" s="472"/>
      <c r="S167" s="472"/>
      <c r="T167" s="472"/>
      <c r="U167" s="472"/>
      <c r="V167" s="472"/>
      <c r="W167" s="472"/>
      <c r="X167" s="472"/>
      <c r="Y167" s="472"/>
      <c r="Z167" s="472"/>
    </row>
    <row r="168" spans="1:26" ht="14.25" customHeight="1">
      <c r="A168" s="472"/>
      <c r="B168" s="472"/>
      <c r="C168" s="472"/>
      <c r="D168" s="472"/>
      <c r="E168" s="472"/>
      <c r="F168" s="472"/>
      <c r="G168" s="472"/>
      <c r="H168" s="472"/>
      <c r="I168" s="472"/>
      <c r="J168" s="472"/>
      <c r="K168" s="472"/>
      <c r="L168" s="472"/>
      <c r="M168" s="472"/>
      <c r="N168" s="472"/>
      <c r="O168" s="472"/>
      <c r="P168" s="472"/>
      <c r="Q168" s="472"/>
      <c r="R168" s="472"/>
      <c r="S168" s="472"/>
      <c r="T168" s="472"/>
      <c r="U168" s="472"/>
      <c r="V168" s="472"/>
      <c r="W168" s="472"/>
      <c r="X168" s="472"/>
      <c r="Y168" s="472"/>
      <c r="Z168" s="472"/>
    </row>
    <row r="169" spans="1:26" ht="14.25" customHeight="1">
      <c r="A169" s="472"/>
      <c r="B169" s="472"/>
      <c r="C169" s="472"/>
      <c r="D169" s="472"/>
      <c r="E169" s="472"/>
      <c r="F169" s="472"/>
      <c r="G169" s="472"/>
      <c r="H169" s="472"/>
      <c r="I169" s="472"/>
      <c r="J169" s="472"/>
      <c r="K169" s="472"/>
      <c r="L169" s="472"/>
      <c r="M169" s="472"/>
      <c r="N169" s="472"/>
      <c r="O169" s="472"/>
      <c r="P169" s="472"/>
      <c r="Q169" s="472"/>
      <c r="R169" s="472"/>
      <c r="S169" s="472"/>
      <c r="T169" s="472"/>
      <c r="U169" s="472"/>
      <c r="V169" s="472"/>
      <c r="W169" s="472"/>
      <c r="X169" s="472"/>
      <c r="Y169" s="472"/>
      <c r="Z169" s="472"/>
    </row>
    <row r="170" spans="1:26" ht="14.25" customHeight="1">
      <c r="A170" s="472"/>
      <c r="B170" s="472"/>
      <c r="C170" s="472"/>
      <c r="D170" s="472"/>
      <c r="E170" s="472"/>
      <c r="F170" s="472"/>
      <c r="G170" s="472"/>
      <c r="H170" s="472"/>
      <c r="I170" s="472"/>
      <c r="J170" s="472"/>
      <c r="K170" s="472"/>
      <c r="L170" s="472"/>
      <c r="M170" s="472"/>
      <c r="N170" s="472"/>
      <c r="O170" s="472"/>
      <c r="P170" s="472"/>
      <c r="Q170" s="472"/>
      <c r="R170" s="472"/>
      <c r="S170" s="472"/>
      <c r="T170" s="472"/>
      <c r="U170" s="472"/>
      <c r="V170" s="472"/>
      <c r="W170" s="472"/>
      <c r="X170" s="472"/>
      <c r="Y170" s="472"/>
      <c r="Z170" s="472"/>
    </row>
    <row r="171" spans="1:26" ht="14.25" customHeight="1">
      <c r="A171" s="472"/>
      <c r="B171" s="472"/>
      <c r="C171" s="472"/>
      <c r="D171" s="472"/>
      <c r="E171" s="472"/>
      <c r="F171" s="472"/>
      <c r="G171" s="472"/>
      <c r="H171" s="472"/>
      <c r="I171" s="472"/>
      <c r="J171" s="472"/>
      <c r="K171" s="472"/>
      <c r="L171" s="472"/>
      <c r="M171" s="472"/>
      <c r="N171" s="472"/>
      <c r="O171" s="472"/>
      <c r="P171" s="472"/>
      <c r="Q171" s="472"/>
      <c r="R171" s="472"/>
      <c r="S171" s="472"/>
      <c r="T171" s="472"/>
      <c r="U171" s="472"/>
      <c r="V171" s="472"/>
      <c r="W171" s="472"/>
      <c r="X171" s="472"/>
      <c r="Y171" s="472"/>
      <c r="Z171" s="472"/>
    </row>
    <row r="172" spans="1:26" ht="14.25" customHeight="1">
      <c r="A172" s="472"/>
      <c r="B172" s="472"/>
      <c r="C172" s="472"/>
      <c r="D172" s="472"/>
      <c r="E172" s="472"/>
      <c r="F172" s="472"/>
      <c r="G172" s="472"/>
      <c r="H172" s="472"/>
      <c r="I172" s="472"/>
      <c r="J172" s="472"/>
      <c r="K172" s="472"/>
      <c r="L172" s="472"/>
      <c r="M172" s="472"/>
      <c r="N172" s="472"/>
      <c r="O172" s="472"/>
      <c r="P172" s="472"/>
      <c r="Q172" s="472"/>
      <c r="R172" s="472"/>
      <c r="S172" s="472"/>
      <c r="T172" s="472"/>
      <c r="U172" s="472"/>
      <c r="V172" s="472"/>
      <c r="W172" s="472"/>
      <c r="X172" s="472"/>
      <c r="Y172" s="472"/>
      <c r="Z172" s="472"/>
    </row>
    <row r="173" spans="1:26" ht="14.25" customHeight="1">
      <c r="A173" s="472"/>
      <c r="B173" s="472"/>
      <c r="C173" s="472"/>
      <c r="D173" s="472"/>
      <c r="E173" s="472"/>
      <c r="F173" s="472"/>
      <c r="G173" s="472"/>
      <c r="H173" s="472"/>
      <c r="I173" s="472"/>
      <c r="J173" s="472"/>
      <c r="K173" s="472"/>
      <c r="L173" s="472"/>
      <c r="M173" s="472"/>
      <c r="N173" s="472"/>
      <c r="O173" s="472"/>
      <c r="P173" s="472"/>
      <c r="Q173" s="472"/>
      <c r="R173" s="472"/>
      <c r="S173" s="472"/>
      <c r="T173" s="472"/>
      <c r="U173" s="472"/>
      <c r="V173" s="472"/>
      <c r="W173" s="472"/>
      <c r="X173" s="472"/>
      <c r="Y173" s="472"/>
      <c r="Z173" s="472"/>
    </row>
    <row r="174" spans="1:26" ht="14.25" customHeight="1">
      <c r="A174" s="472"/>
      <c r="B174" s="472"/>
      <c r="C174" s="472"/>
      <c r="D174" s="472"/>
      <c r="E174" s="472"/>
      <c r="F174" s="472"/>
      <c r="G174" s="472"/>
      <c r="H174" s="472"/>
      <c r="I174" s="472"/>
      <c r="J174" s="472"/>
      <c r="K174" s="472"/>
      <c r="L174" s="472"/>
      <c r="M174" s="472"/>
      <c r="N174" s="472"/>
      <c r="O174" s="472"/>
      <c r="P174" s="472"/>
      <c r="Q174" s="472"/>
      <c r="R174" s="472"/>
      <c r="S174" s="472"/>
      <c r="T174" s="472"/>
      <c r="U174" s="472"/>
      <c r="V174" s="472"/>
      <c r="W174" s="472"/>
      <c r="X174" s="472"/>
      <c r="Y174" s="472"/>
      <c r="Z174" s="472"/>
    </row>
    <row r="175" spans="1:26" ht="14.25" customHeight="1">
      <c r="A175" s="472"/>
      <c r="B175" s="472"/>
      <c r="C175" s="472"/>
      <c r="D175" s="472"/>
      <c r="E175" s="472"/>
      <c r="F175" s="472"/>
      <c r="G175" s="472"/>
      <c r="H175" s="472"/>
      <c r="I175" s="472"/>
      <c r="J175" s="472"/>
      <c r="K175" s="472"/>
      <c r="L175" s="472"/>
      <c r="M175" s="472"/>
      <c r="N175" s="472"/>
      <c r="O175" s="472"/>
      <c r="P175" s="472"/>
      <c r="Q175" s="472"/>
      <c r="R175" s="472"/>
      <c r="S175" s="472"/>
      <c r="T175" s="472"/>
      <c r="U175" s="472"/>
      <c r="V175" s="472"/>
      <c r="W175" s="472"/>
      <c r="X175" s="472"/>
      <c r="Y175" s="472"/>
      <c r="Z175" s="472"/>
    </row>
    <row r="176" spans="1:26" ht="14.25" customHeight="1">
      <c r="A176" s="472"/>
      <c r="B176" s="472"/>
      <c r="C176" s="472"/>
      <c r="D176" s="472"/>
      <c r="E176" s="472"/>
      <c r="F176" s="472"/>
      <c r="G176" s="472"/>
      <c r="H176" s="472"/>
      <c r="I176" s="472"/>
      <c r="J176" s="472"/>
      <c r="K176" s="472"/>
      <c r="L176" s="472"/>
      <c r="M176" s="472"/>
      <c r="N176" s="472"/>
      <c r="O176" s="472"/>
      <c r="P176" s="472"/>
      <c r="Q176" s="472"/>
      <c r="R176" s="472"/>
      <c r="S176" s="472"/>
      <c r="T176" s="472"/>
      <c r="U176" s="472"/>
      <c r="V176" s="472"/>
      <c r="W176" s="472"/>
      <c r="X176" s="472"/>
      <c r="Y176" s="472"/>
      <c r="Z176" s="472"/>
    </row>
    <row r="177" spans="1:26" ht="14.25" customHeight="1">
      <c r="A177" s="472"/>
      <c r="B177" s="472"/>
      <c r="C177" s="472"/>
      <c r="D177" s="472"/>
      <c r="E177" s="472"/>
      <c r="F177" s="472"/>
      <c r="G177" s="472"/>
      <c r="H177" s="472"/>
      <c r="I177" s="472"/>
      <c r="J177" s="472"/>
      <c r="K177" s="472"/>
      <c r="L177" s="472"/>
      <c r="M177" s="472"/>
      <c r="N177" s="472"/>
      <c r="O177" s="472"/>
      <c r="P177" s="472"/>
      <c r="Q177" s="472"/>
      <c r="R177" s="472"/>
      <c r="S177" s="472"/>
      <c r="T177" s="472"/>
      <c r="U177" s="472"/>
      <c r="V177" s="472"/>
      <c r="W177" s="472"/>
      <c r="X177" s="472"/>
      <c r="Y177" s="472"/>
      <c r="Z177" s="472"/>
    </row>
    <row r="178" spans="1:26" ht="14.25" customHeight="1">
      <c r="A178" s="472"/>
      <c r="B178" s="472"/>
      <c r="C178" s="472"/>
      <c r="D178" s="472"/>
      <c r="E178" s="472"/>
      <c r="F178" s="472"/>
      <c r="G178" s="472"/>
      <c r="H178" s="472"/>
      <c r="I178" s="472"/>
      <c r="J178" s="472"/>
      <c r="K178" s="472"/>
      <c r="L178" s="472"/>
      <c r="M178" s="472"/>
      <c r="N178" s="472"/>
      <c r="O178" s="472"/>
      <c r="P178" s="472"/>
      <c r="Q178" s="472"/>
      <c r="R178" s="472"/>
      <c r="S178" s="472"/>
      <c r="T178" s="472"/>
      <c r="U178" s="472"/>
      <c r="V178" s="472"/>
      <c r="W178" s="472"/>
      <c r="X178" s="472"/>
      <c r="Y178" s="472"/>
      <c r="Z178" s="472"/>
    </row>
    <row r="179" spans="1:26" ht="14.25" customHeight="1">
      <c r="A179" s="472"/>
      <c r="B179" s="472"/>
      <c r="C179" s="472"/>
      <c r="D179" s="472"/>
      <c r="E179" s="472"/>
      <c r="F179" s="472"/>
      <c r="G179" s="472"/>
      <c r="H179" s="472"/>
      <c r="I179" s="472"/>
      <c r="J179" s="472"/>
      <c r="K179" s="472"/>
      <c r="L179" s="472"/>
      <c r="M179" s="472"/>
      <c r="N179" s="472"/>
      <c r="O179" s="472"/>
      <c r="P179" s="472"/>
      <c r="Q179" s="472"/>
      <c r="R179" s="472"/>
      <c r="S179" s="472"/>
      <c r="T179" s="472"/>
      <c r="U179" s="472"/>
      <c r="V179" s="472"/>
      <c r="W179" s="472"/>
      <c r="X179" s="472"/>
      <c r="Y179" s="472"/>
      <c r="Z179" s="472"/>
    </row>
    <row r="180" spans="1:26" ht="14.25" customHeight="1">
      <c r="A180" s="472"/>
      <c r="B180" s="472"/>
      <c r="C180" s="472"/>
      <c r="D180" s="472"/>
      <c r="E180" s="472"/>
      <c r="F180" s="472"/>
      <c r="G180" s="472"/>
      <c r="H180" s="472"/>
      <c r="I180" s="472"/>
      <c r="J180" s="472"/>
      <c r="K180" s="472"/>
      <c r="L180" s="472"/>
      <c r="M180" s="472"/>
      <c r="N180" s="472"/>
      <c r="O180" s="472"/>
      <c r="P180" s="472"/>
      <c r="Q180" s="472"/>
      <c r="R180" s="472"/>
      <c r="S180" s="472"/>
      <c r="T180" s="472"/>
      <c r="U180" s="472"/>
      <c r="V180" s="472"/>
      <c r="W180" s="472"/>
      <c r="X180" s="472"/>
      <c r="Y180" s="472"/>
      <c r="Z180" s="472"/>
    </row>
    <row r="181" spans="1:26" ht="14.25" customHeight="1">
      <c r="A181" s="472"/>
      <c r="B181" s="472"/>
      <c r="C181" s="472"/>
      <c r="D181" s="472"/>
      <c r="E181" s="472"/>
      <c r="F181" s="472"/>
      <c r="G181" s="472"/>
      <c r="H181" s="472"/>
      <c r="I181" s="472"/>
      <c r="J181" s="472"/>
      <c r="K181" s="472"/>
      <c r="L181" s="472"/>
      <c r="M181" s="472"/>
      <c r="N181" s="472"/>
      <c r="O181" s="472"/>
      <c r="P181" s="472"/>
      <c r="Q181" s="472"/>
      <c r="R181" s="472"/>
      <c r="S181" s="472"/>
      <c r="T181" s="472"/>
      <c r="U181" s="472"/>
      <c r="V181" s="472"/>
      <c r="W181" s="472"/>
      <c r="X181" s="472"/>
      <c r="Y181" s="472"/>
      <c r="Z181" s="472"/>
    </row>
    <row r="182" spans="1:26" ht="14.25" customHeight="1">
      <c r="A182" s="472"/>
      <c r="B182" s="472"/>
      <c r="C182" s="472"/>
      <c r="D182" s="472"/>
      <c r="E182" s="472"/>
      <c r="F182" s="472"/>
      <c r="G182" s="472"/>
      <c r="H182" s="472"/>
      <c r="I182" s="472"/>
      <c r="J182" s="472"/>
      <c r="K182" s="472"/>
      <c r="L182" s="472"/>
      <c r="M182" s="472"/>
      <c r="N182" s="472"/>
      <c r="O182" s="472"/>
      <c r="P182" s="472"/>
      <c r="Q182" s="472"/>
      <c r="R182" s="472"/>
      <c r="S182" s="472"/>
      <c r="T182" s="472"/>
      <c r="U182" s="472"/>
      <c r="V182" s="472"/>
      <c r="W182" s="472"/>
      <c r="X182" s="472"/>
      <c r="Y182" s="472"/>
      <c r="Z182" s="472"/>
    </row>
    <row r="183" spans="1:26" ht="14.25" customHeight="1">
      <c r="A183" s="472"/>
      <c r="B183" s="472"/>
      <c r="C183" s="472"/>
      <c r="D183" s="472"/>
      <c r="E183" s="472"/>
      <c r="F183" s="472"/>
      <c r="G183" s="472"/>
      <c r="H183" s="472"/>
      <c r="I183" s="472"/>
      <c r="J183" s="472"/>
      <c r="K183" s="472"/>
      <c r="L183" s="472"/>
      <c r="M183" s="472"/>
      <c r="N183" s="472"/>
      <c r="O183" s="472"/>
      <c r="P183" s="472"/>
      <c r="Q183" s="472"/>
      <c r="R183" s="472"/>
      <c r="S183" s="472"/>
      <c r="T183" s="472"/>
      <c r="U183" s="472"/>
      <c r="V183" s="472"/>
      <c r="W183" s="472"/>
      <c r="X183" s="472"/>
      <c r="Y183" s="472"/>
      <c r="Z183" s="472"/>
    </row>
    <row r="184" spans="1:26" ht="14.25" customHeight="1">
      <c r="A184" s="472"/>
      <c r="B184" s="472"/>
      <c r="C184" s="472"/>
      <c r="D184" s="472"/>
      <c r="E184" s="472"/>
      <c r="F184" s="472"/>
      <c r="G184" s="472"/>
      <c r="H184" s="472"/>
      <c r="I184" s="472"/>
      <c r="J184" s="472"/>
      <c r="K184" s="472"/>
      <c r="L184" s="472"/>
      <c r="M184" s="472"/>
      <c r="N184" s="472"/>
      <c r="O184" s="472"/>
      <c r="P184" s="472"/>
      <c r="Q184" s="472"/>
      <c r="R184" s="472"/>
      <c r="S184" s="472"/>
      <c r="T184" s="472"/>
      <c r="U184" s="472"/>
      <c r="V184" s="472"/>
      <c r="W184" s="472"/>
      <c r="X184" s="472"/>
      <c r="Y184" s="472"/>
      <c r="Z184" s="472"/>
    </row>
    <row r="185" spans="1:26" ht="14.25" customHeight="1">
      <c r="A185" s="472"/>
      <c r="B185" s="472"/>
      <c r="C185" s="472"/>
      <c r="D185" s="472"/>
      <c r="E185" s="472"/>
      <c r="F185" s="472"/>
      <c r="G185" s="472"/>
      <c r="H185" s="472"/>
      <c r="I185" s="472"/>
      <c r="J185" s="472"/>
      <c r="K185" s="472"/>
      <c r="L185" s="472"/>
      <c r="M185" s="472"/>
      <c r="N185" s="472"/>
      <c r="O185" s="472"/>
      <c r="P185" s="472"/>
      <c r="Q185" s="472"/>
      <c r="R185" s="472"/>
      <c r="S185" s="472"/>
      <c r="T185" s="472"/>
      <c r="U185" s="472"/>
      <c r="V185" s="472"/>
      <c r="W185" s="472"/>
      <c r="X185" s="472"/>
      <c r="Y185" s="472"/>
      <c r="Z185" s="472"/>
    </row>
    <row r="186" spans="1:26" ht="14.25" customHeight="1">
      <c r="A186" s="472"/>
      <c r="B186" s="472"/>
      <c r="C186" s="472"/>
      <c r="D186" s="472"/>
      <c r="E186" s="472"/>
      <c r="F186" s="472"/>
      <c r="G186" s="472"/>
      <c r="H186" s="472"/>
      <c r="I186" s="472"/>
      <c r="J186" s="472"/>
      <c r="K186" s="472"/>
      <c r="L186" s="472"/>
      <c r="M186" s="472"/>
      <c r="N186" s="472"/>
      <c r="O186" s="472"/>
      <c r="P186" s="472"/>
      <c r="Q186" s="472"/>
      <c r="R186" s="472"/>
      <c r="S186" s="472"/>
      <c r="T186" s="472"/>
      <c r="U186" s="472"/>
      <c r="V186" s="472"/>
      <c r="W186" s="472"/>
      <c r="X186" s="472"/>
      <c r="Y186" s="472"/>
      <c r="Z186" s="472"/>
    </row>
    <row r="187" spans="1:26" ht="14.25" customHeight="1">
      <c r="A187" s="472"/>
      <c r="B187" s="472"/>
      <c r="C187" s="472"/>
      <c r="D187" s="472"/>
      <c r="E187" s="472"/>
      <c r="F187" s="472"/>
      <c r="G187" s="472"/>
      <c r="H187" s="472"/>
      <c r="I187" s="472"/>
      <c r="J187" s="472"/>
      <c r="K187" s="472"/>
      <c r="L187" s="472"/>
      <c r="M187" s="472"/>
      <c r="N187" s="472"/>
      <c r="O187" s="472"/>
      <c r="P187" s="472"/>
      <c r="Q187" s="472"/>
      <c r="R187" s="472"/>
      <c r="S187" s="472"/>
      <c r="T187" s="472"/>
      <c r="U187" s="472"/>
      <c r="V187" s="472"/>
      <c r="W187" s="472"/>
      <c r="X187" s="472"/>
      <c r="Y187" s="472"/>
      <c r="Z187" s="472"/>
    </row>
    <row r="188" spans="1:26" ht="14.25" customHeight="1">
      <c r="A188" s="472"/>
      <c r="B188" s="472"/>
      <c r="C188" s="472"/>
      <c r="D188" s="472"/>
      <c r="E188" s="472"/>
      <c r="F188" s="472"/>
      <c r="G188" s="472"/>
      <c r="H188" s="472"/>
      <c r="I188" s="472"/>
      <c r="J188" s="472"/>
      <c r="K188" s="472"/>
      <c r="L188" s="472"/>
      <c r="M188" s="472"/>
      <c r="N188" s="472"/>
      <c r="O188" s="472"/>
      <c r="P188" s="472"/>
      <c r="Q188" s="472"/>
      <c r="R188" s="472"/>
      <c r="S188" s="472"/>
      <c r="T188" s="472"/>
      <c r="U188" s="472"/>
      <c r="V188" s="472"/>
      <c r="W188" s="472"/>
      <c r="X188" s="472"/>
      <c r="Y188" s="472"/>
      <c r="Z188" s="472"/>
    </row>
    <row r="189" spans="1:26" ht="14.25" customHeight="1">
      <c r="A189" s="472"/>
      <c r="B189" s="472"/>
      <c r="C189" s="472"/>
      <c r="D189" s="472"/>
      <c r="E189" s="472"/>
      <c r="F189" s="472"/>
      <c r="G189" s="472"/>
      <c r="H189" s="472"/>
      <c r="I189" s="472"/>
      <c r="J189" s="472"/>
      <c r="K189" s="472"/>
      <c r="L189" s="472"/>
      <c r="M189" s="472"/>
      <c r="N189" s="472"/>
      <c r="O189" s="472"/>
      <c r="P189" s="472"/>
      <c r="Q189" s="472"/>
      <c r="R189" s="472"/>
      <c r="S189" s="472"/>
      <c r="T189" s="472"/>
      <c r="U189" s="472"/>
      <c r="V189" s="472"/>
      <c r="W189" s="472"/>
      <c r="X189" s="472"/>
      <c r="Y189" s="472"/>
      <c r="Z189" s="472"/>
    </row>
    <row r="190" spans="1:26" ht="14.25" customHeight="1">
      <c r="A190" s="472"/>
      <c r="B190" s="472"/>
      <c r="C190" s="472"/>
      <c r="D190" s="472"/>
      <c r="E190" s="472"/>
      <c r="F190" s="472"/>
      <c r="G190" s="472"/>
      <c r="H190" s="472"/>
      <c r="I190" s="472"/>
      <c r="J190" s="472"/>
      <c r="K190" s="472"/>
      <c r="L190" s="472"/>
      <c r="M190" s="472"/>
      <c r="N190" s="472"/>
      <c r="O190" s="472"/>
      <c r="P190" s="472"/>
      <c r="Q190" s="472"/>
      <c r="R190" s="472"/>
      <c r="S190" s="472"/>
      <c r="T190" s="472"/>
      <c r="U190" s="472"/>
      <c r="V190" s="472"/>
      <c r="W190" s="472"/>
      <c r="X190" s="472"/>
      <c r="Y190" s="472"/>
      <c r="Z190" s="472"/>
    </row>
    <row r="191" spans="1:26" ht="14.25" customHeight="1">
      <c r="A191" s="472"/>
      <c r="B191" s="472"/>
      <c r="C191" s="472"/>
      <c r="D191" s="472"/>
      <c r="E191" s="472"/>
      <c r="F191" s="472"/>
      <c r="G191" s="472"/>
      <c r="H191" s="472"/>
      <c r="I191" s="472"/>
      <c r="J191" s="472"/>
      <c r="K191" s="472"/>
      <c r="L191" s="472"/>
      <c r="M191" s="472"/>
      <c r="N191" s="472"/>
      <c r="O191" s="472"/>
      <c r="P191" s="472"/>
      <c r="Q191" s="472"/>
      <c r="R191" s="472"/>
      <c r="S191" s="472"/>
      <c r="T191" s="472"/>
      <c r="U191" s="472"/>
      <c r="V191" s="472"/>
      <c r="W191" s="472"/>
      <c r="X191" s="472"/>
      <c r="Y191" s="472"/>
      <c r="Z191" s="472"/>
    </row>
    <row r="192" spans="1:26" ht="14.25" customHeight="1">
      <c r="A192" s="472"/>
      <c r="B192" s="472"/>
      <c r="C192" s="472"/>
      <c r="D192" s="472"/>
      <c r="E192" s="472"/>
      <c r="F192" s="472"/>
      <c r="G192" s="472"/>
      <c r="H192" s="472"/>
      <c r="I192" s="472"/>
      <c r="J192" s="472"/>
      <c r="K192" s="472"/>
      <c r="L192" s="472"/>
      <c r="M192" s="472"/>
      <c r="N192" s="472"/>
      <c r="O192" s="472"/>
      <c r="P192" s="472"/>
      <c r="Q192" s="472"/>
      <c r="R192" s="472"/>
      <c r="S192" s="472"/>
      <c r="T192" s="472"/>
      <c r="U192" s="472"/>
      <c r="V192" s="472"/>
      <c r="W192" s="472"/>
      <c r="X192" s="472"/>
      <c r="Y192" s="472"/>
      <c r="Z192" s="472"/>
    </row>
    <row r="193" spans="1:26" ht="14.25" customHeight="1">
      <c r="A193" s="472"/>
      <c r="B193" s="472"/>
      <c r="C193" s="472"/>
      <c r="D193" s="472"/>
      <c r="E193" s="472"/>
      <c r="F193" s="472"/>
      <c r="G193" s="472"/>
      <c r="H193" s="472"/>
      <c r="I193" s="472"/>
      <c r="J193" s="472"/>
      <c r="K193" s="472"/>
      <c r="L193" s="472"/>
      <c r="M193" s="472"/>
      <c r="N193" s="472"/>
      <c r="O193" s="472"/>
      <c r="P193" s="472"/>
      <c r="Q193" s="472"/>
      <c r="R193" s="472"/>
      <c r="S193" s="472"/>
      <c r="T193" s="472"/>
      <c r="U193" s="472"/>
      <c r="V193" s="472"/>
      <c r="W193" s="472"/>
      <c r="X193" s="472"/>
      <c r="Y193" s="472"/>
      <c r="Z193" s="472"/>
    </row>
    <row r="194" spans="1:26" ht="14.25" customHeight="1">
      <c r="A194" s="472"/>
      <c r="B194" s="472"/>
      <c r="C194" s="472"/>
      <c r="D194" s="472"/>
      <c r="E194" s="472"/>
      <c r="F194" s="472"/>
      <c r="G194" s="472"/>
      <c r="H194" s="472"/>
      <c r="I194" s="472"/>
      <c r="J194" s="472"/>
      <c r="K194" s="472"/>
      <c r="L194" s="472"/>
      <c r="M194" s="472"/>
      <c r="N194" s="472"/>
      <c r="O194" s="472"/>
      <c r="P194" s="472"/>
      <c r="Q194" s="472"/>
      <c r="R194" s="472"/>
      <c r="S194" s="472"/>
      <c r="T194" s="472"/>
      <c r="U194" s="472"/>
      <c r="V194" s="472"/>
      <c r="W194" s="472"/>
      <c r="X194" s="472"/>
      <c r="Y194" s="472"/>
      <c r="Z194" s="472"/>
    </row>
    <row r="195" spans="1:26" ht="14.25" customHeight="1">
      <c r="A195" s="472"/>
      <c r="B195" s="472"/>
      <c r="C195" s="472"/>
      <c r="D195" s="472"/>
      <c r="E195" s="472"/>
      <c r="F195" s="472"/>
      <c r="G195" s="472"/>
      <c r="H195" s="472"/>
      <c r="I195" s="472"/>
      <c r="J195" s="472"/>
      <c r="K195" s="472"/>
      <c r="L195" s="472"/>
      <c r="M195" s="472"/>
      <c r="N195" s="472"/>
      <c r="O195" s="472"/>
      <c r="P195" s="472"/>
      <c r="Q195" s="472"/>
      <c r="R195" s="472"/>
      <c r="S195" s="472"/>
      <c r="T195" s="472"/>
      <c r="U195" s="472"/>
      <c r="V195" s="472"/>
      <c r="W195" s="472"/>
      <c r="X195" s="472"/>
      <c r="Y195" s="472"/>
      <c r="Z195" s="472"/>
    </row>
    <row r="196" spans="1:26" ht="14.25" customHeight="1">
      <c r="A196" s="472"/>
      <c r="B196" s="472"/>
      <c r="C196" s="472"/>
      <c r="D196" s="472"/>
      <c r="E196" s="472"/>
      <c r="F196" s="472"/>
      <c r="G196" s="472"/>
      <c r="H196" s="472"/>
      <c r="I196" s="472"/>
      <c r="J196" s="472"/>
      <c r="K196" s="472"/>
      <c r="L196" s="472"/>
      <c r="M196" s="472"/>
      <c r="N196" s="472"/>
      <c r="O196" s="472"/>
      <c r="P196" s="472"/>
      <c r="Q196" s="472"/>
      <c r="R196" s="472"/>
      <c r="S196" s="472"/>
      <c r="T196" s="472"/>
      <c r="U196" s="472"/>
      <c r="V196" s="472"/>
      <c r="W196" s="472"/>
      <c r="X196" s="472"/>
      <c r="Y196" s="472"/>
      <c r="Z196" s="472"/>
    </row>
    <row r="197" spans="1:26" ht="14.25" customHeight="1">
      <c r="A197" s="472"/>
      <c r="B197" s="472"/>
      <c r="C197" s="472"/>
      <c r="D197" s="472"/>
      <c r="E197" s="472"/>
      <c r="F197" s="472"/>
      <c r="G197" s="472"/>
      <c r="H197" s="472"/>
      <c r="I197" s="472"/>
      <c r="J197" s="472"/>
      <c r="K197" s="472"/>
      <c r="L197" s="472"/>
      <c r="M197" s="472"/>
      <c r="N197" s="472"/>
      <c r="O197" s="472"/>
      <c r="P197" s="472"/>
      <c r="Q197" s="472"/>
      <c r="R197" s="472"/>
      <c r="S197" s="472"/>
      <c r="T197" s="472"/>
      <c r="U197" s="472"/>
      <c r="V197" s="472"/>
      <c r="W197" s="472"/>
      <c r="X197" s="472"/>
      <c r="Y197" s="472"/>
      <c r="Z197" s="472"/>
    </row>
    <row r="198" spans="1:26" ht="14.25" customHeight="1">
      <c r="A198" s="472"/>
      <c r="B198" s="472"/>
      <c r="C198" s="472"/>
      <c r="D198" s="472"/>
      <c r="E198" s="472"/>
      <c r="F198" s="472"/>
      <c r="G198" s="472"/>
      <c r="H198" s="472"/>
      <c r="I198" s="472"/>
      <c r="J198" s="472"/>
      <c r="K198" s="472"/>
      <c r="L198" s="472"/>
      <c r="M198" s="472"/>
      <c r="N198" s="472"/>
      <c r="O198" s="472"/>
      <c r="P198" s="472"/>
      <c r="Q198" s="472"/>
      <c r="R198" s="472"/>
      <c r="S198" s="472"/>
      <c r="T198" s="472"/>
      <c r="U198" s="472"/>
      <c r="V198" s="472"/>
      <c r="W198" s="472"/>
      <c r="X198" s="472"/>
      <c r="Y198" s="472"/>
      <c r="Z198" s="472"/>
    </row>
    <row r="199" spans="1:26" ht="14.25" customHeight="1">
      <c r="A199" s="472"/>
      <c r="B199" s="472"/>
      <c r="C199" s="472"/>
      <c r="D199" s="472"/>
      <c r="E199" s="472"/>
      <c r="F199" s="472"/>
      <c r="G199" s="472"/>
      <c r="H199" s="472"/>
      <c r="I199" s="472"/>
      <c r="J199" s="472"/>
      <c r="K199" s="472"/>
      <c r="L199" s="472"/>
      <c r="M199" s="472"/>
      <c r="N199" s="472"/>
      <c r="O199" s="472"/>
      <c r="P199" s="472"/>
      <c r="Q199" s="472"/>
      <c r="R199" s="472"/>
      <c r="S199" s="472"/>
      <c r="T199" s="472"/>
      <c r="U199" s="472"/>
      <c r="V199" s="472"/>
      <c r="W199" s="472"/>
      <c r="X199" s="472"/>
      <c r="Y199" s="472"/>
      <c r="Z199" s="472"/>
    </row>
    <row r="200" spans="1:26" ht="14.25" customHeight="1">
      <c r="A200" s="472"/>
      <c r="B200" s="472"/>
      <c r="C200" s="472"/>
      <c r="D200" s="472"/>
      <c r="E200" s="472"/>
      <c r="F200" s="472"/>
      <c r="G200" s="472"/>
      <c r="H200" s="472"/>
      <c r="I200" s="472"/>
      <c r="J200" s="472"/>
      <c r="K200" s="472"/>
      <c r="L200" s="472"/>
      <c r="M200" s="472"/>
      <c r="N200" s="472"/>
      <c r="O200" s="472"/>
      <c r="P200" s="472"/>
      <c r="Q200" s="472"/>
      <c r="R200" s="472"/>
      <c r="S200" s="472"/>
      <c r="T200" s="472"/>
      <c r="U200" s="472"/>
      <c r="V200" s="472"/>
      <c r="W200" s="472"/>
      <c r="X200" s="472"/>
      <c r="Y200" s="472"/>
      <c r="Z200" s="472"/>
    </row>
    <row r="201" spans="1:26" ht="14.25" customHeight="1">
      <c r="A201" s="472"/>
      <c r="B201" s="472"/>
      <c r="C201" s="472"/>
      <c r="D201" s="472"/>
      <c r="E201" s="472"/>
      <c r="F201" s="472"/>
      <c r="G201" s="472"/>
      <c r="H201" s="472"/>
      <c r="I201" s="472"/>
      <c r="J201" s="472"/>
      <c r="K201" s="472"/>
      <c r="L201" s="472"/>
      <c r="M201" s="472"/>
      <c r="N201" s="472"/>
      <c r="O201" s="472"/>
      <c r="P201" s="472"/>
      <c r="Q201" s="472"/>
      <c r="R201" s="472"/>
      <c r="S201" s="472"/>
      <c r="T201" s="472"/>
      <c r="U201" s="472"/>
      <c r="V201" s="472"/>
      <c r="W201" s="472"/>
      <c r="X201" s="472"/>
      <c r="Y201" s="472"/>
      <c r="Z201" s="472"/>
    </row>
    <row r="202" spans="1:26" ht="14.25" customHeight="1">
      <c r="A202" s="472"/>
      <c r="B202" s="472"/>
      <c r="C202" s="472"/>
      <c r="D202" s="472"/>
      <c r="E202" s="472"/>
      <c r="F202" s="472"/>
      <c r="G202" s="472"/>
      <c r="H202" s="472"/>
      <c r="I202" s="472"/>
      <c r="J202" s="472"/>
      <c r="K202" s="472"/>
      <c r="L202" s="472"/>
      <c r="M202" s="472"/>
      <c r="N202" s="472"/>
      <c r="O202" s="472"/>
      <c r="P202" s="472"/>
      <c r="Q202" s="472"/>
      <c r="R202" s="472"/>
      <c r="S202" s="472"/>
      <c r="T202" s="472"/>
      <c r="U202" s="472"/>
      <c r="V202" s="472"/>
      <c r="W202" s="472"/>
      <c r="X202" s="472"/>
      <c r="Y202" s="472"/>
      <c r="Z202" s="472"/>
    </row>
    <row r="203" spans="1:26" ht="14.25" customHeight="1">
      <c r="A203" s="472"/>
      <c r="B203" s="472"/>
      <c r="C203" s="472"/>
      <c r="D203" s="472"/>
      <c r="E203" s="472"/>
      <c r="F203" s="472"/>
      <c r="G203" s="472"/>
      <c r="H203" s="472"/>
      <c r="I203" s="472"/>
      <c r="J203" s="472"/>
      <c r="K203" s="472"/>
      <c r="L203" s="472"/>
      <c r="M203" s="472"/>
      <c r="N203" s="472"/>
      <c r="O203" s="472"/>
      <c r="P203" s="472"/>
      <c r="Q203" s="472"/>
      <c r="R203" s="472"/>
      <c r="S203" s="472"/>
      <c r="T203" s="472"/>
      <c r="U203" s="472"/>
      <c r="V203" s="472"/>
      <c r="W203" s="472"/>
      <c r="X203" s="472"/>
      <c r="Y203" s="472"/>
      <c r="Z203" s="472"/>
    </row>
    <row r="204" spans="1:26" ht="14.25" customHeight="1">
      <c r="A204" s="472"/>
      <c r="B204" s="472"/>
      <c r="C204" s="472"/>
      <c r="D204" s="472"/>
      <c r="E204" s="472"/>
      <c r="F204" s="472"/>
      <c r="G204" s="472"/>
      <c r="H204" s="472"/>
      <c r="I204" s="472"/>
      <c r="J204" s="472"/>
      <c r="K204" s="472"/>
      <c r="L204" s="472"/>
      <c r="M204" s="472"/>
      <c r="N204" s="472"/>
      <c r="O204" s="472"/>
      <c r="P204" s="472"/>
      <c r="Q204" s="472"/>
      <c r="R204" s="472"/>
      <c r="S204" s="472"/>
      <c r="T204" s="472"/>
      <c r="U204" s="472"/>
      <c r="V204" s="472"/>
      <c r="W204" s="472"/>
      <c r="X204" s="472"/>
      <c r="Y204" s="472"/>
      <c r="Z204" s="472"/>
    </row>
    <row r="205" spans="1:26" ht="14.25" customHeight="1">
      <c r="A205" s="472"/>
      <c r="B205" s="472"/>
      <c r="C205" s="472"/>
      <c r="D205" s="472"/>
      <c r="E205" s="472"/>
      <c r="F205" s="472"/>
      <c r="G205" s="472"/>
      <c r="H205" s="472"/>
      <c r="I205" s="472"/>
      <c r="J205" s="472"/>
      <c r="K205" s="472"/>
      <c r="L205" s="472"/>
      <c r="M205" s="472"/>
      <c r="N205" s="472"/>
      <c r="O205" s="472"/>
      <c r="P205" s="472"/>
      <c r="Q205" s="472"/>
      <c r="R205" s="472"/>
      <c r="S205" s="472"/>
      <c r="T205" s="472"/>
      <c r="U205" s="472"/>
      <c r="V205" s="472"/>
      <c r="W205" s="472"/>
      <c r="X205" s="472"/>
      <c r="Y205" s="472"/>
      <c r="Z205" s="472"/>
    </row>
    <row r="206" spans="1:26" ht="14.25" customHeight="1">
      <c r="A206" s="472"/>
      <c r="B206" s="472"/>
      <c r="C206" s="472"/>
      <c r="D206" s="472"/>
      <c r="E206" s="472"/>
      <c r="F206" s="472"/>
      <c r="G206" s="472"/>
      <c r="H206" s="472"/>
      <c r="I206" s="472"/>
      <c r="J206" s="472"/>
      <c r="K206" s="472"/>
      <c r="L206" s="472"/>
      <c r="M206" s="472"/>
      <c r="N206" s="472"/>
      <c r="O206" s="472"/>
      <c r="P206" s="472"/>
      <c r="Q206" s="472"/>
      <c r="R206" s="472"/>
      <c r="S206" s="472"/>
      <c r="T206" s="472"/>
      <c r="U206" s="472"/>
      <c r="V206" s="472"/>
      <c r="W206" s="472"/>
      <c r="X206" s="472"/>
      <c r="Y206" s="472"/>
      <c r="Z206" s="472"/>
    </row>
    <row r="207" spans="1:26" ht="14.25" customHeight="1">
      <c r="A207" s="472"/>
      <c r="B207" s="472"/>
      <c r="C207" s="472"/>
      <c r="D207" s="472"/>
      <c r="E207" s="472"/>
      <c r="F207" s="472"/>
      <c r="G207" s="472"/>
      <c r="H207" s="472"/>
      <c r="I207" s="472"/>
      <c r="J207" s="472"/>
      <c r="K207" s="472"/>
      <c r="L207" s="472"/>
      <c r="M207" s="472"/>
      <c r="N207" s="472"/>
      <c r="O207" s="472"/>
      <c r="P207" s="472"/>
      <c r="Q207" s="472"/>
      <c r="R207" s="472"/>
      <c r="S207" s="472"/>
      <c r="T207" s="472"/>
      <c r="U207" s="472"/>
      <c r="V207" s="472"/>
      <c r="W207" s="472"/>
      <c r="X207" s="472"/>
      <c r="Y207" s="472"/>
      <c r="Z207" s="472"/>
    </row>
    <row r="208" spans="1:26" ht="14.25" customHeight="1">
      <c r="A208" s="472"/>
      <c r="B208" s="472"/>
      <c r="C208" s="472"/>
      <c r="D208" s="472"/>
      <c r="E208" s="472"/>
      <c r="F208" s="472"/>
      <c r="G208" s="472"/>
      <c r="H208" s="472"/>
      <c r="I208" s="472"/>
      <c r="J208" s="472"/>
      <c r="K208" s="472"/>
      <c r="L208" s="472"/>
      <c r="M208" s="472"/>
      <c r="N208" s="472"/>
      <c r="O208" s="472"/>
      <c r="P208" s="472"/>
      <c r="Q208" s="472"/>
      <c r="R208" s="472"/>
      <c r="S208" s="472"/>
      <c r="T208" s="472"/>
      <c r="U208" s="472"/>
      <c r="V208" s="472"/>
      <c r="W208" s="472"/>
      <c r="X208" s="472"/>
      <c r="Y208" s="472"/>
      <c r="Z208" s="472"/>
    </row>
    <row r="209" spans="1:26" ht="14.25" customHeight="1">
      <c r="A209" s="472"/>
      <c r="B209" s="472"/>
      <c r="C209" s="472"/>
      <c r="D209" s="472"/>
      <c r="E209" s="472"/>
      <c r="F209" s="472"/>
      <c r="G209" s="472"/>
      <c r="H209" s="472"/>
      <c r="I209" s="472"/>
      <c r="J209" s="472"/>
      <c r="K209" s="472"/>
      <c r="L209" s="472"/>
      <c r="M209" s="472"/>
      <c r="N209" s="472"/>
      <c r="O209" s="472"/>
      <c r="P209" s="472"/>
      <c r="Q209" s="472"/>
      <c r="R209" s="472"/>
      <c r="S209" s="472"/>
      <c r="T209" s="472"/>
      <c r="U209" s="472"/>
      <c r="V209" s="472"/>
      <c r="W209" s="472"/>
      <c r="X209" s="472"/>
      <c r="Y209" s="472"/>
      <c r="Z209" s="472"/>
    </row>
    <row r="210" spans="1:26" ht="14.25" customHeight="1">
      <c r="A210" s="472"/>
      <c r="B210" s="472"/>
      <c r="C210" s="472"/>
      <c r="D210" s="472"/>
      <c r="E210" s="472"/>
      <c r="F210" s="472"/>
      <c r="G210" s="472"/>
      <c r="H210" s="472"/>
      <c r="I210" s="472"/>
      <c r="J210" s="472"/>
      <c r="K210" s="472"/>
      <c r="L210" s="472"/>
      <c r="M210" s="472"/>
      <c r="N210" s="472"/>
      <c r="O210" s="472"/>
      <c r="P210" s="472"/>
      <c r="Q210" s="472"/>
      <c r="R210" s="472"/>
      <c r="S210" s="472"/>
      <c r="T210" s="472"/>
      <c r="U210" s="472"/>
      <c r="V210" s="472"/>
      <c r="W210" s="472"/>
      <c r="X210" s="472"/>
      <c r="Y210" s="472"/>
      <c r="Z210" s="472"/>
    </row>
    <row r="211" spans="1:26" ht="14.25" customHeight="1">
      <c r="A211" s="472"/>
      <c r="B211" s="472"/>
      <c r="C211" s="472"/>
      <c r="D211" s="472"/>
      <c r="E211" s="472"/>
      <c r="F211" s="472"/>
      <c r="G211" s="472"/>
      <c r="H211" s="472"/>
      <c r="I211" s="472"/>
      <c r="J211" s="472"/>
      <c r="K211" s="472"/>
      <c r="L211" s="472"/>
      <c r="M211" s="472"/>
      <c r="N211" s="472"/>
      <c r="O211" s="472"/>
      <c r="P211" s="472"/>
      <c r="Q211" s="472"/>
      <c r="R211" s="472"/>
      <c r="S211" s="472"/>
      <c r="T211" s="472"/>
      <c r="U211" s="472"/>
      <c r="V211" s="472"/>
      <c r="W211" s="472"/>
      <c r="X211" s="472"/>
      <c r="Y211" s="472"/>
      <c r="Z211" s="472"/>
    </row>
    <row r="212" spans="1:26" ht="14.25" customHeight="1">
      <c r="A212" s="472"/>
      <c r="B212" s="472"/>
      <c r="C212" s="472"/>
      <c r="D212" s="472"/>
      <c r="E212" s="472"/>
      <c r="F212" s="472"/>
      <c r="G212" s="472"/>
      <c r="H212" s="472"/>
      <c r="I212" s="472"/>
      <c r="J212" s="472"/>
      <c r="K212" s="472"/>
      <c r="L212" s="472"/>
      <c r="M212" s="472"/>
      <c r="N212" s="472"/>
      <c r="O212" s="472"/>
      <c r="P212" s="472"/>
      <c r="Q212" s="472"/>
      <c r="R212" s="472"/>
      <c r="S212" s="472"/>
      <c r="T212" s="472"/>
      <c r="U212" s="472"/>
      <c r="V212" s="472"/>
      <c r="W212" s="472"/>
      <c r="X212" s="472"/>
      <c r="Y212" s="472"/>
      <c r="Z212" s="472"/>
    </row>
    <row r="213" spans="1:26" ht="14.25" customHeight="1">
      <c r="A213" s="472"/>
      <c r="B213" s="472"/>
      <c r="C213" s="472"/>
      <c r="D213" s="472"/>
      <c r="E213" s="472"/>
      <c r="F213" s="472"/>
      <c r="G213" s="472"/>
      <c r="H213" s="472"/>
      <c r="I213" s="472"/>
      <c r="J213" s="472"/>
      <c r="K213" s="472"/>
      <c r="L213" s="472"/>
      <c r="M213" s="472"/>
      <c r="N213" s="472"/>
      <c r="O213" s="472"/>
      <c r="P213" s="472"/>
      <c r="Q213" s="472"/>
      <c r="R213" s="472"/>
      <c r="S213" s="472"/>
      <c r="T213" s="472"/>
      <c r="U213" s="472"/>
      <c r="V213" s="472"/>
      <c r="W213" s="472"/>
      <c r="X213" s="472"/>
      <c r="Y213" s="472"/>
      <c r="Z213" s="472"/>
    </row>
    <row r="214" spans="1:26" ht="14.25" customHeight="1">
      <c r="A214" s="472"/>
      <c r="B214" s="472"/>
      <c r="C214" s="472"/>
      <c r="D214" s="472"/>
      <c r="E214" s="472"/>
      <c r="F214" s="472"/>
      <c r="G214" s="472"/>
      <c r="H214" s="472"/>
      <c r="I214" s="472"/>
      <c r="J214" s="472"/>
      <c r="K214" s="472"/>
      <c r="L214" s="472"/>
      <c r="M214" s="472"/>
      <c r="N214" s="472"/>
      <c r="O214" s="472"/>
      <c r="P214" s="472"/>
      <c r="Q214" s="472"/>
      <c r="R214" s="472"/>
      <c r="S214" s="472"/>
      <c r="T214" s="472"/>
      <c r="U214" s="472"/>
      <c r="V214" s="472"/>
      <c r="W214" s="472"/>
      <c r="X214" s="472"/>
      <c r="Y214" s="472"/>
      <c r="Z214" s="472"/>
    </row>
    <row r="215" spans="1:26" ht="14.25" customHeight="1">
      <c r="A215" s="472"/>
      <c r="B215" s="472"/>
      <c r="C215" s="472"/>
      <c r="D215" s="472"/>
      <c r="E215" s="472"/>
      <c r="F215" s="472"/>
      <c r="G215" s="472"/>
      <c r="H215" s="472"/>
      <c r="I215" s="472"/>
      <c r="J215" s="472"/>
      <c r="K215" s="472"/>
      <c r="L215" s="472"/>
      <c r="M215" s="472"/>
      <c r="N215" s="472"/>
      <c r="O215" s="472"/>
      <c r="P215" s="472"/>
      <c r="Q215" s="472"/>
      <c r="R215" s="472"/>
      <c r="S215" s="472"/>
      <c r="T215" s="472"/>
      <c r="U215" s="472"/>
      <c r="V215" s="472"/>
      <c r="W215" s="472"/>
      <c r="X215" s="472"/>
      <c r="Y215" s="472"/>
      <c r="Z215" s="472"/>
    </row>
    <row r="216" spans="1:26" ht="14.25" customHeight="1">
      <c r="A216" s="472"/>
      <c r="B216" s="472"/>
      <c r="C216" s="472"/>
      <c r="D216" s="472"/>
      <c r="E216" s="472"/>
      <c r="F216" s="472"/>
      <c r="G216" s="472"/>
      <c r="H216" s="472"/>
      <c r="I216" s="472"/>
      <c r="J216" s="472"/>
      <c r="K216" s="472"/>
      <c r="L216" s="472"/>
      <c r="M216" s="472"/>
      <c r="N216" s="472"/>
      <c r="O216" s="472"/>
      <c r="P216" s="472"/>
      <c r="Q216" s="472"/>
      <c r="R216" s="472"/>
      <c r="S216" s="472"/>
      <c r="T216" s="472"/>
      <c r="U216" s="472"/>
      <c r="V216" s="472"/>
      <c r="W216" s="472"/>
      <c r="X216" s="472"/>
      <c r="Y216" s="472"/>
      <c r="Z216" s="472"/>
    </row>
    <row r="217" spans="1:26" ht="14.25" customHeight="1">
      <c r="A217" s="472"/>
      <c r="B217" s="472"/>
      <c r="C217" s="472"/>
      <c r="D217" s="472"/>
      <c r="E217" s="472"/>
      <c r="F217" s="472"/>
      <c r="G217" s="472"/>
      <c r="H217" s="472"/>
      <c r="I217" s="472"/>
      <c r="J217" s="472"/>
      <c r="K217" s="472"/>
      <c r="L217" s="472"/>
      <c r="M217" s="472"/>
      <c r="N217" s="472"/>
      <c r="O217" s="472"/>
      <c r="P217" s="472"/>
      <c r="Q217" s="472"/>
      <c r="R217" s="472"/>
      <c r="S217" s="472"/>
      <c r="T217" s="472"/>
      <c r="U217" s="472"/>
      <c r="V217" s="472"/>
      <c r="W217" s="472"/>
      <c r="X217" s="472"/>
      <c r="Y217" s="472"/>
      <c r="Z217" s="472"/>
    </row>
    <row r="218" spans="1:26" ht="14.25" customHeight="1">
      <c r="A218" s="472"/>
      <c r="B218" s="472"/>
      <c r="C218" s="472"/>
      <c r="D218" s="472"/>
      <c r="E218" s="472"/>
      <c r="F218" s="472"/>
      <c r="G218" s="472"/>
      <c r="H218" s="472"/>
      <c r="I218" s="472"/>
      <c r="J218" s="472"/>
      <c r="K218" s="472"/>
      <c r="L218" s="472"/>
      <c r="M218" s="472"/>
      <c r="N218" s="472"/>
      <c r="O218" s="472"/>
      <c r="P218" s="472"/>
      <c r="Q218" s="472"/>
      <c r="R218" s="472"/>
      <c r="S218" s="472"/>
      <c r="T218" s="472"/>
      <c r="U218" s="472"/>
      <c r="V218" s="472"/>
      <c r="W218" s="472"/>
      <c r="X218" s="472"/>
      <c r="Y218" s="472"/>
      <c r="Z218" s="472"/>
    </row>
    <row r="219" spans="1:26" ht="14.25" customHeight="1">
      <c r="A219" s="472"/>
      <c r="B219" s="472"/>
      <c r="C219" s="472"/>
      <c r="D219" s="472"/>
      <c r="E219" s="472"/>
      <c r="F219" s="472"/>
      <c r="G219" s="472"/>
      <c r="H219" s="472"/>
      <c r="I219" s="472"/>
      <c r="J219" s="472"/>
      <c r="K219" s="472"/>
      <c r="L219" s="472"/>
      <c r="M219" s="472"/>
      <c r="N219" s="472"/>
      <c r="O219" s="472"/>
      <c r="P219" s="472"/>
      <c r="Q219" s="472"/>
      <c r="R219" s="472"/>
      <c r="S219" s="472"/>
      <c r="T219" s="472"/>
      <c r="U219" s="472"/>
      <c r="V219" s="472"/>
      <c r="W219" s="472"/>
      <c r="X219" s="472"/>
      <c r="Y219" s="472"/>
      <c r="Z219" s="472"/>
    </row>
    <row r="220" spans="1:26" ht="14.25" customHeight="1">
      <c r="A220" s="472"/>
      <c r="B220" s="472"/>
      <c r="C220" s="472"/>
      <c r="D220" s="472"/>
      <c r="E220" s="472"/>
      <c r="F220" s="472"/>
      <c r="G220" s="472"/>
      <c r="H220" s="472"/>
      <c r="I220" s="472"/>
      <c r="J220" s="472"/>
      <c r="K220" s="472"/>
      <c r="L220" s="472"/>
      <c r="M220" s="472"/>
      <c r="N220" s="472"/>
      <c r="O220" s="472"/>
      <c r="P220" s="472"/>
      <c r="Q220" s="472"/>
      <c r="R220" s="472"/>
      <c r="S220" s="472"/>
      <c r="T220" s="472"/>
      <c r="U220" s="472"/>
      <c r="V220" s="472"/>
      <c r="W220" s="472"/>
      <c r="X220" s="472"/>
      <c r="Y220" s="472"/>
      <c r="Z220" s="472"/>
    </row>
    <row r="221" spans="1:26" ht="14.25" customHeight="1">
      <c r="A221" s="472"/>
      <c r="B221" s="472"/>
      <c r="C221" s="472"/>
      <c r="D221" s="472"/>
      <c r="E221" s="472"/>
      <c r="F221" s="472"/>
      <c r="G221" s="472"/>
      <c r="H221" s="472"/>
      <c r="I221" s="472"/>
      <c r="J221" s="472"/>
      <c r="K221" s="472"/>
      <c r="L221" s="472"/>
      <c r="M221" s="472"/>
      <c r="N221" s="472"/>
      <c r="O221" s="472"/>
      <c r="P221" s="472"/>
      <c r="Q221" s="472"/>
      <c r="R221" s="472"/>
      <c r="S221" s="472"/>
      <c r="T221" s="472"/>
      <c r="U221" s="472"/>
      <c r="V221" s="472"/>
      <c r="W221" s="472"/>
      <c r="X221" s="472"/>
      <c r="Y221" s="472"/>
      <c r="Z221" s="472"/>
    </row>
    <row r="222" spans="1:26" ht="14.25" customHeight="1">
      <c r="A222" s="472"/>
      <c r="B222" s="472"/>
      <c r="C222" s="472"/>
      <c r="D222" s="472"/>
      <c r="E222" s="472"/>
      <c r="F222" s="472"/>
      <c r="G222" s="472"/>
      <c r="H222" s="472"/>
      <c r="I222" s="472"/>
      <c r="J222" s="472"/>
      <c r="K222" s="472"/>
      <c r="L222" s="472"/>
      <c r="M222" s="472"/>
      <c r="N222" s="472"/>
      <c r="O222" s="472"/>
      <c r="P222" s="472"/>
      <c r="Q222" s="472"/>
      <c r="R222" s="472"/>
      <c r="S222" s="472"/>
      <c r="T222" s="472"/>
      <c r="U222" s="472"/>
      <c r="V222" s="472"/>
      <c r="W222" s="472"/>
      <c r="X222" s="472"/>
      <c r="Y222" s="472"/>
      <c r="Z222" s="472"/>
    </row>
    <row r="223" spans="1:26" ht="14.25" customHeight="1">
      <c r="A223" s="472"/>
      <c r="B223" s="472"/>
      <c r="C223" s="472"/>
      <c r="D223" s="472"/>
      <c r="E223" s="472"/>
      <c r="F223" s="472"/>
      <c r="G223" s="472"/>
      <c r="H223" s="472"/>
      <c r="I223" s="472"/>
      <c r="J223" s="472"/>
      <c r="K223" s="472"/>
      <c r="L223" s="472"/>
      <c r="M223" s="472"/>
      <c r="N223" s="472"/>
      <c r="O223" s="472"/>
      <c r="P223" s="472"/>
      <c r="Q223" s="472"/>
      <c r="R223" s="472"/>
      <c r="S223" s="472"/>
      <c r="T223" s="472"/>
      <c r="U223" s="472"/>
      <c r="V223" s="472"/>
      <c r="W223" s="472"/>
      <c r="X223" s="472"/>
      <c r="Y223" s="472"/>
      <c r="Z223" s="472"/>
    </row>
    <row r="224" spans="1:26" ht="14.25" customHeight="1">
      <c r="A224" s="472"/>
      <c r="B224" s="472"/>
      <c r="C224" s="472"/>
      <c r="D224" s="472"/>
      <c r="E224" s="472"/>
      <c r="F224" s="472"/>
      <c r="G224" s="472"/>
      <c r="H224" s="472"/>
      <c r="I224" s="472"/>
      <c r="J224" s="472"/>
      <c r="K224" s="472"/>
      <c r="L224" s="472"/>
      <c r="M224" s="472"/>
      <c r="N224" s="472"/>
      <c r="O224" s="472"/>
      <c r="P224" s="472"/>
      <c r="Q224" s="472"/>
      <c r="R224" s="472"/>
      <c r="S224" s="472"/>
      <c r="T224" s="472"/>
      <c r="U224" s="472"/>
      <c r="V224" s="472"/>
      <c r="W224" s="472"/>
      <c r="X224" s="472"/>
      <c r="Y224" s="472"/>
      <c r="Z224" s="472"/>
    </row>
    <row r="225" spans="1:26" ht="14.25" customHeight="1">
      <c r="A225" s="472"/>
      <c r="B225" s="472"/>
      <c r="C225" s="472"/>
      <c r="D225" s="472"/>
      <c r="E225" s="472"/>
      <c r="F225" s="472"/>
      <c r="G225" s="472"/>
      <c r="H225" s="472"/>
      <c r="I225" s="472"/>
      <c r="J225" s="472"/>
      <c r="K225" s="472"/>
      <c r="L225" s="472"/>
      <c r="M225" s="472"/>
      <c r="N225" s="472"/>
      <c r="O225" s="472"/>
      <c r="P225" s="472"/>
      <c r="Q225" s="472"/>
      <c r="R225" s="472"/>
      <c r="S225" s="472"/>
      <c r="T225" s="472"/>
      <c r="U225" s="472"/>
      <c r="V225" s="472"/>
      <c r="W225" s="472"/>
      <c r="X225" s="472"/>
      <c r="Y225" s="472"/>
      <c r="Z225" s="472"/>
    </row>
    <row r="226" spans="1:26" ht="14.25" customHeight="1">
      <c r="A226" s="472"/>
      <c r="B226" s="472"/>
      <c r="C226" s="472"/>
      <c r="D226" s="472"/>
      <c r="E226" s="472"/>
      <c r="F226" s="472"/>
      <c r="G226" s="472"/>
      <c r="H226" s="472"/>
      <c r="I226" s="472"/>
      <c r="J226" s="472"/>
      <c r="K226" s="472"/>
      <c r="L226" s="472"/>
      <c r="M226" s="472"/>
      <c r="N226" s="472"/>
      <c r="O226" s="472"/>
      <c r="P226" s="472"/>
      <c r="Q226" s="472"/>
      <c r="R226" s="472"/>
      <c r="S226" s="472"/>
      <c r="T226" s="472"/>
      <c r="U226" s="472"/>
      <c r="V226" s="472"/>
      <c r="W226" s="472"/>
      <c r="X226" s="472"/>
      <c r="Y226" s="472"/>
      <c r="Z226" s="472"/>
    </row>
    <row r="227" spans="1:26" ht="14.25" customHeight="1">
      <c r="A227" s="472"/>
      <c r="B227" s="472"/>
      <c r="C227" s="472"/>
      <c r="D227" s="472"/>
      <c r="E227" s="472"/>
      <c r="F227" s="472"/>
      <c r="G227" s="472"/>
      <c r="H227" s="472"/>
      <c r="I227" s="472"/>
      <c r="J227" s="472"/>
      <c r="K227" s="472"/>
      <c r="L227" s="472"/>
      <c r="M227" s="472"/>
      <c r="N227" s="472"/>
      <c r="O227" s="472"/>
      <c r="P227" s="472"/>
      <c r="Q227" s="472"/>
      <c r="R227" s="472"/>
      <c r="S227" s="472"/>
      <c r="T227" s="472"/>
      <c r="U227" s="472"/>
      <c r="V227" s="472"/>
      <c r="W227" s="472"/>
      <c r="X227" s="472"/>
      <c r="Y227" s="472"/>
      <c r="Z227" s="472"/>
    </row>
    <row r="228" spans="1:26" ht="14.25" customHeight="1">
      <c r="A228" s="472"/>
      <c r="B228" s="472"/>
      <c r="C228" s="472"/>
      <c r="D228" s="472"/>
      <c r="E228" s="472"/>
      <c r="F228" s="472"/>
      <c r="G228" s="472"/>
      <c r="H228" s="472"/>
      <c r="I228" s="472"/>
      <c r="J228" s="472"/>
      <c r="K228" s="472"/>
      <c r="L228" s="472"/>
      <c r="M228" s="472"/>
      <c r="N228" s="472"/>
      <c r="O228" s="472"/>
      <c r="P228" s="472"/>
      <c r="Q228" s="472"/>
      <c r="R228" s="472"/>
      <c r="S228" s="472"/>
      <c r="T228" s="472"/>
      <c r="U228" s="472"/>
      <c r="V228" s="472"/>
      <c r="W228" s="472"/>
      <c r="X228" s="472"/>
      <c r="Y228" s="472"/>
      <c r="Z228" s="472"/>
    </row>
    <row r="229" spans="1:26" ht="14.25" customHeight="1">
      <c r="A229" s="472"/>
      <c r="B229" s="472"/>
      <c r="C229" s="472"/>
      <c r="D229" s="472"/>
      <c r="E229" s="472"/>
      <c r="F229" s="472"/>
      <c r="G229" s="472"/>
      <c r="H229" s="472"/>
      <c r="I229" s="472"/>
      <c r="J229" s="472"/>
      <c r="K229" s="472"/>
      <c r="L229" s="472"/>
      <c r="M229" s="472"/>
      <c r="N229" s="472"/>
      <c r="O229" s="472"/>
      <c r="P229" s="472"/>
      <c r="Q229" s="472"/>
      <c r="R229" s="472"/>
      <c r="S229" s="472"/>
      <c r="T229" s="472"/>
      <c r="U229" s="472"/>
      <c r="V229" s="472"/>
      <c r="W229" s="472"/>
      <c r="X229" s="472"/>
      <c r="Y229" s="472"/>
      <c r="Z229" s="472"/>
    </row>
    <row r="230" spans="1:26" ht="14.25" customHeight="1">
      <c r="A230" s="472"/>
      <c r="B230" s="472"/>
      <c r="C230" s="472"/>
      <c r="D230" s="472"/>
      <c r="E230" s="472"/>
      <c r="F230" s="472"/>
      <c r="G230" s="472"/>
      <c r="H230" s="472"/>
      <c r="I230" s="472"/>
      <c r="J230" s="472"/>
      <c r="K230" s="472"/>
      <c r="L230" s="472"/>
      <c r="M230" s="472"/>
      <c r="N230" s="472"/>
      <c r="O230" s="472"/>
      <c r="P230" s="472"/>
      <c r="Q230" s="472"/>
      <c r="R230" s="472"/>
      <c r="S230" s="472"/>
      <c r="T230" s="472"/>
      <c r="U230" s="472"/>
      <c r="V230" s="472"/>
      <c r="W230" s="472"/>
      <c r="X230" s="472"/>
      <c r="Y230" s="472"/>
      <c r="Z230" s="472"/>
    </row>
    <row r="231" spans="1:26" ht="14.25" customHeight="1">
      <c r="A231" s="472"/>
      <c r="B231" s="472"/>
      <c r="C231" s="472"/>
      <c r="D231" s="472"/>
      <c r="E231" s="472"/>
      <c r="F231" s="472"/>
      <c r="G231" s="472"/>
      <c r="H231" s="472"/>
      <c r="I231" s="472"/>
      <c r="J231" s="472"/>
      <c r="K231" s="472"/>
      <c r="L231" s="472"/>
      <c r="M231" s="472"/>
      <c r="N231" s="472"/>
      <c r="O231" s="472"/>
      <c r="P231" s="472"/>
      <c r="Q231" s="472"/>
      <c r="R231" s="472"/>
      <c r="S231" s="472"/>
      <c r="T231" s="472"/>
      <c r="U231" s="472"/>
      <c r="V231" s="472"/>
      <c r="W231" s="472"/>
      <c r="X231" s="472"/>
      <c r="Y231" s="472"/>
      <c r="Z231" s="472"/>
    </row>
    <row r="232" spans="1:26" ht="14.25" customHeight="1">
      <c r="A232" s="472"/>
      <c r="B232" s="472"/>
      <c r="C232" s="472"/>
      <c r="D232" s="472"/>
      <c r="E232" s="472"/>
      <c r="F232" s="472"/>
      <c r="G232" s="472"/>
      <c r="H232" s="472"/>
      <c r="I232" s="472"/>
      <c r="J232" s="472"/>
      <c r="K232" s="472"/>
      <c r="L232" s="472"/>
      <c r="M232" s="472"/>
      <c r="N232" s="472"/>
      <c r="O232" s="472"/>
      <c r="P232" s="472"/>
      <c r="Q232" s="472"/>
      <c r="R232" s="472"/>
      <c r="S232" s="472"/>
      <c r="T232" s="472"/>
      <c r="U232" s="472"/>
      <c r="V232" s="472"/>
      <c r="W232" s="472"/>
      <c r="X232" s="472"/>
      <c r="Y232" s="472"/>
      <c r="Z232" s="472"/>
    </row>
    <row r="233" spans="1:26" ht="14.25" customHeight="1">
      <c r="A233" s="472"/>
      <c r="B233" s="472"/>
      <c r="C233" s="472"/>
      <c r="D233" s="472"/>
      <c r="E233" s="472"/>
      <c r="F233" s="472"/>
      <c r="G233" s="472"/>
      <c r="H233" s="472"/>
      <c r="I233" s="472"/>
      <c r="J233" s="472"/>
      <c r="K233" s="472"/>
      <c r="L233" s="472"/>
      <c r="M233" s="472"/>
      <c r="N233" s="472"/>
      <c r="O233" s="472"/>
      <c r="P233" s="472"/>
      <c r="Q233" s="472"/>
      <c r="R233" s="472"/>
      <c r="S233" s="472"/>
      <c r="T233" s="472"/>
      <c r="U233" s="472"/>
      <c r="V233" s="472"/>
      <c r="W233" s="472"/>
      <c r="X233" s="472"/>
      <c r="Y233" s="472"/>
      <c r="Z233" s="472"/>
    </row>
    <row r="234" spans="1:26" ht="14.25" customHeight="1">
      <c r="A234" s="472"/>
      <c r="B234" s="472"/>
      <c r="C234" s="472"/>
      <c r="D234" s="472"/>
      <c r="E234" s="472"/>
      <c r="F234" s="472"/>
      <c r="G234" s="472"/>
      <c r="H234" s="472"/>
      <c r="I234" s="472"/>
      <c r="J234" s="472"/>
      <c r="K234" s="472"/>
      <c r="L234" s="472"/>
      <c r="M234" s="472"/>
      <c r="N234" s="472"/>
      <c r="O234" s="472"/>
      <c r="P234" s="472"/>
      <c r="Q234" s="472"/>
      <c r="R234" s="472"/>
      <c r="S234" s="472"/>
      <c r="T234" s="472"/>
      <c r="U234" s="472"/>
      <c r="V234" s="472"/>
      <c r="W234" s="472"/>
      <c r="X234" s="472"/>
      <c r="Y234" s="472"/>
      <c r="Z234" s="472"/>
    </row>
    <row r="235" spans="1:26" ht="14.25" customHeight="1">
      <c r="A235" s="472"/>
      <c r="B235" s="472"/>
      <c r="C235" s="472"/>
      <c r="D235" s="472"/>
      <c r="E235" s="472"/>
      <c r="F235" s="472"/>
      <c r="G235" s="472"/>
      <c r="H235" s="472"/>
      <c r="I235" s="472"/>
      <c r="J235" s="472"/>
      <c r="K235" s="472"/>
      <c r="L235" s="472"/>
      <c r="M235" s="472"/>
      <c r="N235" s="472"/>
      <c r="O235" s="472"/>
      <c r="P235" s="472"/>
      <c r="Q235" s="472"/>
      <c r="R235" s="472"/>
      <c r="S235" s="472"/>
      <c r="T235" s="472"/>
      <c r="U235" s="472"/>
      <c r="V235" s="472"/>
      <c r="W235" s="472"/>
      <c r="X235" s="472"/>
      <c r="Y235" s="472"/>
      <c r="Z235" s="472"/>
    </row>
    <row r="236" spans="1:26" ht="14.25" customHeight="1">
      <c r="A236" s="472"/>
      <c r="B236" s="472"/>
      <c r="C236" s="472"/>
      <c r="D236" s="472"/>
      <c r="E236" s="472"/>
      <c r="F236" s="472"/>
      <c r="G236" s="472"/>
      <c r="H236" s="472"/>
      <c r="I236" s="472"/>
      <c r="J236" s="472"/>
      <c r="K236" s="472"/>
      <c r="L236" s="472"/>
      <c r="M236" s="472"/>
      <c r="N236" s="472"/>
      <c r="O236" s="472"/>
      <c r="P236" s="472"/>
      <c r="Q236" s="472"/>
      <c r="R236" s="472"/>
      <c r="S236" s="472"/>
      <c r="T236" s="472"/>
      <c r="U236" s="472"/>
      <c r="V236" s="472"/>
      <c r="W236" s="472"/>
      <c r="X236" s="472"/>
      <c r="Y236" s="472"/>
      <c r="Z236" s="472"/>
    </row>
    <row r="237" spans="1:26" ht="14.25" customHeight="1">
      <c r="A237" s="472"/>
      <c r="B237" s="472"/>
      <c r="C237" s="472"/>
      <c r="D237" s="472"/>
      <c r="E237" s="472"/>
      <c r="F237" s="472"/>
      <c r="G237" s="472"/>
      <c r="H237" s="472"/>
      <c r="I237" s="472"/>
      <c r="J237" s="472"/>
      <c r="K237" s="472"/>
      <c r="L237" s="472"/>
      <c r="M237" s="472"/>
      <c r="N237" s="472"/>
      <c r="O237" s="472"/>
      <c r="P237" s="472"/>
      <c r="Q237" s="472"/>
      <c r="R237" s="472"/>
      <c r="S237" s="472"/>
      <c r="T237" s="472"/>
      <c r="U237" s="472"/>
      <c r="V237" s="472"/>
      <c r="W237" s="472"/>
      <c r="X237" s="472"/>
      <c r="Y237" s="472"/>
      <c r="Z237" s="472"/>
    </row>
    <row r="238" spans="1:26" ht="14.25" customHeight="1">
      <c r="A238" s="472"/>
      <c r="B238" s="472"/>
      <c r="C238" s="472"/>
      <c r="D238" s="472"/>
      <c r="E238" s="472"/>
      <c r="F238" s="472"/>
      <c r="G238" s="472"/>
      <c r="H238" s="472"/>
      <c r="I238" s="472"/>
      <c r="J238" s="472"/>
      <c r="K238" s="472"/>
      <c r="L238" s="472"/>
      <c r="M238" s="472"/>
      <c r="N238" s="472"/>
      <c r="O238" s="472"/>
      <c r="P238" s="472"/>
      <c r="Q238" s="472"/>
      <c r="R238" s="472"/>
      <c r="S238" s="472"/>
      <c r="T238" s="472"/>
      <c r="U238" s="472"/>
      <c r="V238" s="472"/>
      <c r="W238" s="472"/>
      <c r="X238" s="472"/>
      <c r="Y238" s="472"/>
      <c r="Z238" s="472"/>
    </row>
    <row r="239" spans="1:26" ht="14.25" customHeight="1">
      <c r="A239" s="472"/>
      <c r="B239" s="472"/>
      <c r="C239" s="472"/>
      <c r="D239" s="472"/>
      <c r="E239" s="472"/>
      <c r="F239" s="472"/>
      <c r="G239" s="472"/>
      <c r="H239" s="472"/>
      <c r="I239" s="472"/>
      <c r="J239" s="472"/>
      <c r="K239" s="472"/>
      <c r="L239" s="472"/>
      <c r="M239" s="472"/>
      <c r="N239" s="472"/>
      <c r="O239" s="472"/>
      <c r="P239" s="472"/>
      <c r="Q239" s="472"/>
      <c r="R239" s="472"/>
      <c r="S239" s="472"/>
      <c r="T239" s="472"/>
      <c r="U239" s="472"/>
      <c r="V239" s="472"/>
      <c r="W239" s="472"/>
      <c r="X239" s="472"/>
      <c r="Y239" s="472"/>
      <c r="Z239" s="472"/>
    </row>
    <row r="240" spans="1:26" ht="14.25" customHeight="1">
      <c r="A240" s="472"/>
      <c r="B240" s="472"/>
      <c r="C240" s="472"/>
      <c r="D240" s="472"/>
      <c r="E240" s="472"/>
      <c r="F240" s="472"/>
      <c r="G240" s="472"/>
      <c r="H240" s="472"/>
      <c r="I240" s="472"/>
      <c r="J240" s="472"/>
      <c r="K240" s="472"/>
      <c r="L240" s="472"/>
      <c r="M240" s="472"/>
      <c r="N240" s="472"/>
      <c r="O240" s="472"/>
      <c r="P240" s="472"/>
      <c r="Q240" s="472"/>
      <c r="R240" s="472"/>
      <c r="S240" s="472"/>
      <c r="T240" s="472"/>
      <c r="U240" s="472"/>
      <c r="V240" s="472"/>
      <c r="W240" s="472"/>
      <c r="X240" s="472"/>
      <c r="Y240" s="472"/>
      <c r="Z240" s="472"/>
    </row>
    <row r="241" spans="1:26" ht="14.25" customHeight="1">
      <c r="A241" s="472"/>
      <c r="B241" s="472"/>
      <c r="C241" s="472"/>
      <c r="D241" s="472"/>
      <c r="E241" s="472"/>
      <c r="F241" s="472"/>
      <c r="G241" s="472"/>
      <c r="H241" s="472"/>
      <c r="I241" s="472"/>
      <c r="J241" s="472"/>
      <c r="K241" s="472"/>
      <c r="L241" s="472"/>
      <c r="M241" s="472"/>
      <c r="N241" s="472"/>
      <c r="O241" s="472"/>
      <c r="P241" s="472"/>
      <c r="Q241" s="472"/>
      <c r="R241" s="472"/>
      <c r="S241" s="472"/>
      <c r="T241" s="472"/>
      <c r="U241" s="472"/>
      <c r="V241" s="472"/>
      <c r="W241" s="472"/>
      <c r="X241" s="472"/>
      <c r="Y241" s="472"/>
      <c r="Z241" s="472"/>
    </row>
    <row r="242" spans="1:26" ht="14.25" customHeight="1">
      <c r="A242" s="472"/>
      <c r="B242" s="472"/>
      <c r="C242" s="472"/>
      <c r="D242" s="472"/>
      <c r="E242" s="472"/>
      <c r="F242" s="472"/>
      <c r="G242" s="472"/>
      <c r="H242" s="472"/>
      <c r="I242" s="472"/>
      <c r="J242" s="472"/>
      <c r="K242" s="472"/>
      <c r="L242" s="472"/>
      <c r="M242" s="472"/>
      <c r="N242" s="472"/>
      <c r="O242" s="472"/>
      <c r="P242" s="472"/>
      <c r="Q242" s="472"/>
      <c r="R242" s="472"/>
      <c r="S242" s="472"/>
      <c r="T242" s="472"/>
      <c r="U242" s="472"/>
      <c r="V242" s="472"/>
      <c r="W242" s="472"/>
      <c r="X242" s="472"/>
      <c r="Y242" s="472"/>
      <c r="Z242" s="472"/>
    </row>
    <row r="243" spans="1:26" ht="14.25" customHeight="1">
      <c r="A243" s="472"/>
      <c r="B243" s="472"/>
      <c r="C243" s="472"/>
      <c r="D243" s="472"/>
      <c r="E243" s="472"/>
      <c r="F243" s="472"/>
      <c r="G243" s="472"/>
      <c r="H243" s="472"/>
      <c r="I243" s="472"/>
      <c r="J243" s="472"/>
      <c r="K243" s="472"/>
      <c r="L243" s="472"/>
      <c r="M243" s="472"/>
      <c r="N243" s="472"/>
      <c r="O243" s="472"/>
      <c r="P243" s="472"/>
      <c r="Q243" s="472"/>
      <c r="R243" s="472"/>
      <c r="S243" s="472"/>
      <c r="T243" s="472"/>
      <c r="U243" s="472"/>
      <c r="V243" s="472"/>
      <c r="W243" s="472"/>
      <c r="X243" s="472"/>
      <c r="Y243" s="472"/>
      <c r="Z243" s="472"/>
    </row>
    <row r="244" spans="1:26" ht="14.25" customHeight="1">
      <c r="A244" s="472"/>
      <c r="B244" s="472"/>
      <c r="C244" s="472"/>
      <c r="D244" s="472"/>
      <c r="E244" s="472"/>
      <c r="F244" s="472"/>
      <c r="G244" s="472"/>
      <c r="H244" s="472"/>
      <c r="I244" s="472"/>
      <c r="J244" s="472"/>
      <c r="K244" s="472"/>
      <c r="L244" s="472"/>
      <c r="M244" s="472"/>
      <c r="N244" s="472"/>
      <c r="O244" s="472"/>
      <c r="P244" s="472"/>
      <c r="Q244" s="472"/>
      <c r="R244" s="472"/>
      <c r="S244" s="472"/>
      <c r="T244" s="472"/>
      <c r="U244" s="472"/>
      <c r="V244" s="472"/>
      <c r="W244" s="472"/>
      <c r="X244" s="472"/>
      <c r="Y244" s="472"/>
      <c r="Z244" s="472"/>
    </row>
    <row r="245" spans="1:26" ht="14.25" customHeight="1">
      <c r="A245" s="472"/>
      <c r="B245" s="472"/>
      <c r="C245" s="472"/>
      <c r="D245" s="472"/>
      <c r="E245" s="472"/>
      <c r="F245" s="472"/>
      <c r="G245" s="472"/>
      <c r="H245" s="472"/>
      <c r="I245" s="472"/>
      <c r="J245" s="472"/>
      <c r="K245" s="472"/>
      <c r="L245" s="472"/>
      <c r="M245" s="472"/>
      <c r="N245" s="472"/>
      <c r="O245" s="472"/>
      <c r="P245" s="472"/>
      <c r="Q245" s="472"/>
      <c r="R245" s="472"/>
      <c r="S245" s="472"/>
      <c r="T245" s="472"/>
      <c r="U245" s="472"/>
      <c r="V245" s="472"/>
      <c r="W245" s="472"/>
      <c r="X245" s="472"/>
      <c r="Y245" s="472"/>
      <c r="Z245" s="472"/>
    </row>
    <row r="246" spans="1:26" ht="14.25" customHeight="1">
      <c r="A246" s="472"/>
      <c r="B246" s="472"/>
      <c r="C246" s="472"/>
      <c r="D246" s="472"/>
      <c r="E246" s="472"/>
      <c r="F246" s="472"/>
      <c r="G246" s="472"/>
      <c r="H246" s="472"/>
      <c r="I246" s="472"/>
      <c r="J246" s="472"/>
      <c r="K246" s="472"/>
      <c r="L246" s="472"/>
      <c r="M246" s="472"/>
      <c r="N246" s="472"/>
      <c r="O246" s="472"/>
      <c r="P246" s="472"/>
      <c r="Q246" s="472"/>
      <c r="R246" s="472"/>
      <c r="S246" s="472"/>
      <c r="T246" s="472"/>
      <c r="U246" s="472"/>
      <c r="V246" s="472"/>
      <c r="W246" s="472"/>
      <c r="X246" s="472"/>
      <c r="Y246" s="472"/>
      <c r="Z246" s="472"/>
    </row>
    <row r="247" spans="1:26" ht="14.25" customHeight="1">
      <c r="A247" s="472"/>
      <c r="B247" s="472"/>
      <c r="C247" s="472"/>
      <c r="D247" s="472"/>
      <c r="E247" s="472"/>
      <c r="F247" s="472"/>
      <c r="G247" s="472"/>
      <c r="H247" s="472"/>
      <c r="I247" s="472"/>
      <c r="J247" s="472"/>
      <c r="K247" s="472"/>
      <c r="L247" s="472"/>
      <c r="M247" s="472"/>
      <c r="N247" s="472"/>
      <c r="O247" s="472"/>
      <c r="P247" s="472"/>
      <c r="Q247" s="472"/>
      <c r="R247" s="472"/>
      <c r="S247" s="472"/>
      <c r="T247" s="472"/>
      <c r="U247" s="472"/>
      <c r="V247" s="472"/>
      <c r="W247" s="472"/>
      <c r="X247" s="472"/>
      <c r="Y247" s="472"/>
      <c r="Z247" s="472"/>
    </row>
    <row r="248" spans="1:26" ht="14.25" customHeight="1">
      <c r="A248" s="472"/>
      <c r="B248" s="472"/>
      <c r="C248" s="472"/>
      <c r="D248" s="472"/>
      <c r="E248" s="472"/>
      <c r="F248" s="472"/>
      <c r="G248" s="472"/>
      <c r="H248" s="472"/>
      <c r="I248" s="472"/>
      <c r="J248" s="472"/>
      <c r="K248" s="472"/>
      <c r="L248" s="472"/>
      <c r="M248" s="472"/>
      <c r="N248" s="472"/>
      <c r="O248" s="472"/>
      <c r="P248" s="472"/>
      <c r="Q248" s="472"/>
      <c r="R248" s="472"/>
      <c r="S248" s="472"/>
      <c r="T248" s="472"/>
      <c r="U248" s="472"/>
      <c r="V248" s="472"/>
      <c r="W248" s="472"/>
      <c r="X248" s="472"/>
      <c r="Y248" s="472"/>
      <c r="Z248" s="472"/>
    </row>
    <row r="249" spans="1:26" ht="14.25" customHeight="1">
      <c r="A249" s="472"/>
      <c r="B249" s="472"/>
      <c r="C249" s="472"/>
      <c r="D249" s="472"/>
      <c r="E249" s="472"/>
      <c r="F249" s="472"/>
      <c r="G249" s="472"/>
      <c r="H249" s="472"/>
      <c r="I249" s="472"/>
      <c r="J249" s="472"/>
      <c r="K249" s="472"/>
      <c r="L249" s="472"/>
      <c r="M249" s="472"/>
      <c r="N249" s="472"/>
      <c r="O249" s="472"/>
      <c r="P249" s="472"/>
      <c r="Q249" s="472"/>
      <c r="R249" s="472"/>
      <c r="S249" s="472"/>
      <c r="T249" s="472"/>
      <c r="U249" s="472"/>
      <c r="V249" s="472"/>
      <c r="W249" s="472"/>
      <c r="X249" s="472"/>
      <c r="Y249" s="472"/>
      <c r="Z249" s="472"/>
    </row>
    <row r="250" spans="1:26" ht="14.25" customHeight="1">
      <c r="A250" s="472"/>
      <c r="B250" s="472"/>
      <c r="C250" s="472"/>
      <c r="D250" s="472"/>
      <c r="E250" s="472"/>
      <c r="F250" s="472"/>
      <c r="G250" s="472"/>
      <c r="H250" s="472"/>
      <c r="I250" s="472"/>
      <c r="J250" s="472"/>
      <c r="K250" s="472"/>
      <c r="L250" s="472"/>
      <c r="M250" s="472"/>
      <c r="N250" s="472"/>
      <c r="O250" s="472"/>
      <c r="P250" s="472"/>
      <c r="Q250" s="472"/>
      <c r="R250" s="472"/>
      <c r="S250" s="472"/>
      <c r="T250" s="472"/>
      <c r="U250" s="472"/>
      <c r="V250" s="472"/>
      <c r="W250" s="472"/>
      <c r="X250" s="472"/>
      <c r="Y250" s="472"/>
      <c r="Z250" s="472"/>
    </row>
    <row r="251" spans="1:26" ht="14.25" customHeight="1">
      <c r="A251" s="472"/>
      <c r="B251" s="472"/>
      <c r="C251" s="472"/>
      <c r="D251" s="472"/>
      <c r="E251" s="472"/>
      <c r="F251" s="472"/>
      <c r="G251" s="472"/>
      <c r="H251" s="472"/>
      <c r="I251" s="472"/>
      <c r="J251" s="472"/>
      <c r="K251" s="472"/>
      <c r="L251" s="472"/>
      <c r="M251" s="472"/>
      <c r="N251" s="472"/>
      <c r="O251" s="472"/>
      <c r="P251" s="472"/>
      <c r="Q251" s="472"/>
      <c r="R251" s="472"/>
      <c r="S251" s="472"/>
      <c r="T251" s="472"/>
      <c r="U251" s="472"/>
      <c r="V251" s="472"/>
      <c r="W251" s="472"/>
      <c r="X251" s="472"/>
      <c r="Y251" s="472"/>
      <c r="Z251" s="472"/>
    </row>
    <row r="252" spans="1:26" ht="14.25" customHeight="1">
      <c r="A252" s="472"/>
      <c r="B252" s="472"/>
      <c r="C252" s="472"/>
      <c r="D252" s="472"/>
      <c r="E252" s="472"/>
      <c r="F252" s="472"/>
      <c r="G252" s="472"/>
      <c r="H252" s="472"/>
      <c r="I252" s="472"/>
      <c r="J252" s="472"/>
      <c r="K252" s="472"/>
      <c r="L252" s="472"/>
      <c r="M252" s="472"/>
      <c r="N252" s="472"/>
      <c r="O252" s="472"/>
      <c r="P252" s="472"/>
      <c r="Q252" s="472"/>
      <c r="R252" s="472"/>
      <c r="S252" s="472"/>
      <c r="T252" s="472"/>
      <c r="U252" s="472"/>
      <c r="V252" s="472"/>
      <c r="W252" s="472"/>
      <c r="X252" s="472"/>
      <c r="Y252" s="472"/>
      <c r="Z252" s="472"/>
    </row>
    <row r="253" spans="1:26" ht="14.25" customHeight="1">
      <c r="A253" s="472"/>
      <c r="B253" s="472"/>
      <c r="C253" s="472"/>
      <c r="D253" s="472"/>
      <c r="E253" s="472"/>
      <c r="F253" s="472"/>
      <c r="G253" s="472"/>
      <c r="H253" s="472"/>
      <c r="I253" s="472"/>
      <c r="J253" s="472"/>
      <c r="K253" s="472"/>
      <c r="L253" s="472"/>
      <c r="M253" s="472"/>
      <c r="N253" s="472"/>
      <c r="O253" s="472"/>
      <c r="P253" s="472"/>
      <c r="Q253" s="472"/>
      <c r="R253" s="472"/>
      <c r="S253" s="472"/>
      <c r="T253" s="472"/>
      <c r="U253" s="472"/>
      <c r="V253" s="472"/>
      <c r="W253" s="472"/>
      <c r="X253" s="472"/>
      <c r="Y253" s="472"/>
      <c r="Z253" s="472"/>
    </row>
    <row r="254" spans="1:26" ht="14.25" customHeight="1">
      <c r="A254" s="472"/>
      <c r="B254" s="472"/>
      <c r="C254" s="472"/>
      <c r="D254" s="472"/>
      <c r="E254" s="472"/>
      <c r="F254" s="472"/>
      <c r="G254" s="472"/>
      <c r="H254" s="472"/>
      <c r="I254" s="472"/>
      <c r="J254" s="472"/>
      <c r="K254" s="472"/>
      <c r="L254" s="472"/>
      <c r="M254" s="472"/>
      <c r="N254" s="472"/>
      <c r="O254" s="472"/>
      <c r="P254" s="472"/>
      <c r="Q254" s="472"/>
      <c r="R254" s="472"/>
      <c r="S254" s="472"/>
      <c r="T254" s="472"/>
      <c r="U254" s="472"/>
      <c r="V254" s="472"/>
      <c r="W254" s="472"/>
      <c r="X254" s="472"/>
      <c r="Y254" s="472"/>
      <c r="Z254" s="472"/>
    </row>
    <row r="255" spans="1:26" ht="14.25" customHeight="1">
      <c r="A255" s="472"/>
      <c r="B255" s="472"/>
      <c r="C255" s="472"/>
      <c r="D255" s="472"/>
      <c r="E255" s="472"/>
      <c r="F255" s="472"/>
      <c r="G255" s="472"/>
      <c r="H255" s="472"/>
      <c r="I255" s="472"/>
      <c r="J255" s="472"/>
      <c r="K255" s="472"/>
      <c r="L255" s="472"/>
      <c r="M255" s="472"/>
      <c r="N255" s="472"/>
      <c r="O255" s="472"/>
      <c r="P255" s="472"/>
      <c r="Q255" s="472"/>
      <c r="R255" s="472"/>
      <c r="S255" s="472"/>
      <c r="T255" s="472"/>
      <c r="U255" s="472"/>
      <c r="V255" s="472"/>
      <c r="W255" s="472"/>
      <c r="X255" s="472"/>
      <c r="Y255" s="472"/>
      <c r="Z255" s="472"/>
    </row>
    <row r="256" spans="1:26" ht="14.25" customHeight="1">
      <c r="A256" s="472"/>
      <c r="B256" s="472"/>
      <c r="C256" s="472"/>
      <c r="D256" s="472"/>
      <c r="E256" s="472"/>
      <c r="F256" s="472"/>
      <c r="G256" s="472"/>
      <c r="H256" s="472"/>
      <c r="I256" s="472"/>
      <c r="J256" s="472"/>
      <c r="K256" s="472"/>
      <c r="L256" s="472"/>
      <c r="M256" s="472"/>
      <c r="N256" s="472"/>
      <c r="O256" s="472"/>
      <c r="P256" s="472"/>
      <c r="Q256" s="472"/>
      <c r="R256" s="472"/>
      <c r="S256" s="472"/>
      <c r="T256" s="472"/>
      <c r="U256" s="472"/>
      <c r="V256" s="472"/>
      <c r="W256" s="472"/>
      <c r="X256" s="472"/>
      <c r="Y256" s="472"/>
      <c r="Z256" s="472"/>
    </row>
    <row r="257" spans="1:26" ht="14.25" customHeight="1">
      <c r="A257" s="472"/>
      <c r="B257" s="472"/>
      <c r="C257" s="472"/>
      <c r="D257" s="472"/>
      <c r="E257" s="472"/>
      <c r="F257" s="472"/>
      <c r="G257" s="472"/>
      <c r="H257" s="472"/>
      <c r="I257" s="472"/>
      <c r="J257" s="472"/>
      <c r="K257" s="472"/>
      <c r="L257" s="472"/>
      <c r="M257" s="472"/>
      <c r="N257" s="472"/>
      <c r="O257" s="472"/>
      <c r="P257" s="472"/>
      <c r="Q257" s="472"/>
      <c r="R257" s="472"/>
      <c r="S257" s="472"/>
      <c r="T257" s="472"/>
      <c r="U257" s="472"/>
      <c r="V257" s="472"/>
      <c r="W257" s="472"/>
      <c r="X257" s="472"/>
      <c r="Y257" s="472"/>
      <c r="Z257" s="472"/>
    </row>
    <row r="258" spans="1:26" ht="14.25" customHeight="1">
      <c r="A258" s="472"/>
      <c r="B258" s="472"/>
      <c r="C258" s="472"/>
      <c r="D258" s="472"/>
      <c r="E258" s="472"/>
      <c r="F258" s="472"/>
      <c r="G258" s="472"/>
      <c r="H258" s="472"/>
      <c r="I258" s="472"/>
      <c r="J258" s="472"/>
      <c r="K258" s="472"/>
      <c r="L258" s="472"/>
      <c r="M258" s="472"/>
      <c r="N258" s="472"/>
      <c r="O258" s="472"/>
      <c r="P258" s="472"/>
      <c r="Q258" s="472"/>
      <c r="R258" s="472"/>
      <c r="S258" s="472"/>
      <c r="T258" s="472"/>
      <c r="U258" s="472"/>
      <c r="V258" s="472"/>
      <c r="W258" s="472"/>
      <c r="X258" s="472"/>
      <c r="Y258" s="472"/>
      <c r="Z258" s="472"/>
    </row>
    <row r="259" spans="1:26" ht="14.25" customHeight="1">
      <c r="A259" s="472"/>
      <c r="B259" s="472"/>
      <c r="C259" s="472"/>
      <c r="D259" s="472"/>
      <c r="E259" s="472"/>
      <c r="F259" s="472"/>
      <c r="G259" s="472"/>
      <c r="H259" s="472"/>
      <c r="I259" s="472"/>
      <c r="J259" s="472"/>
      <c r="K259" s="472"/>
      <c r="L259" s="472"/>
      <c r="M259" s="472"/>
      <c r="N259" s="472"/>
      <c r="O259" s="472"/>
      <c r="P259" s="472"/>
      <c r="Q259" s="472"/>
      <c r="R259" s="472"/>
      <c r="S259" s="472"/>
      <c r="T259" s="472"/>
      <c r="U259" s="472"/>
      <c r="V259" s="472"/>
      <c r="W259" s="472"/>
      <c r="X259" s="472"/>
      <c r="Y259" s="472"/>
      <c r="Z259" s="472"/>
    </row>
    <row r="260" spans="1:26" ht="14.25" customHeight="1">
      <c r="A260" s="472"/>
      <c r="B260" s="472"/>
      <c r="C260" s="472"/>
      <c r="D260" s="472"/>
      <c r="E260" s="472"/>
      <c r="F260" s="472"/>
      <c r="G260" s="472"/>
      <c r="H260" s="472"/>
      <c r="I260" s="472"/>
      <c r="J260" s="472"/>
      <c r="K260" s="472"/>
      <c r="L260" s="472"/>
      <c r="M260" s="472"/>
      <c r="N260" s="472"/>
      <c r="O260" s="472"/>
      <c r="P260" s="472"/>
      <c r="Q260" s="472"/>
      <c r="R260" s="472"/>
      <c r="S260" s="472"/>
      <c r="T260" s="472"/>
      <c r="U260" s="472"/>
      <c r="V260" s="472"/>
      <c r="W260" s="472"/>
      <c r="X260" s="472"/>
      <c r="Y260" s="472"/>
      <c r="Z260" s="472"/>
    </row>
    <row r="261" spans="1:26" ht="14.25" customHeight="1">
      <c r="A261" s="472"/>
      <c r="B261" s="472"/>
      <c r="C261" s="472"/>
      <c r="D261" s="472"/>
      <c r="E261" s="472"/>
      <c r="F261" s="472"/>
      <c r="G261" s="472"/>
      <c r="H261" s="472"/>
      <c r="I261" s="472"/>
      <c r="J261" s="472"/>
      <c r="K261" s="472"/>
      <c r="L261" s="472"/>
      <c r="M261" s="472"/>
      <c r="N261" s="472"/>
      <c r="O261" s="472"/>
      <c r="P261" s="472"/>
      <c r="Q261" s="472"/>
      <c r="R261" s="472"/>
      <c r="S261" s="472"/>
      <c r="T261" s="472"/>
      <c r="U261" s="472"/>
      <c r="V261" s="472"/>
      <c r="W261" s="472"/>
      <c r="X261" s="472"/>
      <c r="Y261" s="472"/>
      <c r="Z261" s="472"/>
    </row>
    <row r="262" spans="1:26" ht="14.25" customHeight="1">
      <c r="A262" s="472"/>
      <c r="B262" s="472"/>
      <c r="C262" s="472"/>
      <c r="D262" s="472"/>
      <c r="E262" s="472"/>
      <c r="F262" s="472"/>
      <c r="G262" s="472"/>
      <c r="H262" s="472"/>
      <c r="I262" s="472"/>
      <c r="J262" s="472"/>
      <c r="K262" s="472"/>
      <c r="L262" s="472"/>
      <c r="M262" s="472"/>
      <c r="N262" s="472"/>
      <c r="O262" s="472"/>
      <c r="P262" s="472"/>
      <c r="Q262" s="472"/>
      <c r="R262" s="472"/>
      <c r="S262" s="472"/>
      <c r="T262" s="472"/>
      <c r="U262" s="472"/>
      <c r="V262" s="472"/>
      <c r="W262" s="472"/>
      <c r="X262" s="472"/>
      <c r="Y262" s="472"/>
      <c r="Z262" s="472"/>
    </row>
    <row r="263" spans="1:26" ht="14.25" customHeight="1">
      <c r="A263" s="472"/>
      <c r="B263" s="472"/>
      <c r="C263" s="472"/>
      <c r="D263" s="472"/>
      <c r="E263" s="472"/>
      <c r="F263" s="472"/>
      <c r="G263" s="472"/>
      <c r="H263" s="472"/>
      <c r="I263" s="472"/>
      <c r="J263" s="472"/>
      <c r="K263" s="472"/>
      <c r="L263" s="472"/>
      <c r="M263" s="472"/>
      <c r="N263" s="472"/>
      <c r="O263" s="472"/>
      <c r="P263" s="472"/>
      <c r="Q263" s="472"/>
      <c r="R263" s="472"/>
      <c r="S263" s="472"/>
      <c r="T263" s="472"/>
      <c r="U263" s="472"/>
      <c r="V263" s="472"/>
      <c r="W263" s="472"/>
      <c r="X263" s="472"/>
      <c r="Y263" s="472"/>
      <c r="Z263" s="472"/>
    </row>
    <row r="264" spans="1:26" ht="14.25" customHeight="1">
      <c r="A264" s="472"/>
      <c r="B264" s="472"/>
      <c r="C264" s="472"/>
      <c r="D264" s="472"/>
      <c r="E264" s="472"/>
      <c r="F264" s="472"/>
      <c r="G264" s="472"/>
      <c r="H264" s="472"/>
      <c r="I264" s="472"/>
      <c r="J264" s="472"/>
      <c r="K264" s="472"/>
      <c r="L264" s="472"/>
      <c r="M264" s="472"/>
      <c r="N264" s="472"/>
      <c r="O264" s="472"/>
      <c r="P264" s="472"/>
      <c r="Q264" s="472"/>
      <c r="R264" s="472"/>
      <c r="S264" s="472"/>
      <c r="T264" s="472"/>
      <c r="U264" s="472"/>
      <c r="V264" s="472"/>
      <c r="W264" s="472"/>
      <c r="X264" s="472"/>
      <c r="Y264" s="472"/>
      <c r="Z264" s="472"/>
    </row>
    <row r="265" spans="1:26" ht="14.25" customHeight="1">
      <c r="A265" s="472"/>
      <c r="B265" s="472"/>
      <c r="C265" s="472"/>
      <c r="D265" s="472"/>
      <c r="E265" s="472"/>
      <c r="F265" s="472"/>
      <c r="G265" s="472"/>
      <c r="H265" s="472"/>
      <c r="I265" s="472"/>
      <c r="J265" s="472"/>
      <c r="K265" s="472"/>
      <c r="L265" s="472"/>
      <c r="M265" s="472"/>
      <c r="N265" s="472"/>
      <c r="O265" s="472"/>
      <c r="P265" s="472"/>
      <c r="Q265" s="472"/>
      <c r="R265" s="472"/>
      <c r="S265" s="472"/>
      <c r="T265" s="472"/>
      <c r="U265" s="472"/>
      <c r="V265" s="472"/>
      <c r="W265" s="472"/>
      <c r="X265" s="472"/>
      <c r="Y265" s="472"/>
      <c r="Z265" s="472"/>
    </row>
    <row r="266" spans="1:26" ht="14.25" customHeight="1">
      <c r="A266" s="472"/>
      <c r="B266" s="472"/>
      <c r="C266" s="472"/>
      <c r="D266" s="472"/>
      <c r="E266" s="472"/>
      <c r="F266" s="472"/>
      <c r="G266" s="472"/>
      <c r="H266" s="472"/>
      <c r="I266" s="472"/>
      <c r="J266" s="472"/>
      <c r="K266" s="472"/>
      <c r="L266" s="472"/>
      <c r="M266" s="472"/>
      <c r="N266" s="472"/>
      <c r="O266" s="472"/>
      <c r="P266" s="472"/>
      <c r="Q266" s="472"/>
      <c r="R266" s="472"/>
      <c r="S266" s="472"/>
      <c r="T266" s="472"/>
      <c r="U266" s="472"/>
      <c r="V266" s="472"/>
      <c r="W266" s="472"/>
      <c r="X266" s="472"/>
      <c r="Y266" s="472"/>
      <c r="Z266" s="472"/>
    </row>
    <row r="267" spans="1:26" ht="14.25" customHeight="1">
      <c r="A267" s="472"/>
      <c r="B267" s="472"/>
      <c r="C267" s="472"/>
      <c r="D267" s="472"/>
      <c r="E267" s="472"/>
      <c r="F267" s="472"/>
      <c r="G267" s="472"/>
      <c r="H267" s="472"/>
      <c r="I267" s="472"/>
      <c r="J267" s="472"/>
      <c r="K267" s="472"/>
      <c r="L267" s="472"/>
      <c r="M267" s="472"/>
      <c r="N267" s="472"/>
      <c r="O267" s="472"/>
      <c r="P267" s="472"/>
      <c r="Q267" s="472"/>
      <c r="R267" s="472"/>
      <c r="S267" s="472"/>
      <c r="T267" s="472"/>
      <c r="U267" s="472"/>
      <c r="V267" s="472"/>
      <c r="W267" s="472"/>
      <c r="X267" s="472"/>
      <c r="Y267" s="472"/>
      <c r="Z267" s="472"/>
    </row>
    <row r="268" spans="1:26" ht="14.25" customHeight="1">
      <c r="A268" s="472"/>
      <c r="B268" s="472"/>
      <c r="C268" s="472"/>
      <c r="D268" s="472"/>
      <c r="E268" s="472"/>
      <c r="F268" s="472"/>
      <c r="G268" s="472"/>
      <c r="H268" s="472"/>
      <c r="I268" s="472"/>
      <c r="J268" s="472"/>
      <c r="K268" s="472"/>
      <c r="L268" s="472"/>
      <c r="M268" s="472"/>
      <c r="N268" s="472"/>
      <c r="O268" s="472"/>
      <c r="P268" s="472"/>
      <c r="Q268" s="472"/>
      <c r="R268" s="472"/>
      <c r="S268" s="472"/>
      <c r="T268" s="472"/>
      <c r="U268" s="472"/>
      <c r="V268" s="472"/>
      <c r="W268" s="472"/>
      <c r="X268" s="472"/>
      <c r="Y268" s="472"/>
      <c r="Z268" s="472"/>
    </row>
    <row r="269" spans="1:26" ht="14.25" customHeight="1">
      <c r="A269" s="472"/>
      <c r="B269" s="472"/>
      <c r="C269" s="472"/>
      <c r="D269" s="472"/>
      <c r="E269" s="472"/>
      <c r="F269" s="472"/>
      <c r="G269" s="472"/>
      <c r="H269" s="472"/>
      <c r="I269" s="472"/>
      <c r="J269" s="472"/>
      <c r="K269" s="472"/>
      <c r="L269" s="472"/>
      <c r="M269" s="472"/>
      <c r="N269" s="472"/>
      <c r="O269" s="472"/>
      <c r="P269" s="472"/>
      <c r="Q269" s="472"/>
      <c r="R269" s="472"/>
      <c r="S269" s="472"/>
      <c r="T269" s="472"/>
      <c r="U269" s="472"/>
      <c r="V269" s="472"/>
      <c r="W269" s="472"/>
      <c r="X269" s="472"/>
      <c r="Y269" s="472"/>
      <c r="Z269" s="472"/>
    </row>
    <row r="270" spans="1:26" ht="14.25" customHeight="1">
      <c r="A270" s="472"/>
      <c r="B270" s="472"/>
      <c r="C270" s="472"/>
      <c r="D270" s="472"/>
      <c r="E270" s="472"/>
      <c r="F270" s="472"/>
      <c r="G270" s="472"/>
      <c r="H270" s="472"/>
      <c r="I270" s="472"/>
      <c r="J270" s="472"/>
      <c r="K270" s="472"/>
      <c r="L270" s="472"/>
      <c r="M270" s="472"/>
      <c r="N270" s="472"/>
      <c r="O270" s="472"/>
      <c r="P270" s="472"/>
      <c r="Q270" s="472"/>
      <c r="R270" s="472"/>
      <c r="S270" s="472"/>
      <c r="T270" s="472"/>
      <c r="U270" s="472"/>
      <c r="V270" s="472"/>
      <c r="W270" s="472"/>
      <c r="X270" s="472"/>
      <c r="Y270" s="472"/>
      <c r="Z270" s="472"/>
    </row>
    <row r="271" spans="1:26" ht="14.25" customHeight="1">
      <c r="A271" s="472"/>
      <c r="B271" s="472"/>
      <c r="C271" s="472"/>
      <c r="D271" s="472"/>
      <c r="E271" s="472"/>
      <c r="F271" s="472"/>
      <c r="G271" s="472"/>
      <c r="H271" s="472"/>
      <c r="I271" s="472"/>
      <c r="J271" s="472"/>
      <c r="K271" s="472"/>
      <c r="L271" s="472"/>
      <c r="M271" s="472"/>
      <c r="N271" s="472"/>
      <c r="O271" s="472"/>
      <c r="P271" s="472"/>
      <c r="Q271" s="472"/>
      <c r="R271" s="472"/>
      <c r="S271" s="472"/>
      <c r="T271" s="472"/>
      <c r="U271" s="472"/>
      <c r="V271" s="472"/>
      <c r="W271" s="472"/>
      <c r="X271" s="472"/>
      <c r="Y271" s="472"/>
      <c r="Z271" s="472"/>
    </row>
    <row r="272" spans="1:26" ht="14.25" customHeight="1">
      <c r="A272" s="472"/>
      <c r="B272" s="472"/>
      <c r="C272" s="472"/>
      <c r="D272" s="472"/>
      <c r="E272" s="472"/>
      <c r="F272" s="472"/>
      <c r="G272" s="472"/>
      <c r="H272" s="472"/>
      <c r="I272" s="472"/>
      <c r="J272" s="472"/>
      <c r="K272" s="472"/>
      <c r="L272" s="472"/>
      <c r="M272" s="472"/>
      <c r="N272" s="472"/>
      <c r="O272" s="472"/>
      <c r="P272" s="472"/>
      <c r="Q272" s="472"/>
      <c r="R272" s="472"/>
      <c r="S272" s="472"/>
      <c r="T272" s="472"/>
      <c r="U272" s="472"/>
      <c r="V272" s="472"/>
      <c r="W272" s="472"/>
      <c r="X272" s="472"/>
      <c r="Y272" s="472"/>
      <c r="Z272" s="472"/>
    </row>
    <row r="273" spans="1:26" ht="14.25" customHeight="1">
      <c r="A273" s="472"/>
      <c r="B273" s="472"/>
      <c r="C273" s="472"/>
      <c r="D273" s="472"/>
      <c r="E273" s="472"/>
      <c r="F273" s="472"/>
      <c r="G273" s="472"/>
      <c r="H273" s="472"/>
      <c r="I273" s="472"/>
      <c r="J273" s="472"/>
      <c r="K273" s="472"/>
      <c r="L273" s="472"/>
      <c r="M273" s="472"/>
      <c r="N273" s="472"/>
      <c r="O273" s="472"/>
      <c r="P273" s="472"/>
      <c r="Q273" s="472"/>
      <c r="R273" s="472"/>
      <c r="S273" s="472"/>
      <c r="T273" s="472"/>
      <c r="U273" s="472"/>
      <c r="V273" s="472"/>
      <c r="W273" s="472"/>
      <c r="X273" s="472"/>
      <c r="Y273" s="472"/>
      <c r="Z273" s="472"/>
    </row>
    <row r="274" spans="1:26" ht="14.25" customHeight="1">
      <c r="A274" s="472"/>
      <c r="B274" s="472"/>
      <c r="C274" s="472"/>
      <c r="D274" s="472"/>
      <c r="E274" s="472"/>
      <c r="F274" s="472"/>
      <c r="G274" s="472"/>
      <c r="H274" s="472"/>
      <c r="I274" s="472"/>
      <c r="J274" s="472"/>
      <c r="K274" s="472"/>
      <c r="L274" s="472"/>
      <c r="M274" s="472"/>
      <c r="N274" s="472"/>
      <c r="O274" s="472"/>
      <c r="P274" s="472"/>
      <c r="Q274" s="472"/>
      <c r="R274" s="472"/>
      <c r="S274" s="472"/>
      <c r="T274" s="472"/>
      <c r="U274" s="472"/>
      <c r="V274" s="472"/>
      <c r="W274" s="472"/>
      <c r="X274" s="472"/>
      <c r="Y274" s="472"/>
      <c r="Z274" s="472"/>
    </row>
    <row r="275" spans="1:26" ht="14.25" customHeight="1">
      <c r="A275" s="472"/>
      <c r="B275" s="472"/>
      <c r="C275" s="472"/>
      <c r="D275" s="472"/>
      <c r="E275" s="472"/>
      <c r="F275" s="472"/>
      <c r="G275" s="472"/>
      <c r="H275" s="472"/>
      <c r="I275" s="472"/>
      <c r="J275" s="472"/>
      <c r="K275" s="472"/>
      <c r="L275" s="472"/>
      <c r="M275" s="472"/>
      <c r="N275" s="472"/>
      <c r="O275" s="472"/>
      <c r="P275" s="472"/>
      <c r="Q275" s="472"/>
      <c r="R275" s="472"/>
      <c r="S275" s="472"/>
      <c r="T275" s="472"/>
      <c r="U275" s="472"/>
      <c r="V275" s="472"/>
      <c r="W275" s="472"/>
      <c r="X275" s="472"/>
      <c r="Y275" s="472"/>
      <c r="Z275" s="472"/>
    </row>
    <row r="276" spans="1:26" ht="14.25" customHeight="1">
      <c r="A276" s="472"/>
      <c r="B276" s="472"/>
      <c r="C276" s="472"/>
      <c r="D276" s="472"/>
      <c r="E276" s="472"/>
      <c r="F276" s="472"/>
      <c r="G276" s="472"/>
      <c r="H276" s="472"/>
      <c r="I276" s="472"/>
      <c r="J276" s="472"/>
      <c r="K276" s="472"/>
      <c r="L276" s="472"/>
      <c r="M276" s="472"/>
      <c r="N276" s="472"/>
      <c r="O276" s="472"/>
      <c r="P276" s="472"/>
      <c r="Q276" s="472"/>
      <c r="R276" s="472"/>
      <c r="S276" s="472"/>
      <c r="T276" s="472"/>
      <c r="U276" s="472"/>
      <c r="V276" s="472"/>
      <c r="W276" s="472"/>
      <c r="X276" s="472"/>
      <c r="Y276" s="472"/>
      <c r="Z276" s="472"/>
    </row>
    <row r="277" spans="1:26" ht="14.25" customHeight="1">
      <c r="A277" s="472"/>
      <c r="B277" s="472"/>
      <c r="C277" s="472"/>
      <c r="D277" s="472"/>
      <c r="E277" s="472"/>
      <c r="F277" s="472"/>
      <c r="G277" s="472"/>
      <c r="H277" s="472"/>
      <c r="I277" s="472"/>
      <c r="J277" s="472"/>
      <c r="K277" s="472"/>
      <c r="L277" s="472"/>
      <c r="M277" s="472"/>
      <c r="N277" s="472"/>
      <c r="O277" s="472"/>
      <c r="P277" s="472"/>
      <c r="Q277" s="472"/>
      <c r="R277" s="472"/>
      <c r="S277" s="472"/>
      <c r="T277" s="472"/>
      <c r="U277" s="472"/>
      <c r="V277" s="472"/>
      <c r="W277" s="472"/>
      <c r="X277" s="472"/>
      <c r="Y277" s="472"/>
      <c r="Z277" s="472"/>
    </row>
    <row r="278" spans="1:26" ht="14.25" customHeight="1">
      <c r="A278" s="472"/>
      <c r="B278" s="472"/>
      <c r="C278" s="472"/>
      <c r="D278" s="472"/>
      <c r="E278" s="472"/>
      <c r="F278" s="472"/>
      <c r="G278" s="472"/>
      <c r="H278" s="472"/>
      <c r="I278" s="472"/>
      <c r="J278" s="472"/>
      <c r="K278" s="472"/>
      <c r="L278" s="472"/>
      <c r="M278" s="472"/>
      <c r="N278" s="472"/>
      <c r="O278" s="472"/>
      <c r="P278" s="472"/>
      <c r="Q278" s="472"/>
      <c r="R278" s="472"/>
      <c r="S278" s="472"/>
      <c r="T278" s="472"/>
      <c r="U278" s="472"/>
      <c r="V278" s="472"/>
      <c r="W278" s="472"/>
      <c r="X278" s="472"/>
      <c r="Y278" s="472"/>
      <c r="Z278" s="472"/>
    </row>
    <row r="279" spans="1:26" ht="14.25" customHeight="1">
      <c r="A279" s="472"/>
      <c r="B279" s="472"/>
      <c r="C279" s="472"/>
      <c r="D279" s="472"/>
      <c r="E279" s="472"/>
      <c r="F279" s="472"/>
      <c r="G279" s="472"/>
      <c r="H279" s="472"/>
      <c r="I279" s="472"/>
      <c r="J279" s="472"/>
      <c r="K279" s="472"/>
      <c r="L279" s="472"/>
      <c r="M279" s="472"/>
      <c r="N279" s="472"/>
      <c r="O279" s="472"/>
      <c r="P279" s="472"/>
      <c r="Q279" s="472"/>
      <c r="R279" s="472"/>
      <c r="S279" s="472"/>
      <c r="T279" s="472"/>
      <c r="U279" s="472"/>
      <c r="V279" s="472"/>
      <c r="W279" s="472"/>
      <c r="X279" s="472"/>
      <c r="Y279" s="472"/>
      <c r="Z279" s="472"/>
    </row>
    <row r="280" spans="1:26" ht="14.25" customHeight="1">
      <c r="A280" s="472"/>
      <c r="B280" s="472"/>
      <c r="C280" s="472"/>
      <c r="D280" s="472"/>
      <c r="E280" s="472"/>
      <c r="F280" s="472"/>
      <c r="G280" s="472"/>
      <c r="H280" s="472"/>
      <c r="I280" s="472"/>
      <c r="J280" s="472"/>
      <c r="K280" s="472"/>
      <c r="L280" s="472"/>
      <c r="M280" s="472"/>
      <c r="N280" s="472"/>
      <c r="O280" s="472"/>
      <c r="P280" s="472"/>
      <c r="Q280" s="472"/>
      <c r="R280" s="472"/>
      <c r="S280" s="472"/>
      <c r="T280" s="472"/>
      <c r="U280" s="472"/>
      <c r="V280" s="472"/>
      <c r="W280" s="472"/>
      <c r="X280" s="472"/>
      <c r="Y280" s="472"/>
      <c r="Z280" s="472"/>
    </row>
    <row r="281" spans="1:26" ht="14.25" customHeight="1">
      <c r="A281" s="472"/>
      <c r="B281" s="472"/>
      <c r="C281" s="472"/>
      <c r="D281" s="472"/>
      <c r="E281" s="472"/>
      <c r="F281" s="472"/>
      <c r="G281" s="472"/>
      <c r="H281" s="472"/>
      <c r="I281" s="472"/>
      <c r="J281" s="472"/>
      <c r="K281" s="472"/>
      <c r="L281" s="472"/>
      <c r="M281" s="472"/>
      <c r="N281" s="472"/>
      <c r="O281" s="472"/>
      <c r="P281" s="472"/>
      <c r="Q281" s="472"/>
      <c r="R281" s="472"/>
      <c r="S281" s="472"/>
      <c r="T281" s="472"/>
      <c r="U281" s="472"/>
      <c r="V281" s="472"/>
      <c r="W281" s="472"/>
      <c r="X281" s="472"/>
      <c r="Y281" s="472"/>
      <c r="Z281" s="472"/>
    </row>
    <row r="282" spans="1:26" ht="14.25" customHeight="1">
      <c r="A282" s="472"/>
      <c r="B282" s="472"/>
      <c r="C282" s="472"/>
      <c r="D282" s="472"/>
      <c r="E282" s="472"/>
      <c r="F282" s="472"/>
      <c r="G282" s="472"/>
      <c r="H282" s="472"/>
      <c r="I282" s="472"/>
      <c r="J282" s="472"/>
      <c r="K282" s="472"/>
      <c r="L282" s="472"/>
      <c r="M282" s="472"/>
      <c r="N282" s="472"/>
      <c r="O282" s="472"/>
      <c r="P282" s="472"/>
      <c r="Q282" s="472"/>
      <c r="R282" s="472"/>
      <c r="S282" s="472"/>
      <c r="T282" s="472"/>
      <c r="U282" s="472"/>
      <c r="V282" s="472"/>
      <c r="W282" s="472"/>
      <c r="X282" s="472"/>
      <c r="Y282" s="472"/>
      <c r="Z282" s="472"/>
    </row>
    <row r="283" spans="1:26" ht="14.25" customHeight="1">
      <c r="A283" s="472"/>
      <c r="B283" s="472"/>
      <c r="C283" s="472"/>
      <c r="D283" s="472"/>
      <c r="E283" s="472"/>
      <c r="F283" s="472"/>
      <c r="G283" s="472"/>
      <c r="H283" s="472"/>
      <c r="I283" s="472"/>
      <c r="J283" s="472"/>
      <c r="K283" s="472"/>
      <c r="L283" s="472"/>
      <c r="M283" s="472"/>
      <c r="N283" s="472"/>
      <c r="O283" s="472"/>
      <c r="P283" s="472"/>
      <c r="Q283" s="472"/>
      <c r="R283" s="472"/>
      <c r="S283" s="472"/>
      <c r="T283" s="472"/>
      <c r="U283" s="472"/>
      <c r="V283" s="472"/>
      <c r="W283" s="472"/>
      <c r="X283" s="472"/>
      <c r="Y283" s="472"/>
      <c r="Z283" s="472"/>
    </row>
    <row r="284" spans="1:26" ht="14.25" customHeight="1">
      <c r="A284" s="472"/>
      <c r="B284" s="472"/>
      <c r="C284" s="472"/>
      <c r="D284" s="472"/>
      <c r="E284" s="472"/>
      <c r="F284" s="472"/>
      <c r="G284" s="472"/>
      <c r="H284" s="472"/>
      <c r="I284" s="472"/>
      <c r="J284" s="472"/>
      <c r="K284" s="472"/>
      <c r="L284" s="472"/>
      <c r="M284" s="472"/>
      <c r="N284" s="472"/>
      <c r="O284" s="472"/>
      <c r="P284" s="472"/>
      <c r="Q284" s="472"/>
      <c r="R284" s="472"/>
      <c r="S284" s="472"/>
      <c r="T284" s="472"/>
      <c r="U284" s="472"/>
      <c r="V284" s="472"/>
      <c r="W284" s="472"/>
      <c r="X284" s="472"/>
      <c r="Y284" s="472"/>
      <c r="Z284" s="472"/>
    </row>
    <row r="285" spans="1:26" ht="14.25" customHeight="1">
      <c r="A285" s="472"/>
      <c r="B285" s="472"/>
      <c r="C285" s="472"/>
      <c r="D285" s="472"/>
      <c r="E285" s="472"/>
      <c r="F285" s="472"/>
      <c r="G285" s="472"/>
      <c r="H285" s="472"/>
      <c r="I285" s="472"/>
      <c r="J285" s="472"/>
      <c r="K285" s="472"/>
      <c r="L285" s="472"/>
      <c r="M285" s="472"/>
      <c r="N285" s="472"/>
      <c r="O285" s="472"/>
      <c r="P285" s="472"/>
      <c r="Q285" s="472"/>
      <c r="R285" s="472"/>
      <c r="S285" s="472"/>
      <c r="T285" s="472"/>
      <c r="U285" s="472"/>
      <c r="V285" s="472"/>
      <c r="W285" s="472"/>
      <c r="X285" s="472"/>
      <c r="Y285" s="472"/>
      <c r="Z285" s="472"/>
    </row>
    <row r="286" spans="1:26" ht="14.25" customHeight="1">
      <c r="A286" s="472"/>
      <c r="B286" s="472"/>
      <c r="C286" s="472"/>
      <c r="D286" s="472"/>
      <c r="E286" s="472"/>
      <c r="F286" s="472"/>
      <c r="G286" s="472"/>
      <c r="H286" s="472"/>
      <c r="I286" s="472"/>
      <c r="J286" s="472"/>
      <c r="K286" s="472"/>
      <c r="L286" s="472"/>
      <c r="M286" s="472"/>
      <c r="N286" s="472"/>
      <c r="O286" s="472"/>
      <c r="P286" s="472"/>
      <c r="Q286" s="472"/>
      <c r="R286" s="472"/>
      <c r="S286" s="472"/>
      <c r="T286" s="472"/>
      <c r="U286" s="472"/>
      <c r="V286" s="472"/>
      <c r="W286" s="472"/>
      <c r="X286" s="472"/>
      <c r="Y286" s="472"/>
      <c r="Z286" s="472"/>
    </row>
    <row r="287" spans="1:26" ht="14.25" customHeight="1">
      <c r="A287" s="472"/>
      <c r="B287" s="472"/>
      <c r="C287" s="472"/>
      <c r="D287" s="472"/>
      <c r="E287" s="472"/>
      <c r="F287" s="472"/>
      <c r="G287" s="472"/>
      <c r="H287" s="472"/>
      <c r="I287" s="472"/>
      <c r="J287" s="472"/>
      <c r="K287" s="472"/>
      <c r="L287" s="472"/>
      <c r="M287" s="472"/>
      <c r="N287" s="472"/>
      <c r="O287" s="472"/>
      <c r="P287" s="472"/>
      <c r="Q287" s="472"/>
      <c r="R287" s="472"/>
      <c r="S287" s="472"/>
      <c r="T287" s="472"/>
      <c r="U287" s="472"/>
      <c r="V287" s="472"/>
      <c r="W287" s="472"/>
      <c r="X287" s="472"/>
      <c r="Y287" s="472"/>
      <c r="Z287" s="472"/>
    </row>
    <row r="288" spans="1:26" ht="14.25" customHeight="1">
      <c r="A288" s="472"/>
      <c r="B288" s="472"/>
      <c r="C288" s="472"/>
      <c r="D288" s="472"/>
      <c r="E288" s="472"/>
      <c r="F288" s="472"/>
      <c r="G288" s="472"/>
      <c r="H288" s="472"/>
      <c r="I288" s="472"/>
      <c r="J288" s="472"/>
      <c r="K288" s="472"/>
      <c r="L288" s="472"/>
      <c r="M288" s="472"/>
      <c r="N288" s="472"/>
      <c r="O288" s="472"/>
      <c r="P288" s="472"/>
      <c r="Q288" s="472"/>
      <c r="R288" s="472"/>
      <c r="S288" s="472"/>
      <c r="T288" s="472"/>
      <c r="U288" s="472"/>
      <c r="V288" s="472"/>
      <c r="W288" s="472"/>
      <c r="X288" s="472"/>
      <c r="Y288" s="472"/>
      <c r="Z288" s="472"/>
    </row>
    <row r="289" spans="1:26" ht="14.25" customHeight="1">
      <c r="A289" s="472"/>
      <c r="B289" s="472"/>
      <c r="C289" s="472"/>
      <c r="D289" s="472"/>
      <c r="E289" s="472"/>
      <c r="F289" s="472"/>
      <c r="G289" s="472"/>
      <c r="H289" s="472"/>
      <c r="I289" s="472"/>
      <c r="J289" s="472"/>
      <c r="K289" s="472"/>
      <c r="L289" s="472"/>
      <c r="M289" s="472"/>
      <c r="N289" s="472"/>
      <c r="O289" s="472"/>
      <c r="P289" s="472"/>
      <c r="Q289" s="472"/>
      <c r="R289" s="472"/>
      <c r="S289" s="472"/>
      <c r="T289" s="472"/>
      <c r="U289" s="472"/>
      <c r="V289" s="472"/>
      <c r="W289" s="472"/>
      <c r="X289" s="472"/>
      <c r="Y289" s="472"/>
      <c r="Z289" s="472"/>
    </row>
    <row r="290" spans="1:26" ht="14.25" customHeight="1">
      <c r="A290" s="472"/>
      <c r="B290" s="472"/>
      <c r="C290" s="472"/>
      <c r="D290" s="472"/>
      <c r="E290" s="472"/>
      <c r="F290" s="472"/>
      <c r="G290" s="472"/>
      <c r="H290" s="472"/>
      <c r="I290" s="472"/>
      <c r="J290" s="472"/>
      <c r="K290" s="472"/>
      <c r="L290" s="472"/>
      <c r="M290" s="472"/>
      <c r="N290" s="472"/>
      <c r="O290" s="472"/>
      <c r="P290" s="472"/>
      <c r="Q290" s="472"/>
      <c r="R290" s="472"/>
      <c r="S290" s="472"/>
      <c r="T290" s="472"/>
      <c r="U290" s="472"/>
      <c r="V290" s="472"/>
      <c r="W290" s="472"/>
      <c r="X290" s="472"/>
      <c r="Y290" s="472"/>
      <c r="Z290" s="472"/>
    </row>
    <row r="291" spans="1:26" ht="14.25" customHeight="1">
      <c r="A291" s="472"/>
      <c r="B291" s="472"/>
      <c r="C291" s="472"/>
      <c r="D291" s="472"/>
      <c r="E291" s="472"/>
      <c r="F291" s="472"/>
      <c r="G291" s="472"/>
      <c r="H291" s="472"/>
      <c r="I291" s="472"/>
      <c r="J291" s="472"/>
      <c r="K291" s="472"/>
      <c r="L291" s="472"/>
      <c r="M291" s="472"/>
      <c r="N291" s="472"/>
      <c r="O291" s="472"/>
      <c r="P291" s="472"/>
      <c r="Q291" s="472"/>
      <c r="R291" s="472"/>
      <c r="S291" s="472"/>
      <c r="T291" s="472"/>
      <c r="U291" s="472"/>
      <c r="V291" s="472"/>
      <c r="W291" s="472"/>
      <c r="X291" s="472"/>
      <c r="Y291" s="472"/>
      <c r="Z291" s="472"/>
    </row>
    <row r="292" spans="1:26" ht="14.25" customHeight="1">
      <c r="A292" s="472"/>
      <c r="B292" s="472"/>
      <c r="C292" s="472"/>
      <c r="D292" s="472"/>
      <c r="E292" s="472"/>
      <c r="F292" s="472"/>
      <c r="G292" s="472"/>
      <c r="H292" s="472"/>
      <c r="I292" s="472"/>
      <c r="J292" s="472"/>
      <c r="K292" s="472"/>
      <c r="L292" s="472"/>
      <c r="M292" s="472"/>
      <c r="N292" s="472"/>
      <c r="O292" s="472"/>
      <c r="P292" s="472"/>
      <c r="Q292" s="472"/>
      <c r="R292" s="472"/>
      <c r="S292" s="472"/>
      <c r="T292" s="472"/>
      <c r="U292" s="472"/>
      <c r="V292" s="472"/>
      <c r="W292" s="472"/>
      <c r="X292" s="472"/>
      <c r="Y292" s="472"/>
      <c r="Z292" s="472"/>
    </row>
    <row r="293" spans="1:26" ht="14.25" customHeight="1">
      <c r="A293" s="472"/>
      <c r="B293" s="472"/>
      <c r="C293" s="472"/>
      <c r="D293" s="472"/>
      <c r="E293" s="472"/>
      <c r="F293" s="472"/>
      <c r="G293" s="472"/>
      <c r="H293" s="472"/>
      <c r="I293" s="472"/>
      <c r="J293" s="472"/>
      <c r="K293" s="472"/>
      <c r="L293" s="472"/>
      <c r="M293" s="472"/>
      <c r="N293" s="472"/>
      <c r="O293" s="472"/>
      <c r="P293" s="472"/>
      <c r="Q293" s="472"/>
      <c r="R293" s="472"/>
      <c r="S293" s="472"/>
      <c r="T293" s="472"/>
      <c r="U293" s="472"/>
      <c r="V293" s="472"/>
      <c r="W293" s="472"/>
      <c r="X293" s="472"/>
      <c r="Y293" s="472"/>
      <c r="Z293" s="472"/>
    </row>
    <row r="294" spans="1:26" ht="14.25" customHeight="1">
      <c r="A294" s="472"/>
      <c r="B294" s="472"/>
      <c r="C294" s="472"/>
      <c r="D294" s="472"/>
      <c r="E294" s="472"/>
      <c r="F294" s="472"/>
      <c r="G294" s="472"/>
      <c r="H294" s="472"/>
      <c r="I294" s="472"/>
      <c r="J294" s="472"/>
      <c r="K294" s="472"/>
      <c r="L294" s="472"/>
      <c r="M294" s="472"/>
      <c r="N294" s="472"/>
      <c r="O294" s="472"/>
      <c r="P294" s="472"/>
      <c r="Q294" s="472"/>
      <c r="R294" s="472"/>
      <c r="S294" s="472"/>
      <c r="T294" s="472"/>
      <c r="U294" s="472"/>
      <c r="V294" s="472"/>
      <c r="W294" s="472"/>
      <c r="X294" s="472"/>
      <c r="Y294" s="472"/>
      <c r="Z294" s="472"/>
    </row>
    <row r="295" spans="1:26" ht="14.25" customHeight="1">
      <c r="A295" s="472"/>
      <c r="B295" s="472"/>
      <c r="C295" s="472"/>
      <c r="D295" s="472"/>
      <c r="E295" s="472"/>
      <c r="F295" s="472"/>
      <c r="G295" s="472"/>
      <c r="H295" s="472"/>
      <c r="I295" s="472"/>
      <c r="J295" s="472"/>
      <c r="K295" s="472"/>
      <c r="L295" s="472"/>
      <c r="M295" s="472"/>
      <c r="N295" s="472"/>
      <c r="O295" s="472"/>
      <c r="P295" s="472"/>
      <c r="Q295" s="472"/>
      <c r="R295" s="472"/>
      <c r="S295" s="472"/>
      <c r="T295" s="472"/>
      <c r="U295" s="472"/>
      <c r="V295" s="472"/>
      <c r="W295" s="472"/>
      <c r="X295" s="472"/>
      <c r="Y295" s="472"/>
      <c r="Z295" s="472"/>
    </row>
    <row r="296" spans="1:26" ht="14.25" customHeight="1">
      <c r="A296" s="472"/>
      <c r="B296" s="472"/>
      <c r="C296" s="472"/>
      <c r="D296" s="472"/>
      <c r="E296" s="472"/>
      <c r="F296" s="472"/>
      <c r="G296" s="472"/>
      <c r="H296" s="472"/>
      <c r="I296" s="472"/>
      <c r="J296" s="472"/>
      <c r="K296" s="472"/>
      <c r="L296" s="472"/>
      <c r="M296" s="472"/>
      <c r="N296" s="472"/>
      <c r="O296" s="472"/>
      <c r="P296" s="472"/>
      <c r="Q296" s="472"/>
      <c r="R296" s="472"/>
      <c r="S296" s="472"/>
      <c r="T296" s="472"/>
      <c r="U296" s="472"/>
      <c r="V296" s="472"/>
      <c r="W296" s="472"/>
      <c r="X296" s="472"/>
      <c r="Y296" s="472"/>
      <c r="Z296" s="472"/>
    </row>
    <row r="297" spans="1:26" ht="14.25" customHeight="1">
      <c r="A297" s="472"/>
      <c r="B297" s="472"/>
      <c r="C297" s="472"/>
      <c r="D297" s="472"/>
      <c r="E297" s="472"/>
      <c r="F297" s="472"/>
      <c r="G297" s="472"/>
      <c r="H297" s="472"/>
      <c r="I297" s="472"/>
      <c r="J297" s="472"/>
      <c r="K297" s="472"/>
      <c r="L297" s="472"/>
      <c r="M297" s="472"/>
      <c r="N297" s="472"/>
      <c r="O297" s="472"/>
      <c r="P297" s="472"/>
      <c r="Q297" s="472"/>
      <c r="R297" s="472"/>
      <c r="S297" s="472"/>
      <c r="T297" s="472"/>
      <c r="U297" s="472"/>
      <c r="V297" s="472"/>
      <c r="W297" s="472"/>
      <c r="X297" s="472"/>
      <c r="Y297" s="472"/>
      <c r="Z297" s="472"/>
    </row>
    <row r="298" spans="1:26" ht="14.25" customHeight="1">
      <c r="A298" s="472"/>
      <c r="B298" s="472"/>
      <c r="C298" s="472"/>
      <c r="D298" s="472"/>
      <c r="E298" s="472"/>
      <c r="F298" s="472"/>
      <c r="G298" s="472"/>
      <c r="H298" s="472"/>
      <c r="I298" s="472"/>
      <c r="J298" s="472"/>
      <c r="K298" s="472"/>
      <c r="L298" s="472"/>
      <c r="M298" s="472"/>
      <c r="N298" s="472"/>
      <c r="O298" s="472"/>
      <c r="P298" s="472"/>
      <c r="Q298" s="472"/>
      <c r="R298" s="472"/>
      <c r="S298" s="472"/>
      <c r="T298" s="472"/>
      <c r="U298" s="472"/>
      <c r="V298" s="472"/>
      <c r="W298" s="472"/>
      <c r="X298" s="472"/>
      <c r="Y298" s="472"/>
      <c r="Z298" s="472"/>
    </row>
    <row r="299" spans="1:26" ht="14.25" customHeight="1">
      <c r="A299" s="472"/>
      <c r="B299" s="472"/>
      <c r="C299" s="472"/>
      <c r="D299" s="472"/>
      <c r="E299" s="472"/>
      <c r="F299" s="472"/>
      <c r="G299" s="472"/>
      <c r="H299" s="472"/>
      <c r="I299" s="472"/>
      <c r="J299" s="472"/>
      <c r="K299" s="472"/>
      <c r="L299" s="472"/>
      <c r="M299" s="472"/>
      <c r="N299" s="472"/>
      <c r="O299" s="472"/>
      <c r="P299" s="472"/>
      <c r="Q299" s="472"/>
      <c r="R299" s="472"/>
      <c r="S299" s="472"/>
      <c r="T299" s="472"/>
      <c r="U299" s="472"/>
      <c r="V299" s="472"/>
      <c r="W299" s="472"/>
      <c r="X299" s="472"/>
      <c r="Y299" s="472"/>
      <c r="Z299" s="472"/>
    </row>
    <row r="300" spans="1:26" ht="14.25" customHeight="1">
      <c r="A300" s="472"/>
      <c r="B300" s="472"/>
      <c r="C300" s="472"/>
      <c r="D300" s="472"/>
      <c r="E300" s="472"/>
      <c r="F300" s="472"/>
      <c r="G300" s="472"/>
      <c r="H300" s="472"/>
      <c r="I300" s="472"/>
      <c r="J300" s="472"/>
      <c r="K300" s="472"/>
      <c r="L300" s="472"/>
      <c r="M300" s="472"/>
      <c r="N300" s="472"/>
      <c r="O300" s="472"/>
      <c r="P300" s="472"/>
      <c r="Q300" s="472"/>
      <c r="R300" s="472"/>
      <c r="S300" s="472"/>
      <c r="T300" s="472"/>
      <c r="U300" s="472"/>
      <c r="V300" s="472"/>
      <c r="W300" s="472"/>
      <c r="X300" s="472"/>
      <c r="Y300" s="472"/>
      <c r="Z300" s="472"/>
    </row>
    <row r="301" spans="1:26" ht="14.25" customHeight="1">
      <c r="A301" s="472"/>
      <c r="B301" s="472"/>
      <c r="C301" s="472"/>
      <c r="D301" s="472"/>
      <c r="E301" s="472"/>
      <c r="F301" s="472"/>
      <c r="G301" s="472"/>
      <c r="H301" s="472"/>
      <c r="I301" s="472"/>
      <c r="J301" s="472"/>
      <c r="K301" s="472"/>
      <c r="L301" s="472"/>
      <c r="M301" s="472"/>
      <c r="N301" s="472"/>
      <c r="O301" s="472"/>
      <c r="P301" s="472"/>
      <c r="Q301" s="472"/>
      <c r="R301" s="472"/>
      <c r="S301" s="472"/>
      <c r="T301" s="472"/>
      <c r="U301" s="472"/>
      <c r="V301" s="472"/>
      <c r="W301" s="472"/>
      <c r="X301" s="472"/>
      <c r="Y301" s="472"/>
      <c r="Z301" s="472"/>
    </row>
    <row r="302" spans="1:26" ht="14.25" customHeight="1">
      <c r="A302" s="472"/>
      <c r="B302" s="472"/>
      <c r="C302" s="472"/>
      <c r="D302" s="472"/>
      <c r="E302" s="472"/>
      <c r="F302" s="472"/>
      <c r="G302" s="472"/>
      <c r="H302" s="472"/>
      <c r="I302" s="472"/>
      <c r="J302" s="472"/>
      <c r="K302" s="472"/>
      <c r="L302" s="472"/>
      <c r="M302" s="472"/>
      <c r="N302" s="472"/>
      <c r="O302" s="472"/>
      <c r="P302" s="472"/>
      <c r="Q302" s="472"/>
      <c r="R302" s="472"/>
      <c r="S302" s="472"/>
      <c r="T302" s="472"/>
      <c r="U302" s="472"/>
      <c r="V302" s="472"/>
      <c r="W302" s="472"/>
      <c r="X302" s="472"/>
      <c r="Y302" s="472"/>
      <c r="Z302" s="472"/>
    </row>
    <row r="303" spans="1:26" ht="14.25" customHeight="1">
      <c r="A303" s="472"/>
      <c r="B303" s="472"/>
      <c r="C303" s="472"/>
      <c r="D303" s="472"/>
      <c r="E303" s="472"/>
      <c r="F303" s="472"/>
      <c r="G303" s="472"/>
      <c r="H303" s="472"/>
      <c r="I303" s="472"/>
      <c r="J303" s="472"/>
      <c r="K303" s="472"/>
      <c r="L303" s="472"/>
      <c r="M303" s="472"/>
      <c r="N303" s="472"/>
      <c r="O303" s="472"/>
      <c r="P303" s="472"/>
      <c r="Q303" s="472"/>
      <c r="R303" s="472"/>
      <c r="S303" s="472"/>
      <c r="T303" s="472"/>
      <c r="U303" s="472"/>
      <c r="V303" s="472"/>
      <c r="W303" s="472"/>
      <c r="X303" s="472"/>
      <c r="Y303" s="472"/>
      <c r="Z303" s="472"/>
    </row>
    <row r="304" spans="1:26" ht="14.25" customHeight="1">
      <c r="A304" s="472"/>
      <c r="B304" s="472"/>
      <c r="C304" s="472"/>
      <c r="D304" s="472"/>
      <c r="E304" s="472"/>
      <c r="F304" s="472"/>
      <c r="G304" s="472"/>
      <c r="H304" s="472"/>
      <c r="I304" s="472"/>
      <c r="J304" s="472"/>
      <c r="K304" s="472"/>
      <c r="L304" s="472"/>
      <c r="M304" s="472"/>
      <c r="N304" s="472"/>
      <c r="O304" s="472"/>
      <c r="P304" s="472"/>
      <c r="Q304" s="472"/>
      <c r="R304" s="472"/>
      <c r="S304" s="472"/>
      <c r="T304" s="472"/>
      <c r="U304" s="472"/>
      <c r="V304" s="472"/>
      <c r="W304" s="472"/>
      <c r="X304" s="472"/>
      <c r="Y304" s="472"/>
      <c r="Z304" s="472"/>
    </row>
    <row r="305" spans="1:26" ht="14.25" customHeight="1">
      <c r="A305" s="472"/>
      <c r="B305" s="472"/>
      <c r="C305" s="472"/>
      <c r="D305" s="472"/>
      <c r="E305" s="472"/>
      <c r="F305" s="472"/>
      <c r="G305" s="472"/>
      <c r="H305" s="472"/>
      <c r="I305" s="472"/>
      <c r="J305" s="472"/>
      <c r="K305" s="472"/>
      <c r="L305" s="472"/>
      <c r="M305" s="472"/>
      <c r="N305" s="472"/>
      <c r="O305" s="472"/>
      <c r="P305" s="472"/>
      <c r="Q305" s="472"/>
      <c r="R305" s="472"/>
      <c r="S305" s="472"/>
      <c r="T305" s="472"/>
      <c r="U305" s="472"/>
      <c r="V305" s="472"/>
      <c r="W305" s="472"/>
      <c r="X305" s="472"/>
      <c r="Y305" s="472"/>
      <c r="Z305" s="472"/>
    </row>
    <row r="306" spans="1:26" ht="14.25" customHeight="1">
      <c r="A306" s="472"/>
      <c r="B306" s="472"/>
      <c r="C306" s="472"/>
      <c r="D306" s="472"/>
      <c r="E306" s="472"/>
      <c r="F306" s="472"/>
      <c r="G306" s="472"/>
      <c r="H306" s="472"/>
      <c r="I306" s="472"/>
      <c r="J306" s="472"/>
      <c r="K306" s="472"/>
      <c r="L306" s="472"/>
      <c r="M306" s="472"/>
      <c r="N306" s="472"/>
      <c r="O306" s="472"/>
      <c r="P306" s="472"/>
      <c r="Q306" s="472"/>
      <c r="R306" s="472"/>
      <c r="S306" s="472"/>
      <c r="T306" s="472"/>
      <c r="U306" s="472"/>
      <c r="V306" s="472"/>
      <c r="W306" s="472"/>
      <c r="X306" s="472"/>
      <c r="Y306" s="472"/>
      <c r="Z306" s="472"/>
    </row>
    <row r="307" spans="1:26" ht="14.25" customHeight="1">
      <c r="A307" s="472"/>
      <c r="B307" s="472"/>
      <c r="C307" s="472"/>
      <c r="D307" s="472"/>
      <c r="E307" s="472"/>
      <c r="F307" s="472"/>
      <c r="G307" s="472"/>
      <c r="H307" s="472"/>
      <c r="I307" s="472"/>
      <c r="J307" s="472"/>
      <c r="K307" s="472"/>
      <c r="L307" s="472"/>
      <c r="M307" s="472"/>
      <c r="N307" s="472"/>
      <c r="O307" s="472"/>
      <c r="P307" s="472"/>
      <c r="Q307" s="472"/>
      <c r="R307" s="472"/>
      <c r="S307" s="472"/>
      <c r="T307" s="472"/>
      <c r="U307" s="472"/>
      <c r="V307" s="472"/>
      <c r="W307" s="472"/>
      <c r="X307" s="472"/>
      <c r="Y307" s="472"/>
      <c r="Z307" s="472"/>
    </row>
    <row r="308" spans="1:26" ht="14.25" customHeight="1">
      <c r="A308" s="472"/>
      <c r="B308" s="472"/>
      <c r="C308" s="472"/>
      <c r="D308" s="472"/>
      <c r="E308" s="472"/>
      <c r="F308" s="472"/>
      <c r="G308" s="472"/>
      <c r="H308" s="472"/>
      <c r="I308" s="472"/>
      <c r="J308" s="472"/>
      <c r="K308" s="472"/>
      <c r="L308" s="472"/>
      <c r="M308" s="472"/>
      <c r="N308" s="472"/>
      <c r="O308" s="472"/>
      <c r="P308" s="472"/>
      <c r="Q308" s="472"/>
      <c r="R308" s="472"/>
      <c r="S308" s="472"/>
      <c r="T308" s="472"/>
      <c r="U308" s="472"/>
      <c r="V308" s="472"/>
      <c r="W308" s="472"/>
      <c r="X308" s="472"/>
      <c r="Y308" s="472"/>
      <c r="Z308" s="472"/>
    </row>
    <row r="309" spans="1:26" ht="14.25" customHeight="1">
      <c r="A309" s="472"/>
      <c r="B309" s="472"/>
      <c r="C309" s="472"/>
      <c r="D309" s="472"/>
      <c r="E309" s="472"/>
      <c r="F309" s="472"/>
      <c r="G309" s="472"/>
      <c r="H309" s="472"/>
      <c r="I309" s="472"/>
      <c r="J309" s="472"/>
      <c r="K309" s="472"/>
      <c r="L309" s="472"/>
      <c r="M309" s="472"/>
      <c r="N309" s="472"/>
      <c r="O309" s="472"/>
      <c r="P309" s="472"/>
      <c r="Q309" s="472"/>
      <c r="R309" s="472"/>
      <c r="S309" s="472"/>
      <c r="T309" s="472"/>
      <c r="U309" s="472"/>
      <c r="V309" s="472"/>
      <c r="W309" s="472"/>
      <c r="X309" s="472"/>
      <c r="Y309" s="472"/>
      <c r="Z309" s="472"/>
    </row>
    <row r="310" spans="1:26" ht="14.25" customHeight="1">
      <c r="A310" s="472"/>
      <c r="B310" s="472"/>
      <c r="C310" s="472"/>
      <c r="D310" s="472"/>
      <c r="E310" s="472"/>
      <c r="F310" s="472"/>
      <c r="G310" s="472"/>
      <c r="H310" s="472"/>
      <c r="I310" s="472"/>
      <c r="J310" s="472"/>
      <c r="K310" s="472"/>
      <c r="L310" s="472"/>
      <c r="M310" s="472"/>
      <c r="N310" s="472"/>
      <c r="O310" s="472"/>
      <c r="P310" s="472"/>
      <c r="Q310" s="472"/>
      <c r="R310" s="472"/>
      <c r="S310" s="472"/>
      <c r="T310" s="472"/>
      <c r="U310" s="472"/>
      <c r="V310" s="472"/>
      <c r="W310" s="472"/>
      <c r="X310" s="472"/>
      <c r="Y310" s="472"/>
      <c r="Z310" s="472"/>
    </row>
    <row r="311" spans="1:26" ht="14.25" customHeight="1">
      <c r="A311" s="472"/>
      <c r="B311" s="472"/>
      <c r="C311" s="472"/>
      <c r="D311" s="472"/>
      <c r="E311" s="472"/>
      <c r="F311" s="472"/>
      <c r="G311" s="472"/>
      <c r="H311" s="472"/>
      <c r="I311" s="472"/>
      <c r="J311" s="472"/>
      <c r="K311" s="472"/>
      <c r="L311" s="472"/>
      <c r="M311" s="472"/>
      <c r="N311" s="472"/>
      <c r="O311" s="472"/>
      <c r="P311" s="472"/>
      <c r="Q311" s="472"/>
      <c r="R311" s="472"/>
      <c r="S311" s="472"/>
      <c r="T311" s="472"/>
      <c r="U311" s="472"/>
      <c r="V311" s="472"/>
      <c r="W311" s="472"/>
      <c r="X311" s="472"/>
      <c r="Y311" s="472"/>
      <c r="Z311" s="472"/>
    </row>
    <row r="312" spans="1:26" ht="14.25" customHeight="1">
      <c r="A312" s="472"/>
      <c r="B312" s="472"/>
      <c r="C312" s="472"/>
      <c r="D312" s="472"/>
      <c r="E312" s="472"/>
      <c r="F312" s="472"/>
      <c r="G312" s="472"/>
      <c r="H312" s="472"/>
      <c r="I312" s="472"/>
      <c r="J312" s="472"/>
      <c r="K312" s="472"/>
      <c r="L312" s="472"/>
      <c r="M312" s="472"/>
      <c r="N312" s="472"/>
      <c r="O312" s="472"/>
      <c r="P312" s="472"/>
      <c r="Q312" s="472"/>
      <c r="R312" s="472"/>
      <c r="S312" s="472"/>
      <c r="T312" s="472"/>
      <c r="U312" s="472"/>
      <c r="V312" s="472"/>
      <c r="W312" s="472"/>
      <c r="X312" s="472"/>
      <c r="Y312" s="472"/>
      <c r="Z312" s="472"/>
    </row>
    <row r="313" spans="1:26" ht="14.25" customHeight="1">
      <c r="A313" s="472"/>
      <c r="B313" s="472"/>
      <c r="C313" s="472"/>
      <c r="D313" s="472"/>
      <c r="E313" s="472"/>
      <c r="F313" s="472"/>
      <c r="G313" s="472"/>
      <c r="H313" s="472"/>
      <c r="I313" s="472"/>
      <c r="J313" s="472"/>
      <c r="K313" s="472"/>
      <c r="L313" s="472"/>
      <c r="M313" s="472"/>
      <c r="N313" s="472"/>
      <c r="O313" s="472"/>
      <c r="P313" s="472"/>
      <c r="Q313" s="472"/>
      <c r="R313" s="472"/>
      <c r="S313" s="472"/>
      <c r="T313" s="472"/>
      <c r="U313" s="472"/>
      <c r="V313" s="472"/>
      <c r="W313" s="472"/>
      <c r="X313" s="472"/>
      <c r="Y313" s="472"/>
      <c r="Z313" s="472"/>
    </row>
    <row r="314" spans="1:26" ht="14.25" customHeight="1">
      <c r="A314" s="472"/>
      <c r="B314" s="472"/>
      <c r="C314" s="472"/>
      <c r="D314" s="472"/>
      <c r="E314" s="472"/>
      <c r="F314" s="472"/>
      <c r="G314" s="472"/>
      <c r="H314" s="472"/>
      <c r="I314" s="472"/>
      <c r="J314" s="472"/>
      <c r="K314" s="472"/>
      <c r="L314" s="472"/>
      <c r="M314" s="472"/>
      <c r="N314" s="472"/>
      <c r="O314" s="472"/>
      <c r="P314" s="472"/>
      <c r="Q314" s="472"/>
      <c r="R314" s="472"/>
      <c r="S314" s="472"/>
      <c r="T314" s="472"/>
      <c r="U314" s="472"/>
      <c r="V314" s="472"/>
      <c r="W314" s="472"/>
      <c r="X314" s="472"/>
      <c r="Y314" s="472"/>
      <c r="Z314" s="472"/>
    </row>
    <row r="315" spans="1:26" ht="14.25" customHeight="1">
      <c r="A315" s="472"/>
      <c r="B315" s="472"/>
      <c r="C315" s="472"/>
      <c r="D315" s="472"/>
      <c r="E315" s="472"/>
      <c r="F315" s="472"/>
      <c r="G315" s="472"/>
      <c r="H315" s="472"/>
      <c r="I315" s="472"/>
      <c r="J315" s="472"/>
      <c r="K315" s="472"/>
      <c r="L315" s="472"/>
      <c r="M315" s="472"/>
      <c r="N315" s="472"/>
      <c r="O315" s="472"/>
      <c r="P315" s="472"/>
      <c r="Q315" s="472"/>
      <c r="R315" s="472"/>
      <c r="S315" s="472"/>
      <c r="T315" s="472"/>
      <c r="U315" s="472"/>
      <c r="V315" s="472"/>
      <c r="W315" s="472"/>
      <c r="X315" s="472"/>
      <c r="Y315" s="472"/>
      <c r="Z315" s="472"/>
    </row>
    <row r="316" spans="1:26" ht="14.25" customHeight="1">
      <c r="A316" s="472"/>
      <c r="B316" s="472"/>
      <c r="C316" s="472"/>
      <c r="D316" s="472"/>
      <c r="E316" s="472"/>
      <c r="F316" s="472"/>
      <c r="G316" s="472"/>
      <c r="H316" s="472"/>
      <c r="I316" s="472"/>
      <c r="J316" s="472"/>
      <c r="K316" s="472"/>
      <c r="L316" s="472"/>
      <c r="M316" s="472"/>
      <c r="N316" s="472"/>
      <c r="O316" s="472"/>
      <c r="P316" s="472"/>
      <c r="Q316" s="472"/>
      <c r="R316" s="472"/>
      <c r="S316" s="472"/>
      <c r="T316" s="472"/>
      <c r="U316" s="472"/>
      <c r="V316" s="472"/>
      <c r="W316" s="472"/>
      <c r="X316" s="472"/>
      <c r="Y316" s="472"/>
      <c r="Z316" s="472"/>
    </row>
    <row r="317" spans="1:26" ht="14.25" customHeight="1">
      <c r="A317" s="472"/>
      <c r="B317" s="472"/>
      <c r="C317" s="472"/>
      <c r="D317" s="472"/>
      <c r="E317" s="472"/>
      <c r="F317" s="472"/>
      <c r="G317" s="472"/>
      <c r="H317" s="472"/>
      <c r="I317" s="472"/>
      <c r="J317" s="472"/>
      <c r="K317" s="472"/>
      <c r="L317" s="472"/>
      <c r="M317" s="472"/>
      <c r="N317" s="472"/>
      <c r="O317" s="472"/>
      <c r="P317" s="472"/>
      <c r="Q317" s="472"/>
      <c r="R317" s="472"/>
      <c r="S317" s="472"/>
      <c r="T317" s="472"/>
      <c r="U317" s="472"/>
      <c r="V317" s="472"/>
      <c r="W317" s="472"/>
      <c r="X317" s="472"/>
      <c r="Y317" s="472"/>
      <c r="Z317" s="472"/>
    </row>
    <row r="318" spans="1:26" ht="14.25" customHeight="1">
      <c r="A318" s="472"/>
      <c r="B318" s="472"/>
      <c r="C318" s="472"/>
      <c r="D318" s="472"/>
      <c r="E318" s="472"/>
      <c r="F318" s="472"/>
      <c r="G318" s="472"/>
      <c r="H318" s="472"/>
      <c r="I318" s="472"/>
      <c r="J318" s="472"/>
      <c r="K318" s="472"/>
      <c r="L318" s="472"/>
      <c r="M318" s="472"/>
      <c r="N318" s="472"/>
      <c r="O318" s="472"/>
      <c r="P318" s="472"/>
      <c r="Q318" s="472"/>
      <c r="R318" s="472"/>
      <c r="S318" s="472"/>
      <c r="T318" s="472"/>
      <c r="U318" s="472"/>
      <c r="V318" s="472"/>
      <c r="W318" s="472"/>
      <c r="X318" s="472"/>
      <c r="Y318" s="472"/>
      <c r="Z318" s="472"/>
    </row>
    <row r="319" spans="1:26" ht="14.25" customHeight="1">
      <c r="A319" s="472"/>
      <c r="B319" s="472"/>
      <c r="C319" s="472"/>
      <c r="D319" s="472"/>
      <c r="E319" s="472"/>
      <c r="F319" s="472"/>
      <c r="G319" s="472"/>
      <c r="H319" s="472"/>
      <c r="I319" s="472"/>
      <c r="J319" s="472"/>
      <c r="K319" s="472"/>
      <c r="L319" s="472"/>
      <c r="M319" s="472"/>
      <c r="N319" s="472"/>
      <c r="O319" s="472"/>
      <c r="P319" s="472"/>
      <c r="Q319" s="472"/>
      <c r="R319" s="472"/>
      <c r="S319" s="472"/>
      <c r="T319" s="472"/>
      <c r="U319" s="472"/>
      <c r="V319" s="472"/>
      <c r="W319" s="472"/>
      <c r="X319" s="472"/>
      <c r="Y319" s="472"/>
      <c r="Z319" s="472"/>
    </row>
    <row r="320" spans="1:26" ht="14.25" customHeight="1">
      <c r="A320" s="472"/>
      <c r="B320" s="472"/>
      <c r="C320" s="472"/>
      <c r="D320" s="472"/>
      <c r="E320" s="472"/>
      <c r="F320" s="472"/>
      <c r="G320" s="472"/>
      <c r="H320" s="472"/>
      <c r="I320" s="472"/>
      <c r="J320" s="472"/>
      <c r="K320" s="472"/>
      <c r="L320" s="472"/>
      <c r="M320" s="472"/>
      <c r="N320" s="472"/>
      <c r="O320" s="472"/>
      <c r="P320" s="472"/>
      <c r="Q320" s="472"/>
      <c r="R320" s="472"/>
      <c r="S320" s="472"/>
      <c r="T320" s="472"/>
      <c r="U320" s="472"/>
      <c r="V320" s="472"/>
      <c r="W320" s="472"/>
      <c r="X320" s="472"/>
      <c r="Y320" s="472"/>
      <c r="Z320" s="472"/>
    </row>
    <row r="321" spans="1:26" ht="14.25" customHeight="1">
      <c r="A321" s="472"/>
      <c r="B321" s="472"/>
      <c r="C321" s="472"/>
      <c r="D321" s="472"/>
      <c r="E321" s="472"/>
      <c r="F321" s="472"/>
      <c r="G321" s="472"/>
      <c r="H321" s="472"/>
      <c r="I321" s="472"/>
      <c r="J321" s="472"/>
      <c r="K321" s="472"/>
      <c r="L321" s="472"/>
      <c r="M321" s="472"/>
      <c r="N321" s="472"/>
      <c r="O321" s="472"/>
      <c r="P321" s="472"/>
      <c r="Q321" s="472"/>
      <c r="R321" s="472"/>
      <c r="S321" s="472"/>
      <c r="T321" s="472"/>
      <c r="U321" s="472"/>
      <c r="V321" s="472"/>
      <c r="W321" s="472"/>
      <c r="X321" s="472"/>
      <c r="Y321" s="472"/>
      <c r="Z321" s="472"/>
    </row>
    <row r="322" spans="1:26" ht="14.25" customHeight="1">
      <c r="A322" s="472"/>
      <c r="B322" s="472"/>
      <c r="C322" s="472"/>
      <c r="D322" s="472"/>
      <c r="E322" s="472"/>
      <c r="F322" s="472"/>
      <c r="G322" s="472"/>
      <c r="H322" s="472"/>
      <c r="I322" s="472"/>
      <c r="J322" s="472"/>
      <c r="K322" s="472"/>
      <c r="L322" s="472"/>
      <c r="M322" s="472"/>
      <c r="N322" s="472"/>
      <c r="O322" s="472"/>
      <c r="P322" s="472"/>
      <c r="Q322" s="472"/>
      <c r="R322" s="472"/>
      <c r="S322" s="472"/>
      <c r="T322" s="472"/>
      <c r="U322" s="472"/>
      <c r="V322" s="472"/>
      <c r="W322" s="472"/>
      <c r="X322" s="472"/>
      <c r="Y322" s="472"/>
      <c r="Z322" s="472"/>
    </row>
    <row r="323" spans="1:26" ht="14.25" customHeight="1">
      <c r="A323" s="472"/>
      <c r="B323" s="472"/>
      <c r="C323" s="472"/>
      <c r="D323" s="472"/>
      <c r="E323" s="472"/>
      <c r="F323" s="472"/>
      <c r="G323" s="472"/>
      <c r="H323" s="472"/>
      <c r="I323" s="472"/>
      <c r="J323" s="472"/>
      <c r="K323" s="472"/>
      <c r="L323" s="472"/>
      <c r="M323" s="472"/>
      <c r="N323" s="472"/>
      <c r="O323" s="472"/>
      <c r="P323" s="472"/>
      <c r="Q323" s="472"/>
      <c r="R323" s="472"/>
      <c r="S323" s="472"/>
      <c r="T323" s="472"/>
      <c r="U323" s="472"/>
      <c r="V323" s="472"/>
      <c r="W323" s="472"/>
      <c r="X323" s="472"/>
      <c r="Y323" s="472"/>
      <c r="Z323" s="472"/>
    </row>
    <row r="324" spans="1:26" ht="14.25" customHeight="1">
      <c r="A324" s="472"/>
      <c r="B324" s="472"/>
      <c r="C324" s="472"/>
      <c r="D324" s="472"/>
      <c r="E324" s="472"/>
      <c r="F324" s="472"/>
      <c r="G324" s="472"/>
      <c r="H324" s="472"/>
      <c r="I324" s="472"/>
      <c r="J324" s="472"/>
      <c r="K324" s="472"/>
      <c r="L324" s="472"/>
      <c r="M324" s="472"/>
      <c r="N324" s="472"/>
      <c r="O324" s="472"/>
      <c r="P324" s="472"/>
      <c r="Q324" s="472"/>
      <c r="R324" s="472"/>
      <c r="S324" s="472"/>
      <c r="T324" s="472"/>
      <c r="U324" s="472"/>
      <c r="V324" s="472"/>
      <c r="W324" s="472"/>
      <c r="X324" s="472"/>
      <c r="Y324" s="472"/>
      <c r="Z324" s="472"/>
    </row>
    <row r="325" spans="1:26" ht="14.25" customHeight="1">
      <c r="A325" s="472"/>
      <c r="B325" s="472"/>
      <c r="C325" s="472"/>
      <c r="D325" s="472"/>
      <c r="E325" s="472"/>
      <c r="F325" s="472"/>
      <c r="G325" s="472"/>
      <c r="H325" s="472"/>
      <c r="I325" s="472"/>
      <c r="J325" s="472"/>
      <c r="K325" s="472"/>
      <c r="L325" s="472"/>
      <c r="M325" s="472"/>
      <c r="N325" s="472"/>
      <c r="O325" s="472"/>
      <c r="P325" s="472"/>
      <c r="Q325" s="472"/>
      <c r="R325" s="472"/>
      <c r="S325" s="472"/>
      <c r="T325" s="472"/>
      <c r="U325" s="472"/>
      <c r="V325" s="472"/>
      <c r="W325" s="472"/>
      <c r="X325" s="472"/>
      <c r="Y325" s="472"/>
      <c r="Z325" s="472"/>
    </row>
    <row r="326" spans="1:26" ht="14.25" customHeight="1">
      <c r="A326" s="472"/>
      <c r="B326" s="472"/>
      <c r="C326" s="472"/>
      <c r="D326" s="472"/>
      <c r="E326" s="472"/>
      <c r="F326" s="472"/>
      <c r="G326" s="472"/>
      <c r="H326" s="472"/>
      <c r="I326" s="472"/>
      <c r="J326" s="472"/>
      <c r="K326" s="472"/>
      <c r="L326" s="472"/>
      <c r="M326" s="472"/>
      <c r="N326" s="472"/>
      <c r="O326" s="472"/>
      <c r="P326" s="472"/>
      <c r="Q326" s="472"/>
      <c r="R326" s="472"/>
      <c r="S326" s="472"/>
      <c r="T326" s="472"/>
      <c r="U326" s="472"/>
      <c r="V326" s="472"/>
      <c r="W326" s="472"/>
      <c r="X326" s="472"/>
      <c r="Y326" s="472"/>
      <c r="Z326" s="472"/>
    </row>
    <row r="327" spans="1:26" ht="14.25" customHeight="1">
      <c r="A327" s="472"/>
      <c r="B327" s="472"/>
      <c r="C327" s="472"/>
      <c r="D327" s="472"/>
      <c r="E327" s="472"/>
      <c r="F327" s="472"/>
      <c r="G327" s="472"/>
      <c r="H327" s="472"/>
      <c r="I327" s="472"/>
      <c r="J327" s="472"/>
      <c r="K327" s="472"/>
      <c r="L327" s="472"/>
      <c r="M327" s="472"/>
      <c r="N327" s="472"/>
      <c r="O327" s="472"/>
      <c r="P327" s="472"/>
      <c r="Q327" s="472"/>
      <c r="R327" s="472"/>
      <c r="S327" s="472"/>
      <c r="T327" s="472"/>
      <c r="U327" s="472"/>
      <c r="V327" s="472"/>
      <c r="W327" s="472"/>
      <c r="X327" s="472"/>
      <c r="Y327" s="472"/>
      <c r="Z327" s="472"/>
    </row>
    <row r="328" spans="1:26" ht="14.25" customHeight="1">
      <c r="A328" s="472"/>
      <c r="B328" s="472"/>
      <c r="C328" s="472"/>
      <c r="D328" s="472"/>
      <c r="E328" s="472"/>
      <c r="F328" s="472"/>
      <c r="G328" s="472"/>
      <c r="H328" s="472"/>
      <c r="I328" s="472"/>
      <c r="J328" s="472"/>
      <c r="K328" s="472"/>
      <c r="L328" s="472"/>
      <c r="M328" s="472"/>
      <c r="N328" s="472"/>
      <c r="O328" s="472"/>
      <c r="P328" s="472"/>
      <c r="Q328" s="472"/>
      <c r="R328" s="472"/>
      <c r="S328" s="472"/>
      <c r="T328" s="472"/>
      <c r="U328" s="472"/>
      <c r="V328" s="472"/>
      <c r="W328" s="472"/>
      <c r="X328" s="472"/>
      <c r="Y328" s="472"/>
      <c r="Z328" s="472"/>
    </row>
    <row r="329" spans="1:26" ht="14.25" customHeight="1">
      <c r="A329" s="472"/>
      <c r="B329" s="472"/>
      <c r="C329" s="472"/>
      <c r="D329" s="472"/>
      <c r="E329" s="472"/>
      <c r="F329" s="472"/>
      <c r="G329" s="472"/>
      <c r="H329" s="472"/>
      <c r="I329" s="472"/>
      <c r="J329" s="472"/>
      <c r="K329" s="472"/>
      <c r="L329" s="472"/>
      <c r="M329" s="472"/>
      <c r="N329" s="472"/>
      <c r="O329" s="472"/>
      <c r="P329" s="472"/>
      <c r="Q329" s="472"/>
      <c r="R329" s="472"/>
      <c r="S329" s="472"/>
      <c r="T329" s="472"/>
      <c r="U329" s="472"/>
      <c r="V329" s="472"/>
      <c r="W329" s="472"/>
      <c r="X329" s="472"/>
      <c r="Y329" s="472"/>
      <c r="Z329" s="472"/>
    </row>
    <row r="330" spans="1:26" ht="14.25" customHeight="1">
      <c r="A330" s="472"/>
      <c r="B330" s="472"/>
      <c r="C330" s="472"/>
      <c r="D330" s="472"/>
      <c r="E330" s="472"/>
      <c r="F330" s="472"/>
      <c r="G330" s="472"/>
      <c r="H330" s="472"/>
      <c r="I330" s="472"/>
      <c r="J330" s="472"/>
      <c r="K330" s="472"/>
      <c r="L330" s="472"/>
      <c r="M330" s="472"/>
      <c r="N330" s="472"/>
      <c r="O330" s="472"/>
      <c r="P330" s="472"/>
      <c r="Q330" s="472"/>
      <c r="R330" s="472"/>
      <c r="S330" s="472"/>
      <c r="T330" s="472"/>
      <c r="U330" s="472"/>
      <c r="V330" s="472"/>
      <c r="W330" s="472"/>
      <c r="X330" s="472"/>
      <c r="Y330" s="472"/>
      <c r="Z330" s="472"/>
    </row>
    <row r="331" spans="1:26" ht="14.25" customHeight="1">
      <c r="A331" s="472"/>
      <c r="B331" s="472"/>
      <c r="C331" s="472"/>
      <c r="D331" s="472"/>
      <c r="E331" s="472"/>
      <c r="F331" s="472"/>
      <c r="G331" s="472"/>
      <c r="H331" s="472"/>
      <c r="I331" s="472"/>
      <c r="J331" s="472"/>
      <c r="K331" s="472"/>
      <c r="L331" s="472"/>
      <c r="M331" s="472"/>
      <c r="N331" s="472"/>
      <c r="O331" s="472"/>
      <c r="P331" s="472"/>
      <c r="Q331" s="472"/>
      <c r="R331" s="472"/>
      <c r="S331" s="472"/>
      <c r="T331" s="472"/>
      <c r="U331" s="472"/>
      <c r="V331" s="472"/>
      <c r="W331" s="472"/>
      <c r="X331" s="472"/>
      <c r="Y331" s="472"/>
      <c r="Z331" s="472"/>
    </row>
    <row r="332" spans="1:26" ht="14.25" customHeight="1">
      <c r="A332" s="472"/>
      <c r="B332" s="472"/>
      <c r="C332" s="472"/>
      <c r="D332" s="472"/>
      <c r="E332" s="472"/>
      <c r="F332" s="472"/>
      <c r="G332" s="472"/>
      <c r="H332" s="472"/>
      <c r="I332" s="472"/>
      <c r="J332" s="472"/>
      <c r="K332" s="472"/>
      <c r="L332" s="472"/>
      <c r="M332" s="472"/>
      <c r="N332" s="472"/>
      <c r="O332" s="472"/>
      <c r="P332" s="472"/>
      <c r="Q332" s="472"/>
      <c r="R332" s="472"/>
      <c r="S332" s="472"/>
      <c r="T332" s="472"/>
      <c r="U332" s="472"/>
      <c r="V332" s="472"/>
      <c r="W332" s="472"/>
      <c r="X332" s="472"/>
      <c r="Y332" s="472"/>
      <c r="Z332" s="472"/>
    </row>
    <row r="333" spans="1:26" ht="14.25" customHeight="1">
      <c r="A333" s="472"/>
      <c r="B333" s="472"/>
      <c r="C333" s="472"/>
      <c r="D333" s="472"/>
      <c r="E333" s="472"/>
      <c r="F333" s="472"/>
      <c r="G333" s="472"/>
      <c r="H333" s="472"/>
      <c r="I333" s="472"/>
      <c r="J333" s="472"/>
      <c r="K333" s="472"/>
      <c r="L333" s="472"/>
      <c r="M333" s="472"/>
      <c r="N333" s="472"/>
      <c r="O333" s="472"/>
      <c r="P333" s="472"/>
      <c r="Q333" s="472"/>
      <c r="R333" s="472"/>
      <c r="S333" s="472"/>
      <c r="T333" s="472"/>
      <c r="U333" s="472"/>
      <c r="V333" s="472"/>
      <c r="W333" s="472"/>
      <c r="X333" s="472"/>
      <c r="Y333" s="472"/>
      <c r="Z333" s="472"/>
    </row>
    <row r="334" spans="1:26" ht="14.25" customHeight="1">
      <c r="A334" s="472"/>
      <c r="B334" s="472"/>
      <c r="C334" s="472"/>
      <c r="D334" s="472"/>
      <c r="E334" s="472"/>
      <c r="F334" s="472"/>
      <c r="G334" s="472"/>
      <c r="H334" s="472"/>
      <c r="I334" s="472"/>
      <c r="J334" s="472"/>
      <c r="K334" s="472"/>
      <c r="L334" s="472"/>
      <c r="M334" s="472"/>
      <c r="N334" s="472"/>
      <c r="O334" s="472"/>
      <c r="P334" s="472"/>
      <c r="Q334" s="472"/>
      <c r="R334" s="472"/>
      <c r="S334" s="472"/>
      <c r="T334" s="472"/>
      <c r="U334" s="472"/>
      <c r="V334" s="472"/>
      <c r="W334" s="472"/>
      <c r="X334" s="472"/>
      <c r="Y334" s="472"/>
      <c r="Z334" s="472"/>
    </row>
    <row r="335" spans="1:26" ht="14.25" customHeight="1">
      <c r="A335" s="472"/>
      <c r="B335" s="472"/>
      <c r="C335" s="472"/>
      <c r="D335" s="472"/>
      <c r="E335" s="472"/>
      <c r="F335" s="472"/>
      <c r="G335" s="472"/>
      <c r="H335" s="472"/>
      <c r="I335" s="472"/>
      <c r="J335" s="472"/>
      <c r="K335" s="472"/>
      <c r="L335" s="472"/>
      <c r="M335" s="472"/>
      <c r="N335" s="472"/>
      <c r="O335" s="472"/>
      <c r="P335" s="472"/>
      <c r="Q335" s="472"/>
      <c r="R335" s="472"/>
      <c r="S335" s="472"/>
      <c r="T335" s="472"/>
      <c r="U335" s="472"/>
      <c r="V335" s="472"/>
      <c r="W335" s="472"/>
      <c r="X335" s="472"/>
      <c r="Y335" s="472"/>
      <c r="Z335" s="472"/>
    </row>
    <row r="336" spans="1:26" ht="14.25" customHeight="1">
      <c r="A336" s="472"/>
      <c r="B336" s="472"/>
      <c r="C336" s="472"/>
      <c r="D336" s="472"/>
      <c r="E336" s="472"/>
      <c r="F336" s="472"/>
      <c r="G336" s="472"/>
      <c r="H336" s="472"/>
      <c r="I336" s="472"/>
      <c r="J336" s="472"/>
      <c r="K336" s="472"/>
      <c r="L336" s="472"/>
      <c r="M336" s="472"/>
      <c r="N336" s="472"/>
      <c r="O336" s="472"/>
      <c r="P336" s="472"/>
      <c r="Q336" s="472"/>
      <c r="R336" s="472"/>
      <c r="S336" s="472"/>
      <c r="T336" s="472"/>
      <c r="U336" s="472"/>
      <c r="V336" s="472"/>
      <c r="W336" s="472"/>
      <c r="X336" s="472"/>
      <c r="Y336" s="472"/>
      <c r="Z336" s="472"/>
    </row>
    <row r="337" spans="1:26" ht="14.25" customHeight="1">
      <c r="A337" s="472"/>
      <c r="B337" s="472"/>
      <c r="C337" s="472"/>
      <c r="D337" s="472"/>
      <c r="E337" s="472"/>
      <c r="F337" s="472"/>
      <c r="G337" s="472"/>
      <c r="H337" s="472"/>
      <c r="I337" s="472"/>
      <c r="J337" s="472"/>
      <c r="K337" s="472"/>
      <c r="L337" s="472"/>
      <c r="M337" s="472"/>
      <c r="N337" s="472"/>
      <c r="O337" s="472"/>
      <c r="P337" s="472"/>
      <c r="Q337" s="472"/>
      <c r="R337" s="472"/>
      <c r="S337" s="472"/>
      <c r="T337" s="472"/>
      <c r="U337" s="472"/>
      <c r="V337" s="472"/>
      <c r="W337" s="472"/>
      <c r="X337" s="472"/>
      <c r="Y337" s="472"/>
      <c r="Z337" s="472"/>
    </row>
    <row r="338" spans="1:26" ht="14.25" customHeight="1">
      <c r="A338" s="472"/>
      <c r="B338" s="472"/>
      <c r="C338" s="472"/>
      <c r="D338" s="472"/>
      <c r="E338" s="472"/>
      <c r="F338" s="472"/>
      <c r="G338" s="472"/>
      <c r="H338" s="472"/>
      <c r="I338" s="472"/>
      <c r="J338" s="472"/>
      <c r="K338" s="472"/>
      <c r="L338" s="472"/>
      <c r="M338" s="472"/>
      <c r="N338" s="472"/>
      <c r="O338" s="472"/>
      <c r="P338" s="472"/>
      <c r="Q338" s="472"/>
      <c r="R338" s="472"/>
      <c r="S338" s="472"/>
      <c r="T338" s="472"/>
      <c r="U338" s="472"/>
      <c r="V338" s="472"/>
      <c r="W338" s="472"/>
      <c r="X338" s="472"/>
      <c r="Y338" s="472"/>
      <c r="Z338" s="472"/>
    </row>
    <row r="339" spans="1:26" ht="14.25" customHeight="1">
      <c r="A339" s="472"/>
      <c r="B339" s="472"/>
      <c r="C339" s="472"/>
      <c r="D339" s="472"/>
      <c r="E339" s="472"/>
      <c r="F339" s="472"/>
      <c r="G339" s="472"/>
      <c r="H339" s="472"/>
      <c r="I339" s="472"/>
      <c r="J339" s="472"/>
      <c r="K339" s="472"/>
      <c r="L339" s="472"/>
      <c r="M339" s="472"/>
      <c r="N339" s="472"/>
      <c r="O339" s="472"/>
      <c r="P339" s="472"/>
      <c r="Q339" s="472"/>
      <c r="R339" s="472"/>
      <c r="S339" s="472"/>
      <c r="T339" s="472"/>
      <c r="U339" s="472"/>
      <c r="V339" s="472"/>
      <c r="W339" s="472"/>
      <c r="X339" s="472"/>
      <c r="Y339" s="472"/>
      <c r="Z339" s="472"/>
    </row>
    <row r="340" spans="1:26" ht="14.25" customHeight="1">
      <c r="A340" s="472"/>
      <c r="B340" s="472"/>
      <c r="C340" s="472"/>
      <c r="D340" s="472"/>
      <c r="E340" s="472"/>
      <c r="F340" s="472"/>
      <c r="G340" s="472"/>
      <c r="H340" s="472"/>
      <c r="I340" s="472"/>
      <c r="J340" s="472"/>
      <c r="K340" s="472"/>
      <c r="L340" s="472"/>
      <c r="M340" s="472"/>
      <c r="N340" s="472"/>
      <c r="O340" s="472"/>
      <c r="P340" s="472"/>
      <c r="Q340" s="472"/>
      <c r="R340" s="472"/>
      <c r="S340" s="472"/>
      <c r="T340" s="472"/>
      <c r="U340" s="472"/>
      <c r="V340" s="472"/>
      <c r="W340" s="472"/>
      <c r="X340" s="472"/>
      <c r="Y340" s="472"/>
      <c r="Z340" s="472"/>
    </row>
    <row r="341" spans="1:26" ht="14.25" customHeight="1">
      <c r="A341" s="472"/>
      <c r="B341" s="472"/>
      <c r="C341" s="472"/>
      <c r="D341" s="472"/>
      <c r="E341" s="472"/>
      <c r="F341" s="472"/>
      <c r="G341" s="472"/>
      <c r="H341" s="472"/>
      <c r="I341" s="472"/>
      <c r="J341" s="472"/>
      <c r="K341" s="472"/>
      <c r="L341" s="472"/>
      <c r="M341" s="472"/>
      <c r="N341" s="472"/>
      <c r="O341" s="472"/>
      <c r="P341" s="472"/>
      <c r="Q341" s="472"/>
      <c r="R341" s="472"/>
      <c r="S341" s="472"/>
      <c r="T341" s="472"/>
      <c r="U341" s="472"/>
      <c r="V341" s="472"/>
      <c r="W341" s="472"/>
      <c r="X341" s="472"/>
      <c r="Y341" s="472"/>
      <c r="Z341" s="472"/>
    </row>
    <row r="342" spans="1:26" ht="14.25" customHeight="1">
      <c r="A342" s="472"/>
      <c r="B342" s="472"/>
      <c r="C342" s="472"/>
      <c r="D342" s="472"/>
      <c r="E342" s="472"/>
      <c r="F342" s="472"/>
      <c r="G342" s="472"/>
      <c r="H342" s="472"/>
      <c r="I342" s="472"/>
      <c r="J342" s="472"/>
      <c r="K342" s="472"/>
      <c r="L342" s="472"/>
      <c r="M342" s="472"/>
      <c r="N342" s="472"/>
      <c r="O342" s="472"/>
      <c r="P342" s="472"/>
      <c r="Q342" s="472"/>
      <c r="R342" s="472"/>
      <c r="S342" s="472"/>
      <c r="T342" s="472"/>
      <c r="U342" s="472"/>
      <c r="V342" s="472"/>
      <c r="W342" s="472"/>
      <c r="X342" s="472"/>
      <c r="Y342" s="472"/>
      <c r="Z342" s="472"/>
    </row>
    <row r="343" spans="1:26" ht="14.25" customHeight="1">
      <c r="A343" s="472"/>
      <c r="B343" s="472"/>
      <c r="C343" s="472"/>
      <c r="D343" s="472"/>
      <c r="E343" s="472"/>
      <c r="F343" s="472"/>
      <c r="G343" s="472"/>
      <c r="H343" s="472"/>
      <c r="I343" s="472"/>
      <c r="J343" s="472"/>
      <c r="K343" s="472"/>
      <c r="L343" s="472"/>
      <c r="M343" s="472"/>
      <c r="N343" s="472"/>
      <c r="O343" s="472"/>
      <c r="P343" s="472"/>
      <c r="Q343" s="472"/>
      <c r="R343" s="472"/>
      <c r="S343" s="472"/>
      <c r="T343" s="472"/>
      <c r="U343" s="472"/>
      <c r="V343" s="472"/>
      <c r="W343" s="472"/>
      <c r="X343" s="472"/>
      <c r="Y343" s="472"/>
      <c r="Z343" s="472"/>
    </row>
    <row r="344" spans="1:26" ht="14.25" customHeight="1">
      <c r="A344" s="472"/>
      <c r="B344" s="472"/>
      <c r="C344" s="472"/>
      <c r="D344" s="472"/>
      <c r="E344" s="472"/>
      <c r="F344" s="472"/>
      <c r="G344" s="472"/>
      <c r="H344" s="472"/>
      <c r="I344" s="472"/>
      <c r="J344" s="472"/>
      <c r="K344" s="472"/>
      <c r="L344" s="472"/>
      <c r="M344" s="472"/>
      <c r="N344" s="472"/>
      <c r="O344" s="472"/>
      <c r="P344" s="472"/>
      <c r="Q344" s="472"/>
      <c r="R344" s="472"/>
      <c r="S344" s="472"/>
      <c r="T344" s="472"/>
      <c r="U344" s="472"/>
      <c r="V344" s="472"/>
      <c r="W344" s="472"/>
      <c r="X344" s="472"/>
      <c r="Y344" s="472"/>
      <c r="Z344" s="472"/>
    </row>
    <row r="345" spans="1:26" ht="14.25" customHeight="1">
      <c r="A345" s="472"/>
      <c r="B345" s="472"/>
      <c r="C345" s="472"/>
      <c r="D345" s="472"/>
      <c r="E345" s="472"/>
      <c r="F345" s="472"/>
      <c r="G345" s="472"/>
      <c r="H345" s="472"/>
      <c r="I345" s="472"/>
      <c r="J345" s="472"/>
      <c r="K345" s="472"/>
      <c r="L345" s="472"/>
      <c r="M345" s="472"/>
      <c r="N345" s="472"/>
      <c r="O345" s="472"/>
      <c r="P345" s="472"/>
      <c r="Q345" s="472"/>
      <c r="R345" s="472"/>
      <c r="S345" s="472"/>
      <c r="T345" s="472"/>
      <c r="U345" s="472"/>
      <c r="V345" s="472"/>
      <c r="W345" s="472"/>
      <c r="X345" s="472"/>
      <c r="Y345" s="472"/>
      <c r="Z345" s="472"/>
    </row>
    <row r="346" spans="1:26" ht="14.25" customHeight="1">
      <c r="A346" s="472"/>
      <c r="B346" s="472"/>
      <c r="C346" s="472"/>
      <c r="D346" s="472"/>
      <c r="E346" s="472"/>
      <c r="F346" s="472"/>
      <c r="G346" s="472"/>
      <c r="H346" s="472"/>
      <c r="I346" s="472"/>
      <c r="J346" s="472"/>
      <c r="K346" s="472"/>
      <c r="L346" s="472"/>
      <c r="M346" s="472"/>
      <c r="N346" s="472"/>
      <c r="O346" s="472"/>
      <c r="P346" s="472"/>
      <c r="Q346" s="472"/>
      <c r="R346" s="472"/>
      <c r="S346" s="472"/>
      <c r="T346" s="472"/>
      <c r="U346" s="472"/>
      <c r="V346" s="472"/>
      <c r="W346" s="472"/>
      <c r="X346" s="472"/>
      <c r="Y346" s="472"/>
      <c r="Z346" s="472"/>
    </row>
    <row r="347" spans="1:26" ht="14.25" customHeight="1">
      <c r="A347" s="472"/>
      <c r="B347" s="472"/>
      <c r="C347" s="472"/>
      <c r="D347" s="472"/>
      <c r="E347" s="472"/>
      <c r="F347" s="472"/>
      <c r="G347" s="472"/>
      <c r="H347" s="472"/>
      <c r="I347" s="472"/>
      <c r="J347" s="472"/>
      <c r="K347" s="472"/>
      <c r="L347" s="472"/>
      <c r="M347" s="472"/>
      <c r="N347" s="472"/>
      <c r="O347" s="472"/>
      <c r="P347" s="472"/>
      <c r="Q347" s="472"/>
      <c r="R347" s="472"/>
      <c r="S347" s="472"/>
      <c r="T347" s="472"/>
      <c r="U347" s="472"/>
      <c r="V347" s="472"/>
      <c r="W347" s="472"/>
      <c r="X347" s="472"/>
      <c r="Y347" s="472"/>
      <c r="Z347" s="472"/>
    </row>
    <row r="348" spans="1:26" ht="14.25" customHeight="1">
      <c r="A348" s="472"/>
      <c r="B348" s="472"/>
      <c r="C348" s="472"/>
      <c r="D348" s="472"/>
      <c r="E348" s="472"/>
      <c r="F348" s="472"/>
      <c r="G348" s="472"/>
      <c r="H348" s="472"/>
      <c r="I348" s="472"/>
      <c r="J348" s="472"/>
      <c r="K348" s="472"/>
      <c r="L348" s="472"/>
      <c r="M348" s="472"/>
      <c r="N348" s="472"/>
      <c r="O348" s="472"/>
      <c r="P348" s="472"/>
      <c r="Q348" s="472"/>
      <c r="R348" s="472"/>
      <c r="S348" s="472"/>
      <c r="T348" s="472"/>
      <c r="U348" s="472"/>
      <c r="V348" s="472"/>
      <c r="W348" s="472"/>
      <c r="X348" s="472"/>
      <c r="Y348" s="472"/>
      <c r="Z348" s="472"/>
    </row>
    <row r="349" spans="1:26" ht="14.25" customHeight="1">
      <c r="A349" s="472"/>
      <c r="B349" s="472"/>
      <c r="C349" s="472"/>
      <c r="D349" s="472"/>
      <c r="E349" s="472"/>
      <c r="F349" s="472"/>
      <c r="G349" s="472"/>
      <c r="H349" s="472"/>
      <c r="I349" s="472"/>
      <c r="J349" s="472"/>
      <c r="K349" s="472"/>
      <c r="L349" s="472"/>
      <c r="M349" s="472"/>
      <c r="N349" s="472"/>
      <c r="O349" s="472"/>
      <c r="P349" s="472"/>
      <c r="Q349" s="472"/>
      <c r="R349" s="472"/>
      <c r="S349" s="472"/>
      <c r="T349" s="472"/>
      <c r="U349" s="472"/>
      <c r="V349" s="472"/>
      <c r="W349" s="472"/>
      <c r="X349" s="472"/>
      <c r="Y349" s="472"/>
      <c r="Z349" s="472"/>
    </row>
    <row r="350" spans="1:26" ht="14.25" customHeight="1">
      <c r="A350" s="472"/>
      <c r="B350" s="472"/>
      <c r="C350" s="472"/>
      <c r="D350" s="472"/>
      <c r="E350" s="472"/>
      <c r="F350" s="472"/>
      <c r="G350" s="472"/>
      <c r="H350" s="472"/>
      <c r="I350" s="472"/>
      <c r="J350" s="472"/>
      <c r="K350" s="472"/>
      <c r="L350" s="472"/>
      <c r="M350" s="472"/>
      <c r="N350" s="472"/>
      <c r="O350" s="472"/>
      <c r="P350" s="472"/>
      <c r="Q350" s="472"/>
      <c r="R350" s="472"/>
      <c r="S350" s="472"/>
      <c r="T350" s="472"/>
      <c r="U350" s="472"/>
      <c r="V350" s="472"/>
      <c r="W350" s="472"/>
      <c r="X350" s="472"/>
      <c r="Y350" s="472"/>
      <c r="Z350" s="472"/>
    </row>
    <row r="351" spans="1:26" ht="14.25" customHeight="1">
      <c r="A351" s="472"/>
      <c r="B351" s="472"/>
      <c r="C351" s="472"/>
      <c r="D351" s="472"/>
      <c r="E351" s="472"/>
      <c r="F351" s="472"/>
      <c r="G351" s="472"/>
      <c r="H351" s="472"/>
      <c r="I351" s="472"/>
      <c r="J351" s="472"/>
      <c r="K351" s="472"/>
      <c r="L351" s="472"/>
      <c r="M351" s="472"/>
      <c r="N351" s="472"/>
      <c r="O351" s="472"/>
      <c r="P351" s="472"/>
      <c r="Q351" s="472"/>
      <c r="R351" s="472"/>
      <c r="S351" s="472"/>
      <c r="T351" s="472"/>
      <c r="U351" s="472"/>
      <c r="V351" s="472"/>
      <c r="W351" s="472"/>
      <c r="X351" s="472"/>
      <c r="Y351" s="472"/>
      <c r="Z351" s="472"/>
    </row>
    <row r="352" spans="1:26" ht="14.25" customHeight="1">
      <c r="A352" s="472"/>
      <c r="B352" s="472"/>
      <c r="C352" s="472"/>
      <c r="D352" s="472"/>
      <c r="E352" s="472"/>
      <c r="F352" s="472"/>
      <c r="G352" s="472"/>
      <c r="H352" s="472"/>
      <c r="I352" s="472"/>
      <c r="J352" s="472"/>
      <c r="K352" s="472"/>
      <c r="L352" s="472"/>
      <c r="M352" s="472"/>
      <c r="N352" s="472"/>
      <c r="O352" s="472"/>
      <c r="P352" s="472"/>
      <c r="Q352" s="472"/>
      <c r="R352" s="472"/>
      <c r="S352" s="472"/>
      <c r="T352" s="472"/>
      <c r="U352" s="472"/>
      <c r="V352" s="472"/>
      <c r="W352" s="472"/>
      <c r="X352" s="472"/>
      <c r="Y352" s="472"/>
      <c r="Z352" s="472"/>
    </row>
    <row r="353" spans="1:26" ht="14.25" customHeight="1">
      <c r="A353" s="472"/>
      <c r="B353" s="472"/>
      <c r="C353" s="472"/>
      <c r="D353" s="472"/>
      <c r="E353" s="472"/>
      <c r="F353" s="472"/>
      <c r="G353" s="472"/>
      <c r="H353" s="472"/>
      <c r="I353" s="472"/>
      <c r="J353" s="472"/>
      <c r="K353" s="472"/>
      <c r="L353" s="472"/>
      <c r="M353" s="472"/>
      <c r="N353" s="472"/>
      <c r="O353" s="472"/>
      <c r="P353" s="472"/>
      <c r="Q353" s="472"/>
      <c r="R353" s="472"/>
      <c r="S353" s="472"/>
      <c r="T353" s="472"/>
      <c r="U353" s="472"/>
      <c r="V353" s="472"/>
      <c r="W353" s="472"/>
      <c r="X353" s="472"/>
      <c r="Y353" s="472"/>
      <c r="Z353" s="472"/>
    </row>
    <row r="354" spans="1:26" ht="14.25" customHeight="1">
      <c r="A354" s="472"/>
      <c r="B354" s="472"/>
      <c r="C354" s="472"/>
      <c r="D354" s="472"/>
      <c r="E354" s="472"/>
      <c r="F354" s="472"/>
      <c r="G354" s="472"/>
      <c r="H354" s="472"/>
      <c r="I354" s="472"/>
      <c r="J354" s="472"/>
      <c r="K354" s="472"/>
      <c r="L354" s="472"/>
      <c r="M354" s="472"/>
      <c r="N354" s="472"/>
      <c r="O354" s="472"/>
      <c r="P354" s="472"/>
      <c r="Q354" s="472"/>
      <c r="R354" s="472"/>
      <c r="S354" s="472"/>
      <c r="T354" s="472"/>
      <c r="U354" s="472"/>
      <c r="V354" s="472"/>
      <c r="W354" s="472"/>
      <c r="X354" s="472"/>
      <c r="Y354" s="472"/>
      <c r="Z354" s="472"/>
    </row>
    <row r="355" spans="1:26" ht="14.25" customHeight="1">
      <c r="A355" s="472"/>
      <c r="B355" s="472"/>
      <c r="C355" s="472"/>
      <c r="D355" s="472"/>
      <c r="E355" s="472"/>
      <c r="F355" s="472"/>
      <c r="G355" s="472"/>
      <c r="H355" s="472"/>
      <c r="I355" s="472"/>
      <c r="J355" s="472"/>
      <c r="K355" s="472"/>
      <c r="L355" s="472"/>
      <c r="M355" s="472"/>
      <c r="N355" s="472"/>
      <c r="O355" s="472"/>
      <c r="P355" s="472"/>
      <c r="Q355" s="472"/>
      <c r="R355" s="472"/>
      <c r="S355" s="472"/>
      <c r="T355" s="472"/>
      <c r="U355" s="472"/>
      <c r="V355" s="472"/>
      <c r="W355" s="472"/>
      <c r="X355" s="472"/>
      <c r="Y355" s="472"/>
      <c r="Z355" s="472"/>
    </row>
    <row r="356" spans="1:26" ht="14.25" customHeight="1">
      <c r="A356" s="472"/>
      <c r="B356" s="472"/>
      <c r="C356" s="472"/>
      <c r="D356" s="472"/>
      <c r="E356" s="472"/>
      <c r="F356" s="472"/>
      <c r="G356" s="472"/>
      <c r="H356" s="472"/>
      <c r="I356" s="472"/>
      <c r="J356" s="472"/>
      <c r="K356" s="472"/>
      <c r="L356" s="472"/>
      <c r="M356" s="472"/>
      <c r="N356" s="472"/>
      <c r="O356" s="472"/>
      <c r="P356" s="472"/>
      <c r="Q356" s="472"/>
      <c r="R356" s="472"/>
      <c r="S356" s="472"/>
      <c r="T356" s="472"/>
      <c r="U356" s="472"/>
      <c r="V356" s="472"/>
      <c r="W356" s="472"/>
      <c r="X356" s="472"/>
      <c r="Y356" s="472"/>
      <c r="Z356" s="472"/>
    </row>
    <row r="357" spans="1:26" ht="14.25" customHeight="1">
      <c r="A357" s="472"/>
      <c r="B357" s="472"/>
      <c r="C357" s="472"/>
      <c r="D357" s="472"/>
      <c r="E357" s="472"/>
      <c r="F357" s="472"/>
      <c r="G357" s="472"/>
      <c r="H357" s="472"/>
      <c r="I357" s="472"/>
      <c r="J357" s="472"/>
      <c r="K357" s="472"/>
      <c r="L357" s="472"/>
      <c r="M357" s="472"/>
      <c r="N357" s="472"/>
      <c r="O357" s="472"/>
      <c r="P357" s="472"/>
      <c r="Q357" s="472"/>
      <c r="R357" s="472"/>
      <c r="S357" s="472"/>
      <c r="T357" s="472"/>
      <c r="U357" s="472"/>
      <c r="V357" s="472"/>
      <c r="W357" s="472"/>
      <c r="X357" s="472"/>
      <c r="Y357" s="472"/>
      <c r="Z357" s="472"/>
    </row>
    <row r="358" spans="1:26" ht="14.25" customHeight="1">
      <c r="A358" s="472"/>
      <c r="B358" s="472"/>
      <c r="C358" s="472"/>
      <c r="D358" s="472"/>
      <c r="E358" s="472"/>
      <c r="F358" s="472"/>
      <c r="G358" s="472"/>
      <c r="H358" s="472"/>
      <c r="I358" s="472"/>
      <c r="J358" s="472"/>
      <c r="K358" s="472"/>
      <c r="L358" s="472"/>
      <c r="M358" s="472"/>
      <c r="N358" s="472"/>
      <c r="O358" s="472"/>
      <c r="P358" s="472"/>
      <c r="Q358" s="472"/>
      <c r="R358" s="472"/>
      <c r="S358" s="472"/>
      <c r="T358" s="472"/>
      <c r="U358" s="472"/>
      <c r="V358" s="472"/>
      <c r="W358" s="472"/>
      <c r="X358" s="472"/>
      <c r="Y358" s="472"/>
      <c r="Z358" s="472"/>
    </row>
    <row r="359" spans="1:26" ht="14.25" customHeight="1">
      <c r="A359" s="472"/>
      <c r="B359" s="472"/>
      <c r="C359" s="472"/>
      <c r="D359" s="472"/>
      <c r="E359" s="472"/>
      <c r="F359" s="472"/>
      <c r="G359" s="472"/>
      <c r="H359" s="472"/>
      <c r="I359" s="472"/>
      <c r="J359" s="472"/>
      <c r="K359" s="472"/>
      <c r="L359" s="472"/>
      <c r="M359" s="472"/>
      <c r="N359" s="472"/>
      <c r="O359" s="472"/>
      <c r="P359" s="472"/>
      <c r="Q359" s="472"/>
      <c r="R359" s="472"/>
      <c r="S359" s="472"/>
      <c r="T359" s="472"/>
      <c r="U359" s="472"/>
      <c r="V359" s="472"/>
      <c r="W359" s="472"/>
      <c r="X359" s="472"/>
      <c r="Y359" s="472"/>
      <c r="Z359" s="472"/>
    </row>
    <row r="360" spans="1:26" ht="14.25" customHeight="1">
      <c r="A360" s="472"/>
      <c r="B360" s="472"/>
      <c r="C360" s="472"/>
      <c r="D360" s="472"/>
      <c r="E360" s="472"/>
      <c r="F360" s="472"/>
      <c r="G360" s="472"/>
      <c r="H360" s="472"/>
      <c r="I360" s="472"/>
      <c r="J360" s="472"/>
      <c r="K360" s="472"/>
      <c r="L360" s="472"/>
      <c r="M360" s="472"/>
      <c r="N360" s="472"/>
      <c r="O360" s="472"/>
      <c r="P360" s="472"/>
      <c r="Q360" s="472"/>
      <c r="R360" s="472"/>
      <c r="S360" s="472"/>
      <c r="T360" s="472"/>
      <c r="U360" s="472"/>
      <c r="V360" s="472"/>
      <c r="W360" s="472"/>
      <c r="X360" s="472"/>
      <c r="Y360" s="472"/>
      <c r="Z360" s="472"/>
    </row>
    <row r="361" spans="1:26" ht="14.25" customHeight="1">
      <c r="A361" s="472"/>
      <c r="B361" s="472"/>
      <c r="C361" s="472"/>
      <c r="D361" s="472"/>
      <c r="E361" s="472"/>
      <c r="F361" s="472"/>
      <c r="G361" s="472"/>
      <c r="H361" s="472"/>
      <c r="I361" s="472"/>
      <c r="J361" s="472"/>
      <c r="K361" s="472"/>
      <c r="L361" s="472"/>
      <c r="M361" s="472"/>
      <c r="N361" s="472"/>
      <c r="O361" s="472"/>
      <c r="P361" s="472"/>
      <c r="Q361" s="472"/>
      <c r="R361" s="472"/>
      <c r="S361" s="472"/>
      <c r="T361" s="472"/>
      <c r="U361" s="472"/>
      <c r="V361" s="472"/>
      <c r="W361" s="472"/>
      <c r="X361" s="472"/>
      <c r="Y361" s="472"/>
      <c r="Z361" s="472"/>
    </row>
    <row r="362" spans="1:26" ht="14.25" customHeight="1">
      <c r="A362" s="472"/>
      <c r="B362" s="472"/>
      <c r="C362" s="472"/>
      <c r="D362" s="472"/>
      <c r="E362" s="472"/>
      <c r="F362" s="472"/>
      <c r="G362" s="472"/>
      <c r="H362" s="472"/>
      <c r="I362" s="472"/>
      <c r="J362" s="472"/>
      <c r="K362" s="472"/>
      <c r="L362" s="472"/>
      <c r="M362" s="472"/>
      <c r="N362" s="472"/>
      <c r="O362" s="472"/>
      <c r="P362" s="472"/>
      <c r="Q362" s="472"/>
      <c r="R362" s="472"/>
      <c r="S362" s="472"/>
      <c r="T362" s="472"/>
      <c r="U362" s="472"/>
      <c r="V362" s="472"/>
      <c r="W362" s="472"/>
      <c r="X362" s="472"/>
      <c r="Y362" s="472"/>
      <c r="Z362" s="472"/>
    </row>
    <row r="363" spans="1:26" ht="14.25" customHeight="1">
      <c r="A363" s="472"/>
      <c r="B363" s="472"/>
      <c r="C363" s="472"/>
      <c r="D363" s="472"/>
      <c r="E363" s="472"/>
      <c r="F363" s="472"/>
      <c r="G363" s="472"/>
      <c r="H363" s="472"/>
      <c r="I363" s="472"/>
      <c r="J363" s="472"/>
      <c r="K363" s="472"/>
      <c r="L363" s="472"/>
      <c r="M363" s="472"/>
      <c r="N363" s="472"/>
      <c r="O363" s="472"/>
      <c r="P363" s="472"/>
      <c r="Q363" s="472"/>
      <c r="R363" s="472"/>
      <c r="S363" s="472"/>
      <c r="T363" s="472"/>
      <c r="U363" s="472"/>
      <c r="V363" s="472"/>
      <c r="W363" s="472"/>
      <c r="X363" s="472"/>
      <c r="Y363" s="472"/>
      <c r="Z363" s="472"/>
    </row>
    <row r="364" spans="1:26" ht="14.25" customHeight="1">
      <c r="A364" s="472"/>
      <c r="B364" s="472"/>
      <c r="C364" s="472"/>
      <c r="D364" s="472"/>
      <c r="E364" s="472"/>
      <c r="F364" s="472"/>
      <c r="G364" s="472"/>
      <c r="H364" s="472"/>
      <c r="I364" s="472"/>
      <c r="J364" s="472"/>
      <c r="K364" s="472"/>
      <c r="L364" s="472"/>
      <c r="M364" s="472"/>
      <c r="N364" s="472"/>
      <c r="O364" s="472"/>
      <c r="P364" s="472"/>
      <c r="Q364" s="472"/>
      <c r="R364" s="472"/>
      <c r="S364" s="472"/>
      <c r="T364" s="472"/>
      <c r="U364" s="472"/>
      <c r="V364" s="472"/>
      <c r="W364" s="472"/>
      <c r="X364" s="472"/>
      <c r="Y364" s="472"/>
      <c r="Z364" s="472"/>
    </row>
    <row r="365" spans="1:26" ht="14.25" customHeight="1">
      <c r="A365" s="472"/>
      <c r="B365" s="472"/>
      <c r="C365" s="472"/>
      <c r="D365" s="472"/>
      <c r="E365" s="472"/>
      <c r="F365" s="472"/>
      <c r="G365" s="472"/>
      <c r="H365" s="472"/>
      <c r="I365" s="472"/>
      <c r="J365" s="472"/>
      <c r="K365" s="472"/>
      <c r="L365" s="472"/>
      <c r="M365" s="472"/>
      <c r="N365" s="472"/>
      <c r="O365" s="472"/>
      <c r="P365" s="472"/>
      <c r="Q365" s="472"/>
      <c r="R365" s="472"/>
      <c r="S365" s="472"/>
      <c r="T365" s="472"/>
      <c r="U365" s="472"/>
      <c r="V365" s="472"/>
      <c r="W365" s="472"/>
      <c r="X365" s="472"/>
      <c r="Y365" s="472"/>
      <c r="Z365" s="472"/>
    </row>
    <row r="366" spans="1:26" ht="14.25" customHeight="1">
      <c r="A366" s="472"/>
      <c r="B366" s="472"/>
      <c r="C366" s="472"/>
      <c r="D366" s="472"/>
      <c r="E366" s="472"/>
      <c r="F366" s="472"/>
      <c r="G366" s="472"/>
      <c r="H366" s="472"/>
      <c r="I366" s="472"/>
      <c r="J366" s="472"/>
      <c r="K366" s="472"/>
      <c r="L366" s="472"/>
      <c r="M366" s="472"/>
      <c r="N366" s="472"/>
      <c r="O366" s="472"/>
      <c r="P366" s="472"/>
      <c r="Q366" s="472"/>
      <c r="R366" s="472"/>
      <c r="S366" s="472"/>
      <c r="T366" s="472"/>
      <c r="U366" s="472"/>
      <c r="V366" s="472"/>
      <c r="W366" s="472"/>
      <c r="X366" s="472"/>
      <c r="Y366" s="472"/>
      <c r="Z366" s="472"/>
    </row>
    <row r="367" spans="1:26" ht="14.25" customHeight="1">
      <c r="A367" s="472"/>
      <c r="B367" s="472"/>
      <c r="C367" s="472"/>
      <c r="D367" s="472"/>
      <c r="E367" s="472"/>
      <c r="F367" s="472"/>
      <c r="G367" s="472"/>
      <c r="H367" s="472"/>
      <c r="I367" s="472"/>
      <c r="J367" s="472"/>
      <c r="K367" s="472"/>
      <c r="L367" s="472"/>
      <c r="M367" s="472"/>
      <c r="N367" s="472"/>
      <c r="O367" s="472"/>
      <c r="P367" s="472"/>
      <c r="Q367" s="472"/>
      <c r="R367" s="472"/>
      <c r="S367" s="472"/>
      <c r="T367" s="472"/>
      <c r="U367" s="472"/>
      <c r="V367" s="472"/>
      <c r="W367" s="472"/>
      <c r="X367" s="472"/>
      <c r="Y367" s="472"/>
      <c r="Z367" s="472"/>
    </row>
    <row r="368" spans="1:26" ht="14.25" customHeight="1">
      <c r="A368" s="472"/>
      <c r="B368" s="472"/>
      <c r="C368" s="472"/>
      <c r="D368" s="472"/>
      <c r="E368" s="472"/>
      <c r="F368" s="472"/>
      <c r="G368" s="472"/>
      <c r="H368" s="472"/>
      <c r="I368" s="472"/>
      <c r="J368" s="472"/>
      <c r="K368" s="472"/>
      <c r="L368" s="472"/>
      <c r="M368" s="472"/>
      <c r="N368" s="472"/>
      <c r="O368" s="472"/>
      <c r="P368" s="472"/>
      <c r="Q368" s="472"/>
      <c r="R368" s="472"/>
      <c r="S368" s="472"/>
      <c r="T368" s="472"/>
      <c r="U368" s="472"/>
      <c r="V368" s="472"/>
      <c r="W368" s="472"/>
      <c r="X368" s="472"/>
      <c r="Y368" s="472"/>
      <c r="Z368" s="472"/>
    </row>
    <row r="369" spans="1:26" ht="14.25" customHeight="1">
      <c r="A369" s="472"/>
      <c r="B369" s="472"/>
      <c r="C369" s="472"/>
      <c r="D369" s="472"/>
      <c r="E369" s="472"/>
      <c r="F369" s="472"/>
      <c r="G369" s="472"/>
      <c r="H369" s="472"/>
      <c r="I369" s="472"/>
      <c r="J369" s="472"/>
      <c r="K369" s="472"/>
      <c r="L369" s="472"/>
      <c r="M369" s="472"/>
      <c r="N369" s="472"/>
      <c r="O369" s="472"/>
      <c r="P369" s="472"/>
      <c r="Q369" s="472"/>
      <c r="R369" s="472"/>
      <c r="S369" s="472"/>
      <c r="T369" s="472"/>
      <c r="U369" s="472"/>
      <c r="V369" s="472"/>
      <c r="W369" s="472"/>
      <c r="X369" s="472"/>
      <c r="Y369" s="472"/>
      <c r="Z369" s="472"/>
    </row>
    <row r="370" spans="1:26" ht="14.25" customHeight="1">
      <c r="A370" s="472"/>
      <c r="B370" s="472"/>
      <c r="C370" s="472"/>
      <c r="D370" s="472"/>
      <c r="E370" s="472"/>
      <c r="F370" s="472"/>
      <c r="G370" s="472"/>
      <c r="H370" s="472"/>
      <c r="I370" s="472"/>
      <c r="J370" s="472"/>
      <c r="K370" s="472"/>
      <c r="L370" s="472"/>
      <c r="M370" s="472"/>
      <c r="N370" s="472"/>
      <c r="O370" s="472"/>
      <c r="P370" s="472"/>
      <c r="Q370" s="472"/>
      <c r="R370" s="472"/>
      <c r="S370" s="472"/>
      <c r="T370" s="472"/>
      <c r="U370" s="472"/>
      <c r="V370" s="472"/>
      <c r="W370" s="472"/>
      <c r="X370" s="472"/>
      <c r="Y370" s="472"/>
      <c r="Z370" s="472"/>
    </row>
    <row r="371" spans="1:26" ht="14.25" customHeight="1">
      <c r="A371" s="472"/>
      <c r="B371" s="472"/>
      <c r="C371" s="472"/>
      <c r="D371" s="472"/>
      <c r="E371" s="472"/>
      <c r="F371" s="472"/>
      <c r="G371" s="472"/>
      <c r="H371" s="472"/>
      <c r="I371" s="472"/>
      <c r="J371" s="472"/>
      <c r="K371" s="472"/>
      <c r="L371" s="472"/>
      <c r="M371" s="472"/>
      <c r="N371" s="472"/>
      <c r="O371" s="472"/>
      <c r="P371" s="472"/>
      <c r="Q371" s="472"/>
      <c r="R371" s="472"/>
      <c r="S371" s="472"/>
      <c r="T371" s="472"/>
      <c r="U371" s="472"/>
      <c r="V371" s="472"/>
      <c r="W371" s="472"/>
      <c r="X371" s="472"/>
      <c r="Y371" s="472"/>
      <c r="Z371" s="472"/>
    </row>
    <row r="372" spans="1:26" ht="14.25" customHeight="1">
      <c r="A372" s="472"/>
      <c r="B372" s="472"/>
      <c r="C372" s="472"/>
      <c r="D372" s="472"/>
      <c r="E372" s="472"/>
      <c r="F372" s="472"/>
      <c r="G372" s="472"/>
      <c r="H372" s="472"/>
      <c r="I372" s="472"/>
      <c r="J372" s="472"/>
      <c r="K372" s="472"/>
      <c r="L372" s="472"/>
      <c r="M372" s="472"/>
      <c r="N372" s="472"/>
      <c r="O372" s="472"/>
      <c r="P372" s="472"/>
      <c r="Q372" s="472"/>
      <c r="R372" s="472"/>
      <c r="S372" s="472"/>
      <c r="T372" s="472"/>
      <c r="U372" s="472"/>
      <c r="V372" s="472"/>
      <c r="W372" s="472"/>
      <c r="X372" s="472"/>
      <c r="Y372" s="472"/>
      <c r="Z372" s="472"/>
    </row>
    <row r="373" spans="1:26" ht="14.25" customHeight="1">
      <c r="A373" s="472"/>
      <c r="B373" s="472"/>
      <c r="C373" s="472"/>
      <c r="D373" s="472"/>
      <c r="E373" s="472"/>
      <c r="F373" s="472"/>
      <c r="G373" s="472"/>
      <c r="H373" s="472"/>
      <c r="I373" s="472"/>
      <c r="J373" s="472"/>
      <c r="K373" s="472"/>
      <c r="L373" s="472"/>
      <c r="M373" s="472"/>
      <c r="N373" s="472"/>
      <c r="O373" s="472"/>
      <c r="P373" s="472"/>
      <c r="Q373" s="472"/>
      <c r="R373" s="472"/>
      <c r="S373" s="472"/>
      <c r="T373" s="472"/>
      <c r="U373" s="472"/>
      <c r="V373" s="472"/>
      <c r="W373" s="472"/>
      <c r="X373" s="472"/>
      <c r="Y373" s="472"/>
      <c r="Z373" s="472"/>
    </row>
    <row r="374" spans="1:26" ht="14.25" customHeight="1">
      <c r="A374" s="472"/>
      <c r="B374" s="472"/>
      <c r="C374" s="472"/>
      <c r="D374" s="472"/>
      <c r="E374" s="472"/>
      <c r="F374" s="472"/>
      <c r="G374" s="472"/>
      <c r="H374" s="472"/>
      <c r="I374" s="472"/>
      <c r="J374" s="472"/>
      <c r="K374" s="472"/>
      <c r="L374" s="472"/>
      <c r="M374" s="472"/>
      <c r="N374" s="472"/>
      <c r="O374" s="472"/>
      <c r="P374" s="472"/>
      <c r="Q374" s="472"/>
      <c r="R374" s="472"/>
      <c r="S374" s="472"/>
      <c r="T374" s="472"/>
      <c r="U374" s="472"/>
      <c r="V374" s="472"/>
      <c r="W374" s="472"/>
      <c r="X374" s="472"/>
      <c r="Y374" s="472"/>
      <c r="Z374" s="472"/>
    </row>
    <row r="375" spans="1:26" ht="14.25" customHeight="1">
      <c r="A375" s="472"/>
      <c r="B375" s="472"/>
      <c r="C375" s="472"/>
      <c r="D375" s="472"/>
      <c r="E375" s="472"/>
      <c r="F375" s="472"/>
      <c r="G375" s="472"/>
      <c r="H375" s="472"/>
      <c r="I375" s="472"/>
      <c r="J375" s="472"/>
      <c r="K375" s="472"/>
      <c r="L375" s="472"/>
      <c r="M375" s="472"/>
      <c r="N375" s="472"/>
      <c r="O375" s="472"/>
      <c r="P375" s="472"/>
      <c r="Q375" s="472"/>
      <c r="R375" s="472"/>
      <c r="S375" s="472"/>
      <c r="T375" s="472"/>
      <c r="U375" s="472"/>
      <c r="V375" s="472"/>
      <c r="W375" s="472"/>
      <c r="X375" s="472"/>
      <c r="Y375" s="472"/>
      <c r="Z375" s="472"/>
    </row>
    <row r="376" spans="1:26" ht="14.25" customHeight="1">
      <c r="A376" s="472"/>
      <c r="B376" s="472"/>
      <c r="C376" s="472"/>
      <c r="D376" s="472"/>
      <c r="E376" s="472"/>
      <c r="F376" s="472"/>
      <c r="G376" s="472"/>
      <c r="H376" s="472"/>
      <c r="I376" s="472"/>
      <c r="J376" s="472"/>
      <c r="K376" s="472"/>
      <c r="L376" s="472"/>
      <c r="M376" s="472"/>
      <c r="N376" s="472"/>
      <c r="O376" s="472"/>
      <c r="P376" s="472"/>
      <c r="Q376" s="472"/>
      <c r="R376" s="472"/>
      <c r="S376" s="472"/>
      <c r="T376" s="472"/>
      <c r="U376" s="472"/>
      <c r="V376" s="472"/>
      <c r="W376" s="472"/>
      <c r="X376" s="472"/>
      <c r="Y376" s="472"/>
      <c r="Z376" s="472"/>
    </row>
    <row r="377" spans="1:26" ht="14.25" customHeight="1">
      <c r="A377" s="472"/>
      <c r="B377" s="472"/>
      <c r="C377" s="472"/>
      <c r="D377" s="472"/>
      <c r="E377" s="472"/>
      <c r="F377" s="472"/>
      <c r="G377" s="472"/>
      <c r="H377" s="472"/>
      <c r="I377" s="472"/>
      <c r="J377" s="472"/>
      <c r="K377" s="472"/>
      <c r="L377" s="472"/>
      <c r="M377" s="472"/>
      <c r="N377" s="472"/>
      <c r="O377" s="472"/>
      <c r="P377" s="472"/>
      <c r="Q377" s="472"/>
      <c r="R377" s="472"/>
      <c r="S377" s="472"/>
      <c r="T377" s="472"/>
      <c r="U377" s="472"/>
      <c r="V377" s="472"/>
      <c r="W377" s="472"/>
      <c r="X377" s="472"/>
      <c r="Y377" s="472"/>
      <c r="Z377" s="472"/>
    </row>
    <row r="378" spans="1:26" ht="14.25" customHeight="1">
      <c r="A378" s="472"/>
      <c r="B378" s="472"/>
      <c r="C378" s="472"/>
      <c r="D378" s="472"/>
      <c r="E378" s="472"/>
      <c r="F378" s="472"/>
      <c r="G378" s="472"/>
      <c r="H378" s="472"/>
      <c r="I378" s="472"/>
      <c r="J378" s="472"/>
      <c r="K378" s="472"/>
      <c r="L378" s="472"/>
      <c r="M378" s="472"/>
      <c r="N378" s="472"/>
      <c r="O378" s="472"/>
      <c r="P378" s="472"/>
      <c r="Q378" s="472"/>
      <c r="R378" s="472"/>
      <c r="S378" s="472"/>
      <c r="T378" s="472"/>
      <c r="U378" s="472"/>
      <c r="V378" s="472"/>
      <c r="W378" s="472"/>
      <c r="X378" s="472"/>
      <c r="Y378" s="472"/>
      <c r="Z378" s="472"/>
    </row>
    <row r="379" spans="1:26" ht="14.25" customHeight="1">
      <c r="A379" s="472"/>
      <c r="B379" s="472"/>
      <c r="C379" s="472"/>
      <c r="D379" s="472"/>
      <c r="E379" s="472"/>
      <c r="F379" s="472"/>
      <c r="G379" s="472"/>
      <c r="H379" s="472"/>
      <c r="I379" s="472"/>
      <c r="J379" s="472"/>
      <c r="K379" s="472"/>
      <c r="L379" s="472"/>
      <c r="M379" s="472"/>
      <c r="N379" s="472"/>
      <c r="O379" s="472"/>
      <c r="P379" s="472"/>
      <c r="Q379" s="472"/>
      <c r="R379" s="472"/>
      <c r="S379" s="472"/>
      <c r="T379" s="472"/>
      <c r="U379" s="472"/>
      <c r="V379" s="472"/>
      <c r="W379" s="472"/>
      <c r="X379" s="472"/>
      <c r="Y379" s="472"/>
      <c r="Z379" s="472"/>
    </row>
    <row r="380" spans="1:26" ht="14.25" customHeight="1">
      <c r="A380" s="472"/>
      <c r="B380" s="472"/>
      <c r="C380" s="472"/>
      <c r="D380" s="472"/>
      <c r="E380" s="472"/>
      <c r="F380" s="472"/>
      <c r="G380" s="472"/>
      <c r="H380" s="472"/>
      <c r="I380" s="472"/>
      <c r="J380" s="472"/>
      <c r="K380" s="472"/>
      <c r="L380" s="472"/>
      <c r="M380" s="472"/>
      <c r="N380" s="472"/>
      <c r="O380" s="472"/>
      <c r="P380" s="472"/>
      <c r="Q380" s="472"/>
      <c r="R380" s="472"/>
      <c r="S380" s="472"/>
      <c r="T380" s="472"/>
      <c r="U380" s="472"/>
      <c r="V380" s="472"/>
      <c r="W380" s="472"/>
      <c r="X380" s="472"/>
      <c r="Y380" s="472"/>
      <c r="Z380" s="472"/>
    </row>
    <row r="381" spans="1:26" ht="14.25" customHeight="1">
      <c r="A381" s="472"/>
      <c r="B381" s="472"/>
      <c r="C381" s="472"/>
      <c r="D381" s="472"/>
      <c r="E381" s="472"/>
      <c r="F381" s="472"/>
      <c r="G381" s="472"/>
      <c r="H381" s="472"/>
      <c r="I381" s="472"/>
      <c r="J381" s="472"/>
      <c r="K381" s="472"/>
      <c r="L381" s="472"/>
      <c r="M381" s="472"/>
      <c r="N381" s="472"/>
      <c r="O381" s="472"/>
      <c r="P381" s="472"/>
      <c r="Q381" s="472"/>
      <c r="R381" s="472"/>
      <c r="S381" s="472"/>
      <c r="T381" s="472"/>
      <c r="U381" s="472"/>
      <c r="V381" s="472"/>
      <c r="W381" s="472"/>
      <c r="X381" s="472"/>
      <c r="Y381" s="472"/>
      <c r="Z381" s="472"/>
    </row>
    <row r="382" spans="1:26" ht="14.25" customHeight="1">
      <c r="A382" s="472"/>
      <c r="B382" s="472"/>
      <c r="C382" s="472"/>
      <c r="D382" s="472"/>
      <c r="E382" s="472"/>
      <c r="F382" s="472"/>
      <c r="G382" s="472"/>
      <c r="H382" s="472"/>
      <c r="I382" s="472"/>
      <c r="J382" s="472"/>
      <c r="K382" s="472"/>
      <c r="L382" s="472"/>
      <c r="M382" s="472"/>
      <c r="N382" s="472"/>
      <c r="O382" s="472"/>
      <c r="P382" s="472"/>
      <c r="Q382" s="472"/>
      <c r="R382" s="472"/>
      <c r="S382" s="472"/>
      <c r="T382" s="472"/>
      <c r="U382" s="472"/>
      <c r="V382" s="472"/>
      <c r="W382" s="472"/>
      <c r="X382" s="472"/>
      <c r="Y382" s="472"/>
      <c r="Z382" s="472"/>
    </row>
    <row r="383" spans="1:26" ht="14.25" customHeight="1">
      <c r="A383" s="472"/>
      <c r="B383" s="472"/>
      <c r="C383" s="472"/>
      <c r="D383" s="472"/>
      <c r="E383" s="472"/>
      <c r="F383" s="472"/>
      <c r="G383" s="472"/>
      <c r="H383" s="472"/>
      <c r="I383" s="472"/>
      <c r="J383" s="472"/>
      <c r="K383" s="472"/>
      <c r="L383" s="472"/>
      <c r="M383" s="472"/>
      <c r="N383" s="472"/>
      <c r="O383" s="472"/>
      <c r="P383" s="472"/>
      <c r="Q383" s="472"/>
      <c r="R383" s="472"/>
      <c r="S383" s="472"/>
      <c r="T383" s="472"/>
      <c r="U383" s="472"/>
      <c r="V383" s="472"/>
      <c r="W383" s="472"/>
      <c r="X383" s="472"/>
      <c r="Y383" s="472"/>
      <c r="Z383" s="472"/>
    </row>
    <row r="384" spans="1:26" ht="14.25" customHeight="1">
      <c r="A384" s="472"/>
      <c r="B384" s="472"/>
      <c r="C384" s="472"/>
      <c r="D384" s="472"/>
      <c r="E384" s="472"/>
      <c r="F384" s="472"/>
      <c r="G384" s="472"/>
      <c r="H384" s="472"/>
      <c r="I384" s="472"/>
      <c r="J384" s="472"/>
      <c r="K384" s="472"/>
      <c r="L384" s="472"/>
      <c r="M384" s="472"/>
      <c r="N384" s="472"/>
      <c r="O384" s="472"/>
      <c r="P384" s="472"/>
      <c r="Q384" s="472"/>
      <c r="R384" s="472"/>
      <c r="S384" s="472"/>
      <c r="T384" s="472"/>
      <c r="U384" s="472"/>
      <c r="V384" s="472"/>
      <c r="W384" s="472"/>
      <c r="X384" s="472"/>
      <c r="Y384" s="472"/>
      <c r="Z384" s="472"/>
    </row>
    <row r="385" spans="1:26" ht="14.25" customHeight="1">
      <c r="A385" s="472"/>
      <c r="B385" s="472"/>
      <c r="C385" s="472"/>
      <c r="D385" s="472"/>
      <c r="E385" s="472"/>
      <c r="F385" s="472"/>
      <c r="G385" s="472"/>
      <c r="H385" s="472"/>
      <c r="I385" s="472"/>
      <c r="J385" s="472"/>
      <c r="K385" s="472"/>
      <c r="L385" s="472"/>
      <c r="M385" s="472"/>
      <c r="N385" s="472"/>
      <c r="O385" s="472"/>
      <c r="P385" s="472"/>
      <c r="Q385" s="472"/>
      <c r="R385" s="472"/>
      <c r="S385" s="472"/>
      <c r="T385" s="472"/>
      <c r="U385" s="472"/>
      <c r="V385" s="472"/>
      <c r="W385" s="472"/>
      <c r="X385" s="472"/>
      <c r="Y385" s="472"/>
      <c r="Z385" s="472"/>
    </row>
    <row r="386" spans="1:26" ht="14.25" customHeight="1">
      <c r="A386" s="472"/>
      <c r="B386" s="472"/>
      <c r="C386" s="472"/>
      <c r="D386" s="472"/>
      <c r="E386" s="472"/>
      <c r="F386" s="472"/>
      <c r="G386" s="472"/>
      <c r="H386" s="472"/>
      <c r="I386" s="472"/>
      <c r="J386" s="472"/>
      <c r="K386" s="472"/>
      <c r="L386" s="472"/>
      <c r="M386" s="472"/>
      <c r="N386" s="472"/>
      <c r="O386" s="472"/>
      <c r="P386" s="472"/>
      <c r="Q386" s="472"/>
      <c r="R386" s="472"/>
      <c r="S386" s="472"/>
      <c r="T386" s="472"/>
      <c r="U386" s="472"/>
      <c r="V386" s="472"/>
      <c r="W386" s="472"/>
      <c r="X386" s="472"/>
      <c r="Y386" s="472"/>
      <c r="Z386" s="472"/>
    </row>
    <row r="387" spans="1:26" ht="14.25" customHeight="1">
      <c r="A387" s="472"/>
      <c r="B387" s="472"/>
      <c r="C387" s="472"/>
      <c r="D387" s="472"/>
      <c r="E387" s="472"/>
      <c r="F387" s="472"/>
      <c r="G387" s="472"/>
      <c r="H387" s="472"/>
      <c r="I387" s="472"/>
      <c r="J387" s="472"/>
      <c r="K387" s="472"/>
      <c r="L387" s="472"/>
      <c r="M387" s="472"/>
      <c r="N387" s="472"/>
      <c r="O387" s="472"/>
      <c r="P387" s="472"/>
      <c r="Q387" s="472"/>
      <c r="R387" s="472"/>
      <c r="S387" s="472"/>
      <c r="T387" s="472"/>
      <c r="U387" s="472"/>
      <c r="V387" s="472"/>
      <c r="W387" s="472"/>
      <c r="X387" s="472"/>
      <c r="Y387" s="472"/>
      <c r="Z387" s="472"/>
    </row>
    <row r="388" spans="1:26" ht="14.25" customHeight="1">
      <c r="A388" s="472"/>
      <c r="B388" s="472"/>
      <c r="C388" s="472"/>
      <c r="D388" s="472"/>
      <c r="E388" s="472"/>
      <c r="F388" s="472"/>
      <c r="G388" s="472"/>
      <c r="H388" s="472"/>
      <c r="I388" s="472"/>
      <c r="J388" s="472"/>
      <c r="K388" s="472"/>
      <c r="L388" s="472"/>
      <c r="M388" s="472"/>
      <c r="N388" s="472"/>
      <c r="O388" s="472"/>
      <c r="P388" s="472"/>
      <c r="Q388" s="472"/>
      <c r="R388" s="472"/>
      <c r="S388" s="472"/>
      <c r="T388" s="472"/>
      <c r="U388" s="472"/>
      <c r="V388" s="472"/>
      <c r="W388" s="472"/>
      <c r="X388" s="472"/>
      <c r="Y388" s="472"/>
      <c r="Z388" s="472"/>
    </row>
    <row r="389" spans="1:26" ht="14.25" customHeight="1">
      <c r="A389" s="472"/>
      <c r="B389" s="472"/>
      <c r="C389" s="472"/>
      <c r="D389" s="472"/>
      <c r="E389" s="472"/>
      <c r="F389" s="472"/>
      <c r="G389" s="472"/>
      <c r="H389" s="472"/>
      <c r="I389" s="472"/>
      <c r="J389" s="472"/>
      <c r="K389" s="472"/>
      <c r="L389" s="472"/>
      <c r="M389" s="472"/>
      <c r="N389" s="472"/>
      <c r="O389" s="472"/>
      <c r="P389" s="472"/>
      <c r="Q389" s="472"/>
      <c r="R389" s="472"/>
      <c r="S389" s="472"/>
      <c r="T389" s="472"/>
      <c r="U389" s="472"/>
      <c r="V389" s="472"/>
      <c r="W389" s="472"/>
      <c r="X389" s="472"/>
      <c r="Y389" s="472"/>
      <c r="Z389" s="472"/>
    </row>
    <row r="390" spans="1:26" ht="14.25" customHeight="1">
      <c r="A390" s="472"/>
      <c r="B390" s="472"/>
      <c r="C390" s="472"/>
      <c r="D390" s="472"/>
      <c r="E390" s="472"/>
      <c r="F390" s="472"/>
      <c r="G390" s="472"/>
      <c r="H390" s="472"/>
      <c r="I390" s="472"/>
      <c r="J390" s="472"/>
      <c r="K390" s="472"/>
      <c r="L390" s="472"/>
      <c r="M390" s="472"/>
      <c r="N390" s="472"/>
      <c r="O390" s="472"/>
      <c r="P390" s="472"/>
      <c r="Q390" s="472"/>
      <c r="R390" s="472"/>
      <c r="S390" s="472"/>
      <c r="T390" s="472"/>
      <c r="U390" s="472"/>
      <c r="V390" s="472"/>
      <c r="W390" s="472"/>
      <c r="X390" s="472"/>
      <c r="Y390" s="472"/>
      <c r="Z390" s="472"/>
    </row>
    <row r="391" spans="1:26" ht="14.25" customHeight="1">
      <c r="A391" s="472"/>
      <c r="B391" s="472"/>
      <c r="C391" s="472"/>
      <c r="D391" s="472"/>
      <c r="E391" s="472"/>
      <c r="F391" s="472"/>
      <c r="G391" s="472"/>
      <c r="H391" s="472"/>
      <c r="I391" s="472"/>
      <c r="J391" s="472"/>
      <c r="K391" s="472"/>
      <c r="L391" s="472"/>
      <c r="M391" s="472"/>
      <c r="N391" s="472"/>
      <c r="O391" s="472"/>
      <c r="P391" s="472"/>
      <c r="Q391" s="472"/>
      <c r="R391" s="472"/>
      <c r="S391" s="472"/>
      <c r="T391" s="472"/>
      <c r="U391" s="472"/>
      <c r="V391" s="472"/>
      <c r="W391" s="472"/>
      <c r="X391" s="472"/>
      <c r="Y391" s="472"/>
      <c r="Z391" s="472"/>
    </row>
    <row r="392" spans="1:26" ht="14.25" customHeight="1">
      <c r="A392" s="472"/>
      <c r="B392" s="472"/>
      <c r="C392" s="472"/>
      <c r="D392" s="472"/>
      <c r="E392" s="472"/>
      <c r="F392" s="472"/>
      <c r="G392" s="472"/>
      <c r="H392" s="472"/>
      <c r="I392" s="472"/>
      <c r="J392" s="472"/>
      <c r="K392" s="472"/>
      <c r="L392" s="472"/>
      <c r="M392" s="472"/>
      <c r="N392" s="472"/>
      <c r="O392" s="472"/>
      <c r="P392" s="472"/>
      <c r="Q392" s="472"/>
      <c r="R392" s="472"/>
      <c r="S392" s="472"/>
      <c r="T392" s="472"/>
      <c r="U392" s="472"/>
      <c r="V392" s="472"/>
      <c r="W392" s="472"/>
      <c r="X392" s="472"/>
      <c r="Y392" s="472"/>
      <c r="Z392" s="472"/>
    </row>
    <row r="393" spans="1:26" ht="14.25" customHeight="1">
      <c r="A393" s="472"/>
      <c r="B393" s="472"/>
      <c r="C393" s="472"/>
      <c r="D393" s="472"/>
      <c r="E393" s="472"/>
      <c r="F393" s="472"/>
      <c r="G393" s="472"/>
      <c r="H393" s="472"/>
      <c r="I393" s="472"/>
      <c r="J393" s="472"/>
      <c r="K393" s="472"/>
      <c r="L393" s="472"/>
      <c r="M393" s="472"/>
      <c r="N393" s="472"/>
      <c r="O393" s="472"/>
      <c r="P393" s="472"/>
      <c r="Q393" s="472"/>
      <c r="R393" s="472"/>
      <c r="S393" s="472"/>
      <c r="T393" s="472"/>
      <c r="U393" s="472"/>
      <c r="V393" s="472"/>
      <c r="W393" s="472"/>
      <c r="X393" s="472"/>
      <c r="Y393" s="472"/>
      <c r="Z393" s="472"/>
    </row>
    <row r="394" spans="1:26" ht="14.25" customHeight="1">
      <c r="A394" s="472"/>
      <c r="B394" s="472"/>
      <c r="C394" s="472"/>
      <c r="D394" s="472"/>
      <c r="E394" s="472"/>
      <c r="F394" s="472"/>
      <c r="G394" s="472"/>
      <c r="H394" s="472"/>
      <c r="I394" s="472"/>
      <c r="J394" s="472"/>
      <c r="K394" s="472"/>
      <c r="L394" s="472"/>
      <c r="M394" s="472"/>
      <c r="N394" s="472"/>
      <c r="O394" s="472"/>
      <c r="P394" s="472"/>
      <c r="Q394" s="472"/>
      <c r="R394" s="472"/>
      <c r="S394" s="472"/>
      <c r="T394" s="472"/>
      <c r="U394" s="472"/>
      <c r="V394" s="472"/>
      <c r="W394" s="472"/>
      <c r="X394" s="472"/>
      <c r="Y394" s="472"/>
      <c r="Z394" s="472"/>
    </row>
    <row r="395" spans="1:26" ht="14.25" customHeight="1">
      <c r="A395" s="472"/>
      <c r="B395" s="472"/>
      <c r="C395" s="472"/>
      <c r="D395" s="472"/>
      <c r="E395" s="472"/>
      <c r="F395" s="472"/>
      <c r="G395" s="472"/>
      <c r="H395" s="472"/>
      <c r="I395" s="472"/>
      <c r="J395" s="472"/>
      <c r="K395" s="472"/>
      <c r="L395" s="472"/>
      <c r="M395" s="472"/>
      <c r="N395" s="472"/>
      <c r="O395" s="472"/>
      <c r="P395" s="472"/>
      <c r="Q395" s="472"/>
      <c r="R395" s="472"/>
      <c r="S395" s="472"/>
      <c r="T395" s="472"/>
      <c r="U395" s="472"/>
      <c r="V395" s="472"/>
      <c r="W395" s="472"/>
      <c r="X395" s="472"/>
      <c r="Y395" s="472"/>
      <c r="Z395" s="472"/>
    </row>
    <row r="396" spans="1:26" ht="14.25" customHeight="1">
      <c r="A396" s="472"/>
      <c r="B396" s="472"/>
      <c r="C396" s="472"/>
      <c r="D396" s="472"/>
      <c r="E396" s="472"/>
      <c r="F396" s="472"/>
      <c r="G396" s="472"/>
      <c r="H396" s="472"/>
      <c r="I396" s="472"/>
      <c r="J396" s="472"/>
      <c r="K396" s="472"/>
      <c r="L396" s="472"/>
      <c r="M396" s="472"/>
      <c r="N396" s="472"/>
      <c r="O396" s="472"/>
      <c r="P396" s="472"/>
      <c r="Q396" s="472"/>
      <c r="R396" s="472"/>
      <c r="S396" s="472"/>
      <c r="T396" s="472"/>
      <c r="U396" s="472"/>
      <c r="V396" s="472"/>
      <c r="W396" s="472"/>
      <c r="X396" s="472"/>
      <c r="Y396" s="472"/>
      <c r="Z396" s="472"/>
    </row>
    <row r="397" spans="1:26" ht="14.25" customHeight="1">
      <c r="A397" s="472"/>
      <c r="B397" s="472"/>
      <c r="C397" s="472"/>
      <c r="D397" s="472"/>
      <c r="E397" s="472"/>
      <c r="F397" s="472"/>
      <c r="G397" s="472"/>
      <c r="H397" s="472"/>
      <c r="I397" s="472"/>
      <c r="J397" s="472"/>
      <c r="K397" s="472"/>
      <c r="L397" s="472"/>
      <c r="M397" s="472"/>
      <c r="N397" s="472"/>
      <c r="O397" s="472"/>
      <c r="P397" s="472"/>
      <c r="Q397" s="472"/>
      <c r="R397" s="472"/>
      <c r="S397" s="472"/>
      <c r="T397" s="472"/>
      <c r="U397" s="472"/>
      <c r="V397" s="472"/>
      <c r="W397" s="472"/>
      <c r="X397" s="472"/>
      <c r="Y397" s="472"/>
      <c r="Z397" s="472"/>
    </row>
    <row r="398" spans="1:26" ht="14.25" customHeight="1">
      <c r="A398" s="472"/>
      <c r="B398" s="472"/>
      <c r="C398" s="472"/>
      <c r="D398" s="472"/>
      <c r="E398" s="472"/>
      <c r="F398" s="472"/>
      <c r="G398" s="472"/>
      <c r="H398" s="472"/>
      <c r="I398" s="472"/>
      <c r="J398" s="472"/>
      <c r="K398" s="472"/>
      <c r="L398" s="472"/>
      <c r="M398" s="472"/>
      <c r="N398" s="472"/>
      <c r="O398" s="472"/>
      <c r="P398" s="472"/>
      <c r="Q398" s="472"/>
      <c r="R398" s="472"/>
      <c r="S398" s="472"/>
      <c r="T398" s="472"/>
      <c r="U398" s="472"/>
      <c r="V398" s="472"/>
      <c r="W398" s="472"/>
      <c r="X398" s="472"/>
      <c r="Y398" s="472"/>
      <c r="Z398" s="472"/>
    </row>
    <row r="399" spans="1:26" ht="14.25" customHeight="1">
      <c r="A399" s="472"/>
      <c r="B399" s="472"/>
      <c r="C399" s="472"/>
      <c r="D399" s="472"/>
      <c r="E399" s="472"/>
      <c r="F399" s="472"/>
      <c r="G399" s="472"/>
      <c r="H399" s="472"/>
      <c r="I399" s="472"/>
      <c r="J399" s="472"/>
      <c r="K399" s="472"/>
      <c r="L399" s="472"/>
      <c r="M399" s="472"/>
      <c r="N399" s="472"/>
      <c r="O399" s="472"/>
      <c r="P399" s="472"/>
      <c r="Q399" s="472"/>
      <c r="R399" s="472"/>
      <c r="S399" s="472"/>
      <c r="T399" s="472"/>
      <c r="U399" s="472"/>
      <c r="V399" s="472"/>
      <c r="W399" s="472"/>
      <c r="X399" s="472"/>
      <c r="Y399" s="472"/>
      <c r="Z399" s="472"/>
    </row>
    <row r="400" spans="1:26" ht="14.25" customHeight="1">
      <c r="A400" s="472"/>
      <c r="B400" s="472"/>
      <c r="C400" s="472"/>
      <c r="D400" s="472"/>
      <c r="E400" s="472"/>
      <c r="F400" s="472"/>
      <c r="G400" s="472"/>
      <c r="H400" s="472"/>
      <c r="I400" s="472"/>
      <c r="J400" s="472"/>
      <c r="K400" s="472"/>
      <c r="L400" s="472"/>
      <c r="M400" s="472"/>
      <c r="N400" s="472"/>
      <c r="O400" s="472"/>
      <c r="P400" s="472"/>
      <c r="Q400" s="472"/>
      <c r="R400" s="472"/>
      <c r="S400" s="472"/>
      <c r="T400" s="472"/>
      <c r="U400" s="472"/>
      <c r="V400" s="472"/>
      <c r="W400" s="472"/>
      <c r="X400" s="472"/>
      <c r="Y400" s="472"/>
      <c r="Z400" s="472"/>
    </row>
    <row r="401" spans="1:26" ht="14.25" customHeight="1">
      <c r="A401" s="472"/>
      <c r="B401" s="472"/>
      <c r="C401" s="472"/>
      <c r="D401" s="472"/>
      <c r="E401" s="472"/>
      <c r="F401" s="472"/>
      <c r="G401" s="472"/>
      <c r="H401" s="472"/>
      <c r="I401" s="472"/>
      <c r="J401" s="472"/>
      <c r="K401" s="472"/>
      <c r="L401" s="472"/>
      <c r="M401" s="472"/>
      <c r="N401" s="472"/>
      <c r="O401" s="472"/>
      <c r="P401" s="472"/>
      <c r="Q401" s="472"/>
      <c r="R401" s="472"/>
      <c r="S401" s="472"/>
      <c r="T401" s="472"/>
      <c r="U401" s="472"/>
      <c r="V401" s="472"/>
      <c r="W401" s="472"/>
      <c r="X401" s="472"/>
      <c r="Y401" s="472"/>
      <c r="Z401" s="472"/>
    </row>
    <row r="402" spans="1:26" ht="14.25" customHeight="1">
      <c r="A402" s="472"/>
      <c r="B402" s="472"/>
      <c r="C402" s="472"/>
      <c r="D402" s="472"/>
      <c r="E402" s="472"/>
      <c r="F402" s="472"/>
      <c r="G402" s="472"/>
      <c r="H402" s="472"/>
      <c r="I402" s="472"/>
      <c r="J402" s="472"/>
      <c r="K402" s="472"/>
      <c r="L402" s="472"/>
      <c r="M402" s="472"/>
      <c r="N402" s="472"/>
      <c r="O402" s="472"/>
      <c r="P402" s="472"/>
      <c r="Q402" s="472"/>
      <c r="R402" s="472"/>
      <c r="S402" s="472"/>
      <c r="T402" s="472"/>
      <c r="U402" s="472"/>
      <c r="V402" s="472"/>
      <c r="W402" s="472"/>
      <c r="X402" s="472"/>
      <c r="Y402" s="472"/>
      <c r="Z402" s="472"/>
    </row>
    <row r="403" spans="1:26" ht="14.25" customHeight="1">
      <c r="A403" s="472"/>
      <c r="B403" s="472"/>
      <c r="C403" s="472"/>
      <c r="D403" s="472"/>
      <c r="E403" s="472"/>
      <c r="F403" s="472"/>
      <c r="G403" s="472"/>
      <c r="H403" s="472"/>
      <c r="I403" s="472"/>
      <c r="J403" s="472"/>
      <c r="K403" s="472"/>
      <c r="L403" s="472"/>
      <c r="M403" s="472"/>
      <c r="N403" s="472"/>
      <c r="O403" s="472"/>
      <c r="P403" s="472"/>
      <c r="Q403" s="472"/>
      <c r="R403" s="472"/>
      <c r="S403" s="472"/>
      <c r="T403" s="472"/>
      <c r="U403" s="472"/>
      <c r="V403" s="472"/>
      <c r="W403" s="472"/>
      <c r="X403" s="472"/>
      <c r="Y403" s="472"/>
      <c r="Z403" s="472"/>
    </row>
    <row r="404" spans="1:26" ht="14.25" customHeight="1">
      <c r="A404" s="472"/>
      <c r="B404" s="472"/>
      <c r="C404" s="472"/>
      <c r="D404" s="472"/>
      <c r="E404" s="472"/>
      <c r="F404" s="472"/>
      <c r="G404" s="472"/>
      <c r="H404" s="472"/>
      <c r="I404" s="472"/>
      <c r="J404" s="472"/>
      <c r="K404" s="472"/>
      <c r="L404" s="472"/>
      <c r="M404" s="472"/>
      <c r="N404" s="472"/>
      <c r="O404" s="472"/>
      <c r="P404" s="472"/>
      <c r="Q404" s="472"/>
      <c r="R404" s="472"/>
      <c r="S404" s="472"/>
      <c r="T404" s="472"/>
      <c r="U404" s="472"/>
      <c r="V404" s="472"/>
      <c r="W404" s="472"/>
      <c r="X404" s="472"/>
      <c r="Y404" s="472"/>
      <c r="Z404" s="472"/>
    </row>
    <row r="405" spans="1:26" ht="14.25" customHeight="1">
      <c r="A405" s="472"/>
      <c r="B405" s="472"/>
      <c r="C405" s="472"/>
      <c r="D405" s="472"/>
      <c r="E405" s="472"/>
      <c r="F405" s="472"/>
      <c r="G405" s="472"/>
      <c r="H405" s="472"/>
      <c r="I405" s="472"/>
      <c r="J405" s="472"/>
      <c r="K405" s="472"/>
      <c r="L405" s="472"/>
      <c r="M405" s="472"/>
      <c r="N405" s="472"/>
      <c r="O405" s="472"/>
      <c r="P405" s="472"/>
      <c r="Q405" s="472"/>
      <c r="R405" s="472"/>
      <c r="S405" s="472"/>
      <c r="T405" s="472"/>
      <c r="U405" s="472"/>
      <c r="V405" s="472"/>
      <c r="W405" s="472"/>
      <c r="X405" s="472"/>
      <c r="Y405" s="472"/>
      <c r="Z405" s="472"/>
    </row>
    <row r="406" spans="1:26" ht="14.25" customHeight="1">
      <c r="A406" s="472"/>
      <c r="B406" s="472"/>
      <c r="C406" s="472"/>
      <c r="D406" s="472"/>
      <c r="E406" s="472"/>
      <c r="F406" s="472"/>
      <c r="G406" s="472"/>
      <c r="H406" s="472"/>
      <c r="I406" s="472"/>
      <c r="J406" s="472"/>
      <c r="K406" s="472"/>
      <c r="L406" s="472"/>
      <c r="M406" s="472"/>
      <c r="N406" s="472"/>
      <c r="O406" s="472"/>
      <c r="P406" s="472"/>
      <c r="Q406" s="472"/>
      <c r="R406" s="472"/>
      <c r="S406" s="472"/>
      <c r="T406" s="472"/>
      <c r="U406" s="472"/>
      <c r="V406" s="472"/>
      <c r="W406" s="472"/>
      <c r="X406" s="472"/>
      <c r="Y406" s="472"/>
      <c r="Z406" s="472"/>
    </row>
    <row r="407" spans="1:26" ht="14.25" customHeight="1">
      <c r="A407" s="472"/>
      <c r="B407" s="472"/>
      <c r="C407" s="472"/>
      <c r="D407" s="472"/>
      <c r="E407" s="472"/>
      <c r="F407" s="472"/>
      <c r="G407" s="472"/>
      <c r="H407" s="472"/>
      <c r="I407" s="472"/>
      <c r="J407" s="472"/>
      <c r="K407" s="472"/>
      <c r="L407" s="472"/>
      <c r="M407" s="472"/>
      <c r="N407" s="472"/>
      <c r="O407" s="472"/>
      <c r="P407" s="472"/>
      <c r="Q407" s="472"/>
      <c r="R407" s="472"/>
      <c r="S407" s="472"/>
      <c r="T407" s="472"/>
      <c r="U407" s="472"/>
      <c r="V407" s="472"/>
      <c r="W407" s="472"/>
      <c r="X407" s="472"/>
      <c r="Y407" s="472"/>
      <c r="Z407" s="472"/>
    </row>
    <row r="408" spans="1:26" ht="14.25" customHeight="1">
      <c r="A408" s="472"/>
      <c r="B408" s="472"/>
      <c r="C408" s="472"/>
      <c r="D408" s="472"/>
      <c r="E408" s="472"/>
      <c r="F408" s="472"/>
      <c r="G408" s="472"/>
      <c r="H408" s="472"/>
      <c r="I408" s="472"/>
      <c r="J408" s="472"/>
      <c r="K408" s="472"/>
      <c r="L408" s="472"/>
      <c r="M408" s="472"/>
      <c r="N408" s="472"/>
      <c r="O408" s="472"/>
      <c r="P408" s="472"/>
      <c r="Q408" s="472"/>
      <c r="R408" s="472"/>
      <c r="S408" s="472"/>
      <c r="T408" s="472"/>
      <c r="U408" s="472"/>
      <c r="V408" s="472"/>
      <c r="W408" s="472"/>
      <c r="X408" s="472"/>
      <c r="Y408" s="472"/>
      <c r="Z408" s="472"/>
    </row>
    <row r="409" spans="1:26" ht="14.25" customHeight="1">
      <c r="A409" s="472"/>
      <c r="B409" s="472"/>
      <c r="C409" s="472"/>
      <c r="D409" s="472"/>
      <c r="E409" s="472"/>
      <c r="F409" s="472"/>
      <c r="G409" s="472"/>
      <c r="H409" s="472"/>
      <c r="I409" s="472"/>
      <c r="J409" s="472"/>
      <c r="K409" s="472"/>
      <c r="L409" s="472"/>
      <c r="M409" s="472"/>
      <c r="N409" s="472"/>
      <c r="O409" s="472"/>
      <c r="P409" s="472"/>
      <c r="Q409" s="472"/>
      <c r="R409" s="472"/>
      <c r="S409" s="472"/>
      <c r="T409" s="472"/>
      <c r="U409" s="472"/>
      <c r="V409" s="472"/>
      <c r="W409" s="472"/>
      <c r="X409" s="472"/>
      <c r="Y409" s="472"/>
      <c r="Z409" s="472"/>
    </row>
    <row r="410" spans="1:26" ht="14.25" customHeight="1">
      <c r="A410" s="472"/>
      <c r="B410" s="472"/>
      <c r="C410" s="472"/>
      <c r="D410" s="472"/>
      <c r="E410" s="472"/>
      <c r="F410" s="472"/>
      <c r="G410" s="472"/>
      <c r="H410" s="472"/>
      <c r="I410" s="472"/>
      <c r="J410" s="472"/>
      <c r="K410" s="472"/>
      <c r="L410" s="472"/>
      <c r="M410" s="472"/>
      <c r="N410" s="472"/>
      <c r="O410" s="472"/>
      <c r="P410" s="472"/>
      <c r="Q410" s="472"/>
      <c r="R410" s="472"/>
      <c r="S410" s="472"/>
      <c r="T410" s="472"/>
      <c r="U410" s="472"/>
      <c r="V410" s="472"/>
      <c r="W410" s="472"/>
      <c r="X410" s="472"/>
      <c r="Y410" s="472"/>
      <c r="Z410" s="472"/>
    </row>
    <row r="411" spans="1:26" ht="14.25" customHeight="1">
      <c r="A411" s="472"/>
      <c r="B411" s="472"/>
      <c r="C411" s="472"/>
      <c r="D411" s="472"/>
      <c r="E411" s="472"/>
      <c r="F411" s="472"/>
      <c r="G411" s="472"/>
      <c r="H411" s="472"/>
      <c r="I411" s="472"/>
      <c r="J411" s="472"/>
      <c r="K411" s="472"/>
      <c r="L411" s="472"/>
      <c r="M411" s="472"/>
      <c r="N411" s="472"/>
      <c r="O411" s="472"/>
      <c r="P411" s="472"/>
      <c r="Q411" s="472"/>
      <c r="R411" s="472"/>
      <c r="S411" s="472"/>
      <c r="T411" s="472"/>
      <c r="U411" s="472"/>
      <c r="V411" s="472"/>
      <c r="W411" s="472"/>
      <c r="X411" s="472"/>
      <c r="Y411" s="472"/>
      <c r="Z411" s="472"/>
    </row>
    <row r="412" spans="1:26" ht="14.25" customHeight="1">
      <c r="A412" s="472"/>
      <c r="B412" s="472"/>
      <c r="C412" s="472"/>
      <c r="D412" s="472"/>
      <c r="E412" s="472"/>
      <c r="F412" s="472"/>
      <c r="G412" s="472"/>
      <c r="H412" s="472"/>
      <c r="I412" s="472"/>
      <c r="J412" s="472"/>
      <c r="K412" s="472"/>
      <c r="L412" s="472"/>
      <c r="M412" s="472"/>
      <c r="N412" s="472"/>
      <c r="O412" s="472"/>
      <c r="P412" s="472"/>
      <c r="Q412" s="472"/>
      <c r="R412" s="472"/>
      <c r="S412" s="472"/>
      <c r="T412" s="472"/>
      <c r="U412" s="472"/>
      <c r="V412" s="472"/>
      <c r="W412" s="472"/>
      <c r="X412" s="472"/>
      <c r="Y412" s="472"/>
      <c r="Z412" s="472"/>
    </row>
    <row r="413" spans="1:26" ht="14.25" customHeight="1">
      <c r="A413" s="472"/>
      <c r="B413" s="472"/>
      <c r="C413" s="472"/>
      <c r="D413" s="472"/>
      <c r="E413" s="472"/>
      <c r="F413" s="472"/>
      <c r="G413" s="472"/>
      <c r="H413" s="472"/>
      <c r="I413" s="472"/>
      <c r="J413" s="472"/>
      <c r="K413" s="472"/>
      <c r="L413" s="472"/>
      <c r="M413" s="472"/>
      <c r="N413" s="472"/>
      <c r="O413" s="472"/>
      <c r="P413" s="472"/>
      <c r="Q413" s="472"/>
      <c r="R413" s="472"/>
      <c r="S413" s="472"/>
      <c r="T413" s="472"/>
      <c r="U413" s="472"/>
      <c r="V413" s="472"/>
      <c r="W413" s="472"/>
      <c r="X413" s="472"/>
      <c r="Y413" s="472"/>
      <c r="Z413" s="472"/>
    </row>
    <row r="414" spans="1:26" ht="14.25" customHeight="1">
      <c r="A414" s="472"/>
      <c r="B414" s="472"/>
      <c r="C414" s="472"/>
      <c r="D414" s="472"/>
      <c r="E414" s="472"/>
      <c r="F414" s="472"/>
      <c r="G414" s="472"/>
      <c r="H414" s="472"/>
      <c r="I414" s="472"/>
      <c r="J414" s="472"/>
      <c r="K414" s="472"/>
      <c r="L414" s="472"/>
      <c r="M414" s="472"/>
      <c r="N414" s="472"/>
      <c r="O414" s="472"/>
      <c r="P414" s="472"/>
      <c r="Q414" s="472"/>
      <c r="R414" s="472"/>
      <c r="S414" s="472"/>
      <c r="T414" s="472"/>
      <c r="U414" s="472"/>
      <c r="V414" s="472"/>
      <c r="W414" s="472"/>
      <c r="X414" s="472"/>
      <c r="Y414" s="472"/>
      <c r="Z414" s="472"/>
    </row>
    <row r="415" spans="1:26" ht="14.25" customHeight="1">
      <c r="A415" s="472"/>
      <c r="B415" s="472"/>
      <c r="C415" s="472"/>
      <c r="D415" s="472"/>
      <c r="E415" s="472"/>
      <c r="F415" s="472"/>
      <c r="G415" s="472"/>
      <c r="H415" s="472"/>
      <c r="I415" s="472"/>
      <c r="J415" s="472"/>
      <c r="K415" s="472"/>
      <c r="L415" s="472"/>
      <c r="M415" s="472"/>
      <c r="N415" s="472"/>
      <c r="O415" s="472"/>
      <c r="P415" s="472"/>
      <c r="Q415" s="472"/>
      <c r="R415" s="472"/>
      <c r="S415" s="472"/>
      <c r="T415" s="472"/>
      <c r="U415" s="472"/>
      <c r="V415" s="472"/>
      <c r="W415" s="472"/>
      <c r="X415" s="472"/>
      <c r="Y415" s="472"/>
      <c r="Z415" s="472"/>
    </row>
    <row r="416" spans="1:26" ht="14.25" customHeight="1">
      <c r="A416" s="472"/>
      <c r="B416" s="472"/>
      <c r="C416" s="472"/>
      <c r="D416" s="472"/>
      <c r="E416" s="472"/>
      <c r="F416" s="472"/>
      <c r="G416" s="472"/>
      <c r="H416" s="472"/>
      <c r="I416" s="472"/>
      <c r="J416" s="472"/>
      <c r="K416" s="472"/>
      <c r="L416" s="472"/>
      <c r="M416" s="472"/>
      <c r="N416" s="472"/>
      <c r="O416" s="472"/>
      <c r="P416" s="472"/>
      <c r="Q416" s="472"/>
      <c r="R416" s="472"/>
      <c r="S416" s="472"/>
      <c r="T416" s="472"/>
      <c r="U416" s="472"/>
      <c r="V416" s="472"/>
      <c r="W416" s="472"/>
      <c r="X416" s="472"/>
      <c r="Y416" s="472"/>
      <c r="Z416" s="472"/>
    </row>
    <row r="417" spans="1:26" ht="14.25" customHeight="1">
      <c r="A417" s="472"/>
      <c r="B417" s="472"/>
      <c r="C417" s="472"/>
      <c r="D417" s="472"/>
      <c r="E417" s="472"/>
      <c r="F417" s="472"/>
      <c r="G417" s="472"/>
      <c r="H417" s="472"/>
      <c r="I417" s="472"/>
      <c r="J417" s="472"/>
      <c r="K417" s="472"/>
      <c r="L417" s="472"/>
      <c r="M417" s="472"/>
      <c r="N417" s="472"/>
      <c r="O417" s="472"/>
      <c r="P417" s="472"/>
      <c r="Q417" s="472"/>
      <c r="R417" s="472"/>
      <c r="S417" s="472"/>
      <c r="T417" s="472"/>
      <c r="U417" s="472"/>
      <c r="V417" s="472"/>
      <c r="W417" s="472"/>
      <c r="X417" s="472"/>
      <c r="Y417" s="472"/>
      <c r="Z417" s="472"/>
    </row>
    <row r="418" spans="1:26" ht="14.25" customHeight="1">
      <c r="A418" s="472"/>
      <c r="B418" s="472"/>
      <c r="C418" s="472"/>
      <c r="D418" s="472"/>
      <c r="E418" s="472"/>
      <c r="F418" s="472"/>
      <c r="G418" s="472"/>
      <c r="H418" s="472"/>
      <c r="I418" s="472"/>
      <c r="J418" s="472"/>
      <c r="K418" s="472"/>
      <c r="L418" s="472"/>
      <c r="M418" s="472"/>
      <c r="N418" s="472"/>
      <c r="O418" s="472"/>
      <c r="P418" s="472"/>
      <c r="Q418" s="472"/>
      <c r="R418" s="472"/>
      <c r="S418" s="472"/>
      <c r="T418" s="472"/>
      <c r="U418" s="472"/>
      <c r="V418" s="472"/>
      <c r="W418" s="472"/>
      <c r="X418" s="472"/>
      <c r="Y418" s="472"/>
      <c r="Z418" s="472"/>
    </row>
    <row r="419" spans="1:26" ht="14.25" customHeight="1">
      <c r="A419" s="472"/>
      <c r="B419" s="472"/>
      <c r="C419" s="472"/>
      <c r="D419" s="472"/>
      <c r="E419" s="472"/>
      <c r="F419" s="472"/>
      <c r="G419" s="472"/>
      <c r="H419" s="472"/>
      <c r="I419" s="472"/>
      <c r="J419" s="472"/>
      <c r="K419" s="472"/>
      <c r="L419" s="472"/>
      <c r="M419" s="472"/>
      <c r="N419" s="472"/>
      <c r="O419" s="472"/>
      <c r="P419" s="472"/>
      <c r="Q419" s="472"/>
      <c r="R419" s="472"/>
      <c r="S419" s="472"/>
      <c r="T419" s="472"/>
      <c r="U419" s="472"/>
      <c r="V419" s="472"/>
      <c r="W419" s="472"/>
      <c r="X419" s="472"/>
      <c r="Y419" s="472"/>
      <c r="Z419" s="472"/>
    </row>
    <row r="420" spans="1:26" ht="14.25" customHeight="1">
      <c r="A420" s="472"/>
      <c r="B420" s="472"/>
      <c r="C420" s="472"/>
      <c r="D420" s="472"/>
      <c r="E420" s="472"/>
      <c r="F420" s="472"/>
      <c r="G420" s="472"/>
      <c r="H420" s="472"/>
      <c r="I420" s="472"/>
      <c r="J420" s="472"/>
      <c r="K420" s="472"/>
      <c r="L420" s="472"/>
      <c r="M420" s="472"/>
      <c r="N420" s="472"/>
      <c r="O420" s="472"/>
      <c r="P420" s="472"/>
      <c r="Q420" s="472"/>
      <c r="R420" s="472"/>
      <c r="S420" s="472"/>
      <c r="T420" s="472"/>
      <c r="U420" s="472"/>
      <c r="V420" s="472"/>
      <c r="W420" s="472"/>
      <c r="X420" s="472"/>
      <c r="Y420" s="472"/>
      <c r="Z420" s="472"/>
    </row>
    <row r="421" spans="1:26" ht="14.25" customHeight="1">
      <c r="A421" s="472"/>
      <c r="B421" s="472"/>
      <c r="C421" s="472"/>
      <c r="D421" s="472"/>
      <c r="E421" s="472"/>
      <c r="F421" s="472"/>
      <c r="G421" s="472"/>
      <c r="H421" s="472"/>
      <c r="I421" s="472"/>
      <c r="J421" s="472"/>
      <c r="K421" s="472"/>
      <c r="L421" s="472"/>
      <c r="M421" s="472"/>
      <c r="N421" s="472"/>
      <c r="O421" s="472"/>
      <c r="P421" s="472"/>
      <c r="Q421" s="472"/>
      <c r="R421" s="472"/>
      <c r="S421" s="472"/>
      <c r="T421" s="472"/>
      <c r="U421" s="472"/>
      <c r="V421" s="472"/>
      <c r="W421" s="472"/>
      <c r="X421" s="472"/>
      <c r="Y421" s="472"/>
      <c r="Z421" s="472"/>
    </row>
    <row r="422" spans="1:26" ht="14.25" customHeight="1">
      <c r="A422" s="472"/>
      <c r="B422" s="472"/>
      <c r="C422" s="472"/>
      <c r="D422" s="472"/>
      <c r="E422" s="472"/>
      <c r="F422" s="472"/>
      <c r="G422" s="472"/>
      <c r="H422" s="472"/>
      <c r="I422" s="472"/>
      <c r="J422" s="472"/>
      <c r="K422" s="472"/>
      <c r="L422" s="472"/>
      <c r="M422" s="472"/>
      <c r="N422" s="472"/>
      <c r="O422" s="472"/>
      <c r="P422" s="472"/>
      <c r="Q422" s="472"/>
      <c r="R422" s="472"/>
      <c r="S422" s="472"/>
      <c r="T422" s="472"/>
      <c r="U422" s="472"/>
      <c r="V422" s="472"/>
      <c r="W422" s="472"/>
      <c r="X422" s="472"/>
      <c r="Y422" s="472"/>
      <c r="Z422" s="472"/>
    </row>
    <row r="423" spans="1:26" ht="14.25" customHeight="1">
      <c r="A423" s="472"/>
      <c r="B423" s="472"/>
      <c r="C423" s="472"/>
      <c r="D423" s="472"/>
      <c r="E423" s="472"/>
      <c r="F423" s="472"/>
      <c r="G423" s="472"/>
      <c r="H423" s="472"/>
      <c r="I423" s="472"/>
      <c r="J423" s="472"/>
      <c r="K423" s="472"/>
      <c r="L423" s="472"/>
      <c r="M423" s="472"/>
      <c r="N423" s="472"/>
      <c r="O423" s="472"/>
      <c r="P423" s="472"/>
      <c r="Q423" s="472"/>
      <c r="R423" s="472"/>
      <c r="S423" s="472"/>
      <c r="T423" s="472"/>
      <c r="U423" s="472"/>
      <c r="V423" s="472"/>
      <c r="W423" s="472"/>
      <c r="X423" s="472"/>
      <c r="Y423" s="472"/>
      <c r="Z423" s="472"/>
    </row>
    <row r="424" spans="1:26" ht="14.25" customHeight="1">
      <c r="A424" s="472"/>
      <c r="B424" s="472"/>
      <c r="C424" s="472"/>
      <c r="D424" s="472"/>
      <c r="E424" s="472"/>
      <c r="F424" s="472"/>
      <c r="G424" s="472"/>
      <c r="H424" s="472"/>
      <c r="I424" s="472"/>
      <c r="J424" s="472"/>
      <c r="K424" s="472"/>
      <c r="L424" s="472"/>
      <c r="M424" s="472"/>
      <c r="N424" s="472"/>
      <c r="O424" s="472"/>
      <c r="P424" s="472"/>
      <c r="Q424" s="472"/>
      <c r="R424" s="472"/>
      <c r="S424" s="472"/>
      <c r="T424" s="472"/>
      <c r="U424" s="472"/>
      <c r="V424" s="472"/>
      <c r="W424" s="472"/>
      <c r="X424" s="472"/>
      <c r="Y424" s="472"/>
      <c r="Z424" s="472"/>
    </row>
    <row r="425" spans="1:26" ht="14.25" customHeight="1">
      <c r="A425" s="472"/>
      <c r="B425" s="472"/>
      <c r="C425" s="472"/>
      <c r="D425" s="472"/>
      <c r="E425" s="472"/>
      <c r="F425" s="472"/>
      <c r="G425" s="472"/>
      <c r="H425" s="472"/>
      <c r="I425" s="472"/>
      <c r="J425" s="472"/>
      <c r="K425" s="472"/>
      <c r="L425" s="472"/>
      <c r="M425" s="472"/>
      <c r="N425" s="472"/>
      <c r="O425" s="472"/>
      <c r="P425" s="472"/>
      <c r="Q425" s="472"/>
      <c r="R425" s="472"/>
      <c r="S425" s="472"/>
      <c r="T425" s="472"/>
      <c r="U425" s="472"/>
      <c r="V425" s="472"/>
      <c r="W425" s="472"/>
      <c r="X425" s="472"/>
      <c r="Y425" s="472"/>
      <c r="Z425" s="472"/>
    </row>
    <row r="426" spans="1:26" ht="14.25" customHeight="1">
      <c r="A426" s="472"/>
      <c r="B426" s="472"/>
      <c r="C426" s="472"/>
      <c r="D426" s="472"/>
      <c r="E426" s="472"/>
      <c r="F426" s="472"/>
      <c r="G426" s="472"/>
      <c r="H426" s="472"/>
      <c r="I426" s="472"/>
      <c r="J426" s="472"/>
      <c r="K426" s="472"/>
      <c r="L426" s="472"/>
      <c r="M426" s="472"/>
      <c r="N426" s="472"/>
      <c r="O426" s="472"/>
      <c r="P426" s="472"/>
      <c r="Q426" s="472"/>
      <c r="R426" s="472"/>
      <c r="S426" s="472"/>
      <c r="T426" s="472"/>
      <c r="U426" s="472"/>
      <c r="V426" s="472"/>
      <c r="W426" s="472"/>
      <c r="X426" s="472"/>
      <c r="Y426" s="472"/>
      <c r="Z426" s="472"/>
    </row>
    <row r="427" spans="1:26" ht="14.25" customHeight="1">
      <c r="A427" s="472"/>
      <c r="B427" s="472"/>
      <c r="C427" s="472"/>
      <c r="D427" s="472"/>
      <c r="E427" s="472"/>
      <c r="F427" s="472"/>
      <c r="G427" s="472"/>
      <c r="H427" s="472"/>
      <c r="I427" s="472"/>
      <c r="J427" s="472"/>
      <c r="K427" s="472"/>
      <c r="L427" s="472"/>
      <c r="M427" s="472"/>
      <c r="N427" s="472"/>
      <c r="O427" s="472"/>
      <c r="P427" s="472"/>
      <c r="Q427" s="472"/>
      <c r="R427" s="472"/>
      <c r="S427" s="472"/>
      <c r="T427" s="472"/>
      <c r="U427" s="472"/>
      <c r="V427" s="472"/>
      <c r="W427" s="472"/>
      <c r="X427" s="472"/>
      <c r="Y427" s="472"/>
      <c r="Z427" s="472"/>
    </row>
    <row r="428" spans="1:26" ht="14.25" customHeight="1">
      <c r="A428" s="472"/>
      <c r="B428" s="472"/>
      <c r="C428" s="472"/>
      <c r="D428" s="472"/>
      <c r="E428" s="472"/>
      <c r="F428" s="472"/>
      <c r="G428" s="472"/>
      <c r="H428" s="472"/>
      <c r="I428" s="472"/>
      <c r="J428" s="472"/>
      <c r="K428" s="472"/>
      <c r="L428" s="472"/>
      <c r="M428" s="472"/>
      <c r="N428" s="472"/>
      <c r="O428" s="472"/>
      <c r="P428" s="472"/>
      <c r="Q428" s="472"/>
      <c r="R428" s="472"/>
      <c r="S428" s="472"/>
      <c r="T428" s="472"/>
      <c r="U428" s="472"/>
      <c r="V428" s="472"/>
      <c r="W428" s="472"/>
      <c r="X428" s="472"/>
      <c r="Y428" s="472"/>
      <c r="Z428" s="472"/>
    </row>
    <row r="429" spans="1:26" ht="14.25" customHeight="1">
      <c r="A429" s="472"/>
      <c r="B429" s="472"/>
      <c r="C429" s="472"/>
      <c r="D429" s="472"/>
      <c r="E429" s="472"/>
      <c r="F429" s="472"/>
      <c r="G429" s="472"/>
      <c r="H429" s="472"/>
      <c r="I429" s="472"/>
      <c r="J429" s="472"/>
      <c r="K429" s="472"/>
      <c r="L429" s="472"/>
      <c r="M429" s="472"/>
      <c r="N429" s="472"/>
      <c r="O429" s="472"/>
      <c r="P429" s="472"/>
      <c r="Q429" s="472"/>
      <c r="R429" s="472"/>
      <c r="S429" s="472"/>
      <c r="T429" s="472"/>
      <c r="U429" s="472"/>
      <c r="V429" s="472"/>
      <c r="W429" s="472"/>
      <c r="X429" s="472"/>
      <c r="Y429" s="472"/>
      <c r="Z429" s="472"/>
    </row>
    <row r="430" spans="1:26" ht="14.25" customHeight="1">
      <c r="A430" s="472"/>
      <c r="B430" s="472"/>
      <c r="C430" s="472"/>
      <c r="D430" s="472"/>
      <c r="E430" s="472"/>
      <c r="F430" s="472"/>
      <c r="G430" s="472"/>
      <c r="H430" s="472"/>
      <c r="I430" s="472"/>
      <c r="J430" s="472"/>
      <c r="K430" s="472"/>
      <c r="L430" s="472"/>
      <c r="M430" s="472"/>
      <c r="N430" s="472"/>
      <c r="O430" s="472"/>
      <c r="P430" s="472"/>
      <c r="Q430" s="472"/>
      <c r="R430" s="472"/>
      <c r="S430" s="472"/>
      <c r="T430" s="472"/>
      <c r="U430" s="472"/>
      <c r="V430" s="472"/>
      <c r="W430" s="472"/>
      <c r="X430" s="472"/>
      <c r="Y430" s="472"/>
      <c r="Z430" s="472"/>
    </row>
    <row r="431" spans="1:26" ht="14.25" customHeight="1">
      <c r="A431" s="472"/>
      <c r="B431" s="472"/>
      <c r="C431" s="472"/>
      <c r="D431" s="472"/>
      <c r="E431" s="472"/>
      <c r="F431" s="472"/>
      <c r="G431" s="472"/>
      <c r="H431" s="472"/>
      <c r="I431" s="472"/>
      <c r="J431" s="472"/>
      <c r="K431" s="472"/>
      <c r="L431" s="472"/>
      <c r="M431" s="472"/>
      <c r="N431" s="472"/>
      <c r="O431" s="472"/>
      <c r="P431" s="472"/>
      <c r="Q431" s="472"/>
      <c r="R431" s="472"/>
      <c r="S431" s="472"/>
      <c r="T431" s="472"/>
      <c r="U431" s="472"/>
      <c r="V431" s="472"/>
      <c r="W431" s="472"/>
      <c r="X431" s="472"/>
      <c r="Y431" s="472"/>
      <c r="Z431" s="472"/>
    </row>
    <row r="432" spans="1:26" ht="14.25" customHeight="1">
      <c r="A432" s="472"/>
      <c r="B432" s="472"/>
      <c r="C432" s="472"/>
      <c r="D432" s="472"/>
      <c r="E432" s="472"/>
      <c r="F432" s="472"/>
      <c r="G432" s="472"/>
      <c r="H432" s="472"/>
      <c r="I432" s="472"/>
      <c r="J432" s="472"/>
      <c r="K432" s="472"/>
      <c r="L432" s="472"/>
      <c r="M432" s="472"/>
      <c r="N432" s="472"/>
      <c r="O432" s="472"/>
      <c r="P432" s="472"/>
      <c r="Q432" s="472"/>
      <c r="R432" s="472"/>
      <c r="S432" s="472"/>
      <c r="T432" s="472"/>
      <c r="U432" s="472"/>
      <c r="V432" s="472"/>
      <c r="W432" s="472"/>
      <c r="X432" s="472"/>
      <c r="Y432" s="472"/>
      <c r="Z432" s="472"/>
    </row>
    <row r="433" spans="1:26" ht="14.25" customHeight="1">
      <c r="A433" s="472"/>
      <c r="B433" s="472"/>
      <c r="C433" s="472"/>
      <c r="D433" s="472"/>
      <c r="E433" s="472"/>
      <c r="F433" s="472"/>
      <c r="G433" s="472"/>
      <c r="H433" s="472"/>
      <c r="I433" s="472"/>
      <c r="J433" s="472"/>
      <c r="K433" s="472"/>
      <c r="L433" s="472"/>
      <c r="M433" s="472"/>
      <c r="N433" s="472"/>
      <c r="O433" s="472"/>
      <c r="P433" s="472"/>
      <c r="Q433" s="472"/>
      <c r="R433" s="472"/>
      <c r="S433" s="472"/>
      <c r="T433" s="472"/>
      <c r="U433" s="472"/>
      <c r="V433" s="472"/>
      <c r="W433" s="472"/>
      <c r="X433" s="472"/>
      <c r="Y433" s="472"/>
      <c r="Z433" s="472"/>
    </row>
    <row r="434" spans="1:26" ht="14.25" customHeight="1">
      <c r="A434" s="472"/>
      <c r="B434" s="472"/>
      <c r="C434" s="472"/>
      <c r="D434" s="472"/>
      <c r="E434" s="472"/>
      <c r="F434" s="472"/>
      <c r="G434" s="472"/>
      <c r="H434" s="472"/>
      <c r="I434" s="472"/>
      <c r="J434" s="472"/>
      <c r="K434" s="472"/>
      <c r="L434" s="472"/>
      <c r="M434" s="472"/>
      <c r="N434" s="472"/>
      <c r="O434" s="472"/>
      <c r="P434" s="472"/>
      <c r="Q434" s="472"/>
      <c r="R434" s="472"/>
      <c r="S434" s="472"/>
      <c r="T434" s="472"/>
      <c r="U434" s="472"/>
      <c r="V434" s="472"/>
      <c r="W434" s="472"/>
      <c r="X434" s="472"/>
      <c r="Y434" s="472"/>
      <c r="Z434" s="472"/>
    </row>
    <row r="435" spans="1:26" ht="14.25" customHeight="1">
      <c r="A435" s="472"/>
      <c r="B435" s="472"/>
      <c r="C435" s="472"/>
      <c r="D435" s="472"/>
      <c r="E435" s="472"/>
      <c r="F435" s="472"/>
      <c r="G435" s="472"/>
      <c r="H435" s="472"/>
      <c r="I435" s="472"/>
      <c r="J435" s="472"/>
      <c r="K435" s="472"/>
      <c r="L435" s="472"/>
      <c r="M435" s="472"/>
      <c r="N435" s="472"/>
      <c r="O435" s="472"/>
      <c r="P435" s="472"/>
      <c r="Q435" s="472"/>
      <c r="R435" s="472"/>
      <c r="S435" s="472"/>
      <c r="T435" s="472"/>
      <c r="U435" s="472"/>
      <c r="V435" s="472"/>
      <c r="W435" s="472"/>
      <c r="X435" s="472"/>
      <c r="Y435" s="472"/>
      <c r="Z435" s="472"/>
    </row>
    <row r="436" spans="1:26" ht="14.25" customHeight="1">
      <c r="A436" s="472"/>
      <c r="B436" s="472"/>
      <c r="C436" s="472"/>
      <c r="D436" s="472"/>
      <c r="E436" s="472"/>
      <c r="F436" s="472"/>
      <c r="G436" s="472"/>
      <c r="H436" s="472"/>
      <c r="I436" s="472"/>
      <c r="J436" s="472"/>
      <c r="K436" s="472"/>
      <c r="L436" s="472"/>
      <c r="M436" s="472"/>
      <c r="N436" s="472"/>
      <c r="O436" s="472"/>
      <c r="P436" s="472"/>
      <c r="Q436" s="472"/>
      <c r="R436" s="472"/>
      <c r="S436" s="472"/>
      <c r="T436" s="472"/>
      <c r="U436" s="472"/>
      <c r="V436" s="472"/>
      <c r="W436" s="472"/>
      <c r="X436" s="472"/>
      <c r="Y436" s="472"/>
      <c r="Z436" s="472"/>
    </row>
    <row r="437" spans="1:26" ht="14.25" customHeight="1">
      <c r="A437" s="472"/>
      <c r="B437" s="472"/>
      <c r="C437" s="472"/>
      <c r="D437" s="472"/>
      <c r="E437" s="472"/>
      <c r="F437" s="472"/>
      <c r="G437" s="472"/>
      <c r="H437" s="472"/>
      <c r="I437" s="472"/>
      <c r="J437" s="472"/>
      <c r="K437" s="472"/>
      <c r="L437" s="472"/>
      <c r="M437" s="472"/>
      <c r="N437" s="472"/>
      <c r="O437" s="472"/>
      <c r="P437" s="472"/>
      <c r="Q437" s="472"/>
      <c r="R437" s="472"/>
      <c r="S437" s="472"/>
      <c r="T437" s="472"/>
      <c r="U437" s="472"/>
      <c r="V437" s="472"/>
      <c r="W437" s="472"/>
      <c r="X437" s="472"/>
      <c r="Y437" s="472"/>
      <c r="Z437" s="472"/>
    </row>
    <row r="438" spans="1:26" ht="14.25" customHeight="1">
      <c r="A438" s="472"/>
      <c r="B438" s="472"/>
      <c r="C438" s="472"/>
      <c r="D438" s="472"/>
      <c r="E438" s="472"/>
      <c r="F438" s="472"/>
      <c r="G438" s="472"/>
      <c r="H438" s="472"/>
      <c r="I438" s="472"/>
      <c r="J438" s="472"/>
      <c r="K438" s="472"/>
      <c r="L438" s="472"/>
      <c r="M438" s="472"/>
      <c r="N438" s="472"/>
      <c r="O438" s="472"/>
      <c r="P438" s="472"/>
      <c r="Q438" s="472"/>
      <c r="R438" s="472"/>
      <c r="S438" s="472"/>
      <c r="T438" s="472"/>
      <c r="U438" s="472"/>
      <c r="V438" s="472"/>
      <c r="W438" s="472"/>
      <c r="X438" s="472"/>
      <c r="Y438" s="472"/>
      <c r="Z438" s="472"/>
    </row>
    <row r="439" spans="1:26" ht="14.25" customHeight="1">
      <c r="A439" s="472"/>
      <c r="B439" s="472"/>
      <c r="C439" s="472"/>
      <c r="D439" s="472"/>
      <c r="E439" s="472"/>
      <c r="F439" s="472"/>
      <c r="G439" s="472"/>
      <c r="H439" s="472"/>
      <c r="I439" s="472"/>
      <c r="J439" s="472"/>
      <c r="K439" s="472"/>
      <c r="L439" s="472"/>
      <c r="M439" s="472"/>
      <c r="N439" s="472"/>
      <c r="O439" s="472"/>
      <c r="P439" s="472"/>
      <c r="Q439" s="472"/>
      <c r="R439" s="472"/>
      <c r="S439" s="472"/>
      <c r="T439" s="472"/>
      <c r="U439" s="472"/>
      <c r="V439" s="472"/>
      <c r="W439" s="472"/>
      <c r="X439" s="472"/>
      <c r="Y439" s="472"/>
      <c r="Z439" s="472"/>
    </row>
    <row r="440" spans="1:26" ht="14.25" customHeight="1">
      <c r="A440" s="472"/>
      <c r="B440" s="472"/>
      <c r="C440" s="472"/>
      <c r="D440" s="472"/>
      <c r="E440" s="472"/>
      <c r="F440" s="472"/>
      <c r="G440" s="472"/>
      <c r="H440" s="472"/>
      <c r="I440" s="472"/>
      <c r="J440" s="472"/>
      <c r="K440" s="472"/>
      <c r="L440" s="472"/>
      <c r="M440" s="472"/>
      <c r="N440" s="472"/>
      <c r="O440" s="472"/>
      <c r="P440" s="472"/>
      <c r="Q440" s="472"/>
      <c r="R440" s="472"/>
      <c r="S440" s="472"/>
      <c r="T440" s="472"/>
      <c r="U440" s="472"/>
      <c r="V440" s="472"/>
      <c r="W440" s="472"/>
      <c r="X440" s="472"/>
      <c r="Y440" s="472"/>
      <c r="Z440" s="472"/>
    </row>
    <row r="441" spans="1:26" ht="14.25" customHeight="1">
      <c r="A441" s="472"/>
      <c r="B441" s="472"/>
      <c r="C441" s="472"/>
      <c r="D441" s="472"/>
      <c r="E441" s="472"/>
      <c r="F441" s="472"/>
      <c r="G441" s="472"/>
      <c r="H441" s="472"/>
      <c r="I441" s="472"/>
      <c r="J441" s="472"/>
      <c r="K441" s="472"/>
      <c r="L441" s="472"/>
      <c r="M441" s="472"/>
      <c r="N441" s="472"/>
      <c r="O441" s="472"/>
      <c r="P441" s="472"/>
      <c r="Q441" s="472"/>
      <c r="R441" s="472"/>
      <c r="S441" s="472"/>
      <c r="T441" s="472"/>
      <c r="U441" s="472"/>
      <c r="V441" s="472"/>
      <c r="W441" s="472"/>
      <c r="X441" s="472"/>
      <c r="Y441" s="472"/>
      <c r="Z441" s="472"/>
    </row>
    <row r="442" spans="1:26" ht="14.25" customHeight="1">
      <c r="A442" s="472"/>
      <c r="B442" s="472"/>
      <c r="C442" s="472"/>
      <c r="D442" s="472"/>
      <c r="E442" s="472"/>
      <c r="F442" s="472"/>
      <c r="G442" s="472"/>
      <c r="H442" s="472"/>
      <c r="I442" s="472"/>
      <c r="J442" s="472"/>
      <c r="K442" s="472"/>
      <c r="L442" s="472"/>
      <c r="M442" s="472"/>
      <c r="N442" s="472"/>
      <c r="O442" s="472"/>
      <c r="P442" s="472"/>
      <c r="Q442" s="472"/>
      <c r="R442" s="472"/>
      <c r="S442" s="472"/>
      <c r="T442" s="472"/>
      <c r="U442" s="472"/>
      <c r="V442" s="472"/>
      <c r="W442" s="472"/>
      <c r="X442" s="472"/>
      <c r="Y442" s="472"/>
      <c r="Z442" s="472"/>
    </row>
    <row r="443" spans="1:26" ht="14.25" customHeight="1">
      <c r="A443" s="472"/>
      <c r="B443" s="472"/>
      <c r="C443" s="472"/>
      <c r="D443" s="472"/>
      <c r="E443" s="472"/>
      <c r="F443" s="472"/>
      <c r="G443" s="472"/>
      <c r="H443" s="472"/>
      <c r="I443" s="472"/>
      <c r="J443" s="472"/>
      <c r="K443" s="472"/>
      <c r="L443" s="472"/>
      <c r="M443" s="472"/>
      <c r="N443" s="472"/>
      <c r="O443" s="472"/>
      <c r="P443" s="472"/>
      <c r="Q443" s="472"/>
      <c r="R443" s="472"/>
      <c r="S443" s="472"/>
      <c r="T443" s="472"/>
      <c r="U443" s="472"/>
      <c r="V443" s="472"/>
      <c r="W443" s="472"/>
      <c r="X443" s="472"/>
      <c r="Y443" s="472"/>
      <c r="Z443" s="472"/>
    </row>
    <row r="444" spans="1:26" ht="14.25" customHeight="1">
      <c r="A444" s="472"/>
      <c r="B444" s="472"/>
      <c r="C444" s="472"/>
      <c r="D444" s="472"/>
      <c r="E444" s="472"/>
      <c r="F444" s="472"/>
      <c r="G444" s="472"/>
      <c r="H444" s="472"/>
      <c r="I444" s="472"/>
      <c r="J444" s="472"/>
      <c r="K444" s="472"/>
      <c r="L444" s="472"/>
      <c r="M444" s="472"/>
      <c r="N444" s="472"/>
      <c r="O444" s="472"/>
      <c r="P444" s="472"/>
      <c r="Q444" s="472"/>
      <c r="R444" s="472"/>
      <c r="S444" s="472"/>
      <c r="T444" s="472"/>
      <c r="U444" s="472"/>
      <c r="V444" s="472"/>
      <c r="W444" s="472"/>
      <c r="X444" s="472"/>
      <c r="Y444" s="472"/>
      <c r="Z444" s="472"/>
    </row>
    <row r="445" spans="1:26" ht="14.25" customHeight="1">
      <c r="A445" s="472"/>
      <c r="B445" s="472"/>
      <c r="C445" s="472"/>
      <c r="D445" s="472"/>
      <c r="E445" s="472"/>
      <c r="F445" s="472"/>
      <c r="G445" s="472"/>
      <c r="H445" s="472"/>
      <c r="I445" s="472"/>
      <c r="J445" s="472"/>
      <c r="K445" s="472"/>
      <c r="L445" s="472"/>
      <c r="M445" s="472"/>
      <c r="N445" s="472"/>
      <c r="O445" s="472"/>
      <c r="P445" s="472"/>
      <c r="Q445" s="472"/>
      <c r="R445" s="472"/>
      <c r="S445" s="472"/>
      <c r="T445" s="472"/>
      <c r="U445" s="472"/>
      <c r="V445" s="472"/>
      <c r="W445" s="472"/>
      <c r="X445" s="472"/>
      <c r="Y445" s="472"/>
      <c r="Z445" s="472"/>
    </row>
    <row r="446" spans="1:26" ht="14.25" customHeight="1">
      <c r="A446" s="472"/>
      <c r="B446" s="472"/>
      <c r="C446" s="472"/>
      <c r="D446" s="472"/>
      <c r="E446" s="472"/>
      <c r="F446" s="472"/>
      <c r="G446" s="472"/>
      <c r="H446" s="472"/>
      <c r="I446" s="472"/>
      <c r="J446" s="472"/>
      <c r="K446" s="472"/>
      <c r="L446" s="472"/>
      <c r="M446" s="472"/>
      <c r="N446" s="472"/>
      <c r="O446" s="472"/>
      <c r="P446" s="472"/>
      <c r="Q446" s="472"/>
      <c r="R446" s="472"/>
      <c r="S446" s="472"/>
      <c r="T446" s="472"/>
      <c r="U446" s="472"/>
      <c r="V446" s="472"/>
      <c r="W446" s="472"/>
      <c r="X446" s="472"/>
      <c r="Y446" s="472"/>
      <c r="Z446" s="472"/>
    </row>
    <row r="447" spans="1:26" ht="14.25" customHeight="1">
      <c r="A447" s="472"/>
      <c r="B447" s="472"/>
      <c r="C447" s="472"/>
      <c r="D447" s="472"/>
      <c r="E447" s="472"/>
      <c r="F447" s="472"/>
      <c r="G447" s="472"/>
      <c r="H447" s="472"/>
      <c r="I447" s="472"/>
      <c r="J447" s="472"/>
      <c r="K447" s="472"/>
      <c r="L447" s="472"/>
      <c r="M447" s="472"/>
      <c r="N447" s="472"/>
      <c r="O447" s="472"/>
      <c r="P447" s="472"/>
      <c r="Q447" s="472"/>
      <c r="R447" s="472"/>
      <c r="S447" s="472"/>
      <c r="T447" s="472"/>
      <c r="U447" s="472"/>
      <c r="V447" s="472"/>
      <c r="W447" s="472"/>
      <c r="X447" s="472"/>
      <c r="Y447" s="472"/>
      <c r="Z447" s="472"/>
    </row>
    <row r="448" spans="1:26" ht="14.25" customHeight="1">
      <c r="A448" s="472"/>
      <c r="B448" s="472"/>
      <c r="C448" s="472"/>
      <c r="D448" s="472"/>
      <c r="E448" s="472"/>
      <c r="F448" s="472"/>
      <c r="G448" s="472"/>
      <c r="H448" s="472"/>
      <c r="I448" s="472"/>
      <c r="J448" s="472"/>
      <c r="K448" s="472"/>
      <c r="L448" s="472"/>
      <c r="M448" s="472"/>
      <c r="N448" s="472"/>
      <c r="O448" s="472"/>
      <c r="P448" s="472"/>
      <c r="Q448" s="472"/>
      <c r="R448" s="472"/>
      <c r="S448" s="472"/>
      <c r="T448" s="472"/>
      <c r="U448" s="472"/>
      <c r="V448" s="472"/>
      <c r="W448" s="472"/>
      <c r="X448" s="472"/>
      <c r="Y448" s="472"/>
      <c r="Z448" s="472"/>
    </row>
    <row r="449" spans="1:26" ht="14.25" customHeight="1">
      <c r="A449" s="472"/>
      <c r="B449" s="472"/>
      <c r="C449" s="472"/>
      <c r="D449" s="472"/>
      <c r="E449" s="472"/>
      <c r="F449" s="472"/>
      <c r="G449" s="472"/>
      <c r="H449" s="472"/>
      <c r="I449" s="472"/>
      <c r="J449" s="472"/>
      <c r="K449" s="472"/>
      <c r="L449" s="472"/>
      <c r="M449" s="472"/>
      <c r="N449" s="472"/>
      <c r="O449" s="472"/>
      <c r="P449" s="472"/>
      <c r="Q449" s="472"/>
      <c r="R449" s="472"/>
      <c r="S449" s="472"/>
      <c r="T449" s="472"/>
      <c r="U449" s="472"/>
      <c r="V449" s="472"/>
      <c r="W449" s="472"/>
      <c r="X449" s="472"/>
      <c r="Y449" s="472"/>
      <c r="Z449" s="472"/>
    </row>
    <row r="450" spans="1:26" ht="14.25" customHeight="1">
      <c r="A450" s="472"/>
      <c r="B450" s="472"/>
      <c r="C450" s="472"/>
      <c r="D450" s="472"/>
      <c r="E450" s="472"/>
      <c r="F450" s="472"/>
      <c r="G450" s="472"/>
      <c r="H450" s="472"/>
      <c r="I450" s="472"/>
      <c r="J450" s="472"/>
      <c r="K450" s="472"/>
      <c r="L450" s="472"/>
      <c r="M450" s="472"/>
      <c r="N450" s="472"/>
      <c r="O450" s="472"/>
      <c r="P450" s="472"/>
      <c r="Q450" s="472"/>
      <c r="R450" s="472"/>
      <c r="S450" s="472"/>
      <c r="T450" s="472"/>
      <c r="U450" s="472"/>
      <c r="V450" s="472"/>
      <c r="W450" s="472"/>
      <c r="X450" s="472"/>
      <c r="Y450" s="472"/>
      <c r="Z450" s="472"/>
    </row>
    <row r="451" spans="1:26" ht="14.25" customHeight="1">
      <c r="A451" s="472"/>
      <c r="B451" s="472"/>
      <c r="C451" s="472"/>
      <c r="D451" s="472"/>
      <c r="E451" s="472"/>
      <c r="F451" s="472"/>
      <c r="G451" s="472"/>
      <c r="H451" s="472"/>
      <c r="I451" s="472"/>
      <c r="J451" s="472"/>
      <c r="K451" s="472"/>
      <c r="L451" s="472"/>
      <c r="M451" s="472"/>
      <c r="N451" s="472"/>
      <c r="O451" s="472"/>
      <c r="P451" s="472"/>
      <c r="Q451" s="472"/>
      <c r="R451" s="472"/>
      <c r="S451" s="472"/>
      <c r="T451" s="472"/>
      <c r="U451" s="472"/>
      <c r="V451" s="472"/>
      <c r="W451" s="472"/>
      <c r="X451" s="472"/>
      <c r="Y451" s="472"/>
      <c r="Z451" s="472"/>
    </row>
    <row r="452" spans="1:26" ht="14.25" customHeight="1">
      <c r="A452" s="472"/>
      <c r="B452" s="472"/>
      <c r="C452" s="472"/>
      <c r="D452" s="472"/>
      <c r="E452" s="472"/>
      <c r="F452" s="472"/>
      <c r="G452" s="472"/>
      <c r="H452" s="472"/>
      <c r="I452" s="472"/>
      <c r="J452" s="472"/>
      <c r="K452" s="472"/>
      <c r="L452" s="472"/>
      <c r="M452" s="472"/>
      <c r="N452" s="472"/>
      <c r="O452" s="472"/>
      <c r="P452" s="472"/>
      <c r="Q452" s="472"/>
      <c r="R452" s="472"/>
      <c r="S452" s="472"/>
      <c r="T452" s="472"/>
      <c r="U452" s="472"/>
      <c r="V452" s="472"/>
      <c r="W452" s="472"/>
      <c r="X452" s="472"/>
      <c r="Y452" s="472"/>
      <c r="Z452" s="472"/>
    </row>
    <row r="453" spans="1:26" ht="14.25" customHeight="1">
      <c r="A453" s="472"/>
      <c r="B453" s="472"/>
      <c r="C453" s="472"/>
      <c r="D453" s="472"/>
      <c r="E453" s="472"/>
      <c r="F453" s="472"/>
      <c r="G453" s="472"/>
      <c r="H453" s="472"/>
      <c r="I453" s="472"/>
      <c r="J453" s="472"/>
      <c r="K453" s="472"/>
      <c r="L453" s="472"/>
      <c r="M453" s="472"/>
      <c r="N453" s="472"/>
      <c r="O453" s="472"/>
      <c r="P453" s="472"/>
      <c r="Q453" s="472"/>
      <c r="R453" s="472"/>
      <c r="S453" s="472"/>
      <c r="T453" s="472"/>
      <c r="U453" s="472"/>
      <c r="V453" s="472"/>
      <c r="W453" s="472"/>
      <c r="X453" s="472"/>
      <c r="Y453" s="472"/>
      <c r="Z453" s="472"/>
    </row>
    <row r="454" spans="1:26" ht="14.25" customHeight="1">
      <c r="A454" s="472"/>
      <c r="B454" s="472"/>
      <c r="C454" s="472"/>
      <c r="D454" s="472"/>
      <c r="E454" s="472"/>
      <c r="F454" s="472"/>
      <c r="G454" s="472"/>
      <c r="H454" s="472"/>
      <c r="I454" s="472"/>
      <c r="J454" s="472"/>
      <c r="K454" s="472"/>
      <c r="L454" s="472"/>
      <c r="M454" s="472"/>
      <c r="N454" s="472"/>
      <c r="O454" s="472"/>
      <c r="P454" s="472"/>
      <c r="Q454" s="472"/>
      <c r="R454" s="472"/>
      <c r="S454" s="472"/>
      <c r="T454" s="472"/>
      <c r="U454" s="472"/>
      <c r="V454" s="472"/>
      <c r="W454" s="472"/>
      <c r="X454" s="472"/>
      <c r="Y454" s="472"/>
      <c r="Z454" s="472"/>
    </row>
    <row r="455" spans="1:26" ht="14.25" customHeight="1">
      <c r="A455" s="472"/>
      <c r="B455" s="472"/>
      <c r="C455" s="472"/>
      <c r="D455" s="472"/>
      <c r="E455" s="472"/>
      <c r="F455" s="472"/>
      <c r="G455" s="472"/>
      <c r="H455" s="472"/>
      <c r="I455" s="472"/>
      <c r="J455" s="472"/>
      <c r="K455" s="472"/>
      <c r="L455" s="472"/>
      <c r="M455" s="472"/>
      <c r="N455" s="472"/>
      <c r="O455" s="472"/>
      <c r="P455" s="472"/>
      <c r="Q455" s="472"/>
      <c r="R455" s="472"/>
      <c r="S455" s="472"/>
      <c r="T455" s="472"/>
      <c r="U455" s="472"/>
      <c r="V455" s="472"/>
      <c r="W455" s="472"/>
      <c r="X455" s="472"/>
      <c r="Y455" s="472"/>
      <c r="Z455" s="472"/>
    </row>
    <row r="456" spans="1:26" ht="14.25" customHeight="1">
      <c r="A456" s="472"/>
      <c r="B456" s="472"/>
      <c r="C456" s="472"/>
      <c r="D456" s="472"/>
      <c r="E456" s="472"/>
      <c r="F456" s="472"/>
      <c r="G456" s="472"/>
      <c r="H456" s="472"/>
      <c r="I456" s="472"/>
      <c r="J456" s="472"/>
      <c r="K456" s="472"/>
      <c r="L456" s="472"/>
      <c r="M456" s="472"/>
      <c r="N456" s="472"/>
      <c r="O456" s="472"/>
      <c r="P456" s="472"/>
      <c r="Q456" s="472"/>
      <c r="R456" s="472"/>
      <c r="S456" s="472"/>
      <c r="T456" s="472"/>
      <c r="U456" s="472"/>
      <c r="V456" s="472"/>
      <c r="W456" s="472"/>
      <c r="X456" s="472"/>
      <c r="Y456" s="472"/>
      <c r="Z456" s="472"/>
    </row>
    <row r="457" spans="1:26" ht="14.25" customHeight="1">
      <c r="A457" s="472"/>
      <c r="B457" s="472"/>
      <c r="C457" s="472"/>
      <c r="D457" s="472"/>
      <c r="E457" s="472"/>
      <c r="F457" s="472"/>
      <c r="G457" s="472"/>
      <c r="H457" s="472"/>
      <c r="I457" s="472"/>
      <c r="J457" s="472"/>
      <c r="K457" s="472"/>
      <c r="L457" s="472"/>
      <c r="M457" s="472"/>
      <c r="N457" s="472"/>
      <c r="O457" s="472"/>
      <c r="P457" s="472"/>
      <c r="Q457" s="472"/>
      <c r="R457" s="472"/>
      <c r="S457" s="472"/>
      <c r="T457" s="472"/>
      <c r="U457" s="472"/>
      <c r="V457" s="472"/>
      <c r="W457" s="472"/>
      <c r="X457" s="472"/>
      <c r="Y457" s="472"/>
      <c r="Z457" s="472"/>
    </row>
    <row r="458" spans="1:26" ht="14.25" customHeight="1">
      <c r="A458" s="472"/>
      <c r="B458" s="472"/>
      <c r="C458" s="472"/>
      <c r="D458" s="472"/>
      <c r="E458" s="472"/>
      <c r="F458" s="472"/>
      <c r="G458" s="472"/>
      <c r="H458" s="472"/>
      <c r="I458" s="472"/>
      <c r="J458" s="472"/>
      <c r="K458" s="472"/>
      <c r="L458" s="472"/>
      <c r="M458" s="472"/>
      <c r="N458" s="472"/>
      <c r="O458" s="472"/>
      <c r="P458" s="472"/>
      <c r="Q458" s="472"/>
      <c r="R458" s="472"/>
      <c r="S458" s="472"/>
      <c r="T458" s="472"/>
      <c r="U458" s="472"/>
      <c r="V458" s="472"/>
      <c r="W458" s="472"/>
      <c r="X458" s="472"/>
      <c r="Y458" s="472"/>
      <c r="Z458" s="472"/>
    </row>
    <row r="459" spans="1:26" ht="14.25" customHeight="1">
      <c r="A459" s="472"/>
      <c r="B459" s="472"/>
      <c r="C459" s="472"/>
      <c r="D459" s="472"/>
      <c r="E459" s="472"/>
      <c r="F459" s="472"/>
      <c r="G459" s="472"/>
      <c r="H459" s="472"/>
      <c r="I459" s="472"/>
      <c r="J459" s="472"/>
      <c r="K459" s="472"/>
      <c r="L459" s="472"/>
      <c r="M459" s="472"/>
      <c r="N459" s="472"/>
      <c r="O459" s="472"/>
      <c r="P459" s="472"/>
      <c r="Q459" s="472"/>
      <c r="R459" s="472"/>
      <c r="S459" s="472"/>
      <c r="T459" s="472"/>
      <c r="U459" s="472"/>
      <c r="V459" s="472"/>
      <c r="W459" s="472"/>
      <c r="X459" s="472"/>
      <c r="Y459" s="472"/>
      <c r="Z459" s="472"/>
    </row>
    <row r="460" spans="1:26" ht="14.25" customHeight="1">
      <c r="A460" s="472"/>
      <c r="B460" s="472"/>
      <c r="C460" s="472"/>
      <c r="D460" s="472"/>
      <c r="E460" s="472"/>
      <c r="F460" s="472"/>
      <c r="G460" s="472"/>
      <c r="H460" s="472"/>
      <c r="I460" s="472"/>
      <c r="J460" s="472"/>
      <c r="K460" s="472"/>
      <c r="L460" s="472"/>
      <c r="M460" s="472"/>
      <c r="N460" s="472"/>
      <c r="O460" s="472"/>
      <c r="P460" s="472"/>
      <c r="Q460" s="472"/>
      <c r="R460" s="472"/>
      <c r="S460" s="472"/>
      <c r="T460" s="472"/>
      <c r="U460" s="472"/>
      <c r="V460" s="472"/>
      <c r="W460" s="472"/>
      <c r="X460" s="472"/>
      <c r="Y460" s="472"/>
      <c r="Z460" s="472"/>
    </row>
    <row r="461" spans="1:26" ht="14.25" customHeight="1">
      <c r="A461" s="472"/>
      <c r="B461" s="472"/>
      <c r="C461" s="472"/>
      <c r="D461" s="472"/>
      <c r="E461" s="472"/>
      <c r="F461" s="472"/>
      <c r="G461" s="472"/>
      <c r="H461" s="472"/>
      <c r="I461" s="472"/>
      <c r="J461" s="472"/>
      <c r="K461" s="472"/>
      <c r="L461" s="472"/>
      <c r="M461" s="472"/>
      <c r="N461" s="472"/>
      <c r="O461" s="472"/>
      <c r="P461" s="472"/>
      <c r="Q461" s="472"/>
      <c r="R461" s="472"/>
      <c r="S461" s="472"/>
      <c r="T461" s="472"/>
      <c r="U461" s="472"/>
      <c r="V461" s="472"/>
      <c r="W461" s="472"/>
      <c r="X461" s="472"/>
      <c r="Y461" s="472"/>
      <c r="Z461" s="472"/>
    </row>
    <row r="462" spans="1:26" ht="14.25" customHeight="1">
      <c r="A462" s="472"/>
      <c r="B462" s="472"/>
      <c r="C462" s="472"/>
      <c r="D462" s="472"/>
      <c r="E462" s="472"/>
      <c r="F462" s="472"/>
      <c r="G462" s="472"/>
      <c r="H462" s="472"/>
      <c r="I462" s="472"/>
      <c r="J462" s="472"/>
      <c r="K462" s="472"/>
      <c r="L462" s="472"/>
      <c r="M462" s="472"/>
      <c r="N462" s="472"/>
      <c r="O462" s="472"/>
      <c r="P462" s="472"/>
      <c r="Q462" s="472"/>
      <c r="R462" s="472"/>
      <c r="S462" s="472"/>
      <c r="T462" s="472"/>
      <c r="U462" s="472"/>
      <c r="V462" s="472"/>
      <c r="W462" s="472"/>
      <c r="X462" s="472"/>
      <c r="Y462" s="472"/>
      <c r="Z462" s="472"/>
    </row>
    <row r="463" spans="1:26" ht="14.25" customHeight="1">
      <c r="A463" s="472"/>
      <c r="B463" s="472"/>
      <c r="C463" s="472"/>
      <c r="D463" s="472"/>
      <c r="E463" s="472"/>
      <c r="F463" s="472"/>
      <c r="G463" s="472"/>
      <c r="H463" s="472"/>
      <c r="I463" s="472"/>
      <c r="J463" s="472"/>
      <c r="K463" s="472"/>
      <c r="L463" s="472"/>
      <c r="M463" s="472"/>
      <c r="N463" s="472"/>
      <c r="O463" s="472"/>
      <c r="P463" s="472"/>
      <c r="Q463" s="472"/>
      <c r="R463" s="472"/>
      <c r="S463" s="472"/>
      <c r="T463" s="472"/>
      <c r="U463" s="472"/>
      <c r="V463" s="472"/>
      <c r="W463" s="472"/>
      <c r="X463" s="472"/>
      <c r="Y463" s="472"/>
      <c r="Z463" s="472"/>
    </row>
    <row r="464" spans="1:26" ht="14.25" customHeight="1">
      <c r="A464" s="472"/>
      <c r="B464" s="472"/>
      <c r="C464" s="472"/>
      <c r="D464" s="472"/>
      <c r="E464" s="472"/>
      <c r="F464" s="472"/>
      <c r="G464" s="472"/>
      <c r="H464" s="472"/>
      <c r="I464" s="472"/>
      <c r="J464" s="472"/>
      <c r="K464" s="472"/>
      <c r="L464" s="472"/>
      <c r="M464" s="472"/>
      <c r="N464" s="472"/>
      <c r="O464" s="472"/>
      <c r="P464" s="472"/>
      <c r="Q464" s="472"/>
      <c r="R464" s="472"/>
      <c r="S464" s="472"/>
      <c r="T464" s="472"/>
      <c r="U464" s="472"/>
      <c r="V464" s="472"/>
      <c r="W464" s="472"/>
      <c r="X464" s="472"/>
      <c r="Y464" s="472"/>
      <c r="Z464" s="472"/>
    </row>
    <row r="465" spans="1:26" ht="14.25" customHeight="1">
      <c r="A465" s="472"/>
      <c r="B465" s="472"/>
      <c r="C465" s="472"/>
      <c r="D465" s="472"/>
      <c r="E465" s="472"/>
      <c r="F465" s="472"/>
      <c r="G465" s="472"/>
      <c r="H465" s="472"/>
      <c r="I465" s="472"/>
      <c r="J465" s="472"/>
      <c r="K465" s="472"/>
      <c r="L465" s="472"/>
      <c r="M465" s="472"/>
      <c r="N465" s="472"/>
      <c r="O465" s="472"/>
      <c r="P465" s="472"/>
      <c r="Q465" s="472"/>
      <c r="R465" s="472"/>
      <c r="S465" s="472"/>
      <c r="T465" s="472"/>
      <c r="U465" s="472"/>
      <c r="V465" s="472"/>
      <c r="W465" s="472"/>
      <c r="X465" s="472"/>
      <c r="Y465" s="472"/>
      <c r="Z465" s="472"/>
    </row>
    <row r="466" spans="1:26" ht="14.25" customHeight="1">
      <c r="A466" s="472"/>
      <c r="B466" s="472"/>
      <c r="C466" s="472"/>
      <c r="D466" s="472"/>
      <c r="E466" s="472"/>
      <c r="F466" s="472"/>
      <c r="G466" s="472"/>
      <c r="H466" s="472"/>
      <c r="I466" s="472"/>
      <c r="J466" s="472"/>
      <c r="K466" s="472"/>
      <c r="L466" s="472"/>
      <c r="M466" s="472"/>
      <c r="N466" s="472"/>
      <c r="O466" s="472"/>
      <c r="P466" s="472"/>
      <c r="Q466" s="472"/>
      <c r="R466" s="472"/>
      <c r="S466" s="472"/>
      <c r="T466" s="472"/>
      <c r="U466" s="472"/>
      <c r="V466" s="472"/>
      <c r="W466" s="472"/>
      <c r="X466" s="472"/>
      <c r="Y466" s="472"/>
      <c r="Z466" s="472"/>
    </row>
    <row r="467" spans="1:26" ht="14.25" customHeight="1">
      <c r="A467" s="472"/>
      <c r="B467" s="472"/>
      <c r="C467" s="472"/>
      <c r="D467" s="472"/>
      <c r="E467" s="472"/>
      <c r="F467" s="472"/>
      <c r="G467" s="472"/>
      <c r="H467" s="472"/>
      <c r="I467" s="472"/>
      <c r="J467" s="472"/>
      <c r="K467" s="472"/>
      <c r="L467" s="472"/>
      <c r="M467" s="472"/>
      <c r="N467" s="472"/>
      <c r="O467" s="472"/>
      <c r="P467" s="472"/>
      <c r="Q467" s="472"/>
      <c r="R467" s="472"/>
      <c r="S467" s="472"/>
      <c r="T467" s="472"/>
      <c r="U467" s="472"/>
      <c r="V467" s="472"/>
      <c r="W467" s="472"/>
      <c r="X467" s="472"/>
      <c r="Y467" s="472"/>
      <c r="Z467" s="472"/>
    </row>
    <row r="468" spans="1:26" ht="14.25" customHeight="1">
      <c r="A468" s="472"/>
      <c r="B468" s="472"/>
      <c r="C468" s="472"/>
      <c r="D468" s="472"/>
      <c r="E468" s="472"/>
      <c r="F468" s="472"/>
      <c r="G468" s="472"/>
      <c r="H468" s="472"/>
      <c r="I468" s="472"/>
      <c r="J468" s="472"/>
      <c r="K468" s="472"/>
      <c r="L468" s="472"/>
      <c r="M468" s="472"/>
      <c r="N468" s="472"/>
      <c r="O468" s="472"/>
      <c r="P468" s="472"/>
      <c r="Q468" s="472"/>
      <c r="R468" s="472"/>
      <c r="S468" s="472"/>
      <c r="T468" s="472"/>
      <c r="U468" s="472"/>
      <c r="V468" s="472"/>
      <c r="W468" s="472"/>
      <c r="X468" s="472"/>
      <c r="Y468" s="472"/>
      <c r="Z468" s="472"/>
    </row>
    <row r="469" spans="1:26" ht="14.25" customHeight="1">
      <c r="A469" s="472"/>
      <c r="B469" s="472"/>
      <c r="C469" s="472"/>
      <c r="D469" s="472"/>
      <c r="E469" s="472"/>
      <c r="F469" s="472"/>
      <c r="G469" s="472"/>
      <c r="H469" s="472"/>
      <c r="I469" s="472"/>
      <c r="J469" s="472"/>
      <c r="K469" s="472"/>
      <c r="L469" s="472"/>
      <c r="M469" s="472"/>
      <c r="N469" s="472"/>
      <c r="O469" s="472"/>
      <c r="P469" s="472"/>
      <c r="Q469" s="472"/>
      <c r="R469" s="472"/>
      <c r="S469" s="472"/>
      <c r="T469" s="472"/>
      <c r="U469" s="472"/>
      <c r="V469" s="472"/>
      <c r="W469" s="472"/>
      <c r="X469" s="472"/>
      <c r="Y469" s="472"/>
      <c r="Z469" s="472"/>
    </row>
    <row r="470" spans="1:26" ht="14.25" customHeight="1">
      <c r="A470" s="472"/>
      <c r="B470" s="472"/>
      <c r="C470" s="472"/>
      <c r="D470" s="472"/>
      <c r="E470" s="472"/>
      <c r="F470" s="472"/>
      <c r="G470" s="472"/>
      <c r="H470" s="472"/>
      <c r="I470" s="472"/>
      <c r="J470" s="472"/>
      <c r="K470" s="472"/>
      <c r="L470" s="472"/>
      <c r="M470" s="472"/>
      <c r="N470" s="472"/>
      <c r="O470" s="472"/>
      <c r="P470" s="472"/>
      <c r="Q470" s="472"/>
      <c r="R470" s="472"/>
      <c r="S470" s="472"/>
      <c r="T470" s="472"/>
      <c r="U470" s="472"/>
      <c r="V470" s="472"/>
      <c r="W470" s="472"/>
      <c r="X470" s="472"/>
      <c r="Y470" s="472"/>
      <c r="Z470" s="472"/>
    </row>
    <row r="471" spans="1:26" ht="14.25" customHeight="1">
      <c r="A471" s="472"/>
      <c r="B471" s="472"/>
      <c r="C471" s="472"/>
      <c r="D471" s="472"/>
      <c r="E471" s="472"/>
      <c r="F471" s="472"/>
      <c r="G471" s="472"/>
      <c r="H471" s="472"/>
      <c r="I471" s="472"/>
      <c r="J471" s="472"/>
      <c r="K471" s="472"/>
      <c r="L471" s="472"/>
      <c r="M471" s="472"/>
      <c r="N471" s="472"/>
      <c r="O471" s="472"/>
      <c r="P471" s="472"/>
      <c r="Q471" s="472"/>
      <c r="R471" s="472"/>
      <c r="S471" s="472"/>
      <c r="T471" s="472"/>
      <c r="U471" s="472"/>
      <c r="V471" s="472"/>
      <c r="W471" s="472"/>
      <c r="X471" s="472"/>
      <c r="Y471" s="472"/>
      <c r="Z471" s="472"/>
    </row>
    <row r="472" spans="1:26" ht="14.25" customHeight="1">
      <c r="A472" s="472"/>
      <c r="B472" s="472"/>
      <c r="C472" s="472"/>
      <c r="D472" s="472"/>
      <c r="E472" s="472"/>
      <c r="F472" s="472"/>
      <c r="G472" s="472"/>
      <c r="H472" s="472"/>
      <c r="I472" s="472"/>
      <c r="J472" s="472"/>
      <c r="K472" s="472"/>
      <c r="L472" s="472"/>
      <c r="M472" s="472"/>
      <c r="N472" s="472"/>
      <c r="O472" s="472"/>
      <c r="P472" s="472"/>
      <c r="Q472" s="472"/>
      <c r="R472" s="472"/>
      <c r="S472" s="472"/>
      <c r="T472" s="472"/>
      <c r="U472" s="472"/>
      <c r="V472" s="472"/>
      <c r="W472" s="472"/>
      <c r="X472" s="472"/>
      <c r="Y472" s="472"/>
      <c r="Z472" s="472"/>
    </row>
    <row r="473" spans="1:26" ht="14.25" customHeight="1">
      <c r="A473" s="472"/>
      <c r="B473" s="472"/>
      <c r="C473" s="472"/>
      <c r="D473" s="472"/>
      <c r="E473" s="472"/>
      <c r="F473" s="472"/>
      <c r="G473" s="472"/>
      <c r="H473" s="472"/>
      <c r="I473" s="472"/>
      <c r="J473" s="472"/>
      <c r="K473" s="472"/>
      <c r="L473" s="472"/>
      <c r="M473" s="472"/>
      <c r="N473" s="472"/>
      <c r="O473" s="472"/>
      <c r="P473" s="472"/>
      <c r="Q473" s="472"/>
      <c r="R473" s="472"/>
      <c r="S473" s="472"/>
      <c r="T473" s="472"/>
      <c r="U473" s="472"/>
      <c r="V473" s="472"/>
      <c r="W473" s="472"/>
      <c r="X473" s="472"/>
      <c r="Y473" s="472"/>
      <c r="Z473" s="472"/>
    </row>
    <row r="474" spans="1:26" ht="14.25" customHeight="1">
      <c r="A474" s="472"/>
      <c r="B474" s="472"/>
      <c r="C474" s="472"/>
      <c r="D474" s="472"/>
      <c r="E474" s="472"/>
      <c r="F474" s="472"/>
      <c r="G474" s="472"/>
      <c r="H474" s="472"/>
      <c r="I474" s="472"/>
      <c r="J474" s="472"/>
      <c r="K474" s="472"/>
      <c r="L474" s="472"/>
      <c r="M474" s="472"/>
      <c r="N474" s="472"/>
      <c r="O474" s="472"/>
      <c r="P474" s="472"/>
      <c r="Q474" s="472"/>
      <c r="R474" s="472"/>
      <c r="S474" s="472"/>
      <c r="T474" s="472"/>
      <c r="U474" s="472"/>
      <c r="V474" s="472"/>
      <c r="W474" s="472"/>
      <c r="X474" s="472"/>
      <c r="Y474" s="472"/>
      <c r="Z474" s="472"/>
    </row>
    <row r="475" spans="1:26" ht="14.25" customHeight="1">
      <c r="A475" s="472"/>
      <c r="B475" s="472"/>
      <c r="C475" s="472"/>
      <c r="D475" s="472"/>
      <c r="E475" s="472"/>
      <c r="F475" s="472"/>
      <c r="G475" s="472"/>
      <c r="H475" s="472"/>
      <c r="I475" s="472"/>
      <c r="J475" s="472"/>
      <c r="K475" s="472"/>
      <c r="L475" s="472"/>
      <c r="M475" s="472"/>
      <c r="N475" s="472"/>
      <c r="O475" s="472"/>
      <c r="P475" s="472"/>
      <c r="Q475" s="472"/>
      <c r="R475" s="472"/>
      <c r="S475" s="472"/>
      <c r="T475" s="472"/>
      <c r="U475" s="472"/>
      <c r="V475" s="472"/>
      <c r="W475" s="472"/>
      <c r="X475" s="472"/>
      <c r="Y475" s="472"/>
      <c r="Z475" s="472"/>
    </row>
    <row r="476" spans="1:26" ht="14.25" customHeight="1">
      <c r="A476" s="472"/>
      <c r="B476" s="472"/>
      <c r="C476" s="472"/>
      <c r="D476" s="472"/>
      <c r="E476" s="472"/>
      <c r="F476" s="472"/>
      <c r="G476" s="472"/>
      <c r="H476" s="472"/>
      <c r="I476" s="472"/>
      <c r="J476" s="472"/>
      <c r="K476" s="472"/>
      <c r="L476" s="472"/>
      <c r="M476" s="472"/>
      <c r="N476" s="472"/>
      <c r="O476" s="472"/>
      <c r="P476" s="472"/>
      <c r="Q476" s="472"/>
      <c r="R476" s="472"/>
      <c r="S476" s="472"/>
      <c r="T476" s="472"/>
      <c r="U476" s="472"/>
      <c r="V476" s="472"/>
      <c r="W476" s="472"/>
      <c r="X476" s="472"/>
      <c r="Y476" s="472"/>
      <c r="Z476" s="472"/>
    </row>
    <row r="477" spans="1:26" ht="14.25" customHeight="1">
      <c r="A477" s="472"/>
      <c r="B477" s="472"/>
      <c r="C477" s="472"/>
      <c r="D477" s="472"/>
      <c r="E477" s="472"/>
      <c r="F477" s="472"/>
      <c r="G477" s="472"/>
      <c r="H477" s="472"/>
      <c r="I477" s="472"/>
      <c r="J477" s="472"/>
      <c r="K477" s="472"/>
      <c r="L477" s="472"/>
      <c r="M477" s="472"/>
      <c r="N477" s="472"/>
      <c r="O477" s="472"/>
      <c r="P477" s="472"/>
      <c r="Q477" s="472"/>
      <c r="R477" s="472"/>
      <c r="S477" s="472"/>
      <c r="T477" s="472"/>
      <c r="U477" s="472"/>
      <c r="V477" s="472"/>
      <c r="W477" s="472"/>
      <c r="X477" s="472"/>
      <c r="Y477" s="472"/>
      <c r="Z477" s="472"/>
    </row>
    <row r="478" spans="1:26" ht="14.25" customHeight="1">
      <c r="A478" s="472"/>
      <c r="B478" s="472"/>
      <c r="C478" s="472"/>
      <c r="D478" s="472"/>
      <c r="E478" s="472"/>
      <c r="F478" s="472"/>
      <c r="G478" s="472"/>
      <c r="H478" s="472"/>
      <c r="I478" s="472"/>
      <c r="J478" s="472"/>
      <c r="K478" s="472"/>
      <c r="L478" s="472"/>
      <c r="M478" s="472"/>
      <c r="N478" s="472"/>
      <c r="O478" s="472"/>
      <c r="P478" s="472"/>
      <c r="Q478" s="472"/>
      <c r="R478" s="472"/>
      <c r="S478" s="472"/>
      <c r="T478" s="472"/>
      <c r="U478" s="472"/>
      <c r="V478" s="472"/>
      <c r="W478" s="472"/>
      <c r="X478" s="472"/>
      <c r="Y478" s="472"/>
      <c r="Z478" s="472"/>
    </row>
    <row r="479" spans="1:26" ht="14.25" customHeight="1">
      <c r="A479" s="472"/>
      <c r="B479" s="472"/>
      <c r="C479" s="472"/>
      <c r="D479" s="472"/>
      <c r="E479" s="472"/>
      <c r="F479" s="472"/>
      <c r="G479" s="472"/>
      <c r="H479" s="472"/>
      <c r="I479" s="472"/>
      <c r="J479" s="472"/>
      <c r="K479" s="472"/>
      <c r="L479" s="472"/>
      <c r="M479" s="472"/>
      <c r="N479" s="472"/>
      <c r="O479" s="472"/>
      <c r="P479" s="472"/>
      <c r="Q479" s="472"/>
      <c r="R479" s="472"/>
      <c r="S479" s="472"/>
      <c r="T479" s="472"/>
      <c r="U479" s="472"/>
      <c r="V479" s="472"/>
      <c r="W479" s="472"/>
      <c r="X479" s="472"/>
      <c r="Y479" s="472"/>
      <c r="Z479" s="472"/>
    </row>
    <row r="480" spans="1:26" ht="14.25" customHeight="1">
      <c r="A480" s="472"/>
      <c r="B480" s="472"/>
      <c r="C480" s="472"/>
      <c r="D480" s="472"/>
      <c r="E480" s="472"/>
      <c r="F480" s="472"/>
      <c r="G480" s="472"/>
      <c r="H480" s="472"/>
      <c r="I480" s="472"/>
      <c r="J480" s="472"/>
      <c r="K480" s="472"/>
      <c r="L480" s="472"/>
      <c r="M480" s="472"/>
      <c r="N480" s="472"/>
      <c r="O480" s="472"/>
      <c r="P480" s="472"/>
      <c r="Q480" s="472"/>
      <c r="R480" s="472"/>
      <c r="S480" s="472"/>
      <c r="T480" s="472"/>
      <c r="U480" s="472"/>
      <c r="V480" s="472"/>
      <c r="W480" s="472"/>
      <c r="X480" s="472"/>
      <c r="Y480" s="472"/>
      <c r="Z480" s="472"/>
    </row>
    <row r="481" spans="1:26" ht="14.25" customHeight="1">
      <c r="A481" s="472"/>
      <c r="B481" s="472"/>
      <c r="C481" s="472"/>
      <c r="D481" s="472"/>
      <c r="E481" s="472"/>
      <c r="F481" s="472"/>
      <c r="G481" s="472"/>
      <c r="H481" s="472"/>
      <c r="I481" s="472"/>
      <c r="J481" s="472"/>
      <c r="K481" s="472"/>
      <c r="L481" s="472"/>
      <c r="M481" s="472"/>
      <c r="N481" s="472"/>
      <c r="O481" s="472"/>
      <c r="P481" s="472"/>
      <c r="Q481" s="472"/>
      <c r="R481" s="472"/>
      <c r="S481" s="472"/>
      <c r="T481" s="472"/>
      <c r="U481" s="472"/>
      <c r="V481" s="472"/>
      <c r="W481" s="472"/>
      <c r="X481" s="472"/>
      <c r="Y481" s="472"/>
      <c r="Z481" s="472"/>
    </row>
    <row r="482" spans="1:26" ht="14.25" customHeight="1">
      <c r="A482" s="472"/>
      <c r="B482" s="472"/>
      <c r="C482" s="472"/>
      <c r="D482" s="472"/>
      <c r="E482" s="472"/>
      <c r="F482" s="472"/>
      <c r="G482" s="472"/>
      <c r="H482" s="472"/>
      <c r="I482" s="472"/>
      <c r="J482" s="472"/>
      <c r="K482" s="472"/>
      <c r="L482" s="472"/>
      <c r="M482" s="472"/>
      <c r="N482" s="472"/>
      <c r="O482" s="472"/>
      <c r="P482" s="472"/>
      <c r="Q482" s="472"/>
      <c r="R482" s="472"/>
      <c r="S482" s="472"/>
      <c r="T482" s="472"/>
      <c r="U482" s="472"/>
      <c r="V482" s="472"/>
      <c r="W482" s="472"/>
      <c r="X482" s="472"/>
      <c r="Y482" s="472"/>
      <c r="Z482" s="472"/>
    </row>
    <row r="483" spans="1:26" ht="14.25" customHeight="1">
      <c r="A483" s="472"/>
      <c r="B483" s="472"/>
      <c r="C483" s="472"/>
      <c r="D483" s="472"/>
      <c r="E483" s="472"/>
      <c r="F483" s="472"/>
      <c r="G483" s="472"/>
      <c r="H483" s="472"/>
      <c r="I483" s="472"/>
      <c r="J483" s="472"/>
      <c r="K483" s="472"/>
      <c r="L483" s="472"/>
      <c r="M483" s="472"/>
      <c r="N483" s="472"/>
      <c r="O483" s="472"/>
      <c r="P483" s="472"/>
      <c r="Q483" s="472"/>
      <c r="R483" s="472"/>
      <c r="S483" s="472"/>
      <c r="T483" s="472"/>
      <c r="U483" s="472"/>
      <c r="V483" s="472"/>
      <c r="W483" s="472"/>
      <c r="X483" s="472"/>
      <c r="Y483" s="472"/>
      <c r="Z483" s="472"/>
    </row>
    <row r="484" spans="1:26" ht="14.25" customHeight="1">
      <c r="A484" s="472"/>
      <c r="B484" s="472"/>
      <c r="C484" s="472"/>
      <c r="D484" s="472"/>
      <c r="E484" s="472"/>
      <c r="F484" s="472"/>
      <c r="G484" s="472"/>
      <c r="H484" s="472"/>
      <c r="I484" s="472"/>
      <c r="J484" s="472"/>
      <c r="K484" s="472"/>
      <c r="L484" s="472"/>
      <c r="M484" s="472"/>
      <c r="N484" s="472"/>
      <c r="O484" s="472"/>
      <c r="P484" s="472"/>
      <c r="Q484" s="472"/>
      <c r="R484" s="472"/>
      <c r="S484" s="472"/>
      <c r="T484" s="472"/>
      <c r="U484" s="472"/>
      <c r="V484" s="472"/>
      <c r="W484" s="472"/>
      <c r="X484" s="472"/>
      <c r="Y484" s="472"/>
      <c r="Z484" s="472"/>
    </row>
    <row r="485" spans="1:26" ht="14.25" customHeight="1">
      <c r="A485" s="472"/>
      <c r="B485" s="472"/>
      <c r="C485" s="472"/>
      <c r="D485" s="472"/>
      <c r="E485" s="472"/>
      <c r="F485" s="472"/>
      <c r="G485" s="472"/>
      <c r="H485" s="472"/>
      <c r="I485" s="472"/>
      <c r="J485" s="472"/>
      <c r="K485" s="472"/>
      <c r="L485" s="472"/>
      <c r="M485" s="472"/>
      <c r="N485" s="472"/>
      <c r="O485" s="472"/>
      <c r="P485" s="472"/>
      <c r="Q485" s="472"/>
      <c r="R485" s="472"/>
      <c r="S485" s="472"/>
      <c r="T485" s="472"/>
      <c r="U485" s="472"/>
      <c r="V485" s="472"/>
      <c r="W485" s="472"/>
      <c r="X485" s="472"/>
      <c r="Y485" s="472"/>
      <c r="Z485" s="472"/>
    </row>
    <row r="486" spans="1:26" ht="14.25" customHeight="1">
      <c r="A486" s="472"/>
      <c r="B486" s="472"/>
      <c r="C486" s="472"/>
      <c r="D486" s="472"/>
      <c r="E486" s="472"/>
      <c r="F486" s="472"/>
      <c r="G486" s="472"/>
      <c r="H486" s="472"/>
      <c r="I486" s="472"/>
      <c r="J486" s="472"/>
      <c r="K486" s="472"/>
      <c r="L486" s="472"/>
      <c r="M486" s="472"/>
      <c r="N486" s="472"/>
      <c r="O486" s="472"/>
      <c r="P486" s="472"/>
      <c r="Q486" s="472"/>
      <c r="R486" s="472"/>
      <c r="S486" s="472"/>
      <c r="T486" s="472"/>
      <c r="U486" s="472"/>
      <c r="V486" s="472"/>
      <c r="W486" s="472"/>
      <c r="X486" s="472"/>
      <c r="Y486" s="472"/>
      <c r="Z486" s="472"/>
    </row>
    <row r="487" spans="1:26" ht="14.25" customHeight="1">
      <c r="A487" s="472"/>
      <c r="B487" s="472"/>
      <c r="C487" s="472"/>
      <c r="D487" s="472"/>
      <c r="E487" s="472"/>
      <c r="F487" s="472"/>
      <c r="G487" s="472"/>
      <c r="H487" s="472"/>
      <c r="I487" s="472"/>
      <c r="J487" s="472"/>
      <c r="K487" s="472"/>
      <c r="L487" s="472"/>
      <c r="M487" s="472"/>
      <c r="N487" s="472"/>
      <c r="O487" s="472"/>
      <c r="P487" s="472"/>
      <c r="Q487" s="472"/>
      <c r="R487" s="472"/>
      <c r="S487" s="472"/>
      <c r="T487" s="472"/>
      <c r="U487" s="472"/>
      <c r="V487" s="472"/>
      <c r="W487" s="472"/>
      <c r="X487" s="472"/>
      <c r="Y487" s="472"/>
      <c r="Z487" s="472"/>
    </row>
    <row r="488" spans="1:26" ht="14.25" customHeight="1">
      <c r="A488" s="472"/>
      <c r="B488" s="472"/>
      <c r="C488" s="472"/>
      <c r="D488" s="472"/>
      <c r="E488" s="472"/>
      <c r="F488" s="472"/>
      <c r="G488" s="472"/>
      <c r="H488" s="472"/>
      <c r="I488" s="472"/>
      <c r="J488" s="472"/>
      <c r="K488" s="472"/>
      <c r="L488" s="472"/>
      <c r="M488" s="472"/>
      <c r="N488" s="472"/>
      <c r="O488" s="472"/>
      <c r="P488" s="472"/>
      <c r="Q488" s="472"/>
      <c r="R488" s="472"/>
      <c r="S488" s="472"/>
      <c r="T488" s="472"/>
      <c r="U488" s="472"/>
      <c r="V488" s="472"/>
      <c r="W488" s="472"/>
      <c r="X488" s="472"/>
      <c r="Y488" s="472"/>
      <c r="Z488" s="472"/>
    </row>
    <row r="489" spans="1:26" ht="14.25" customHeight="1">
      <c r="A489" s="472"/>
      <c r="B489" s="472"/>
      <c r="C489" s="472"/>
      <c r="D489" s="472"/>
      <c r="E489" s="472"/>
      <c r="F489" s="472"/>
      <c r="G489" s="472"/>
      <c r="H489" s="472"/>
      <c r="I489" s="472"/>
      <c r="J489" s="472"/>
      <c r="K489" s="472"/>
      <c r="L489" s="472"/>
      <c r="M489" s="472"/>
      <c r="N489" s="472"/>
      <c r="O489" s="472"/>
      <c r="P489" s="472"/>
      <c r="Q489" s="472"/>
      <c r="R489" s="472"/>
      <c r="S489" s="472"/>
      <c r="T489" s="472"/>
      <c r="U489" s="472"/>
      <c r="V489" s="472"/>
      <c r="W489" s="472"/>
      <c r="X489" s="472"/>
      <c r="Y489" s="472"/>
      <c r="Z489" s="472"/>
    </row>
    <row r="490" spans="1:26" ht="14.25" customHeight="1">
      <c r="A490" s="472"/>
      <c r="B490" s="472"/>
      <c r="C490" s="472"/>
      <c r="D490" s="472"/>
      <c r="E490" s="472"/>
      <c r="F490" s="472"/>
      <c r="G490" s="472"/>
      <c r="H490" s="472"/>
      <c r="I490" s="472"/>
      <c r="J490" s="472"/>
      <c r="K490" s="472"/>
      <c r="L490" s="472"/>
      <c r="M490" s="472"/>
      <c r="N490" s="472"/>
      <c r="O490" s="472"/>
      <c r="P490" s="472"/>
      <c r="Q490" s="472"/>
      <c r="R490" s="472"/>
      <c r="S490" s="472"/>
      <c r="T490" s="472"/>
      <c r="U490" s="472"/>
      <c r="V490" s="472"/>
      <c r="W490" s="472"/>
      <c r="X490" s="472"/>
      <c r="Y490" s="472"/>
      <c r="Z490" s="472"/>
    </row>
    <row r="491" spans="1:26" ht="14.25" customHeight="1">
      <c r="A491" s="472"/>
      <c r="B491" s="472"/>
      <c r="C491" s="472"/>
      <c r="D491" s="472"/>
      <c r="E491" s="472"/>
      <c r="F491" s="472"/>
      <c r="G491" s="472"/>
      <c r="H491" s="472"/>
      <c r="I491" s="472"/>
      <c r="J491" s="472"/>
      <c r="K491" s="472"/>
      <c r="L491" s="472"/>
      <c r="M491" s="472"/>
      <c r="N491" s="472"/>
      <c r="O491" s="472"/>
      <c r="P491" s="472"/>
      <c r="Q491" s="472"/>
      <c r="R491" s="472"/>
      <c r="S491" s="472"/>
      <c r="T491" s="472"/>
      <c r="U491" s="472"/>
      <c r="V491" s="472"/>
      <c r="W491" s="472"/>
      <c r="X491" s="472"/>
      <c r="Y491" s="472"/>
      <c r="Z491" s="472"/>
    </row>
    <row r="492" spans="1:26" ht="14.25" customHeight="1">
      <c r="A492" s="472"/>
      <c r="B492" s="472"/>
      <c r="C492" s="472"/>
      <c r="D492" s="472"/>
      <c r="E492" s="472"/>
      <c r="F492" s="472"/>
      <c r="G492" s="472"/>
      <c r="H492" s="472"/>
      <c r="I492" s="472"/>
      <c r="J492" s="472"/>
      <c r="K492" s="472"/>
      <c r="L492" s="472"/>
      <c r="M492" s="472"/>
      <c r="N492" s="472"/>
      <c r="O492" s="472"/>
      <c r="P492" s="472"/>
      <c r="Q492" s="472"/>
      <c r="R492" s="472"/>
      <c r="S492" s="472"/>
      <c r="T492" s="472"/>
      <c r="U492" s="472"/>
      <c r="V492" s="472"/>
      <c r="W492" s="472"/>
      <c r="X492" s="472"/>
      <c r="Y492" s="472"/>
      <c r="Z492" s="472"/>
    </row>
    <row r="493" spans="1:26" ht="14.25" customHeight="1">
      <c r="A493" s="472"/>
      <c r="B493" s="472"/>
      <c r="C493" s="472"/>
      <c r="D493" s="472"/>
      <c r="E493" s="472"/>
      <c r="F493" s="472"/>
      <c r="G493" s="472"/>
      <c r="H493" s="472"/>
      <c r="I493" s="472"/>
      <c r="J493" s="472"/>
      <c r="K493" s="472"/>
      <c r="L493" s="472"/>
      <c r="M493" s="472"/>
      <c r="N493" s="472"/>
      <c r="O493" s="472"/>
      <c r="P493" s="472"/>
      <c r="Q493" s="472"/>
      <c r="R493" s="472"/>
      <c r="S493" s="472"/>
      <c r="T493" s="472"/>
      <c r="U493" s="472"/>
      <c r="V493" s="472"/>
      <c r="W493" s="472"/>
      <c r="X493" s="472"/>
      <c r="Y493" s="472"/>
      <c r="Z493" s="472"/>
    </row>
    <row r="494" spans="1:26" ht="14.25" customHeight="1">
      <c r="A494" s="472"/>
      <c r="B494" s="472"/>
      <c r="C494" s="472"/>
      <c r="D494" s="472"/>
      <c r="E494" s="472"/>
      <c r="F494" s="472"/>
      <c r="G494" s="472"/>
      <c r="H494" s="472"/>
      <c r="I494" s="472"/>
      <c r="J494" s="472"/>
      <c r="K494" s="472"/>
      <c r="L494" s="472"/>
      <c r="M494" s="472"/>
      <c r="N494" s="472"/>
      <c r="O494" s="472"/>
      <c r="P494" s="472"/>
      <c r="Q494" s="472"/>
      <c r="R494" s="472"/>
      <c r="S494" s="472"/>
      <c r="T494" s="472"/>
      <c r="U494" s="472"/>
      <c r="V494" s="472"/>
      <c r="W494" s="472"/>
      <c r="X494" s="472"/>
      <c r="Y494" s="472"/>
      <c r="Z494" s="472"/>
    </row>
    <row r="495" spans="1:26" ht="14.25" customHeight="1">
      <c r="A495" s="472"/>
      <c r="B495" s="472"/>
      <c r="C495" s="472"/>
      <c r="D495" s="472"/>
      <c r="E495" s="472"/>
      <c r="F495" s="472"/>
      <c r="G495" s="472"/>
      <c r="H495" s="472"/>
      <c r="I495" s="472"/>
      <c r="J495" s="472"/>
      <c r="K495" s="472"/>
      <c r="L495" s="472"/>
      <c r="M495" s="472"/>
      <c r="N495" s="472"/>
      <c r="O495" s="472"/>
      <c r="P495" s="472"/>
      <c r="Q495" s="472"/>
      <c r="R495" s="472"/>
      <c r="S495" s="472"/>
      <c r="T495" s="472"/>
      <c r="U495" s="472"/>
      <c r="V495" s="472"/>
      <c r="W495" s="472"/>
      <c r="X495" s="472"/>
      <c r="Y495" s="472"/>
      <c r="Z495" s="472"/>
    </row>
    <row r="496" spans="1:26" ht="14.25" customHeight="1">
      <c r="A496" s="472"/>
      <c r="B496" s="472"/>
      <c r="C496" s="472"/>
      <c r="D496" s="472"/>
      <c r="E496" s="472"/>
      <c r="F496" s="472"/>
      <c r="G496" s="472"/>
      <c r="H496" s="472"/>
      <c r="I496" s="472"/>
      <c r="J496" s="472"/>
      <c r="K496" s="472"/>
      <c r="L496" s="472"/>
      <c r="M496" s="472"/>
      <c r="N496" s="472"/>
      <c r="O496" s="472"/>
      <c r="P496" s="472"/>
      <c r="Q496" s="472"/>
      <c r="R496" s="472"/>
      <c r="S496" s="472"/>
      <c r="T496" s="472"/>
      <c r="U496" s="472"/>
      <c r="V496" s="472"/>
      <c r="W496" s="472"/>
      <c r="X496" s="472"/>
      <c r="Y496" s="472"/>
      <c r="Z496" s="472"/>
    </row>
    <row r="497" spans="1:26" ht="14.25" customHeight="1">
      <c r="A497" s="472"/>
      <c r="B497" s="472"/>
      <c r="C497" s="472"/>
      <c r="D497" s="472"/>
      <c r="E497" s="472"/>
      <c r="F497" s="472"/>
      <c r="G497" s="472"/>
      <c r="H497" s="472"/>
      <c r="I497" s="472"/>
      <c r="J497" s="472"/>
      <c r="K497" s="472"/>
      <c r="L497" s="472"/>
      <c r="M497" s="472"/>
      <c r="N497" s="472"/>
      <c r="O497" s="472"/>
      <c r="P497" s="472"/>
      <c r="Q497" s="472"/>
      <c r="R497" s="472"/>
      <c r="S497" s="472"/>
      <c r="T497" s="472"/>
      <c r="U497" s="472"/>
      <c r="V497" s="472"/>
      <c r="W497" s="472"/>
      <c r="X497" s="472"/>
      <c r="Y497" s="472"/>
      <c r="Z497" s="472"/>
    </row>
    <row r="498" spans="1:26" ht="14.25" customHeight="1">
      <c r="A498" s="472"/>
      <c r="B498" s="472"/>
      <c r="C498" s="472"/>
      <c r="D498" s="472"/>
      <c r="E498" s="472"/>
      <c r="F498" s="472"/>
      <c r="G498" s="472"/>
      <c r="H498" s="472"/>
      <c r="I498" s="472"/>
      <c r="J498" s="472"/>
      <c r="K498" s="472"/>
      <c r="L498" s="472"/>
      <c r="M498" s="472"/>
      <c r="N498" s="472"/>
      <c r="O498" s="472"/>
      <c r="P498" s="472"/>
      <c r="Q498" s="472"/>
      <c r="R498" s="472"/>
      <c r="S498" s="472"/>
      <c r="T498" s="472"/>
      <c r="U498" s="472"/>
      <c r="V498" s="472"/>
      <c r="W498" s="472"/>
      <c r="X498" s="472"/>
      <c r="Y498" s="472"/>
      <c r="Z498" s="472"/>
    </row>
    <row r="499" spans="1:26" ht="14.25" customHeight="1">
      <c r="A499" s="472"/>
      <c r="B499" s="472"/>
      <c r="C499" s="472"/>
      <c r="D499" s="472"/>
      <c r="E499" s="472"/>
      <c r="F499" s="472"/>
      <c r="G499" s="472"/>
      <c r="H499" s="472"/>
      <c r="I499" s="472"/>
      <c r="J499" s="472"/>
      <c r="K499" s="472"/>
      <c r="L499" s="472"/>
      <c r="M499" s="472"/>
      <c r="N499" s="472"/>
      <c r="O499" s="472"/>
      <c r="P499" s="472"/>
      <c r="Q499" s="472"/>
      <c r="R499" s="472"/>
      <c r="S499" s="472"/>
      <c r="T499" s="472"/>
      <c r="U499" s="472"/>
      <c r="V499" s="472"/>
      <c r="W499" s="472"/>
      <c r="X499" s="472"/>
      <c r="Y499" s="472"/>
      <c r="Z499" s="472"/>
    </row>
    <row r="500" spans="1:26" ht="14.25" customHeight="1">
      <c r="A500" s="472"/>
      <c r="B500" s="472"/>
      <c r="C500" s="472"/>
      <c r="D500" s="472"/>
      <c r="E500" s="472"/>
      <c r="F500" s="472"/>
      <c r="G500" s="472"/>
      <c r="H500" s="472"/>
      <c r="I500" s="472"/>
      <c r="J500" s="472"/>
      <c r="K500" s="472"/>
      <c r="L500" s="472"/>
      <c r="M500" s="472"/>
      <c r="N500" s="472"/>
      <c r="O500" s="472"/>
      <c r="P500" s="472"/>
      <c r="Q500" s="472"/>
      <c r="R500" s="472"/>
      <c r="S500" s="472"/>
      <c r="T500" s="472"/>
      <c r="U500" s="472"/>
      <c r="V500" s="472"/>
      <c r="W500" s="472"/>
      <c r="X500" s="472"/>
      <c r="Y500" s="472"/>
      <c r="Z500" s="472"/>
    </row>
    <row r="501" spans="1:26" ht="14.25" customHeight="1">
      <c r="A501" s="472"/>
      <c r="B501" s="472"/>
      <c r="C501" s="472"/>
      <c r="D501" s="472"/>
      <c r="E501" s="472"/>
      <c r="F501" s="472"/>
      <c r="G501" s="472"/>
      <c r="H501" s="472"/>
      <c r="I501" s="472"/>
      <c r="J501" s="472"/>
      <c r="K501" s="472"/>
      <c r="L501" s="472"/>
      <c r="M501" s="472"/>
      <c r="N501" s="472"/>
      <c r="O501" s="472"/>
      <c r="P501" s="472"/>
      <c r="Q501" s="472"/>
      <c r="R501" s="472"/>
      <c r="S501" s="472"/>
      <c r="T501" s="472"/>
      <c r="U501" s="472"/>
      <c r="V501" s="472"/>
      <c r="W501" s="472"/>
      <c r="X501" s="472"/>
      <c r="Y501" s="472"/>
      <c r="Z501" s="472"/>
    </row>
    <row r="502" spans="1:26" ht="14.25" customHeight="1">
      <c r="A502" s="472"/>
      <c r="B502" s="472"/>
      <c r="C502" s="472"/>
      <c r="D502" s="472"/>
      <c r="E502" s="472"/>
      <c r="F502" s="472"/>
      <c r="G502" s="472"/>
      <c r="H502" s="472"/>
      <c r="I502" s="472"/>
      <c r="J502" s="472"/>
      <c r="K502" s="472"/>
      <c r="L502" s="472"/>
      <c r="M502" s="472"/>
      <c r="N502" s="472"/>
      <c r="O502" s="472"/>
      <c r="P502" s="472"/>
      <c r="Q502" s="472"/>
      <c r="R502" s="472"/>
      <c r="S502" s="472"/>
      <c r="T502" s="472"/>
      <c r="U502" s="472"/>
      <c r="V502" s="472"/>
      <c r="W502" s="472"/>
      <c r="X502" s="472"/>
      <c r="Y502" s="472"/>
      <c r="Z502" s="472"/>
    </row>
    <row r="503" spans="1:26" ht="14.25" customHeight="1">
      <c r="A503" s="472"/>
      <c r="B503" s="472"/>
      <c r="C503" s="472"/>
      <c r="D503" s="472"/>
      <c r="E503" s="472"/>
      <c r="F503" s="472"/>
      <c r="G503" s="472"/>
      <c r="H503" s="472"/>
      <c r="I503" s="472"/>
      <c r="J503" s="472"/>
      <c r="K503" s="472"/>
      <c r="L503" s="472"/>
      <c r="M503" s="472"/>
      <c r="N503" s="472"/>
      <c r="O503" s="472"/>
      <c r="P503" s="472"/>
      <c r="Q503" s="472"/>
      <c r="R503" s="472"/>
      <c r="S503" s="472"/>
      <c r="T503" s="472"/>
      <c r="U503" s="472"/>
      <c r="V503" s="472"/>
      <c r="W503" s="472"/>
      <c r="X503" s="472"/>
      <c r="Y503" s="472"/>
      <c r="Z503" s="472"/>
    </row>
    <row r="504" spans="1:26" ht="14.25" customHeight="1">
      <c r="A504" s="472"/>
      <c r="B504" s="472"/>
      <c r="C504" s="472"/>
      <c r="D504" s="472"/>
      <c r="E504" s="472"/>
      <c r="F504" s="472"/>
      <c r="G504" s="472"/>
      <c r="H504" s="472"/>
      <c r="I504" s="472"/>
      <c r="J504" s="472"/>
      <c r="K504" s="472"/>
      <c r="L504" s="472"/>
      <c r="M504" s="472"/>
      <c r="N504" s="472"/>
      <c r="O504" s="472"/>
      <c r="P504" s="472"/>
      <c r="Q504" s="472"/>
      <c r="R504" s="472"/>
      <c r="S504" s="472"/>
      <c r="T504" s="472"/>
      <c r="U504" s="472"/>
      <c r="V504" s="472"/>
      <c r="W504" s="472"/>
      <c r="X504" s="472"/>
      <c r="Y504" s="472"/>
      <c r="Z504" s="472"/>
    </row>
    <row r="505" spans="1:26" ht="14.25" customHeight="1">
      <c r="A505" s="472"/>
      <c r="B505" s="472"/>
      <c r="C505" s="472"/>
      <c r="D505" s="472"/>
      <c r="E505" s="472"/>
      <c r="F505" s="472"/>
      <c r="G505" s="472"/>
      <c r="H505" s="472"/>
      <c r="I505" s="472"/>
      <c r="J505" s="472"/>
      <c r="K505" s="472"/>
      <c r="L505" s="472"/>
      <c r="M505" s="472"/>
      <c r="N505" s="472"/>
      <c r="O505" s="472"/>
      <c r="P505" s="472"/>
      <c r="Q505" s="472"/>
      <c r="R505" s="472"/>
      <c r="S505" s="472"/>
      <c r="T505" s="472"/>
      <c r="U505" s="472"/>
      <c r="V505" s="472"/>
      <c r="W505" s="472"/>
      <c r="X505" s="472"/>
      <c r="Y505" s="472"/>
      <c r="Z505" s="472"/>
    </row>
    <row r="506" spans="1:26" ht="14.25" customHeight="1">
      <c r="A506" s="472"/>
      <c r="B506" s="472"/>
      <c r="C506" s="472"/>
      <c r="D506" s="472"/>
      <c r="E506" s="472"/>
      <c r="F506" s="472"/>
      <c r="G506" s="472"/>
      <c r="H506" s="472"/>
      <c r="I506" s="472"/>
      <c r="J506" s="472"/>
      <c r="K506" s="472"/>
      <c r="L506" s="472"/>
      <c r="M506" s="472"/>
      <c r="N506" s="472"/>
      <c r="O506" s="472"/>
      <c r="P506" s="472"/>
      <c r="Q506" s="472"/>
      <c r="R506" s="472"/>
      <c r="S506" s="472"/>
      <c r="T506" s="472"/>
      <c r="U506" s="472"/>
      <c r="V506" s="472"/>
      <c r="W506" s="472"/>
      <c r="X506" s="472"/>
      <c r="Y506" s="472"/>
      <c r="Z506" s="472"/>
    </row>
    <row r="507" spans="1:26" ht="14.25" customHeight="1">
      <c r="A507" s="472"/>
      <c r="B507" s="472"/>
      <c r="C507" s="472"/>
      <c r="D507" s="472"/>
      <c r="E507" s="472"/>
      <c r="F507" s="472"/>
      <c r="G507" s="472"/>
      <c r="H507" s="472"/>
      <c r="I507" s="472"/>
      <c r="J507" s="472"/>
      <c r="K507" s="472"/>
      <c r="L507" s="472"/>
      <c r="M507" s="472"/>
      <c r="N507" s="472"/>
      <c r="O507" s="472"/>
      <c r="P507" s="472"/>
      <c r="Q507" s="472"/>
      <c r="R507" s="472"/>
      <c r="S507" s="472"/>
      <c r="T507" s="472"/>
      <c r="U507" s="472"/>
      <c r="V507" s="472"/>
      <c r="W507" s="472"/>
      <c r="X507" s="472"/>
      <c r="Y507" s="472"/>
      <c r="Z507" s="472"/>
    </row>
    <row r="508" spans="1:26" ht="14.25" customHeight="1">
      <c r="A508" s="472"/>
      <c r="B508" s="472"/>
      <c r="C508" s="472"/>
      <c r="D508" s="472"/>
      <c r="E508" s="472"/>
      <c r="F508" s="472"/>
      <c r="G508" s="472"/>
      <c r="H508" s="472"/>
      <c r="I508" s="472"/>
      <c r="J508" s="472"/>
      <c r="K508" s="472"/>
      <c r="L508" s="472"/>
      <c r="M508" s="472"/>
      <c r="N508" s="472"/>
      <c r="O508" s="472"/>
      <c r="P508" s="472"/>
      <c r="Q508" s="472"/>
      <c r="R508" s="472"/>
      <c r="S508" s="472"/>
      <c r="T508" s="472"/>
      <c r="U508" s="472"/>
      <c r="V508" s="472"/>
      <c r="W508" s="472"/>
      <c r="X508" s="472"/>
      <c r="Y508" s="472"/>
      <c r="Z508" s="472"/>
    </row>
    <row r="509" spans="1:26" ht="14.25" customHeight="1">
      <c r="A509" s="472"/>
      <c r="B509" s="472"/>
      <c r="C509" s="472"/>
      <c r="D509" s="472"/>
      <c r="E509" s="472"/>
      <c r="F509" s="472"/>
      <c r="G509" s="472"/>
      <c r="H509" s="472"/>
      <c r="I509" s="472"/>
      <c r="J509" s="472"/>
      <c r="K509" s="472"/>
      <c r="L509" s="472"/>
      <c r="M509" s="472"/>
      <c r="N509" s="472"/>
      <c r="O509" s="472"/>
      <c r="P509" s="472"/>
      <c r="Q509" s="472"/>
      <c r="R509" s="472"/>
      <c r="S509" s="472"/>
      <c r="T509" s="472"/>
      <c r="U509" s="472"/>
      <c r="V509" s="472"/>
      <c r="W509" s="472"/>
      <c r="X509" s="472"/>
      <c r="Y509" s="472"/>
      <c r="Z509" s="472"/>
    </row>
    <row r="510" spans="1:26" ht="14.25" customHeight="1">
      <c r="A510" s="472"/>
      <c r="B510" s="472"/>
      <c r="C510" s="472"/>
      <c r="D510" s="472"/>
      <c r="E510" s="472"/>
      <c r="F510" s="472"/>
      <c r="G510" s="472"/>
      <c r="H510" s="472"/>
      <c r="I510" s="472"/>
      <c r="J510" s="472"/>
      <c r="K510" s="472"/>
      <c r="L510" s="472"/>
      <c r="M510" s="472"/>
      <c r="N510" s="472"/>
      <c r="O510" s="472"/>
      <c r="P510" s="472"/>
      <c r="Q510" s="472"/>
      <c r="R510" s="472"/>
      <c r="S510" s="472"/>
      <c r="T510" s="472"/>
      <c r="U510" s="472"/>
      <c r="V510" s="472"/>
      <c r="W510" s="472"/>
      <c r="X510" s="472"/>
      <c r="Y510" s="472"/>
      <c r="Z510" s="472"/>
    </row>
    <row r="511" spans="1:26" ht="14.25" customHeight="1">
      <c r="A511" s="472"/>
      <c r="B511" s="472"/>
      <c r="C511" s="472"/>
      <c r="D511" s="472"/>
      <c r="E511" s="472"/>
      <c r="F511" s="472"/>
      <c r="G511" s="472"/>
      <c r="H511" s="472"/>
      <c r="I511" s="472"/>
      <c r="J511" s="472"/>
      <c r="K511" s="472"/>
      <c r="L511" s="472"/>
      <c r="M511" s="472"/>
      <c r="N511" s="472"/>
      <c r="O511" s="472"/>
      <c r="P511" s="472"/>
      <c r="Q511" s="472"/>
      <c r="R511" s="472"/>
      <c r="S511" s="472"/>
      <c r="T511" s="472"/>
      <c r="U511" s="472"/>
      <c r="V511" s="472"/>
      <c r="W511" s="472"/>
      <c r="X511" s="472"/>
      <c r="Y511" s="472"/>
      <c r="Z511" s="472"/>
    </row>
    <row r="512" spans="1:26" ht="14.25" customHeight="1">
      <c r="A512" s="472"/>
      <c r="B512" s="472"/>
      <c r="C512" s="472"/>
      <c r="D512" s="472"/>
      <c r="E512" s="472"/>
      <c r="F512" s="472"/>
      <c r="G512" s="472"/>
      <c r="H512" s="472"/>
      <c r="I512" s="472"/>
      <c r="J512" s="472"/>
      <c r="K512" s="472"/>
      <c r="L512" s="472"/>
      <c r="M512" s="472"/>
      <c r="N512" s="472"/>
      <c r="O512" s="472"/>
      <c r="P512" s="472"/>
      <c r="Q512" s="472"/>
      <c r="R512" s="472"/>
      <c r="S512" s="472"/>
      <c r="T512" s="472"/>
      <c r="U512" s="472"/>
      <c r="V512" s="472"/>
      <c r="W512" s="472"/>
      <c r="X512" s="472"/>
      <c r="Y512" s="472"/>
      <c r="Z512" s="472"/>
    </row>
    <row r="513" spans="1:26" ht="14.25" customHeight="1">
      <c r="A513" s="472"/>
      <c r="B513" s="472"/>
      <c r="C513" s="472"/>
      <c r="D513" s="472"/>
      <c r="E513" s="472"/>
      <c r="F513" s="472"/>
      <c r="G513" s="472"/>
      <c r="H513" s="472"/>
      <c r="I513" s="472"/>
      <c r="J513" s="472"/>
      <c r="K513" s="472"/>
      <c r="L513" s="472"/>
      <c r="M513" s="472"/>
      <c r="N513" s="472"/>
      <c r="O513" s="472"/>
      <c r="P513" s="472"/>
      <c r="Q513" s="472"/>
      <c r="R513" s="472"/>
      <c r="S513" s="472"/>
      <c r="T513" s="472"/>
      <c r="U513" s="472"/>
      <c r="V513" s="472"/>
      <c r="W513" s="472"/>
      <c r="X513" s="472"/>
      <c r="Y513" s="472"/>
      <c r="Z513" s="472"/>
    </row>
    <row r="514" spans="1:26" ht="14.25" customHeight="1">
      <c r="A514" s="472"/>
      <c r="B514" s="472"/>
      <c r="C514" s="472"/>
      <c r="D514" s="472"/>
      <c r="E514" s="472"/>
      <c r="F514" s="472"/>
      <c r="G514" s="472"/>
      <c r="H514" s="472"/>
      <c r="I514" s="472"/>
      <c r="J514" s="472"/>
      <c r="K514" s="472"/>
      <c r="L514" s="472"/>
      <c r="M514" s="472"/>
      <c r="N514" s="472"/>
      <c r="O514" s="472"/>
      <c r="P514" s="472"/>
      <c r="Q514" s="472"/>
      <c r="R514" s="472"/>
      <c r="S514" s="472"/>
      <c r="T514" s="472"/>
      <c r="U514" s="472"/>
      <c r="V514" s="472"/>
      <c r="W514" s="472"/>
      <c r="X514" s="472"/>
      <c r="Y514" s="472"/>
      <c r="Z514" s="472"/>
    </row>
    <row r="515" spans="1:26" ht="14.25" customHeight="1">
      <c r="A515" s="472"/>
      <c r="B515" s="472"/>
      <c r="C515" s="472"/>
      <c r="D515" s="472"/>
      <c r="E515" s="472"/>
      <c r="F515" s="472"/>
      <c r="G515" s="472"/>
      <c r="H515" s="472"/>
      <c r="I515" s="472"/>
      <c r="J515" s="472"/>
      <c r="K515" s="472"/>
      <c r="L515" s="472"/>
      <c r="M515" s="472"/>
      <c r="N515" s="472"/>
      <c r="O515" s="472"/>
      <c r="P515" s="472"/>
      <c r="Q515" s="472"/>
      <c r="R515" s="472"/>
      <c r="S515" s="472"/>
      <c r="T515" s="472"/>
      <c r="U515" s="472"/>
      <c r="V515" s="472"/>
      <c r="W515" s="472"/>
      <c r="X515" s="472"/>
      <c r="Y515" s="472"/>
      <c r="Z515" s="472"/>
    </row>
    <row r="516" spans="1:26" ht="14.25" customHeight="1">
      <c r="A516" s="472"/>
      <c r="B516" s="472"/>
      <c r="C516" s="472"/>
      <c r="D516" s="472"/>
      <c r="E516" s="472"/>
      <c r="F516" s="472"/>
      <c r="G516" s="472"/>
      <c r="H516" s="472"/>
      <c r="I516" s="472"/>
      <c r="J516" s="472"/>
      <c r="K516" s="472"/>
      <c r="L516" s="472"/>
      <c r="M516" s="472"/>
      <c r="N516" s="472"/>
      <c r="O516" s="472"/>
      <c r="P516" s="472"/>
      <c r="Q516" s="472"/>
      <c r="R516" s="472"/>
      <c r="S516" s="472"/>
      <c r="T516" s="472"/>
      <c r="U516" s="472"/>
      <c r="V516" s="472"/>
      <c r="W516" s="472"/>
      <c r="X516" s="472"/>
      <c r="Y516" s="472"/>
      <c r="Z516" s="472"/>
    </row>
    <row r="517" spans="1:26" ht="14.25" customHeight="1">
      <c r="A517" s="472"/>
      <c r="B517" s="472"/>
      <c r="C517" s="472"/>
      <c r="D517" s="472"/>
      <c r="E517" s="472"/>
      <c r="F517" s="472"/>
      <c r="G517" s="472"/>
      <c r="H517" s="472"/>
      <c r="I517" s="472"/>
      <c r="J517" s="472"/>
      <c r="K517" s="472"/>
      <c r="L517" s="472"/>
      <c r="M517" s="472"/>
      <c r="N517" s="472"/>
      <c r="O517" s="472"/>
      <c r="P517" s="472"/>
      <c r="Q517" s="472"/>
      <c r="R517" s="472"/>
      <c r="S517" s="472"/>
      <c r="T517" s="472"/>
      <c r="U517" s="472"/>
      <c r="V517" s="472"/>
      <c r="W517" s="472"/>
      <c r="X517" s="472"/>
      <c r="Y517" s="472"/>
      <c r="Z517" s="472"/>
    </row>
    <row r="518" spans="1:26" ht="14.25" customHeight="1">
      <c r="A518" s="472"/>
      <c r="B518" s="472"/>
      <c r="C518" s="472"/>
      <c r="D518" s="472"/>
      <c r="E518" s="472"/>
      <c r="F518" s="472"/>
      <c r="G518" s="472"/>
      <c r="H518" s="472"/>
      <c r="I518" s="472"/>
      <c r="J518" s="472"/>
      <c r="K518" s="472"/>
      <c r="L518" s="472"/>
      <c r="M518" s="472"/>
      <c r="N518" s="472"/>
      <c r="O518" s="472"/>
      <c r="P518" s="472"/>
      <c r="Q518" s="472"/>
      <c r="R518" s="472"/>
      <c r="S518" s="472"/>
      <c r="T518" s="472"/>
      <c r="U518" s="472"/>
      <c r="V518" s="472"/>
      <c r="W518" s="472"/>
      <c r="X518" s="472"/>
      <c r="Y518" s="472"/>
      <c r="Z518" s="472"/>
    </row>
    <row r="519" spans="1:26" ht="14.25" customHeight="1">
      <c r="A519" s="472"/>
      <c r="B519" s="472"/>
      <c r="C519" s="472"/>
      <c r="D519" s="472"/>
      <c r="E519" s="472"/>
      <c r="F519" s="472"/>
      <c r="G519" s="472"/>
      <c r="H519" s="472"/>
      <c r="I519" s="472"/>
      <c r="J519" s="472"/>
      <c r="K519" s="472"/>
      <c r="L519" s="472"/>
      <c r="M519" s="472"/>
      <c r="N519" s="472"/>
      <c r="O519" s="472"/>
      <c r="P519" s="472"/>
      <c r="Q519" s="472"/>
      <c r="R519" s="472"/>
      <c r="S519" s="472"/>
      <c r="T519" s="472"/>
      <c r="U519" s="472"/>
      <c r="V519" s="472"/>
      <c r="W519" s="472"/>
      <c r="X519" s="472"/>
      <c r="Y519" s="472"/>
      <c r="Z519" s="472"/>
    </row>
    <row r="520" spans="1:26" ht="14.25" customHeight="1">
      <c r="A520" s="472"/>
      <c r="B520" s="472"/>
      <c r="C520" s="472"/>
      <c r="D520" s="472"/>
      <c r="E520" s="472"/>
      <c r="F520" s="472"/>
      <c r="G520" s="472"/>
      <c r="H520" s="472"/>
      <c r="I520" s="472"/>
      <c r="J520" s="472"/>
      <c r="K520" s="472"/>
      <c r="L520" s="472"/>
      <c r="M520" s="472"/>
      <c r="N520" s="472"/>
      <c r="O520" s="472"/>
      <c r="P520" s="472"/>
      <c r="Q520" s="472"/>
      <c r="R520" s="472"/>
      <c r="S520" s="472"/>
      <c r="T520" s="472"/>
      <c r="U520" s="472"/>
      <c r="V520" s="472"/>
      <c r="W520" s="472"/>
      <c r="X520" s="472"/>
      <c r="Y520" s="472"/>
      <c r="Z520" s="472"/>
    </row>
    <row r="521" spans="1:26" ht="14.25" customHeight="1">
      <c r="A521" s="472"/>
      <c r="B521" s="472"/>
      <c r="C521" s="472"/>
      <c r="D521" s="472"/>
      <c r="E521" s="472"/>
      <c r="F521" s="472"/>
      <c r="G521" s="472"/>
      <c r="H521" s="472"/>
      <c r="I521" s="472"/>
      <c r="J521" s="472"/>
      <c r="K521" s="472"/>
      <c r="L521" s="472"/>
      <c r="M521" s="472"/>
      <c r="N521" s="472"/>
      <c r="O521" s="472"/>
      <c r="P521" s="472"/>
      <c r="Q521" s="472"/>
      <c r="R521" s="472"/>
      <c r="S521" s="472"/>
      <c r="T521" s="472"/>
      <c r="U521" s="472"/>
      <c r="V521" s="472"/>
      <c r="W521" s="472"/>
      <c r="X521" s="472"/>
      <c r="Y521" s="472"/>
      <c r="Z521" s="472"/>
    </row>
    <row r="522" spans="1:26" ht="14.25" customHeight="1">
      <c r="A522" s="472"/>
      <c r="B522" s="472"/>
      <c r="C522" s="472"/>
      <c r="D522" s="472"/>
      <c r="E522" s="472"/>
      <c r="F522" s="472"/>
      <c r="G522" s="472"/>
      <c r="H522" s="472"/>
      <c r="I522" s="472"/>
      <c r="J522" s="472"/>
      <c r="K522" s="472"/>
      <c r="L522" s="472"/>
      <c r="M522" s="472"/>
      <c r="N522" s="472"/>
      <c r="O522" s="472"/>
      <c r="P522" s="472"/>
      <c r="Q522" s="472"/>
      <c r="R522" s="472"/>
      <c r="S522" s="472"/>
      <c r="T522" s="472"/>
      <c r="U522" s="472"/>
      <c r="V522" s="472"/>
      <c r="W522" s="472"/>
      <c r="X522" s="472"/>
      <c r="Y522" s="472"/>
      <c r="Z522" s="472"/>
    </row>
    <row r="523" spans="1:26" ht="14.25" customHeight="1">
      <c r="A523" s="472"/>
      <c r="B523" s="472"/>
      <c r="C523" s="472"/>
      <c r="D523" s="472"/>
      <c r="E523" s="472"/>
      <c r="F523" s="472"/>
      <c r="G523" s="472"/>
      <c r="H523" s="472"/>
      <c r="I523" s="472"/>
      <c r="J523" s="472"/>
      <c r="K523" s="472"/>
      <c r="L523" s="472"/>
      <c r="M523" s="472"/>
      <c r="N523" s="472"/>
      <c r="O523" s="472"/>
      <c r="P523" s="472"/>
      <c r="Q523" s="472"/>
      <c r="R523" s="472"/>
      <c r="S523" s="472"/>
      <c r="T523" s="472"/>
      <c r="U523" s="472"/>
      <c r="V523" s="472"/>
      <c r="W523" s="472"/>
      <c r="X523" s="472"/>
      <c r="Y523" s="472"/>
      <c r="Z523" s="472"/>
    </row>
    <row r="524" spans="1:26" ht="14.25" customHeight="1">
      <c r="A524" s="472"/>
      <c r="B524" s="472"/>
      <c r="C524" s="472"/>
      <c r="D524" s="472"/>
      <c r="E524" s="472"/>
      <c r="F524" s="472"/>
      <c r="G524" s="472"/>
      <c r="H524" s="472"/>
      <c r="I524" s="472"/>
      <c r="J524" s="472"/>
      <c r="K524" s="472"/>
      <c r="L524" s="472"/>
      <c r="M524" s="472"/>
      <c r="N524" s="472"/>
      <c r="O524" s="472"/>
      <c r="P524" s="472"/>
      <c r="Q524" s="472"/>
      <c r="R524" s="472"/>
      <c r="S524" s="472"/>
      <c r="T524" s="472"/>
      <c r="U524" s="472"/>
      <c r="V524" s="472"/>
      <c r="W524" s="472"/>
      <c r="X524" s="472"/>
      <c r="Y524" s="472"/>
      <c r="Z524" s="472"/>
    </row>
    <row r="525" spans="1:26" ht="14.25" customHeight="1">
      <c r="A525" s="472"/>
      <c r="B525" s="472"/>
      <c r="C525" s="472"/>
      <c r="D525" s="472"/>
      <c r="E525" s="472"/>
      <c r="F525" s="472"/>
      <c r="G525" s="472"/>
      <c r="H525" s="472"/>
      <c r="I525" s="472"/>
      <c r="J525" s="472"/>
      <c r="K525" s="472"/>
      <c r="L525" s="472"/>
      <c r="M525" s="472"/>
      <c r="N525" s="472"/>
      <c r="O525" s="472"/>
      <c r="P525" s="472"/>
      <c r="Q525" s="472"/>
      <c r="R525" s="472"/>
      <c r="S525" s="472"/>
      <c r="T525" s="472"/>
      <c r="U525" s="472"/>
      <c r="V525" s="472"/>
      <c r="W525" s="472"/>
      <c r="X525" s="472"/>
      <c r="Y525" s="472"/>
      <c r="Z525" s="472"/>
    </row>
    <row r="526" spans="1:26" ht="14.25" customHeight="1">
      <c r="A526" s="472"/>
      <c r="B526" s="472"/>
      <c r="C526" s="472"/>
      <c r="D526" s="472"/>
      <c r="E526" s="472"/>
      <c r="F526" s="472"/>
      <c r="G526" s="472"/>
      <c r="H526" s="472"/>
      <c r="I526" s="472"/>
      <c r="J526" s="472"/>
      <c r="K526" s="472"/>
      <c r="L526" s="472"/>
      <c r="M526" s="472"/>
      <c r="N526" s="472"/>
      <c r="O526" s="472"/>
      <c r="P526" s="472"/>
      <c r="Q526" s="472"/>
      <c r="R526" s="472"/>
      <c r="S526" s="472"/>
      <c r="T526" s="472"/>
      <c r="U526" s="472"/>
      <c r="V526" s="472"/>
      <c r="W526" s="472"/>
      <c r="X526" s="472"/>
      <c r="Y526" s="472"/>
      <c r="Z526" s="472"/>
    </row>
    <row r="527" spans="1:26" ht="14.25" customHeight="1">
      <c r="A527" s="472"/>
      <c r="B527" s="472"/>
      <c r="C527" s="472"/>
      <c r="D527" s="472"/>
      <c r="E527" s="472"/>
      <c r="F527" s="472"/>
      <c r="G527" s="472"/>
      <c r="H527" s="472"/>
      <c r="I527" s="472"/>
      <c r="J527" s="472"/>
      <c r="K527" s="472"/>
      <c r="L527" s="472"/>
      <c r="M527" s="472"/>
      <c r="N527" s="472"/>
      <c r="O527" s="472"/>
      <c r="P527" s="472"/>
      <c r="Q527" s="472"/>
      <c r="R527" s="472"/>
      <c r="S527" s="472"/>
      <c r="T527" s="472"/>
      <c r="U527" s="472"/>
      <c r="V527" s="472"/>
      <c r="W527" s="472"/>
      <c r="X527" s="472"/>
      <c r="Y527" s="472"/>
      <c r="Z527" s="472"/>
    </row>
    <row r="528" spans="1:26" ht="14.25" customHeight="1">
      <c r="A528" s="472"/>
      <c r="B528" s="472"/>
      <c r="C528" s="472"/>
      <c r="D528" s="472"/>
      <c r="E528" s="472"/>
      <c r="F528" s="472"/>
      <c r="G528" s="472"/>
      <c r="H528" s="472"/>
      <c r="I528" s="472"/>
      <c r="J528" s="472"/>
      <c r="K528" s="472"/>
      <c r="L528" s="472"/>
      <c r="M528" s="472"/>
      <c r="N528" s="472"/>
      <c r="O528" s="472"/>
      <c r="P528" s="472"/>
      <c r="Q528" s="472"/>
      <c r="R528" s="472"/>
      <c r="S528" s="472"/>
      <c r="T528" s="472"/>
      <c r="U528" s="472"/>
      <c r="V528" s="472"/>
      <c r="W528" s="472"/>
      <c r="X528" s="472"/>
      <c r="Y528" s="472"/>
      <c r="Z528" s="472"/>
    </row>
    <row r="529" spans="1:26" ht="14.25" customHeight="1">
      <c r="A529" s="472"/>
      <c r="B529" s="472"/>
      <c r="C529" s="472"/>
      <c r="D529" s="472"/>
      <c r="E529" s="472"/>
      <c r="F529" s="472"/>
      <c r="G529" s="472"/>
      <c r="H529" s="472"/>
      <c r="I529" s="472"/>
      <c r="J529" s="472"/>
      <c r="K529" s="472"/>
      <c r="L529" s="472"/>
      <c r="M529" s="472"/>
      <c r="N529" s="472"/>
      <c r="O529" s="472"/>
      <c r="P529" s="472"/>
      <c r="Q529" s="472"/>
      <c r="R529" s="472"/>
      <c r="S529" s="472"/>
      <c r="T529" s="472"/>
      <c r="U529" s="472"/>
      <c r="V529" s="472"/>
      <c r="W529" s="472"/>
      <c r="X529" s="472"/>
      <c r="Y529" s="472"/>
      <c r="Z529" s="472"/>
    </row>
    <row r="530" spans="1:26" ht="14.25" customHeight="1">
      <c r="A530" s="472"/>
      <c r="B530" s="472"/>
      <c r="C530" s="472"/>
      <c r="D530" s="472"/>
      <c r="E530" s="472"/>
      <c r="F530" s="472"/>
      <c r="G530" s="472"/>
      <c r="H530" s="472"/>
      <c r="I530" s="472"/>
      <c r="J530" s="472"/>
      <c r="K530" s="472"/>
      <c r="L530" s="472"/>
      <c r="M530" s="472"/>
      <c r="N530" s="472"/>
      <c r="O530" s="472"/>
      <c r="P530" s="472"/>
      <c r="Q530" s="472"/>
      <c r="R530" s="472"/>
      <c r="S530" s="472"/>
      <c r="T530" s="472"/>
      <c r="U530" s="472"/>
      <c r="V530" s="472"/>
      <c r="W530" s="472"/>
      <c r="X530" s="472"/>
      <c r="Y530" s="472"/>
      <c r="Z530" s="472"/>
    </row>
    <row r="531" spans="1:26" ht="14.25" customHeight="1">
      <c r="A531" s="472"/>
      <c r="B531" s="472"/>
      <c r="C531" s="472"/>
      <c r="D531" s="472"/>
      <c r="E531" s="472"/>
      <c r="F531" s="472"/>
      <c r="G531" s="472"/>
      <c r="H531" s="472"/>
      <c r="I531" s="472"/>
      <c r="J531" s="472"/>
      <c r="K531" s="472"/>
      <c r="L531" s="472"/>
      <c r="M531" s="472"/>
      <c r="N531" s="472"/>
      <c r="O531" s="472"/>
      <c r="P531" s="472"/>
      <c r="Q531" s="472"/>
      <c r="R531" s="472"/>
      <c r="S531" s="472"/>
      <c r="T531" s="472"/>
      <c r="U531" s="472"/>
      <c r="V531" s="472"/>
      <c r="W531" s="472"/>
      <c r="X531" s="472"/>
      <c r="Y531" s="472"/>
      <c r="Z531" s="472"/>
    </row>
    <row r="532" spans="1:26" ht="14.25" customHeight="1">
      <c r="A532" s="472"/>
      <c r="B532" s="472"/>
      <c r="C532" s="472"/>
      <c r="D532" s="472"/>
      <c r="E532" s="472"/>
      <c r="F532" s="472"/>
      <c r="G532" s="472"/>
      <c r="H532" s="472"/>
      <c r="I532" s="472"/>
      <c r="J532" s="472"/>
      <c r="K532" s="472"/>
      <c r="L532" s="472"/>
      <c r="M532" s="472"/>
      <c r="N532" s="472"/>
      <c r="O532" s="472"/>
      <c r="P532" s="472"/>
      <c r="Q532" s="472"/>
      <c r="R532" s="472"/>
      <c r="S532" s="472"/>
      <c r="T532" s="472"/>
      <c r="U532" s="472"/>
      <c r="V532" s="472"/>
      <c r="W532" s="472"/>
      <c r="X532" s="472"/>
      <c r="Y532" s="472"/>
      <c r="Z532" s="472"/>
    </row>
    <row r="533" spans="1:26" ht="14.25" customHeight="1">
      <c r="A533" s="472"/>
      <c r="B533" s="472"/>
      <c r="C533" s="472"/>
      <c r="D533" s="472"/>
      <c r="E533" s="472"/>
      <c r="F533" s="472"/>
      <c r="G533" s="472"/>
      <c r="H533" s="472"/>
      <c r="I533" s="472"/>
      <c r="J533" s="472"/>
      <c r="K533" s="472"/>
      <c r="L533" s="472"/>
      <c r="M533" s="472"/>
      <c r="N533" s="472"/>
      <c r="O533" s="472"/>
      <c r="P533" s="472"/>
      <c r="Q533" s="472"/>
      <c r="R533" s="472"/>
      <c r="S533" s="472"/>
      <c r="T533" s="472"/>
      <c r="U533" s="472"/>
      <c r="V533" s="472"/>
      <c r="W533" s="472"/>
      <c r="X533" s="472"/>
      <c r="Y533" s="472"/>
      <c r="Z533" s="472"/>
    </row>
    <row r="534" spans="1:26" ht="14.25" customHeight="1">
      <c r="A534" s="472"/>
      <c r="B534" s="472"/>
      <c r="C534" s="472"/>
      <c r="D534" s="472"/>
      <c r="E534" s="472"/>
      <c r="F534" s="472"/>
      <c r="G534" s="472"/>
      <c r="H534" s="472"/>
      <c r="I534" s="472"/>
      <c r="J534" s="472"/>
      <c r="K534" s="472"/>
      <c r="L534" s="472"/>
      <c r="M534" s="472"/>
      <c r="N534" s="472"/>
      <c r="O534" s="472"/>
      <c r="P534" s="472"/>
      <c r="Q534" s="472"/>
      <c r="R534" s="472"/>
      <c r="S534" s="472"/>
      <c r="T534" s="472"/>
      <c r="U534" s="472"/>
      <c r="V534" s="472"/>
      <c r="W534" s="472"/>
      <c r="X534" s="472"/>
      <c r="Y534" s="472"/>
      <c r="Z534" s="472"/>
    </row>
    <row r="535" spans="1:26" ht="14.25" customHeight="1">
      <c r="A535" s="472"/>
      <c r="B535" s="472"/>
      <c r="C535" s="472"/>
      <c r="D535" s="472"/>
      <c r="E535" s="472"/>
      <c r="F535" s="472"/>
      <c r="G535" s="472"/>
      <c r="H535" s="472"/>
      <c r="I535" s="472"/>
      <c r="J535" s="472"/>
      <c r="K535" s="472"/>
      <c r="L535" s="472"/>
      <c r="M535" s="472"/>
      <c r="N535" s="472"/>
      <c r="O535" s="472"/>
      <c r="P535" s="472"/>
      <c r="Q535" s="472"/>
      <c r="R535" s="472"/>
      <c r="S535" s="472"/>
      <c r="T535" s="472"/>
      <c r="U535" s="472"/>
      <c r="V535" s="472"/>
      <c r="W535" s="472"/>
      <c r="X535" s="472"/>
      <c r="Y535" s="472"/>
      <c r="Z535" s="472"/>
    </row>
    <row r="536" spans="1:26" ht="14.25" customHeight="1">
      <c r="A536" s="472"/>
      <c r="B536" s="472"/>
      <c r="C536" s="472"/>
      <c r="D536" s="472"/>
      <c r="E536" s="472"/>
      <c r="F536" s="472"/>
      <c r="G536" s="472"/>
      <c r="H536" s="472"/>
      <c r="I536" s="472"/>
      <c r="J536" s="472"/>
      <c r="K536" s="472"/>
      <c r="L536" s="472"/>
      <c r="M536" s="472"/>
      <c r="N536" s="472"/>
      <c r="O536" s="472"/>
      <c r="P536" s="472"/>
      <c r="Q536" s="472"/>
      <c r="R536" s="472"/>
      <c r="S536" s="472"/>
      <c r="T536" s="472"/>
      <c r="U536" s="472"/>
      <c r="V536" s="472"/>
      <c r="W536" s="472"/>
      <c r="X536" s="472"/>
      <c r="Y536" s="472"/>
      <c r="Z536" s="472"/>
    </row>
    <row r="537" spans="1:26" ht="14.25" customHeight="1">
      <c r="A537" s="472"/>
      <c r="B537" s="472"/>
      <c r="C537" s="472"/>
      <c r="D537" s="472"/>
      <c r="E537" s="472"/>
      <c r="F537" s="472"/>
      <c r="G537" s="472"/>
      <c r="H537" s="472"/>
      <c r="I537" s="472"/>
      <c r="J537" s="472"/>
      <c r="K537" s="472"/>
      <c r="L537" s="472"/>
      <c r="M537" s="472"/>
      <c r="N537" s="472"/>
      <c r="O537" s="472"/>
      <c r="P537" s="472"/>
      <c r="Q537" s="472"/>
      <c r="R537" s="472"/>
      <c r="S537" s="472"/>
      <c r="T537" s="472"/>
      <c r="U537" s="472"/>
      <c r="V537" s="472"/>
      <c r="W537" s="472"/>
      <c r="X537" s="472"/>
      <c r="Y537" s="472"/>
      <c r="Z537" s="472"/>
    </row>
    <row r="538" spans="1:26" ht="14.25" customHeight="1">
      <c r="A538" s="472"/>
      <c r="B538" s="472"/>
      <c r="C538" s="472"/>
      <c r="D538" s="472"/>
      <c r="E538" s="472"/>
      <c r="F538" s="472"/>
      <c r="G538" s="472"/>
      <c r="H538" s="472"/>
      <c r="I538" s="472"/>
      <c r="J538" s="472"/>
      <c r="K538" s="472"/>
      <c r="L538" s="472"/>
      <c r="M538" s="472"/>
      <c r="N538" s="472"/>
      <c r="O538" s="472"/>
      <c r="P538" s="472"/>
      <c r="Q538" s="472"/>
      <c r="R538" s="472"/>
      <c r="S538" s="472"/>
      <c r="T538" s="472"/>
      <c r="U538" s="472"/>
      <c r="V538" s="472"/>
      <c r="W538" s="472"/>
      <c r="X538" s="472"/>
      <c r="Y538" s="472"/>
      <c r="Z538" s="472"/>
    </row>
    <row r="539" spans="1:26" ht="14.25" customHeight="1">
      <c r="A539" s="472"/>
      <c r="B539" s="472"/>
      <c r="C539" s="472"/>
      <c r="D539" s="472"/>
      <c r="E539" s="472"/>
      <c r="F539" s="472"/>
      <c r="G539" s="472"/>
      <c r="H539" s="472"/>
      <c r="I539" s="472"/>
      <c r="J539" s="472"/>
      <c r="K539" s="472"/>
      <c r="L539" s="472"/>
      <c r="M539" s="472"/>
      <c r="N539" s="472"/>
      <c r="O539" s="472"/>
      <c r="P539" s="472"/>
      <c r="Q539" s="472"/>
      <c r="R539" s="472"/>
      <c r="S539" s="472"/>
      <c r="T539" s="472"/>
      <c r="U539" s="472"/>
      <c r="V539" s="472"/>
      <c r="W539" s="472"/>
      <c r="X539" s="472"/>
      <c r="Y539" s="472"/>
      <c r="Z539" s="472"/>
    </row>
    <row r="540" spans="1:26" ht="14.25" customHeight="1">
      <c r="A540" s="472"/>
      <c r="B540" s="472"/>
      <c r="C540" s="472"/>
      <c r="D540" s="472"/>
      <c r="E540" s="472"/>
      <c r="F540" s="472"/>
      <c r="G540" s="472"/>
      <c r="H540" s="472"/>
      <c r="I540" s="472"/>
      <c r="J540" s="472"/>
      <c r="K540" s="472"/>
      <c r="L540" s="472"/>
      <c r="M540" s="472"/>
      <c r="N540" s="472"/>
      <c r="O540" s="472"/>
      <c r="P540" s="472"/>
      <c r="Q540" s="472"/>
      <c r="R540" s="472"/>
      <c r="S540" s="472"/>
      <c r="T540" s="472"/>
      <c r="U540" s="472"/>
      <c r="V540" s="472"/>
      <c r="W540" s="472"/>
      <c r="X540" s="472"/>
      <c r="Y540" s="472"/>
      <c r="Z540" s="472"/>
    </row>
    <row r="541" spans="1:26" ht="14.25" customHeight="1">
      <c r="A541" s="472"/>
      <c r="B541" s="472"/>
      <c r="C541" s="472"/>
      <c r="D541" s="472"/>
      <c r="E541" s="472"/>
      <c r="F541" s="472"/>
      <c r="G541" s="472"/>
      <c r="H541" s="472"/>
      <c r="I541" s="472"/>
      <c r="J541" s="472"/>
      <c r="K541" s="472"/>
      <c r="L541" s="472"/>
      <c r="M541" s="472"/>
      <c r="N541" s="472"/>
      <c r="O541" s="472"/>
      <c r="P541" s="472"/>
      <c r="Q541" s="472"/>
      <c r="R541" s="472"/>
      <c r="S541" s="472"/>
      <c r="T541" s="472"/>
      <c r="U541" s="472"/>
      <c r="V541" s="472"/>
      <c r="W541" s="472"/>
      <c r="X541" s="472"/>
      <c r="Y541" s="472"/>
      <c r="Z541" s="472"/>
    </row>
    <row r="542" spans="1:26" ht="14.25" customHeight="1">
      <c r="A542" s="472"/>
      <c r="B542" s="472"/>
      <c r="C542" s="472"/>
      <c r="D542" s="472"/>
      <c r="E542" s="472"/>
      <c r="F542" s="472"/>
      <c r="G542" s="472"/>
      <c r="H542" s="472"/>
      <c r="I542" s="472"/>
      <c r="J542" s="472"/>
      <c r="K542" s="472"/>
      <c r="L542" s="472"/>
      <c r="M542" s="472"/>
      <c r="N542" s="472"/>
      <c r="O542" s="472"/>
      <c r="P542" s="472"/>
      <c r="Q542" s="472"/>
      <c r="R542" s="472"/>
      <c r="S542" s="472"/>
      <c r="T542" s="472"/>
      <c r="U542" s="472"/>
      <c r="V542" s="472"/>
      <c r="W542" s="472"/>
      <c r="X542" s="472"/>
      <c r="Y542" s="472"/>
      <c r="Z542" s="472"/>
    </row>
    <row r="543" spans="1:26" ht="14.25" customHeight="1">
      <c r="A543" s="472"/>
      <c r="B543" s="472"/>
      <c r="C543" s="472"/>
      <c r="D543" s="472"/>
      <c r="E543" s="472"/>
      <c r="F543" s="472"/>
      <c r="G543" s="472"/>
      <c r="H543" s="472"/>
      <c r="I543" s="472"/>
      <c r="J543" s="472"/>
      <c r="K543" s="472"/>
      <c r="L543" s="472"/>
      <c r="M543" s="472"/>
      <c r="N543" s="472"/>
      <c r="O543" s="472"/>
      <c r="P543" s="472"/>
      <c r="Q543" s="472"/>
      <c r="R543" s="472"/>
      <c r="S543" s="472"/>
      <c r="T543" s="472"/>
      <c r="U543" s="472"/>
      <c r="V543" s="472"/>
      <c r="W543" s="472"/>
      <c r="X543" s="472"/>
      <c r="Y543" s="472"/>
      <c r="Z543" s="472"/>
    </row>
    <row r="544" spans="1:26" ht="14.25" customHeight="1">
      <c r="A544" s="472"/>
      <c r="B544" s="472"/>
      <c r="C544" s="472"/>
      <c r="D544" s="472"/>
      <c r="E544" s="472"/>
      <c r="F544" s="472"/>
      <c r="G544" s="472"/>
      <c r="H544" s="472"/>
      <c r="I544" s="472"/>
      <c r="J544" s="472"/>
      <c r="K544" s="472"/>
      <c r="L544" s="472"/>
      <c r="M544" s="472"/>
      <c r="N544" s="472"/>
      <c r="O544" s="472"/>
      <c r="P544" s="472"/>
      <c r="Q544" s="472"/>
      <c r="R544" s="472"/>
      <c r="S544" s="472"/>
      <c r="T544" s="472"/>
      <c r="U544" s="472"/>
      <c r="V544" s="472"/>
      <c r="W544" s="472"/>
      <c r="X544" s="472"/>
      <c r="Y544" s="472"/>
      <c r="Z544" s="472"/>
    </row>
    <row r="545" spans="1:26" ht="14.25" customHeight="1">
      <c r="A545" s="472"/>
      <c r="B545" s="472"/>
      <c r="C545" s="472"/>
      <c r="D545" s="472"/>
      <c r="E545" s="472"/>
      <c r="F545" s="472"/>
      <c r="G545" s="472"/>
      <c r="H545" s="472"/>
      <c r="I545" s="472"/>
      <c r="J545" s="472"/>
      <c r="K545" s="472"/>
      <c r="L545" s="472"/>
      <c r="M545" s="472"/>
      <c r="N545" s="472"/>
      <c r="O545" s="472"/>
      <c r="P545" s="472"/>
      <c r="Q545" s="472"/>
      <c r="R545" s="472"/>
      <c r="S545" s="472"/>
      <c r="T545" s="472"/>
      <c r="U545" s="472"/>
      <c r="V545" s="472"/>
      <c r="W545" s="472"/>
      <c r="X545" s="472"/>
      <c r="Y545" s="472"/>
      <c r="Z545" s="472"/>
    </row>
    <row r="546" spans="1:26" ht="14.25" customHeight="1">
      <c r="A546" s="472"/>
      <c r="B546" s="472"/>
      <c r="C546" s="472"/>
      <c r="D546" s="472"/>
      <c r="E546" s="472"/>
      <c r="F546" s="472"/>
      <c r="G546" s="472"/>
      <c r="H546" s="472"/>
      <c r="I546" s="472"/>
      <c r="J546" s="472"/>
      <c r="K546" s="472"/>
      <c r="L546" s="472"/>
      <c r="M546" s="472"/>
      <c r="N546" s="472"/>
      <c r="O546" s="472"/>
      <c r="P546" s="472"/>
      <c r="Q546" s="472"/>
      <c r="R546" s="472"/>
      <c r="S546" s="472"/>
      <c r="T546" s="472"/>
      <c r="U546" s="472"/>
      <c r="V546" s="472"/>
      <c r="W546" s="472"/>
      <c r="X546" s="472"/>
      <c r="Y546" s="472"/>
      <c r="Z546" s="472"/>
    </row>
    <row r="547" spans="1:26" ht="14.25" customHeight="1">
      <c r="A547" s="472"/>
      <c r="B547" s="472"/>
      <c r="C547" s="472"/>
      <c r="D547" s="472"/>
      <c r="E547" s="472"/>
      <c r="F547" s="472"/>
      <c r="G547" s="472"/>
      <c r="H547" s="472"/>
      <c r="I547" s="472"/>
      <c r="J547" s="472"/>
      <c r="K547" s="472"/>
      <c r="L547" s="472"/>
      <c r="M547" s="472"/>
      <c r="N547" s="472"/>
      <c r="O547" s="472"/>
      <c r="P547" s="472"/>
      <c r="Q547" s="472"/>
      <c r="R547" s="472"/>
      <c r="S547" s="472"/>
      <c r="T547" s="472"/>
      <c r="U547" s="472"/>
      <c r="V547" s="472"/>
      <c r="W547" s="472"/>
      <c r="X547" s="472"/>
      <c r="Y547" s="472"/>
      <c r="Z547" s="472"/>
    </row>
    <row r="548" spans="1:26" ht="14.25" customHeight="1">
      <c r="A548" s="472"/>
      <c r="B548" s="472"/>
      <c r="C548" s="472"/>
      <c r="D548" s="472"/>
      <c r="E548" s="472"/>
      <c r="F548" s="472"/>
      <c r="G548" s="472"/>
      <c r="H548" s="472"/>
      <c r="I548" s="472"/>
      <c r="J548" s="472"/>
      <c r="K548" s="472"/>
      <c r="L548" s="472"/>
      <c r="M548" s="472"/>
      <c r="N548" s="472"/>
      <c r="O548" s="472"/>
      <c r="P548" s="472"/>
      <c r="Q548" s="472"/>
      <c r="R548" s="472"/>
      <c r="S548" s="472"/>
      <c r="T548" s="472"/>
      <c r="U548" s="472"/>
      <c r="V548" s="472"/>
      <c r="W548" s="472"/>
      <c r="X548" s="472"/>
      <c r="Y548" s="472"/>
      <c r="Z548" s="472"/>
    </row>
    <row r="549" spans="1:26" ht="14.25" customHeight="1">
      <c r="A549" s="472"/>
      <c r="B549" s="472"/>
      <c r="C549" s="472"/>
      <c r="D549" s="472"/>
      <c r="E549" s="472"/>
      <c r="F549" s="472"/>
      <c r="G549" s="472"/>
      <c r="H549" s="472"/>
      <c r="I549" s="472"/>
      <c r="J549" s="472"/>
      <c r="K549" s="472"/>
      <c r="L549" s="472"/>
      <c r="M549" s="472"/>
      <c r="N549" s="472"/>
      <c r="O549" s="472"/>
      <c r="P549" s="472"/>
      <c r="Q549" s="472"/>
      <c r="R549" s="472"/>
      <c r="S549" s="472"/>
      <c r="T549" s="472"/>
      <c r="U549" s="472"/>
      <c r="V549" s="472"/>
      <c r="W549" s="472"/>
      <c r="X549" s="472"/>
      <c r="Y549" s="472"/>
      <c r="Z549" s="472"/>
    </row>
    <row r="550" spans="1:26" ht="14.25" customHeight="1">
      <c r="A550" s="472"/>
      <c r="B550" s="472"/>
      <c r="C550" s="472"/>
      <c r="D550" s="472"/>
      <c r="E550" s="472"/>
      <c r="F550" s="472"/>
      <c r="G550" s="472"/>
      <c r="H550" s="472"/>
      <c r="I550" s="472"/>
      <c r="J550" s="472"/>
      <c r="K550" s="472"/>
      <c r="L550" s="472"/>
      <c r="M550" s="472"/>
      <c r="N550" s="472"/>
      <c r="O550" s="472"/>
      <c r="P550" s="472"/>
      <c r="Q550" s="472"/>
      <c r="R550" s="472"/>
      <c r="S550" s="472"/>
      <c r="T550" s="472"/>
      <c r="U550" s="472"/>
      <c r="V550" s="472"/>
      <c r="W550" s="472"/>
      <c r="X550" s="472"/>
      <c r="Y550" s="472"/>
      <c r="Z550" s="472"/>
    </row>
    <row r="551" spans="1:26" ht="14.25" customHeight="1">
      <c r="A551" s="472"/>
      <c r="B551" s="472"/>
      <c r="C551" s="472"/>
      <c r="D551" s="472"/>
      <c r="E551" s="472"/>
      <c r="F551" s="472"/>
      <c r="G551" s="472"/>
      <c r="H551" s="472"/>
      <c r="I551" s="472"/>
      <c r="J551" s="472"/>
      <c r="K551" s="472"/>
      <c r="L551" s="472"/>
      <c r="M551" s="472"/>
      <c r="N551" s="472"/>
      <c r="O551" s="472"/>
      <c r="P551" s="472"/>
      <c r="Q551" s="472"/>
      <c r="R551" s="472"/>
      <c r="S551" s="472"/>
      <c r="T551" s="472"/>
      <c r="U551" s="472"/>
      <c r="V551" s="472"/>
      <c r="W551" s="472"/>
      <c r="X551" s="472"/>
      <c r="Y551" s="472"/>
      <c r="Z551" s="472"/>
    </row>
    <row r="552" spans="1:26" ht="14.25" customHeight="1">
      <c r="A552" s="472"/>
      <c r="B552" s="472"/>
      <c r="C552" s="472"/>
      <c r="D552" s="472"/>
      <c r="E552" s="472"/>
      <c r="F552" s="472"/>
      <c r="G552" s="472"/>
      <c r="H552" s="472"/>
      <c r="I552" s="472"/>
      <c r="J552" s="472"/>
      <c r="K552" s="472"/>
      <c r="L552" s="472"/>
      <c r="M552" s="472"/>
      <c r="N552" s="472"/>
      <c r="O552" s="472"/>
      <c r="P552" s="472"/>
      <c r="Q552" s="472"/>
      <c r="R552" s="472"/>
      <c r="S552" s="472"/>
      <c r="T552" s="472"/>
      <c r="U552" s="472"/>
      <c r="V552" s="472"/>
      <c r="W552" s="472"/>
      <c r="X552" s="472"/>
      <c r="Y552" s="472"/>
      <c r="Z552" s="472"/>
    </row>
    <row r="553" spans="1:26" ht="14.25" customHeight="1">
      <c r="A553" s="472"/>
      <c r="B553" s="472"/>
      <c r="C553" s="472"/>
      <c r="D553" s="472"/>
      <c r="E553" s="472"/>
      <c r="F553" s="472"/>
      <c r="G553" s="472"/>
      <c r="H553" s="472"/>
      <c r="I553" s="472"/>
      <c r="J553" s="472"/>
      <c r="K553" s="472"/>
      <c r="L553" s="472"/>
      <c r="M553" s="472"/>
      <c r="N553" s="472"/>
      <c r="O553" s="472"/>
      <c r="P553" s="472"/>
      <c r="Q553" s="472"/>
      <c r="R553" s="472"/>
      <c r="S553" s="472"/>
      <c r="T553" s="472"/>
      <c r="U553" s="472"/>
      <c r="V553" s="472"/>
      <c r="W553" s="472"/>
      <c r="X553" s="472"/>
      <c r="Y553" s="472"/>
      <c r="Z553" s="472"/>
    </row>
    <row r="554" spans="1:26" ht="14.25" customHeight="1">
      <c r="A554" s="472"/>
      <c r="B554" s="472"/>
      <c r="C554" s="472"/>
      <c r="D554" s="472"/>
      <c r="E554" s="472"/>
      <c r="F554" s="472"/>
      <c r="G554" s="472"/>
      <c r="H554" s="472"/>
      <c r="I554" s="472"/>
      <c r="J554" s="472"/>
      <c r="K554" s="472"/>
      <c r="L554" s="472"/>
      <c r="M554" s="472"/>
      <c r="N554" s="472"/>
      <c r="O554" s="472"/>
      <c r="P554" s="472"/>
      <c r="Q554" s="472"/>
      <c r="R554" s="472"/>
      <c r="S554" s="472"/>
      <c r="T554" s="472"/>
      <c r="U554" s="472"/>
      <c r="V554" s="472"/>
      <c r="W554" s="472"/>
      <c r="X554" s="472"/>
      <c r="Y554" s="472"/>
      <c r="Z554" s="472"/>
    </row>
    <row r="555" spans="1:26" ht="14.25" customHeight="1">
      <c r="A555" s="472"/>
      <c r="B555" s="472"/>
      <c r="C555" s="472"/>
      <c r="D555" s="472"/>
      <c r="E555" s="472"/>
      <c r="F555" s="472"/>
      <c r="G555" s="472"/>
      <c r="H555" s="472"/>
      <c r="I555" s="472"/>
      <c r="J555" s="472"/>
      <c r="K555" s="472"/>
      <c r="L555" s="472"/>
      <c r="M555" s="472"/>
      <c r="N555" s="472"/>
      <c r="O555" s="472"/>
      <c r="P555" s="472"/>
      <c r="Q555" s="472"/>
      <c r="R555" s="472"/>
      <c r="S555" s="472"/>
      <c r="T555" s="472"/>
      <c r="U555" s="472"/>
      <c r="V555" s="472"/>
      <c r="W555" s="472"/>
      <c r="X555" s="472"/>
      <c r="Y555" s="472"/>
      <c r="Z555" s="472"/>
    </row>
    <row r="556" spans="1:26" ht="14.25" customHeight="1">
      <c r="A556" s="472"/>
      <c r="B556" s="472"/>
      <c r="C556" s="472"/>
      <c r="D556" s="472"/>
      <c r="E556" s="472"/>
      <c r="F556" s="472"/>
      <c r="G556" s="472"/>
      <c r="H556" s="472"/>
      <c r="I556" s="472"/>
      <c r="J556" s="472"/>
      <c r="K556" s="472"/>
      <c r="L556" s="472"/>
      <c r="M556" s="472"/>
      <c r="N556" s="472"/>
      <c r="O556" s="472"/>
      <c r="P556" s="472"/>
      <c r="Q556" s="472"/>
      <c r="R556" s="472"/>
      <c r="S556" s="472"/>
      <c r="T556" s="472"/>
      <c r="U556" s="472"/>
      <c r="V556" s="472"/>
      <c r="W556" s="472"/>
      <c r="X556" s="472"/>
      <c r="Y556" s="472"/>
      <c r="Z556" s="472"/>
    </row>
    <row r="557" spans="1:26" ht="14.25" customHeight="1">
      <c r="A557" s="472"/>
      <c r="B557" s="472"/>
      <c r="C557" s="472"/>
      <c r="D557" s="472"/>
      <c r="E557" s="472"/>
      <c r="F557" s="472"/>
      <c r="G557" s="472"/>
      <c r="H557" s="472"/>
      <c r="I557" s="472"/>
      <c r="J557" s="472"/>
      <c r="K557" s="472"/>
      <c r="L557" s="472"/>
      <c r="M557" s="472"/>
      <c r="N557" s="472"/>
      <c r="O557" s="472"/>
      <c r="P557" s="472"/>
      <c r="Q557" s="472"/>
      <c r="R557" s="472"/>
      <c r="S557" s="472"/>
      <c r="T557" s="472"/>
      <c r="U557" s="472"/>
      <c r="V557" s="472"/>
      <c r="W557" s="472"/>
      <c r="X557" s="472"/>
      <c r="Y557" s="472"/>
      <c r="Z557" s="472"/>
    </row>
    <row r="558" spans="1:26" ht="14.25" customHeight="1">
      <c r="A558" s="472"/>
      <c r="B558" s="472"/>
      <c r="C558" s="472"/>
      <c r="D558" s="472"/>
      <c r="E558" s="472"/>
      <c r="F558" s="472"/>
      <c r="G558" s="472"/>
      <c r="H558" s="472"/>
      <c r="I558" s="472"/>
      <c r="J558" s="472"/>
      <c r="K558" s="472"/>
      <c r="L558" s="472"/>
      <c r="M558" s="472"/>
      <c r="N558" s="472"/>
      <c r="O558" s="472"/>
      <c r="P558" s="472"/>
      <c r="Q558" s="472"/>
      <c r="R558" s="472"/>
      <c r="S558" s="472"/>
      <c r="T558" s="472"/>
      <c r="U558" s="472"/>
      <c r="V558" s="472"/>
      <c r="W558" s="472"/>
      <c r="X558" s="472"/>
      <c r="Y558" s="472"/>
      <c r="Z558" s="472"/>
    </row>
    <row r="559" spans="1:26" ht="14.25" customHeight="1">
      <c r="A559" s="472"/>
      <c r="B559" s="472"/>
      <c r="C559" s="472"/>
      <c r="D559" s="472"/>
      <c r="E559" s="472"/>
      <c r="F559" s="472"/>
      <c r="G559" s="472"/>
      <c r="H559" s="472"/>
      <c r="I559" s="472"/>
      <c r="J559" s="472"/>
      <c r="K559" s="472"/>
      <c r="L559" s="472"/>
      <c r="M559" s="472"/>
      <c r="N559" s="472"/>
      <c r="O559" s="472"/>
      <c r="P559" s="472"/>
      <c r="Q559" s="472"/>
      <c r="R559" s="472"/>
      <c r="S559" s="472"/>
      <c r="T559" s="472"/>
      <c r="U559" s="472"/>
      <c r="V559" s="472"/>
      <c r="W559" s="472"/>
      <c r="X559" s="472"/>
      <c r="Y559" s="472"/>
      <c r="Z559" s="472"/>
    </row>
    <row r="560" spans="1:26" ht="14.25" customHeight="1">
      <c r="A560" s="472"/>
      <c r="B560" s="472"/>
      <c r="C560" s="472"/>
      <c r="D560" s="472"/>
      <c r="E560" s="472"/>
      <c r="F560" s="472"/>
      <c r="G560" s="472"/>
      <c r="H560" s="472"/>
      <c r="I560" s="472"/>
      <c r="J560" s="472"/>
      <c r="K560" s="472"/>
      <c r="L560" s="472"/>
      <c r="M560" s="472"/>
      <c r="N560" s="472"/>
      <c r="O560" s="472"/>
      <c r="P560" s="472"/>
      <c r="Q560" s="472"/>
      <c r="R560" s="472"/>
      <c r="S560" s="472"/>
      <c r="T560" s="472"/>
      <c r="U560" s="472"/>
      <c r="V560" s="472"/>
      <c r="W560" s="472"/>
      <c r="X560" s="472"/>
      <c r="Y560" s="472"/>
      <c r="Z560" s="472"/>
    </row>
    <row r="561" spans="1:26" ht="14.25" customHeight="1">
      <c r="A561" s="472"/>
      <c r="B561" s="472"/>
      <c r="C561" s="472"/>
      <c r="D561" s="472"/>
      <c r="E561" s="472"/>
      <c r="F561" s="472"/>
      <c r="G561" s="472"/>
      <c r="H561" s="472"/>
      <c r="I561" s="472"/>
      <c r="J561" s="472"/>
      <c r="K561" s="472"/>
      <c r="L561" s="472"/>
      <c r="M561" s="472"/>
      <c r="N561" s="472"/>
      <c r="O561" s="472"/>
      <c r="P561" s="472"/>
      <c r="Q561" s="472"/>
      <c r="R561" s="472"/>
      <c r="S561" s="472"/>
      <c r="T561" s="472"/>
      <c r="U561" s="472"/>
      <c r="V561" s="472"/>
      <c r="W561" s="472"/>
      <c r="X561" s="472"/>
      <c r="Y561" s="472"/>
      <c r="Z561" s="472"/>
    </row>
    <row r="562" spans="1:26" ht="14.25" customHeight="1">
      <c r="A562" s="472"/>
      <c r="B562" s="472"/>
      <c r="C562" s="472"/>
      <c r="D562" s="472"/>
      <c r="E562" s="472"/>
      <c r="F562" s="472"/>
      <c r="G562" s="472"/>
      <c r="H562" s="472"/>
      <c r="I562" s="472"/>
      <c r="J562" s="472"/>
      <c r="K562" s="472"/>
      <c r="L562" s="472"/>
      <c r="M562" s="472"/>
      <c r="N562" s="472"/>
      <c r="O562" s="472"/>
      <c r="P562" s="472"/>
      <c r="Q562" s="472"/>
      <c r="R562" s="472"/>
      <c r="S562" s="472"/>
      <c r="T562" s="472"/>
      <c r="U562" s="472"/>
      <c r="V562" s="472"/>
      <c r="W562" s="472"/>
      <c r="X562" s="472"/>
      <c r="Y562" s="472"/>
      <c r="Z562" s="472"/>
    </row>
    <row r="563" spans="1:26" ht="14.25" customHeight="1">
      <c r="A563" s="472"/>
      <c r="B563" s="472"/>
      <c r="C563" s="472"/>
      <c r="D563" s="472"/>
      <c r="E563" s="472"/>
      <c r="F563" s="472"/>
      <c r="G563" s="472"/>
      <c r="H563" s="472"/>
      <c r="I563" s="472"/>
      <c r="J563" s="472"/>
      <c r="K563" s="472"/>
      <c r="L563" s="472"/>
      <c r="M563" s="472"/>
      <c r="N563" s="472"/>
      <c r="O563" s="472"/>
      <c r="P563" s="472"/>
      <c r="Q563" s="472"/>
      <c r="R563" s="472"/>
      <c r="S563" s="472"/>
      <c r="T563" s="472"/>
      <c r="U563" s="472"/>
      <c r="V563" s="472"/>
      <c r="W563" s="472"/>
      <c r="X563" s="472"/>
      <c r="Y563" s="472"/>
      <c r="Z563" s="472"/>
    </row>
    <row r="564" spans="1:26" ht="14.25" customHeight="1">
      <c r="A564" s="472"/>
      <c r="B564" s="472"/>
      <c r="C564" s="472"/>
      <c r="D564" s="472"/>
      <c r="E564" s="472"/>
      <c r="F564" s="472"/>
      <c r="G564" s="472"/>
      <c r="H564" s="472"/>
      <c r="I564" s="472"/>
      <c r="J564" s="472"/>
      <c r="K564" s="472"/>
      <c r="L564" s="472"/>
      <c r="M564" s="472"/>
      <c r="N564" s="472"/>
      <c r="O564" s="472"/>
      <c r="P564" s="472"/>
      <c r="Q564" s="472"/>
      <c r="R564" s="472"/>
      <c r="S564" s="472"/>
      <c r="T564" s="472"/>
      <c r="U564" s="472"/>
      <c r="V564" s="472"/>
      <c r="W564" s="472"/>
      <c r="X564" s="472"/>
      <c r="Y564" s="472"/>
      <c r="Z564" s="472"/>
    </row>
    <row r="565" spans="1:26" ht="14.25" customHeight="1">
      <c r="A565" s="472"/>
      <c r="B565" s="472"/>
      <c r="C565" s="472"/>
      <c r="D565" s="472"/>
      <c r="E565" s="472"/>
      <c r="F565" s="472"/>
      <c r="G565" s="472"/>
      <c r="H565" s="472"/>
      <c r="I565" s="472"/>
      <c r="J565" s="472"/>
      <c r="K565" s="472"/>
      <c r="L565" s="472"/>
      <c r="M565" s="472"/>
      <c r="N565" s="472"/>
      <c r="O565" s="472"/>
      <c r="P565" s="472"/>
      <c r="Q565" s="472"/>
      <c r="R565" s="472"/>
      <c r="S565" s="472"/>
      <c r="T565" s="472"/>
      <c r="U565" s="472"/>
      <c r="V565" s="472"/>
      <c r="W565" s="472"/>
      <c r="X565" s="472"/>
      <c r="Y565" s="472"/>
      <c r="Z565" s="472"/>
    </row>
    <row r="566" spans="1:26" ht="14.25" customHeight="1">
      <c r="A566" s="472"/>
      <c r="B566" s="472"/>
      <c r="C566" s="472"/>
      <c r="D566" s="472"/>
      <c r="E566" s="472"/>
      <c r="F566" s="472"/>
      <c r="G566" s="472"/>
      <c r="H566" s="472"/>
      <c r="I566" s="472"/>
      <c r="J566" s="472"/>
      <c r="K566" s="472"/>
      <c r="L566" s="472"/>
      <c r="M566" s="472"/>
      <c r="N566" s="472"/>
      <c r="O566" s="472"/>
      <c r="P566" s="472"/>
      <c r="Q566" s="472"/>
      <c r="R566" s="472"/>
      <c r="S566" s="472"/>
      <c r="T566" s="472"/>
      <c r="U566" s="472"/>
      <c r="V566" s="472"/>
      <c r="W566" s="472"/>
      <c r="X566" s="472"/>
      <c r="Y566" s="472"/>
      <c r="Z566" s="472"/>
    </row>
    <row r="567" spans="1:26" ht="14.25" customHeight="1">
      <c r="A567" s="472"/>
      <c r="B567" s="472"/>
      <c r="C567" s="472"/>
      <c r="D567" s="472"/>
      <c r="E567" s="472"/>
      <c r="F567" s="472"/>
      <c r="G567" s="472"/>
      <c r="H567" s="472"/>
      <c r="I567" s="472"/>
      <c r="J567" s="472"/>
      <c r="K567" s="472"/>
      <c r="L567" s="472"/>
      <c r="M567" s="472"/>
      <c r="N567" s="472"/>
      <c r="O567" s="472"/>
      <c r="P567" s="472"/>
      <c r="Q567" s="472"/>
      <c r="R567" s="472"/>
      <c r="S567" s="472"/>
      <c r="T567" s="472"/>
      <c r="U567" s="472"/>
      <c r="V567" s="472"/>
      <c r="W567" s="472"/>
      <c r="X567" s="472"/>
      <c r="Y567" s="472"/>
      <c r="Z567" s="472"/>
    </row>
    <row r="568" spans="1:26" ht="14.25" customHeight="1">
      <c r="A568" s="472"/>
      <c r="B568" s="472"/>
      <c r="C568" s="472"/>
      <c r="D568" s="472"/>
      <c r="E568" s="472"/>
      <c r="F568" s="472"/>
      <c r="G568" s="472"/>
      <c r="H568" s="472"/>
      <c r="I568" s="472"/>
      <c r="J568" s="472"/>
      <c r="K568" s="472"/>
      <c r="L568" s="472"/>
      <c r="M568" s="472"/>
      <c r="N568" s="472"/>
      <c r="O568" s="472"/>
      <c r="P568" s="472"/>
      <c r="Q568" s="472"/>
      <c r="R568" s="472"/>
      <c r="S568" s="472"/>
      <c r="T568" s="472"/>
      <c r="U568" s="472"/>
      <c r="V568" s="472"/>
      <c r="W568" s="472"/>
      <c r="X568" s="472"/>
      <c r="Y568" s="472"/>
      <c r="Z568" s="472"/>
    </row>
    <row r="569" spans="1:26" ht="14.25" customHeight="1">
      <c r="A569" s="472"/>
      <c r="B569" s="472"/>
      <c r="C569" s="472"/>
      <c r="D569" s="472"/>
      <c r="E569" s="472"/>
      <c r="F569" s="472"/>
      <c r="G569" s="472"/>
      <c r="H569" s="472"/>
      <c r="I569" s="472"/>
      <c r="J569" s="472"/>
      <c r="K569" s="472"/>
      <c r="L569" s="472"/>
      <c r="M569" s="472"/>
      <c r="N569" s="472"/>
      <c r="O569" s="472"/>
      <c r="P569" s="472"/>
      <c r="Q569" s="472"/>
      <c r="R569" s="472"/>
      <c r="S569" s="472"/>
      <c r="T569" s="472"/>
      <c r="U569" s="472"/>
      <c r="V569" s="472"/>
      <c r="W569" s="472"/>
      <c r="X569" s="472"/>
      <c r="Y569" s="472"/>
      <c r="Z569" s="472"/>
    </row>
    <row r="570" spans="1:26" ht="14.25" customHeight="1">
      <c r="A570" s="472"/>
      <c r="B570" s="472"/>
      <c r="C570" s="472"/>
      <c r="D570" s="472"/>
      <c r="E570" s="472"/>
      <c r="F570" s="472"/>
      <c r="G570" s="472"/>
      <c r="H570" s="472"/>
      <c r="I570" s="472"/>
      <c r="J570" s="472"/>
      <c r="K570" s="472"/>
      <c r="L570" s="472"/>
      <c r="M570" s="472"/>
      <c r="N570" s="472"/>
      <c r="O570" s="472"/>
      <c r="P570" s="472"/>
      <c r="Q570" s="472"/>
      <c r="R570" s="472"/>
      <c r="S570" s="472"/>
      <c r="T570" s="472"/>
      <c r="U570" s="472"/>
      <c r="V570" s="472"/>
      <c r="W570" s="472"/>
      <c r="X570" s="472"/>
      <c r="Y570" s="472"/>
      <c r="Z570" s="472"/>
    </row>
    <row r="571" spans="1:26" ht="14.25" customHeight="1">
      <c r="A571" s="472"/>
      <c r="B571" s="472"/>
      <c r="C571" s="472"/>
      <c r="D571" s="472"/>
      <c r="E571" s="472"/>
      <c r="F571" s="472"/>
      <c r="G571" s="472"/>
      <c r="H571" s="472"/>
      <c r="I571" s="472"/>
      <c r="J571" s="472"/>
      <c r="K571" s="472"/>
      <c r="L571" s="472"/>
      <c r="M571" s="472"/>
      <c r="N571" s="472"/>
      <c r="O571" s="472"/>
      <c r="P571" s="472"/>
      <c r="Q571" s="472"/>
      <c r="R571" s="472"/>
      <c r="S571" s="472"/>
      <c r="T571" s="472"/>
      <c r="U571" s="472"/>
      <c r="V571" s="472"/>
      <c r="W571" s="472"/>
      <c r="X571" s="472"/>
      <c r="Y571" s="472"/>
      <c r="Z571" s="472"/>
    </row>
    <row r="572" spans="1:26" ht="14.25" customHeight="1">
      <c r="A572" s="472"/>
      <c r="B572" s="472"/>
      <c r="C572" s="472"/>
      <c r="D572" s="472"/>
      <c r="E572" s="472"/>
      <c r="F572" s="472"/>
      <c r="G572" s="472"/>
      <c r="H572" s="472"/>
      <c r="I572" s="472"/>
      <c r="J572" s="472"/>
      <c r="K572" s="472"/>
      <c r="L572" s="472"/>
      <c r="M572" s="472"/>
      <c r="N572" s="472"/>
      <c r="O572" s="472"/>
      <c r="P572" s="472"/>
      <c r="Q572" s="472"/>
      <c r="R572" s="472"/>
      <c r="S572" s="472"/>
      <c r="T572" s="472"/>
      <c r="U572" s="472"/>
      <c r="V572" s="472"/>
      <c r="W572" s="472"/>
      <c r="X572" s="472"/>
      <c r="Y572" s="472"/>
      <c r="Z572" s="472"/>
    </row>
    <row r="573" spans="1:26" ht="14.25" customHeight="1">
      <c r="A573" s="472"/>
      <c r="B573" s="472"/>
      <c r="C573" s="472"/>
      <c r="D573" s="472"/>
      <c r="E573" s="472"/>
      <c r="F573" s="472"/>
      <c r="G573" s="472"/>
      <c r="H573" s="472"/>
      <c r="I573" s="472"/>
      <c r="J573" s="472"/>
      <c r="K573" s="472"/>
      <c r="L573" s="472"/>
      <c r="M573" s="472"/>
      <c r="N573" s="472"/>
      <c r="O573" s="472"/>
      <c r="P573" s="472"/>
      <c r="Q573" s="472"/>
      <c r="R573" s="472"/>
      <c r="S573" s="472"/>
      <c r="T573" s="472"/>
      <c r="U573" s="472"/>
      <c r="V573" s="472"/>
      <c r="W573" s="472"/>
      <c r="X573" s="472"/>
      <c r="Y573" s="472"/>
      <c r="Z573" s="472"/>
    </row>
    <row r="574" spans="1:26" ht="14.25" customHeight="1">
      <c r="A574" s="472"/>
      <c r="B574" s="472"/>
      <c r="C574" s="472"/>
      <c r="D574" s="472"/>
      <c r="E574" s="472"/>
      <c r="F574" s="472"/>
      <c r="G574" s="472"/>
      <c r="H574" s="472"/>
      <c r="I574" s="472"/>
      <c r="J574" s="472"/>
      <c r="K574" s="472"/>
      <c r="L574" s="472"/>
      <c r="M574" s="472"/>
      <c r="N574" s="472"/>
      <c r="O574" s="472"/>
      <c r="P574" s="472"/>
      <c r="Q574" s="472"/>
      <c r="R574" s="472"/>
      <c r="S574" s="472"/>
      <c r="T574" s="472"/>
      <c r="U574" s="472"/>
      <c r="V574" s="472"/>
      <c r="W574" s="472"/>
      <c r="X574" s="472"/>
      <c r="Y574" s="472"/>
      <c r="Z574" s="472"/>
    </row>
    <row r="575" spans="1:26" ht="14.25" customHeight="1">
      <c r="A575" s="472"/>
      <c r="B575" s="472"/>
      <c r="C575" s="472"/>
      <c r="D575" s="472"/>
      <c r="E575" s="472"/>
      <c r="F575" s="472"/>
      <c r="G575" s="472"/>
      <c r="H575" s="472"/>
      <c r="I575" s="472"/>
      <c r="J575" s="472"/>
      <c r="K575" s="472"/>
      <c r="L575" s="472"/>
      <c r="M575" s="472"/>
      <c r="N575" s="472"/>
      <c r="O575" s="472"/>
      <c r="P575" s="472"/>
      <c r="Q575" s="472"/>
      <c r="R575" s="472"/>
      <c r="S575" s="472"/>
      <c r="T575" s="472"/>
      <c r="U575" s="472"/>
      <c r="V575" s="472"/>
      <c r="W575" s="472"/>
      <c r="X575" s="472"/>
      <c r="Y575" s="472"/>
      <c r="Z575" s="472"/>
    </row>
    <row r="576" spans="1:26" ht="14.25" customHeight="1">
      <c r="A576" s="472"/>
      <c r="B576" s="472"/>
      <c r="C576" s="472"/>
      <c r="D576" s="472"/>
      <c r="E576" s="472"/>
      <c r="F576" s="472"/>
      <c r="G576" s="472"/>
      <c r="H576" s="472"/>
      <c r="I576" s="472"/>
      <c r="J576" s="472"/>
      <c r="K576" s="472"/>
      <c r="L576" s="472"/>
      <c r="M576" s="472"/>
      <c r="N576" s="472"/>
      <c r="O576" s="472"/>
      <c r="P576" s="472"/>
      <c r="Q576" s="472"/>
      <c r="R576" s="472"/>
      <c r="S576" s="472"/>
      <c r="T576" s="472"/>
      <c r="U576" s="472"/>
      <c r="V576" s="472"/>
      <c r="W576" s="472"/>
      <c r="X576" s="472"/>
      <c r="Y576" s="472"/>
      <c r="Z576" s="472"/>
    </row>
    <row r="577" spans="1:26" ht="14.25" customHeight="1">
      <c r="A577" s="472"/>
      <c r="B577" s="472"/>
      <c r="C577" s="472"/>
      <c r="D577" s="472"/>
      <c r="E577" s="472"/>
      <c r="F577" s="472"/>
      <c r="G577" s="472"/>
      <c r="H577" s="472"/>
      <c r="I577" s="472"/>
      <c r="J577" s="472"/>
      <c r="K577" s="472"/>
      <c r="L577" s="472"/>
      <c r="M577" s="472"/>
      <c r="N577" s="472"/>
      <c r="O577" s="472"/>
      <c r="P577" s="472"/>
      <c r="Q577" s="472"/>
      <c r="R577" s="472"/>
      <c r="S577" s="472"/>
      <c r="T577" s="472"/>
      <c r="U577" s="472"/>
      <c r="V577" s="472"/>
      <c r="W577" s="472"/>
      <c r="X577" s="472"/>
      <c r="Y577" s="472"/>
      <c r="Z577" s="472"/>
    </row>
    <row r="578" spans="1:26" ht="14.25" customHeight="1">
      <c r="A578" s="472"/>
      <c r="B578" s="472"/>
      <c r="C578" s="472"/>
      <c r="D578" s="472"/>
      <c r="E578" s="472"/>
      <c r="F578" s="472"/>
      <c r="G578" s="472"/>
      <c r="H578" s="472"/>
      <c r="I578" s="472"/>
      <c r="J578" s="472"/>
      <c r="K578" s="472"/>
      <c r="L578" s="472"/>
      <c r="M578" s="472"/>
      <c r="N578" s="472"/>
      <c r="O578" s="472"/>
      <c r="P578" s="472"/>
      <c r="Q578" s="472"/>
      <c r="R578" s="472"/>
      <c r="S578" s="472"/>
      <c r="T578" s="472"/>
      <c r="U578" s="472"/>
      <c r="V578" s="472"/>
      <c r="W578" s="472"/>
      <c r="X578" s="472"/>
      <c r="Y578" s="472"/>
      <c r="Z578" s="472"/>
    </row>
    <row r="579" spans="1:26" ht="14.25" customHeight="1">
      <c r="A579" s="472"/>
      <c r="B579" s="472"/>
      <c r="C579" s="472"/>
      <c r="D579" s="472"/>
      <c r="E579" s="472"/>
      <c r="F579" s="472"/>
      <c r="G579" s="472"/>
      <c r="H579" s="472"/>
      <c r="I579" s="472"/>
      <c r="J579" s="472"/>
      <c r="K579" s="472"/>
      <c r="L579" s="472"/>
      <c r="M579" s="472"/>
      <c r="N579" s="472"/>
      <c r="O579" s="472"/>
      <c r="P579" s="472"/>
      <c r="Q579" s="472"/>
      <c r="R579" s="472"/>
      <c r="S579" s="472"/>
      <c r="T579" s="472"/>
      <c r="U579" s="472"/>
      <c r="V579" s="472"/>
      <c r="W579" s="472"/>
      <c r="X579" s="472"/>
      <c r="Y579" s="472"/>
      <c r="Z579" s="472"/>
    </row>
    <row r="580" spans="1:26" ht="14.25" customHeight="1">
      <c r="A580" s="472"/>
      <c r="B580" s="472"/>
      <c r="C580" s="472"/>
      <c r="D580" s="472"/>
      <c r="E580" s="472"/>
      <c r="F580" s="472"/>
      <c r="G580" s="472"/>
      <c r="H580" s="472"/>
      <c r="I580" s="472"/>
      <c r="J580" s="472"/>
      <c r="K580" s="472"/>
      <c r="L580" s="472"/>
      <c r="M580" s="472"/>
      <c r="N580" s="472"/>
      <c r="O580" s="472"/>
      <c r="P580" s="472"/>
      <c r="Q580" s="472"/>
      <c r="R580" s="472"/>
      <c r="S580" s="472"/>
      <c r="T580" s="472"/>
      <c r="U580" s="472"/>
      <c r="V580" s="472"/>
      <c r="W580" s="472"/>
      <c r="X580" s="472"/>
      <c r="Y580" s="472"/>
      <c r="Z580" s="472"/>
    </row>
    <row r="581" spans="1:26" ht="14.25" customHeight="1">
      <c r="A581" s="472"/>
      <c r="B581" s="472"/>
      <c r="C581" s="472"/>
      <c r="D581" s="472"/>
      <c r="E581" s="472"/>
      <c r="F581" s="472"/>
      <c r="G581" s="472"/>
      <c r="H581" s="472"/>
      <c r="I581" s="472"/>
      <c r="J581" s="472"/>
      <c r="K581" s="472"/>
      <c r="L581" s="472"/>
      <c r="M581" s="472"/>
      <c r="N581" s="472"/>
      <c r="O581" s="472"/>
      <c r="P581" s="472"/>
      <c r="Q581" s="472"/>
      <c r="R581" s="472"/>
      <c r="S581" s="472"/>
      <c r="T581" s="472"/>
      <c r="U581" s="472"/>
      <c r="V581" s="472"/>
      <c r="W581" s="472"/>
      <c r="X581" s="472"/>
      <c r="Y581" s="472"/>
      <c r="Z581" s="472"/>
    </row>
    <row r="582" spans="1:26" ht="14.25" customHeight="1">
      <c r="A582" s="472"/>
      <c r="B582" s="472"/>
      <c r="C582" s="472"/>
      <c r="D582" s="472"/>
      <c r="E582" s="472"/>
      <c r="F582" s="472"/>
      <c r="G582" s="472"/>
      <c r="H582" s="472"/>
      <c r="I582" s="472"/>
      <c r="J582" s="472"/>
      <c r="K582" s="472"/>
      <c r="L582" s="472"/>
      <c r="M582" s="472"/>
      <c r="N582" s="472"/>
      <c r="O582" s="472"/>
      <c r="P582" s="472"/>
      <c r="Q582" s="472"/>
      <c r="R582" s="472"/>
      <c r="S582" s="472"/>
      <c r="T582" s="472"/>
      <c r="U582" s="472"/>
      <c r="V582" s="472"/>
      <c r="W582" s="472"/>
      <c r="X582" s="472"/>
      <c r="Y582" s="472"/>
      <c r="Z582" s="472"/>
    </row>
    <row r="583" spans="1:26" ht="14.25" customHeight="1">
      <c r="A583" s="472"/>
      <c r="B583" s="472"/>
      <c r="C583" s="472"/>
      <c r="D583" s="472"/>
      <c r="E583" s="472"/>
      <c r="F583" s="472"/>
      <c r="G583" s="472"/>
      <c r="H583" s="472"/>
      <c r="I583" s="472"/>
      <c r="J583" s="472"/>
      <c r="K583" s="472"/>
      <c r="L583" s="472"/>
      <c r="M583" s="472"/>
      <c r="N583" s="472"/>
      <c r="O583" s="472"/>
      <c r="P583" s="472"/>
      <c r="Q583" s="472"/>
      <c r="R583" s="472"/>
      <c r="S583" s="472"/>
      <c r="T583" s="472"/>
      <c r="U583" s="472"/>
      <c r="V583" s="472"/>
      <c r="W583" s="472"/>
      <c r="X583" s="472"/>
      <c r="Y583" s="472"/>
      <c r="Z583" s="472"/>
    </row>
    <row r="584" spans="1:26" ht="14.25" customHeight="1">
      <c r="A584" s="472"/>
      <c r="B584" s="472"/>
      <c r="C584" s="472"/>
      <c r="D584" s="472"/>
      <c r="E584" s="472"/>
      <c r="F584" s="472"/>
      <c r="G584" s="472"/>
      <c r="H584" s="472"/>
      <c r="I584" s="472"/>
      <c r="J584" s="472"/>
      <c r="K584" s="472"/>
      <c r="L584" s="472"/>
      <c r="M584" s="472"/>
      <c r="N584" s="472"/>
      <c r="O584" s="472"/>
      <c r="P584" s="472"/>
      <c r="Q584" s="472"/>
      <c r="R584" s="472"/>
      <c r="S584" s="472"/>
      <c r="T584" s="472"/>
      <c r="U584" s="472"/>
      <c r="V584" s="472"/>
      <c r="W584" s="472"/>
      <c r="X584" s="472"/>
      <c r="Y584" s="472"/>
      <c r="Z584" s="472"/>
    </row>
    <row r="585" spans="1:26" ht="14.25" customHeight="1">
      <c r="A585" s="472"/>
      <c r="B585" s="472"/>
      <c r="C585" s="472"/>
      <c r="D585" s="472"/>
      <c r="E585" s="472"/>
      <c r="F585" s="472"/>
      <c r="G585" s="472"/>
      <c r="H585" s="472"/>
      <c r="I585" s="472"/>
      <c r="J585" s="472"/>
      <c r="K585" s="472"/>
      <c r="L585" s="472"/>
      <c r="M585" s="472"/>
      <c r="N585" s="472"/>
      <c r="O585" s="472"/>
      <c r="P585" s="472"/>
      <c r="Q585" s="472"/>
      <c r="R585" s="472"/>
      <c r="S585" s="472"/>
      <c r="T585" s="472"/>
      <c r="U585" s="472"/>
      <c r="V585" s="472"/>
      <c r="W585" s="472"/>
      <c r="X585" s="472"/>
      <c r="Y585" s="472"/>
      <c r="Z585" s="472"/>
    </row>
    <row r="586" spans="1:26" ht="14.25" customHeight="1">
      <c r="A586" s="472"/>
      <c r="B586" s="472"/>
      <c r="C586" s="472"/>
      <c r="D586" s="472"/>
      <c r="E586" s="472"/>
      <c r="F586" s="472"/>
      <c r="G586" s="472"/>
      <c r="H586" s="472"/>
      <c r="I586" s="472"/>
      <c r="J586" s="472"/>
      <c r="K586" s="472"/>
      <c r="L586" s="472"/>
      <c r="M586" s="472"/>
      <c r="N586" s="472"/>
      <c r="O586" s="472"/>
      <c r="P586" s="472"/>
      <c r="Q586" s="472"/>
      <c r="R586" s="472"/>
      <c r="S586" s="472"/>
      <c r="T586" s="472"/>
      <c r="U586" s="472"/>
      <c r="V586" s="472"/>
      <c r="W586" s="472"/>
      <c r="X586" s="472"/>
      <c r="Y586" s="472"/>
      <c r="Z586" s="472"/>
    </row>
    <row r="587" spans="1:26" ht="14.25" customHeight="1">
      <c r="A587" s="472"/>
      <c r="B587" s="472"/>
      <c r="C587" s="472"/>
      <c r="D587" s="472"/>
      <c r="E587" s="472"/>
      <c r="F587" s="472"/>
      <c r="G587" s="472"/>
      <c r="H587" s="472"/>
      <c r="I587" s="472"/>
      <c r="J587" s="472"/>
      <c r="K587" s="472"/>
      <c r="L587" s="472"/>
      <c r="M587" s="472"/>
      <c r="N587" s="472"/>
      <c r="O587" s="472"/>
      <c r="P587" s="472"/>
      <c r="Q587" s="472"/>
      <c r="R587" s="472"/>
      <c r="S587" s="472"/>
      <c r="T587" s="472"/>
      <c r="U587" s="472"/>
      <c r="V587" s="472"/>
      <c r="W587" s="472"/>
      <c r="X587" s="472"/>
      <c r="Y587" s="472"/>
      <c r="Z587" s="472"/>
    </row>
    <row r="588" spans="1:26" ht="14.25" customHeight="1">
      <c r="A588" s="472"/>
      <c r="B588" s="472"/>
      <c r="C588" s="472"/>
      <c r="D588" s="472"/>
      <c r="E588" s="472"/>
      <c r="F588" s="472"/>
      <c r="G588" s="472"/>
      <c r="H588" s="472"/>
      <c r="I588" s="472"/>
      <c r="J588" s="472"/>
      <c r="K588" s="472"/>
      <c r="L588" s="472"/>
      <c r="M588" s="472"/>
      <c r="N588" s="472"/>
      <c r="O588" s="472"/>
      <c r="P588" s="472"/>
      <c r="Q588" s="472"/>
      <c r="R588" s="472"/>
      <c r="S588" s="472"/>
      <c r="T588" s="472"/>
      <c r="U588" s="472"/>
      <c r="V588" s="472"/>
      <c r="W588" s="472"/>
      <c r="X588" s="472"/>
      <c r="Y588" s="472"/>
      <c r="Z588" s="472"/>
    </row>
    <row r="589" spans="1:26" ht="14.25" customHeight="1">
      <c r="A589" s="472"/>
      <c r="B589" s="472"/>
      <c r="C589" s="472"/>
      <c r="D589" s="472"/>
      <c r="E589" s="472"/>
      <c r="F589" s="472"/>
      <c r="G589" s="472"/>
      <c r="H589" s="472"/>
      <c r="I589" s="472"/>
      <c r="J589" s="472"/>
      <c r="K589" s="472"/>
      <c r="L589" s="472"/>
      <c r="M589" s="472"/>
      <c r="N589" s="472"/>
      <c r="O589" s="472"/>
      <c r="P589" s="472"/>
      <c r="Q589" s="472"/>
      <c r="R589" s="472"/>
      <c r="S589" s="472"/>
      <c r="T589" s="472"/>
      <c r="U589" s="472"/>
      <c r="V589" s="472"/>
      <c r="W589" s="472"/>
      <c r="X589" s="472"/>
      <c r="Y589" s="472"/>
      <c r="Z589" s="472"/>
    </row>
    <row r="590" spans="1:26" ht="14.25" customHeight="1">
      <c r="A590" s="472"/>
      <c r="B590" s="472"/>
      <c r="C590" s="472"/>
      <c r="D590" s="472"/>
      <c r="E590" s="472"/>
      <c r="F590" s="472"/>
      <c r="G590" s="472"/>
      <c r="H590" s="472"/>
      <c r="I590" s="472"/>
      <c r="J590" s="472"/>
      <c r="K590" s="472"/>
      <c r="L590" s="472"/>
      <c r="M590" s="472"/>
      <c r="N590" s="472"/>
      <c r="O590" s="472"/>
      <c r="P590" s="472"/>
      <c r="Q590" s="472"/>
      <c r="R590" s="472"/>
      <c r="S590" s="472"/>
      <c r="T590" s="472"/>
      <c r="U590" s="472"/>
      <c r="V590" s="472"/>
      <c r="W590" s="472"/>
      <c r="X590" s="472"/>
      <c r="Y590" s="472"/>
      <c r="Z590" s="472"/>
    </row>
    <row r="591" spans="1:26" ht="14.25" customHeight="1">
      <c r="A591" s="472"/>
      <c r="B591" s="472"/>
      <c r="C591" s="472"/>
      <c r="D591" s="472"/>
      <c r="E591" s="472"/>
      <c r="F591" s="472"/>
      <c r="G591" s="472"/>
      <c r="H591" s="472"/>
      <c r="I591" s="472"/>
      <c r="J591" s="472"/>
      <c r="K591" s="472"/>
      <c r="L591" s="472"/>
      <c r="M591" s="472"/>
      <c r="N591" s="472"/>
      <c r="O591" s="472"/>
      <c r="P591" s="472"/>
      <c r="Q591" s="472"/>
      <c r="R591" s="472"/>
      <c r="S591" s="472"/>
      <c r="T591" s="472"/>
      <c r="U591" s="472"/>
      <c r="V591" s="472"/>
      <c r="W591" s="472"/>
      <c r="X591" s="472"/>
      <c r="Y591" s="472"/>
      <c r="Z591" s="472"/>
    </row>
    <row r="592" spans="1:26" ht="14.25" customHeight="1">
      <c r="A592" s="472"/>
      <c r="B592" s="472"/>
      <c r="C592" s="472"/>
      <c r="D592" s="472"/>
      <c r="E592" s="472"/>
      <c r="F592" s="472"/>
      <c r="G592" s="472"/>
      <c r="H592" s="472"/>
      <c r="I592" s="472"/>
      <c r="J592" s="472"/>
      <c r="K592" s="472"/>
      <c r="L592" s="472"/>
      <c r="M592" s="472"/>
      <c r="N592" s="472"/>
      <c r="O592" s="472"/>
      <c r="P592" s="472"/>
      <c r="Q592" s="472"/>
      <c r="R592" s="472"/>
      <c r="S592" s="472"/>
      <c r="T592" s="472"/>
      <c r="U592" s="472"/>
      <c r="V592" s="472"/>
      <c r="W592" s="472"/>
      <c r="X592" s="472"/>
      <c r="Y592" s="472"/>
      <c r="Z592" s="472"/>
    </row>
    <row r="593" spans="1:26" ht="14.25" customHeight="1">
      <c r="A593" s="472"/>
      <c r="B593" s="472"/>
      <c r="C593" s="472"/>
      <c r="D593" s="472"/>
      <c r="E593" s="472"/>
      <c r="F593" s="472"/>
      <c r="G593" s="472"/>
      <c r="H593" s="472"/>
      <c r="I593" s="472"/>
      <c r="J593" s="472"/>
      <c r="K593" s="472"/>
      <c r="L593" s="472"/>
      <c r="M593" s="472"/>
      <c r="N593" s="472"/>
      <c r="O593" s="472"/>
      <c r="P593" s="472"/>
      <c r="Q593" s="472"/>
      <c r="R593" s="472"/>
      <c r="S593" s="472"/>
      <c r="T593" s="472"/>
      <c r="U593" s="472"/>
      <c r="V593" s="472"/>
      <c r="W593" s="472"/>
      <c r="X593" s="472"/>
      <c r="Y593" s="472"/>
      <c r="Z593" s="472"/>
    </row>
    <row r="594" spans="1:26" ht="14.25" customHeight="1">
      <c r="A594" s="472"/>
      <c r="B594" s="472"/>
      <c r="C594" s="472"/>
      <c r="D594" s="472"/>
      <c r="E594" s="472"/>
      <c r="F594" s="472"/>
      <c r="G594" s="472"/>
      <c r="H594" s="472"/>
      <c r="I594" s="472"/>
      <c r="J594" s="472"/>
      <c r="K594" s="472"/>
      <c r="L594" s="472"/>
      <c r="M594" s="472"/>
      <c r="N594" s="472"/>
      <c r="O594" s="472"/>
      <c r="P594" s="472"/>
      <c r="Q594" s="472"/>
      <c r="R594" s="472"/>
      <c r="S594" s="472"/>
      <c r="T594" s="472"/>
      <c r="U594" s="472"/>
      <c r="V594" s="472"/>
      <c r="W594" s="472"/>
      <c r="X594" s="472"/>
      <c r="Y594" s="472"/>
      <c r="Z594" s="472"/>
    </row>
    <row r="595" spans="1:26" ht="14.25" customHeight="1">
      <c r="A595" s="472"/>
      <c r="B595" s="472"/>
      <c r="C595" s="472"/>
      <c r="D595" s="472"/>
      <c r="E595" s="472"/>
      <c r="F595" s="472"/>
      <c r="G595" s="472"/>
      <c r="H595" s="472"/>
      <c r="I595" s="472"/>
      <c r="J595" s="472"/>
      <c r="K595" s="472"/>
      <c r="L595" s="472"/>
      <c r="M595" s="472"/>
      <c r="N595" s="472"/>
      <c r="O595" s="472"/>
      <c r="P595" s="472"/>
      <c r="Q595" s="472"/>
      <c r="R595" s="472"/>
      <c r="S595" s="472"/>
      <c r="T595" s="472"/>
      <c r="U595" s="472"/>
      <c r="V595" s="472"/>
      <c r="W595" s="472"/>
      <c r="X595" s="472"/>
      <c r="Y595" s="472"/>
      <c r="Z595" s="472"/>
    </row>
    <row r="596" spans="1:26" ht="14.25" customHeight="1">
      <c r="A596" s="472"/>
      <c r="B596" s="472"/>
      <c r="C596" s="472"/>
      <c r="D596" s="472"/>
      <c r="E596" s="472"/>
      <c r="F596" s="472"/>
      <c r="G596" s="472"/>
      <c r="H596" s="472"/>
      <c r="I596" s="472"/>
      <c r="J596" s="472"/>
      <c r="K596" s="472"/>
      <c r="L596" s="472"/>
      <c r="M596" s="472"/>
      <c r="N596" s="472"/>
      <c r="O596" s="472"/>
      <c r="P596" s="472"/>
      <c r="Q596" s="472"/>
      <c r="R596" s="472"/>
      <c r="S596" s="472"/>
      <c r="T596" s="472"/>
      <c r="U596" s="472"/>
      <c r="V596" s="472"/>
      <c r="W596" s="472"/>
      <c r="X596" s="472"/>
      <c r="Y596" s="472"/>
      <c r="Z596" s="472"/>
    </row>
    <row r="597" spans="1:26" ht="14.25" customHeight="1">
      <c r="A597" s="472"/>
      <c r="B597" s="472"/>
      <c r="C597" s="472"/>
      <c r="D597" s="472"/>
      <c r="E597" s="472"/>
      <c r="F597" s="472"/>
      <c r="G597" s="472"/>
      <c r="H597" s="472"/>
      <c r="I597" s="472"/>
      <c r="J597" s="472"/>
      <c r="K597" s="472"/>
      <c r="L597" s="472"/>
      <c r="M597" s="472"/>
      <c r="N597" s="472"/>
      <c r="O597" s="472"/>
      <c r="P597" s="472"/>
      <c r="Q597" s="472"/>
      <c r="R597" s="472"/>
      <c r="S597" s="472"/>
      <c r="T597" s="472"/>
      <c r="U597" s="472"/>
      <c r="V597" s="472"/>
      <c r="W597" s="472"/>
      <c r="X597" s="472"/>
      <c r="Y597" s="472"/>
      <c r="Z597" s="472"/>
    </row>
    <row r="598" spans="1:26" ht="14.25" customHeight="1">
      <c r="A598" s="472"/>
      <c r="B598" s="472"/>
      <c r="C598" s="472"/>
      <c r="D598" s="472"/>
      <c r="E598" s="472"/>
      <c r="F598" s="472"/>
      <c r="G598" s="472"/>
      <c r="H598" s="472"/>
      <c r="I598" s="472"/>
      <c r="J598" s="472"/>
      <c r="K598" s="472"/>
      <c r="L598" s="472"/>
      <c r="M598" s="472"/>
      <c r="N598" s="472"/>
      <c r="O598" s="472"/>
      <c r="P598" s="472"/>
      <c r="Q598" s="472"/>
      <c r="R598" s="472"/>
      <c r="S598" s="472"/>
      <c r="T598" s="472"/>
      <c r="U598" s="472"/>
      <c r="V598" s="472"/>
      <c r="W598" s="472"/>
      <c r="X598" s="472"/>
      <c r="Y598" s="472"/>
      <c r="Z598" s="472"/>
    </row>
    <row r="599" spans="1:26" ht="14.25" customHeight="1">
      <c r="A599" s="472"/>
      <c r="B599" s="472"/>
      <c r="C599" s="472"/>
      <c r="D599" s="472"/>
      <c r="E599" s="472"/>
      <c r="F599" s="472"/>
      <c r="G599" s="472"/>
      <c r="H599" s="472"/>
      <c r="I599" s="472"/>
      <c r="J599" s="472"/>
      <c r="K599" s="472"/>
      <c r="L599" s="472"/>
      <c r="M599" s="472"/>
      <c r="N599" s="472"/>
      <c r="O599" s="472"/>
      <c r="P599" s="472"/>
      <c r="Q599" s="472"/>
      <c r="R599" s="472"/>
      <c r="S599" s="472"/>
      <c r="T599" s="472"/>
      <c r="U599" s="472"/>
      <c r="V599" s="472"/>
      <c r="W599" s="472"/>
      <c r="X599" s="472"/>
      <c r="Y599" s="472"/>
      <c r="Z599" s="472"/>
    </row>
    <row r="600" spans="1:26" ht="14.25" customHeight="1">
      <c r="A600" s="472"/>
      <c r="B600" s="472"/>
      <c r="C600" s="472"/>
      <c r="D600" s="472"/>
      <c r="E600" s="472"/>
      <c r="F600" s="472"/>
      <c r="G600" s="472"/>
      <c r="H600" s="472"/>
      <c r="I600" s="472"/>
      <c r="J600" s="472"/>
      <c r="K600" s="472"/>
      <c r="L600" s="472"/>
      <c r="M600" s="472"/>
      <c r="N600" s="472"/>
      <c r="O600" s="472"/>
      <c r="P600" s="472"/>
      <c r="Q600" s="472"/>
      <c r="R600" s="472"/>
      <c r="S600" s="472"/>
      <c r="T600" s="472"/>
      <c r="U600" s="472"/>
      <c r="V600" s="472"/>
      <c r="W600" s="472"/>
      <c r="X600" s="472"/>
      <c r="Y600" s="472"/>
      <c r="Z600" s="472"/>
    </row>
    <row r="601" spans="1:26" ht="14.25" customHeight="1">
      <c r="A601" s="472"/>
      <c r="B601" s="472"/>
      <c r="C601" s="472"/>
      <c r="D601" s="472"/>
      <c r="E601" s="472"/>
      <c r="F601" s="472"/>
      <c r="G601" s="472"/>
      <c r="H601" s="472"/>
      <c r="I601" s="472"/>
      <c r="J601" s="472"/>
      <c r="K601" s="472"/>
      <c r="L601" s="472"/>
      <c r="M601" s="472"/>
      <c r="N601" s="472"/>
      <c r="O601" s="472"/>
      <c r="P601" s="472"/>
      <c r="Q601" s="472"/>
      <c r="R601" s="472"/>
      <c r="S601" s="472"/>
      <c r="T601" s="472"/>
      <c r="U601" s="472"/>
      <c r="V601" s="472"/>
      <c r="W601" s="472"/>
      <c r="X601" s="472"/>
      <c r="Y601" s="472"/>
      <c r="Z601" s="472"/>
    </row>
    <row r="602" spans="1:26" ht="14.25" customHeight="1">
      <c r="A602" s="472"/>
      <c r="B602" s="472"/>
      <c r="C602" s="472"/>
      <c r="D602" s="472"/>
      <c r="E602" s="472"/>
      <c r="F602" s="472"/>
      <c r="G602" s="472"/>
      <c r="H602" s="472"/>
      <c r="I602" s="472"/>
      <c r="J602" s="472"/>
      <c r="K602" s="472"/>
      <c r="L602" s="472"/>
      <c r="M602" s="472"/>
      <c r="N602" s="472"/>
      <c r="O602" s="472"/>
      <c r="P602" s="472"/>
      <c r="Q602" s="472"/>
      <c r="R602" s="472"/>
      <c r="S602" s="472"/>
      <c r="T602" s="472"/>
      <c r="U602" s="472"/>
      <c r="V602" s="472"/>
      <c r="W602" s="472"/>
      <c r="X602" s="472"/>
      <c r="Y602" s="472"/>
      <c r="Z602" s="472"/>
    </row>
    <row r="603" spans="1:26" ht="14.25" customHeight="1">
      <c r="A603" s="472"/>
      <c r="B603" s="472"/>
      <c r="C603" s="472"/>
      <c r="D603" s="472"/>
      <c r="E603" s="472"/>
      <c r="F603" s="472"/>
      <c r="G603" s="472"/>
      <c r="H603" s="472"/>
      <c r="I603" s="472"/>
      <c r="J603" s="472"/>
      <c r="K603" s="472"/>
      <c r="L603" s="472"/>
      <c r="M603" s="472"/>
      <c r="N603" s="472"/>
      <c r="O603" s="472"/>
      <c r="P603" s="472"/>
      <c r="Q603" s="472"/>
      <c r="R603" s="472"/>
      <c r="S603" s="472"/>
      <c r="T603" s="472"/>
      <c r="U603" s="472"/>
      <c r="V603" s="472"/>
      <c r="W603" s="472"/>
      <c r="X603" s="472"/>
      <c r="Y603" s="472"/>
      <c r="Z603" s="472"/>
    </row>
    <row r="604" spans="1:26" ht="14.25" customHeight="1">
      <c r="A604" s="472"/>
      <c r="B604" s="472"/>
      <c r="C604" s="472"/>
      <c r="D604" s="472"/>
      <c r="E604" s="472"/>
      <c r="F604" s="472"/>
      <c r="G604" s="472"/>
      <c r="H604" s="472"/>
      <c r="I604" s="472"/>
      <c r="J604" s="472"/>
      <c r="K604" s="472"/>
      <c r="L604" s="472"/>
      <c r="M604" s="472"/>
      <c r="N604" s="472"/>
      <c r="O604" s="472"/>
      <c r="P604" s="472"/>
      <c r="Q604" s="472"/>
      <c r="R604" s="472"/>
      <c r="S604" s="472"/>
      <c r="T604" s="472"/>
      <c r="U604" s="472"/>
      <c r="V604" s="472"/>
      <c r="W604" s="472"/>
      <c r="X604" s="472"/>
      <c r="Y604" s="472"/>
      <c r="Z604" s="472"/>
    </row>
    <row r="605" spans="1:26" ht="14.25" customHeight="1">
      <c r="A605" s="472"/>
      <c r="B605" s="472"/>
      <c r="C605" s="472"/>
      <c r="D605" s="472"/>
      <c r="E605" s="472"/>
      <c r="F605" s="472"/>
      <c r="G605" s="472"/>
      <c r="H605" s="472"/>
      <c r="I605" s="472"/>
      <c r="J605" s="472"/>
      <c r="K605" s="472"/>
      <c r="L605" s="472"/>
      <c r="M605" s="472"/>
      <c r="N605" s="472"/>
      <c r="O605" s="472"/>
      <c r="P605" s="472"/>
      <c r="Q605" s="472"/>
      <c r="R605" s="472"/>
      <c r="S605" s="472"/>
      <c r="T605" s="472"/>
      <c r="U605" s="472"/>
      <c r="V605" s="472"/>
      <c r="W605" s="472"/>
      <c r="X605" s="472"/>
      <c r="Y605" s="472"/>
      <c r="Z605" s="472"/>
    </row>
    <row r="606" spans="1:26" ht="14.25" customHeight="1">
      <c r="A606" s="472"/>
      <c r="B606" s="472"/>
      <c r="C606" s="472"/>
      <c r="D606" s="472"/>
      <c r="E606" s="472"/>
      <c r="F606" s="472"/>
      <c r="G606" s="472"/>
      <c r="H606" s="472"/>
      <c r="I606" s="472"/>
      <c r="J606" s="472"/>
      <c r="K606" s="472"/>
      <c r="L606" s="472"/>
      <c r="M606" s="472"/>
      <c r="N606" s="472"/>
      <c r="O606" s="472"/>
      <c r="P606" s="472"/>
      <c r="Q606" s="472"/>
      <c r="R606" s="472"/>
      <c r="S606" s="472"/>
      <c r="T606" s="472"/>
      <c r="U606" s="472"/>
      <c r="V606" s="472"/>
      <c r="W606" s="472"/>
      <c r="X606" s="472"/>
      <c r="Y606" s="472"/>
      <c r="Z606" s="472"/>
    </row>
    <row r="607" spans="1:26" ht="14.25" customHeight="1">
      <c r="A607" s="472"/>
      <c r="B607" s="472"/>
      <c r="C607" s="472"/>
      <c r="D607" s="472"/>
      <c r="E607" s="472"/>
      <c r="F607" s="472"/>
      <c r="G607" s="472"/>
      <c r="H607" s="472"/>
      <c r="I607" s="472"/>
      <c r="J607" s="472"/>
      <c r="K607" s="472"/>
      <c r="L607" s="472"/>
      <c r="M607" s="472"/>
      <c r="N607" s="472"/>
      <c r="O607" s="472"/>
      <c r="P607" s="472"/>
      <c r="Q607" s="472"/>
      <c r="R607" s="472"/>
      <c r="S607" s="472"/>
      <c r="T607" s="472"/>
      <c r="U607" s="472"/>
      <c r="V607" s="472"/>
      <c r="W607" s="472"/>
      <c r="X607" s="472"/>
      <c r="Y607" s="472"/>
      <c r="Z607" s="472"/>
    </row>
    <row r="608" spans="1:26" ht="14.25" customHeight="1">
      <c r="A608" s="472"/>
      <c r="B608" s="472"/>
      <c r="C608" s="472"/>
      <c r="D608" s="472"/>
      <c r="E608" s="472"/>
      <c r="F608" s="472"/>
      <c r="G608" s="472"/>
      <c r="H608" s="472"/>
      <c r="I608" s="472"/>
      <c r="J608" s="472"/>
      <c r="K608" s="472"/>
      <c r="L608" s="472"/>
      <c r="M608" s="472"/>
      <c r="N608" s="472"/>
      <c r="O608" s="472"/>
      <c r="P608" s="472"/>
      <c r="Q608" s="472"/>
      <c r="R608" s="472"/>
      <c r="S608" s="472"/>
      <c r="T608" s="472"/>
      <c r="U608" s="472"/>
      <c r="V608" s="472"/>
      <c r="W608" s="472"/>
      <c r="X608" s="472"/>
      <c r="Y608" s="472"/>
      <c r="Z608" s="472"/>
    </row>
    <row r="609" spans="1:26" ht="14.25" customHeight="1">
      <c r="A609" s="472"/>
      <c r="B609" s="472"/>
      <c r="C609" s="472"/>
      <c r="D609" s="472"/>
      <c r="E609" s="472"/>
      <c r="F609" s="472"/>
      <c r="G609" s="472"/>
      <c r="H609" s="472"/>
      <c r="I609" s="472"/>
      <c r="J609" s="472"/>
      <c r="K609" s="472"/>
      <c r="L609" s="472"/>
      <c r="M609" s="472"/>
      <c r="N609" s="472"/>
      <c r="O609" s="472"/>
      <c r="P609" s="472"/>
      <c r="Q609" s="472"/>
      <c r="R609" s="472"/>
      <c r="S609" s="472"/>
      <c r="T609" s="472"/>
      <c r="U609" s="472"/>
      <c r="V609" s="472"/>
      <c r="W609" s="472"/>
      <c r="X609" s="472"/>
      <c r="Y609" s="472"/>
      <c r="Z609" s="472"/>
    </row>
    <row r="610" spans="1:26" ht="14.25" customHeight="1">
      <c r="A610" s="472"/>
      <c r="B610" s="472"/>
      <c r="C610" s="472"/>
      <c r="D610" s="472"/>
      <c r="E610" s="472"/>
      <c r="F610" s="472"/>
      <c r="G610" s="472"/>
      <c r="H610" s="472"/>
      <c r="I610" s="472"/>
      <c r="J610" s="472"/>
      <c r="K610" s="472"/>
      <c r="L610" s="472"/>
      <c r="M610" s="472"/>
      <c r="N610" s="472"/>
      <c r="O610" s="472"/>
      <c r="P610" s="472"/>
      <c r="Q610" s="472"/>
      <c r="R610" s="472"/>
      <c r="S610" s="472"/>
      <c r="T610" s="472"/>
      <c r="U610" s="472"/>
      <c r="V610" s="472"/>
      <c r="W610" s="472"/>
      <c r="X610" s="472"/>
      <c r="Y610" s="472"/>
      <c r="Z610" s="472"/>
    </row>
    <row r="611" spans="1:26" ht="14.25" customHeight="1">
      <c r="A611" s="472"/>
      <c r="B611" s="472"/>
      <c r="C611" s="472"/>
      <c r="D611" s="472"/>
      <c r="E611" s="472"/>
      <c r="F611" s="472"/>
      <c r="G611" s="472"/>
      <c r="H611" s="472"/>
      <c r="I611" s="472"/>
      <c r="J611" s="472"/>
      <c r="K611" s="472"/>
      <c r="L611" s="472"/>
      <c r="M611" s="472"/>
      <c r="N611" s="472"/>
      <c r="O611" s="472"/>
      <c r="P611" s="472"/>
      <c r="Q611" s="472"/>
      <c r="R611" s="472"/>
      <c r="S611" s="472"/>
      <c r="T611" s="472"/>
      <c r="U611" s="472"/>
      <c r="V611" s="472"/>
      <c r="W611" s="472"/>
      <c r="X611" s="472"/>
      <c r="Y611" s="472"/>
      <c r="Z611" s="472"/>
    </row>
    <row r="612" spans="1:26" ht="14.25" customHeight="1">
      <c r="A612" s="472"/>
      <c r="B612" s="472"/>
      <c r="C612" s="472"/>
      <c r="D612" s="472"/>
      <c r="E612" s="472"/>
      <c r="F612" s="472"/>
      <c r="G612" s="472"/>
      <c r="H612" s="472"/>
      <c r="I612" s="472"/>
      <c r="J612" s="472"/>
      <c r="K612" s="472"/>
      <c r="L612" s="472"/>
      <c r="M612" s="472"/>
      <c r="N612" s="472"/>
      <c r="O612" s="472"/>
      <c r="P612" s="472"/>
      <c r="Q612" s="472"/>
      <c r="R612" s="472"/>
      <c r="S612" s="472"/>
      <c r="T612" s="472"/>
      <c r="U612" s="472"/>
      <c r="V612" s="472"/>
      <c r="W612" s="472"/>
      <c r="X612" s="472"/>
      <c r="Y612" s="472"/>
      <c r="Z612" s="472"/>
    </row>
    <row r="613" spans="1:26" ht="14.25" customHeight="1">
      <c r="A613" s="472"/>
      <c r="B613" s="472"/>
      <c r="C613" s="472"/>
      <c r="D613" s="472"/>
      <c r="E613" s="472"/>
      <c r="F613" s="472"/>
      <c r="G613" s="472"/>
      <c r="H613" s="472"/>
      <c r="I613" s="472"/>
      <c r="J613" s="472"/>
      <c r="K613" s="472"/>
      <c r="L613" s="472"/>
      <c r="M613" s="472"/>
      <c r="N613" s="472"/>
      <c r="O613" s="472"/>
      <c r="P613" s="472"/>
      <c r="Q613" s="472"/>
      <c r="R613" s="472"/>
      <c r="S613" s="472"/>
      <c r="T613" s="472"/>
      <c r="U613" s="472"/>
      <c r="V613" s="472"/>
      <c r="W613" s="472"/>
      <c r="X613" s="472"/>
      <c r="Y613" s="472"/>
      <c r="Z613" s="472"/>
    </row>
    <row r="614" spans="1:26" ht="14.25" customHeight="1">
      <c r="A614" s="472"/>
      <c r="B614" s="472"/>
      <c r="C614" s="472"/>
      <c r="D614" s="472"/>
      <c r="E614" s="472"/>
      <c r="F614" s="472"/>
      <c r="G614" s="472"/>
      <c r="H614" s="472"/>
      <c r="I614" s="472"/>
      <c r="J614" s="472"/>
      <c r="K614" s="472"/>
      <c r="L614" s="472"/>
      <c r="M614" s="472"/>
      <c r="N614" s="472"/>
      <c r="O614" s="472"/>
      <c r="P614" s="472"/>
      <c r="Q614" s="472"/>
      <c r="R614" s="472"/>
      <c r="S614" s="472"/>
      <c r="T614" s="472"/>
      <c r="U614" s="472"/>
      <c r="V614" s="472"/>
      <c r="W614" s="472"/>
      <c r="X614" s="472"/>
      <c r="Y614" s="472"/>
      <c r="Z614" s="472"/>
    </row>
    <row r="615" spans="1:26" ht="14.25" customHeight="1">
      <c r="A615" s="472"/>
      <c r="B615" s="472"/>
      <c r="C615" s="472"/>
      <c r="D615" s="472"/>
      <c r="E615" s="472"/>
      <c r="F615" s="472"/>
      <c r="G615" s="472"/>
      <c r="H615" s="472"/>
      <c r="I615" s="472"/>
      <c r="J615" s="472"/>
      <c r="K615" s="472"/>
      <c r="L615" s="472"/>
      <c r="M615" s="472"/>
      <c r="N615" s="472"/>
      <c r="O615" s="472"/>
      <c r="P615" s="472"/>
      <c r="Q615" s="472"/>
      <c r="R615" s="472"/>
      <c r="S615" s="472"/>
      <c r="T615" s="472"/>
      <c r="U615" s="472"/>
      <c r="V615" s="472"/>
      <c r="W615" s="472"/>
      <c r="X615" s="472"/>
      <c r="Y615" s="472"/>
      <c r="Z615" s="472"/>
    </row>
    <row r="616" spans="1:26" ht="14.25" customHeight="1">
      <c r="A616" s="472"/>
      <c r="B616" s="472"/>
      <c r="C616" s="472"/>
      <c r="D616" s="472"/>
      <c r="E616" s="472"/>
      <c r="F616" s="472"/>
      <c r="G616" s="472"/>
      <c r="H616" s="472"/>
      <c r="I616" s="472"/>
      <c r="J616" s="472"/>
      <c r="K616" s="472"/>
      <c r="L616" s="472"/>
      <c r="M616" s="472"/>
      <c r="N616" s="472"/>
      <c r="O616" s="472"/>
      <c r="P616" s="472"/>
      <c r="Q616" s="472"/>
      <c r="R616" s="472"/>
      <c r="S616" s="472"/>
      <c r="T616" s="472"/>
      <c r="U616" s="472"/>
      <c r="V616" s="472"/>
      <c r="W616" s="472"/>
      <c r="X616" s="472"/>
      <c r="Y616" s="472"/>
      <c r="Z616" s="472"/>
    </row>
    <row r="617" spans="1:26" ht="14.25" customHeight="1">
      <c r="A617" s="472"/>
      <c r="B617" s="472"/>
      <c r="C617" s="472"/>
      <c r="D617" s="472"/>
      <c r="E617" s="472"/>
      <c r="F617" s="472"/>
      <c r="G617" s="472"/>
      <c r="H617" s="472"/>
      <c r="I617" s="472"/>
      <c r="J617" s="472"/>
      <c r="K617" s="472"/>
      <c r="L617" s="472"/>
      <c r="M617" s="472"/>
      <c r="N617" s="472"/>
      <c r="O617" s="472"/>
      <c r="P617" s="472"/>
      <c r="Q617" s="472"/>
      <c r="R617" s="472"/>
      <c r="S617" s="472"/>
      <c r="T617" s="472"/>
      <c r="U617" s="472"/>
      <c r="V617" s="472"/>
      <c r="W617" s="472"/>
      <c r="X617" s="472"/>
      <c r="Y617" s="472"/>
      <c r="Z617" s="472"/>
    </row>
    <row r="618" spans="1:26" ht="14.25" customHeight="1">
      <c r="A618" s="472"/>
      <c r="B618" s="472"/>
      <c r="C618" s="472"/>
      <c r="D618" s="472"/>
      <c r="E618" s="472"/>
      <c r="F618" s="472"/>
      <c r="G618" s="472"/>
      <c r="H618" s="472"/>
      <c r="I618" s="472"/>
      <c r="J618" s="472"/>
      <c r="K618" s="472"/>
      <c r="L618" s="472"/>
      <c r="M618" s="472"/>
      <c r="N618" s="472"/>
      <c r="O618" s="472"/>
      <c r="P618" s="472"/>
      <c r="Q618" s="472"/>
      <c r="R618" s="472"/>
      <c r="S618" s="472"/>
      <c r="T618" s="472"/>
      <c r="U618" s="472"/>
      <c r="V618" s="472"/>
      <c r="W618" s="472"/>
      <c r="X618" s="472"/>
      <c r="Y618" s="472"/>
      <c r="Z618" s="472"/>
    </row>
    <row r="619" spans="1:26" ht="14.25" customHeight="1">
      <c r="A619" s="472"/>
      <c r="B619" s="472"/>
      <c r="C619" s="472"/>
      <c r="D619" s="472"/>
      <c r="E619" s="472"/>
      <c r="F619" s="472"/>
      <c r="G619" s="472"/>
      <c r="H619" s="472"/>
      <c r="I619" s="472"/>
      <c r="J619" s="472"/>
      <c r="K619" s="472"/>
      <c r="L619" s="472"/>
      <c r="M619" s="472"/>
      <c r="N619" s="472"/>
      <c r="O619" s="472"/>
      <c r="P619" s="472"/>
      <c r="Q619" s="472"/>
      <c r="R619" s="472"/>
      <c r="S619" s="472"/>
      <c r="T619" s="472"/>
      <c r="U619" s="472"/>
      <c r="V619" s="472"/>
      <c r="W619" s="472"/>
      <c r="X619" s="472"/>
      <c r="Y619" s="472"/>
      <c r="Z619" s="472"/>
    </row>
    <row r="620" spans="1:26" ht="14.25" customHeight="1">
      <c r="A620" s="472"/>
      <c r="B620" s="472"/>
      <c r="C620" s="472"/>
      <c r="D620" s="472"/>
      <c r="E620" s="472"/>
      <c r="F620" s="472"/>
      <c r="G620" s="472"/>
      <c r="H620" s="472"/>
      <c r="I620" s="472"/>
      <c r="J620" s="472"/>
      <c r="K620" s="472"/>
      <c r="L620" s="472"/>
      <c r="M620" s="472"/>
      <c r="N620" s="472"/>
      <c r="O620" s="472"/>
      <c r="P620" s="472"/>
      <c r="Q620" s="472"/>
      <c r="R620" s="472"/>
      <c r="S620" s="472"/>
      <c r="T620" s="472"/>
      <c r="U620" s="472"/>
      <c r="V620" s="472"/>
      <c r="W620" s="472"/>
      <c r="X620" s="472"/>
      <c r="Y620" s="472"/>
      <c r="Z620" s="472"/>
    </row>
    <row r="621" spans="1:26" ht="14.25" customHeight="1">
      <c r="A621" s="472"/>
      <c r="B621" s="472"/>
      <c r="C621" s="472"/>
      <c r="D621" s="472"/>
      <c r="E621" s="472"/>
      <c r="F621" s="472"/>
      <c r="G621" s="472"/>
      <c r="H621" s="472"/>
      <c r="I621" s="472"/>
      <c r="J621" s="472"/>
      <c r="K621" s="472"/>
      <c r="L621" s="472"/>
      <c r="M621" s="472"/>
      <c r="N621" s="472"/>
      <c r="O621" s="472"/>
      <c r="P621" s="472"/>
      <c r="Q621" s="472"/>
      <c r="R621" s="472"/>
      <c r="S621" s="472"/>
      <c r="T621" s="472"/>
      <c r="U621" s="472"/>
      <c r="V621" s="472"/>
      <c r="W621" s="472"/>
      <c r="X621" s="472"/>
      <c r="Y621" s="472"/>
      <c r="Z621" s="472"/>
    </row>
    <row r="622" spans="1:26" ht="14.25" customHeight="1">
      <c r="A622" s="472"/>
      <c r="B622" s="472"/>
      <c r="C622" s="472"/>
      <c r="D622" s="472"/>
      <c r="E622" s="472"/>
      <c r="F622" s="472"/>
      <c r="G622" s="472"/>
      <c r="H622" s="472"/>
      <c r="I622" s="472"/>
      <c r="J622" s="472"/>
      <c r="K622" s="472"/>
      <c r="L622" s="472"/>
      <c r="M622" s="472"/>
      <c r="N622" s="472"/>
      <c r="O622" s="472"/>
      <c r="P622" s="472"/>
      <c r="Q622" s="472"/>
      <c r="R622" s="472"/>
      <c r="S622" s="472"/>
      <c r="T622" s="472"/>
      <c r="U622" s="472"/>
      <c r="V622" s="472"/>
      <c r="W622" s="472"/>
      <c r="X622" s="472"/>
      <c r="Y622" s="472"/>
      <c r="Z622" s="472"/>
    </row>
    <row r="623" spans="1:26" ht="14.25" customHeight="1">
      <c r="A623" s="472"/>
      <c r="B623" s="472"/>
      <c r="C623" s="472"/>
      <c r="D623" s="472"/>
      <c r="E623" s="472"/>
      <c r="F623" s="472"/>
      <c r="G623" s="472"/>
      <c r="H623" s="472"/>
      <c r="I623" s="472"/>
      <c r="J623" s="472"/>
      <c r="K623" s="472"/>
      <c r="L623" s="472"/>
      <c r="M623" s="472"/>
      <c r="N623" s="472"/>
      <c r="O623" s="472"/>
      <c r="P623" s="472"/>
      <c r="Q623" s="472"/>
      <c r="R623" s="472"/>
      <c r="S623" s="472"/>
      <c r="T623" s="472"/>
      <c r="U623" s="472"/>
      <c r="V623" s="472"/>
      <c r="W623" s="472"/>
      <c r="X623" s="472"/>
      <c r="Y623" s="472"/>
      <c r="Z623" s="472"/>
    </row>
    <row r="624" spans="1:26" ht="14.25" customHeight="1">
      <c r="A624" s="472"/>
      <c r="B624" s="472"/>
      <c r="C624" s="472"/>
      <c r="D624" s="472"/>
      <c r="E624" s="472"/>
      <c r="F624" s="472"/>
      <c r="G624" s="472"/>
      <c r="H624" s="472"/>
      <c r="I624" s="472"/>
      <c r="J624" s="472"/>
      <c r="K624" s="472"/>
      <c r="L624" s="472"/>
      <c r="M624" s="472"/>
      <c r="N624" s="472"/>
      <c r="O624" s="472"/>
      <c r="P624" s="472"/>
      <c r="Q624" s="472"/>
      <c r="R624" s="472"/>
      <c r="S624" s="472"/>
      <c r="T624" s="472"/>
      <c r="U624" s="472"/>
      <c r="V624" s="472"/>
      <c r="W624" s="472"/>
      <c r="X624" s="472"/>
      <c r="Y624" s="472"/>
      <c r="Z624" s="472"/>
    </row>
    <row r="625" spans="1:26" ht="14.25" customHeight="1">
      <c r="A625" s="472"/>
      <c r="B625" s="472"/>
      <c r="C625" s="472"/>
      <c r="D625" s="472"/>
      <c r="E625" s="472"/>
      <c r="F625" s="472"/>
      <c r="G625" s="472"/>
      <c r="H625" s="472"/>
      <c r="I625" s="472"/>
      <c r="J625" s="472"/>
      <c r="K625" s="472"/>
      <c r="L625" s="472"/>
      <c r="M625" s="472"/>
      <c r="N625" s="472"/>
      <c r="O625" s="472"/>
      <c r="P625" s="472"/>
      <c r="Q625" s="472"/>
      <c r="R625" s="472"/>
      <c r="S625" s="472"/>
      <c r="T625" s="472"/>
      <c r="U625" s="472"/>
      <c r="V625" s="472"/>
      <c r="W625" s="472"/>
      <c r="X625" s="472"/>
      <c r="Y625" s="472"/>
      <c r="Z625" s="472"/>
    </row>
    <row r="626" spans="1:26" ht="14.25" customHeight="1">
      <c r="A626" s="472"/>
      <c r="B626" s="472"/>
      <c r="C626" s="472"/>
      <c r="D626" s="472"/>
      <c r="E626" s="472"/>
      <c r="F626" s="472"/>
      <c r="G626" s="472"/>
      <c r="H626" s="472"/>
      <c r="I626" s="472"/>
      <c r="J626" s="472"/>
      <c r="K626" s="472"/>
      <c r="L626" s="472"/>
      <c r="M626" s="472"/>
      <c r="N626" s="472"/>
      <c r="O626" s="472"/>
      <c r="P626" s="472"/>
      <c r="Q626" s="472"/>
      <c r="R626" s="472"/>
      <c r="S626" s="472"/>
      <c r="T626" s="472"/>
      <c r="U626" s="472"/>
      <c r="V626" s="472"/>
      <c r="W626" s="472"/>
      <c r="X626" s="472"/>
      <c r="Y626" s="472"/>
      <c r="Z626" s="472"/>
    </row>
    <row r="627" spans="1:26" ht="14.25" customHeight="1">
      <c r="A627" s="472"/>
      <c r="B627" s="472"/>
      <c r="C627" s="472"/>
      <c r="D627" s="472"/>
      <c r="E627" s="472"/>
      <c r="F627" s="472"/>
      <c r="G627" s="472"/>
      <c r="H627" s="472"/>
      <c r="I627" s="472"/>
      <c r="J627" s="472"/>
      <c r="K627" s="472"/>
      <c r="L627" s="472"/>
      <c r="M627" s="472"/>
      <c r="N627" s="472"/>
      <c r="O627" s="472"/>
      <c r="P627" s="472"/>
      <c r="Q627" s="472"/>
      <c r="R627" s="472"/>
      <c r="S627" s="472"/>
      <c r="T627" s="472"/>
      <c r="U627" s="472"/>
      <c r="V627" s="472"/>
      <c r="W627" s="472"/>
      <c r="X627" s="472"/>
      <c r="Y627" s="472"/>
      <c r="Z627" s="472"/>
    </row>
    <row r="628" spans="1:26" ht="14.25" customHeight="1">
      <c r="A628" s="472"/>
      <c r="B628" s="472"/>
      <c r="C628" s="472"/>
      <c r="D628" s="472"/>
      <c r="E628" s="472"/>
      <c r="F628" s="472"/>
      <c r="G628" s="472"/>
      <c r="H628" s="472"/>
      <c r="I628" s="472"/>
      <c r="J628" s="472"/>
      <c r="K628" s="472"/>
      <c r="L628" s="472"/>
      <c r="M628" s="472"/>
      <c r="N628" s="472"/>
      <c r="O628" s="472"/>
      <c r="P628" s="472"/>
      <c r="Q628" s="472"/>
      <c r="R628" s="472"/>
      <c r="S628" s="472"/>
      <c r="T628" s="472"/>
      <c r="U628" s="472"/>
      <c r="V628" s="472"/>
      <c r="W628" s="472"/>
      <c r="X628" s="472"/>
      <c r="Y628" s="472"/>
      <c r="Z628" s="472"/>
    </row>
    <row r="629" spans="1:26" ht="14.25" customHeight="1">
      <c r="A629" s="472"/>
      <c r="B629" s="472"/>
      <c r="C629" s="472"/>
      <c r="D629" s="472"/>
      <c r="E629" s="472"/>
      <c r="F629" s="472"/>
      <c r="G629" s="472"/>
      <c r="H629" s="472"/>
      <c r="I629" s="472"/>
      <c r="J629" s="472"/>
      <c r="K629" s="472"/>
      <c r="L629" s="472"/>
      <c r="M629" s="472"/>
      <c r="N629" s="472"/>
      <c r="O629" s="472"/>
      <c r="P629" s="472"/>
      <c r="Q629" s="472"/>
      <c r="R629" s="472"/>
      <c r="S629" s="472"/>
      <c r="T629" s="472"/>
      <c r="U629" s="472"/>
      <c r="V629" s="472"/>
      <c r="W629" s="472"/>
      <c r="X629" s="472"/>
      <c r="Y629" s="472"/>
      <c r="Z629" s="472"/>
    </row>
    <row r="630" spans="1:26" ht="14.25" customHeight="1">
      <c r="A630" s="472"/>
      <c r="B630" s="472"/>
      <c r="C630" s="472"/>
      <c r="D630" s="472"/>
      <c r="E630" s="472"/>
      <c r="F630" s="472"/>
      <c r="G630" s="472"/>
      <c r="H630" s="472"/>
      <c r="I630" s="472"/>
      <c r="J630" s="472"/>
      <c r="K630" s="472"/>
      <c r="L630" s="472"/>
      <c r="M630" s="472"/>
      <c r="N630" s="472"/>
      <c r="O630" s="472"/>
      <c r="P630" s="472"/>
      <c r="Q630" s="472"/>
      <c r="R630" s="472"/>
      <c r="S630" s="472"/>
      <c r="T630" s="472"/>
      <c r="U630" s="472"/>
      <c r="V630" s="472"/>
      <c r="W630" s="472"/>
      <c r="X630" s="472"/>
      <c r="Y630" s="472"/>
      <c r="Z630" s="472"/>
    </row>
    <row r="631" spans="1:26" ht="14.25" customHeight="1">
      <c r="A631" s="472"/>
      <c r="B631" s="472"/>
      <c r="C631" s="472"/>
      <c r="D631" s="472"/>
      <c r="E631" s="472"/>
      <c r="F631" s="472"/>
      <c r="G631" s="472"/>
      <c r="H631" s="472"/>
      <c r="I631" s="472"/>
      <c r="J631" s="472"/>
      <c r="K631" s="472"/>
      <c r="L631" s="472"/>
      <c r="M631" s="472"/>
      <c r="N631" s="472"/>
      <c r="O631" s="472"/>
      <c r="P631" s="472"/>
      <c r="Q631" s="472"/>
      <c r="R631" s="472"/>
      <c r="S631" s="472"/>
      <c r="T631" s="472"/>
      <c r="U631" s="472"/>
      <c r="V631" s="472"/>
      <c r="W631" s="472"/>
      <c r="X631" s="472"/>
      <c r="Y631" s="472"/>
      <c r="Z631" s="472"/>
    </row>
    <row r="632" spans="1:26" ht="14.25" customHeight="1">
      <c r="A632" s="472"/>
      <c r="B632" s="472"/>
      <c r="C632" s="472"/>
      <c r="D632" s="472"/>
      <c r="E632" s="472"/>
      <c r="F632" s="472"/>
      <c r="G632" s="472"/>
      <c r="H632" s="472"/>
      <c r="I632" s="472"/>
      <c r="J632" s="472"/>
      <c r="K632" s="472"/>
      <c r="L632" s="472"/>
      <c r="M632" s="472"/>
      <c r="N632" s="472"/>
      <c r="O632" s="472"/>
      <c r="P632" s="472"/>
      <c r="Q632" s="472"/>
      <c r="R632" s="472"/>
      <c r="S632" s="472"/>
      <c r="T632" s="472"/>
      <c r="U632" s="472"/>
      <c r="V632" s="472"/>
      <c r="W632" s="472"/>
      <c r="X632" s="472"/>
      <c r="Y632" s="472"/>
      <c r="Z632" s="472"/>
    </row>
    <row r="633" spans="1:26" ht="14.25" customHeight="1">
      <c r="A633" s="472"/>
      <c r="B633" s="472"/>
      <c r="C633" s="472"/>
      <c r="D633" s="472"/>
      <c r="E633" s="472"/>
      <c r="F633" s="472"/>
      <c r="G633" s="472"/>
      <c r="H633" s="472"/>
      <c r="I633" s="472"/>
      <c r="J633" s="472"/>
      <c r="K633" s="472"/>
      <c r="L633" s="472"/>
      <c r="M633" s="472"/>
      <c r="N633" s="472"/>
      <c r="O633" s="472"/>
      <c r="P633" s="472"/>
      <c r="Q633" s="472"/>
      <c r="R633" s="472"/>
      <c r="S633" s="472"/>
      <c r="T633" s="472"/>
      <c r="U633" s="472"/>
      <c r="V633" s="472"/>
      <c r="W633" s="472"/>
      <c r="X633" s="472"/>
      <c r="Y633" s="472"/>
      <c r="Z633" s="472"/>
    </row>
    <row r="634" spans="1:26" ht="14.25" customHeight="1">
      <c r="A634" s="472"/>
      <c r="B634" s="472"/>
      <c r="C634" s="472"/>
      <c r="D634" s="472"/>
      <c r="E634" s="472"/>
      <c r="F634" s="472"/>
      <c r="G634" s="472"/>
      <c r="H634" s="472"/>
      <c r="I634" s="472"/>
      <c r="J634" s="472"/>
      <c r="K634" s="472"/>
      <c r="L634" s="472"/>
      <c r="M634" s="472"/>
      <c r="N634" s="472"/>
      <c r="O634" s="472"/>
      <c r="P634" s="472"/>
      <c r="Q634" s="472"/>
      <c r="R634" s="472"/>
      <c r="S634" s="472"/>
      <c r="T634" s="472"/>
      <c r="U634" s="472"/>
      <c r="V634" s="472"/>
      <c r="W634" s="472"/>
      <c r="X634" s="472"/>
      <c r="Y634" s="472"/>
      <c r="Z634" s="472"/>
    </row>
    <row r="635" spans="1:26" ht="14.25" customHeight="1">
      <c r="A635" s="472"/>
      <c r="B635" s="472"/>
      <c r="C635" s="472"/>
      <c r="D635" s="472"/>
      <c r="E635" s="472"/>
      <c r="F635" s="472"/>
      <c r="G635" s="472"/>
      <c r="H635" s="472"/>
      <c r="I635" s="472"/>
      <c r="J635" s="472"/>
      <c r="K635" s="472"/>
      <c r="L635" s="472"/>
      <c r="M635" s="472"/>
      <c r="N635" s="472"/>
      <c r="O635" s="472"/>
      <c r="P635" s="472"/>
      <c r="Q635" s="472"/>
      <c r="R635" s="472"/>
      <c r="S635" s="472"/>
      <c r="T635" s="472"/>
      <c r="U635" s="472"/>
      <c r="V635" s="472"/>
      <c r="W635" s="472"/>
      <c r="X635" s="472"/>
      <c r="Y635" s="472"/>
      <c r="Z635" s="472"/>
    </row>
    <row r="636" spans="1:26" ht="14.25" customHeight="1">
      <c r="A636" s="472"/>
      <c r="B636" s="472"/>
      <c r="C636" s="472"/>
      <c r="D636" s="472"/>
      <c r="E636" s="472"/>
      <c r="F636" s="472"/>
      <c r="G636" s="472"/>
      <c r="H636" s="472"/>
      <c r="I636" s="472"/>
      <c r="J636" s="472"/>
      <c r="K636" s="472"/>
      <c r="L636" s="472"/>
      <c r="M636" s="472"/>
      <c r="N636" s="472"/>
      <c r="O636" s="472"/>
      <c r="P636" s="472"/>
      <c r="Q636" s="472"/>
      <c r="R636" s="472"/>
      <c r="S636" s="472"/>
      <c r="T636" s="472"/>
      <c r="U636" s="472"/>
      <c r="V636" s="472"/>
      <c r="W636" s="472"/>
      <c r="X636" s="472"/>
      <c r="Y636" s="472"/>
      <c r="Z636" s="472"/>
    </row>
    <row r="637" spans="1:26" ht="14.25" customHeight="1">
      <c r="A637" s="472"/>
      <c r="B637" s="472"/>
      <c r="C637" s="472"/>
      <c r="D637" s="472"/>
      <c r="E637" s="472"/>
      <c r="F637" s="472"/>
      <c r="G637" s="472"/>
      <c r="H637" s="472"/>
      <c r="I637" s="472"/>
      <c r="J637" s="472"/>
      <c r="K637" s="472"/>
      <c r="L637" s="472"/>
      <c r="M637" s="472"/>
      <c r="N637" s="472"/>
      <c r="O637" s="472"/>
      <c r="P637" s="472"/>
      <c r="Q637" s="472"/>
      <c r="R637" s="472"/>
      <c r="S637" s="472"/>
      <c r="T637" s="472"/>
      <c r="U637" s="472"/>
      <c r="V637" s="472"/>
      <c r="W637" s="472"/>
      <c r="X637" s="472"/>
      <c r="Y637" s="472"/>
      <c r="Z637" s="472"/>
    </row>
    <row r="638" spans="1:26" ht="14.25" customHeight="1">
      <c r="A638" s="472"/>
      <c r="B638" s="472"/>
      <c r="C638" s="472"/>
      <c r="D638" s="472"/>
      <c r="E638" s="472"/>
      <c r="F638" s="472"/>
      <c r="G638" s="472"/>
      <c r="H638" s="472"/>
      <c r="I638" s="472"/>
      <c r="J638" s="472"/>
      <c r="K638" s="472"/>
      <c r="L638" s="472"/>
      <c r="M638" s="472"/>
      <c r="N638" s="472"/>
      <c r="O638" s="472"/>
      <c r="P638" s="472"/>
      <c r="Q638" s="472"/>
      <c r="R638" s="472"/>
      <c r="S638" s="472"/>
      <c r="T638" s="472"/>
      <c r="U638" s="472"/>
      <c r="V638" s="472"/>
      <c r="W638" s="472"/>
      <c r="X638" s="472"/>
      <c r="Y638" s="472"/>
      <c r="Z638" s="472"/>
    </row>
    <row r="639" spans="1:26" ht="14.25" customHeight="1">
      <c r="A639" s="472"/>
      <c r="B639" s="472"/>
      <c r="C639" s="472"/>
      <c r="D639" s="472"/>
      <c r="E639" s="472"/>
      <c r="F639" s="472"/>
      <c r="G639" s="472"/>
      <c r="H639" s="472"/>
      <c r="I639" s="472"/>
      <c r="J639" s="472"/>
      <c r="K639" s="472"/>
      <c r="L639" s="472"/>
      <c r="M639" s="472"/>
      <c r="N639" s="472"/>
      <c r="O639" s="472"/>
      <c r="P639" s="472"/>
      <c r="Q639" s="472"/>
      <c r="R639" s="472"/>
      <c r="S639" s="472"/>
      <c r="T639" s="472"/>
      <c r="U639" s="472"/>
      <c r="V639" s="472"/>
      <c r="W639" s="472"/>
      <c r="X639" s="472"/>
      <c r="Y639" s="472"/>
      <c r="Z639" s="472"/>
    </row>
    <row r="640" spans="1:26" ht="14.25" customHeight="1">
      <c r="A640" s="472"/>
      <c r="B640" s="472"/>
      <c r="C640" s="472"/>
      <c r="D640" s="472"/>
      <c r="E640" s="472"/>
      <c r="F640" s="472"/>
      <c r="G640" s="472"/>
      <c r="H640" s="472"/>
      <c r="I640" s="472"/>
      <c r="J640" s="472"/>
      <c r="K640" s="472"/>
      <c r="L640" s="472"/>
      <c r="M640" s="472"/>
      <c r="N640" s="472"/>
      <c r="O640" s="472"/>
      <c r="P640" s="472"/>
      <c r="Q640" s="472"/>
      <c r="R640" s="472"/>
      <c r="S640" s="472"/>
      <c r="T640" s="472"/>
      <c r="U640" s="472"/>
      <c r="V640" s="472"/>
      <c r="W640" s="472"/>
      <c r="X640" s="472"/>
      <c r="Y640" s="472"/>
      <c r="Z640" s="472"/>
    </row>
    <row r="641" spans="1:26" ht="14.25" customHeight="1">
      <c r="A641" s="472"/>
      <c r="B641" s="472"/>
      <c r="C641" s="472"/>
      <c r="D641" s="472"/>
      <c r="E641" s="472"/>
      <c r="F641" s="472"/>
      <c r="G641" s="472"/>
      <c r="H641" s="472"/>
      <c r="I641" s="472"/>
      <c r="J641" s="472"/>
      <c r="K641" s="472"/>
      <c r="L641" s="472"/>
      <c r="M641" s="472"/>
      <c r="N641" s="472"/>
      <c r="O641" s="472"/>
      <c r="P641" s="472"/>
      <c r="Q641" s="472"/>
      <c r="R641" s="472"/>
      <c r="S641" s="472"/>
      <c r="T641" s="472"/>
      <c r="U641" s="472"/>
      <c r="V641" s="472"/>
      <c r="W641" s="472"/>
      <c r="X641" s="472"/>
      <c r="Y641" s="472"/>
      <c r="Z641" s="472"/>
    </row>
    <row r="642" spans="1:26" ht="14.25" customHeight="1">
      <c r="A642" s="472"/>
      <c r="B642" s="472"/>
      <c r="C642" s="472"/>
      <c r="D642" s="472"/>
      <c r="E642" s="472"/>
      <c r="F642" s="472"/>
      <c r="G642" s="472"/>
      <c r="H642" s="472"/>
      <c r="I642" s="472"/>
      <c r="J642" s="472"/>
      <c r="K642" s="472"/>
      <c r="L642" s="472"/>
      <c r="M642" s="472"/>
      <c r="N642" s="472"/>
      <c r="O642" s="472"/>
      <c r="P642" s="472"/>
      <c r="Q642" s="472"/>
      <c r="R642" s="472"/>
      <c r="S642" s="472"/>
      <c r="T642" s="472"/>
      <c r="U642" s="472"/>
      <c r="V642" s="472"/>
      <c r="W642" s="472"/>
      <c r="X642" s="472"/>
      <c r="Y642" s="472"/>
      <c r="Z642" s="472"/>
    </row>
    <row r="643" spans="1:26" ht="14.25" customHeight="1">
      <c r="A643" s="472"/>
      <c r="B643" s="472"/>
      <c r="C643" s="472"/>
      <c r="D643" s="472"/>
      <c r="E643" s="472"/>
      <c r="F643" s="472"/>
      <c r="G643" s="472"/>
      <c r="H643" s="472"/>
      <c r="I643" s="472"/>
      <c r="J643" s="472"/>
      <c r="K643" s="472"/>
      <c r="L643" s="472"/>
      <c r="M643" s="472"/>
      <c r="N643" s="472"/>
      <c r="O643" s="472"/>
      <c r="P643" s="472"/>
      <c r="Q643" s="472"/>
      <c r="R643" s="472"/>
      <c r="S643" s="472"/>
      <c r="T643" s="472"/>
      <c r="U643" s="472"/>
      <c r="V643" s="472"/>
      <c r="W643" s="472"/>
      <c r="X643" s="472"/>
      <c r="Y643" s="472"/>
      <c r="Z643" s="472"/>
    </row>
    <row r="644" spans="1:26" ht="14.25" customHeight="1">
      <c r="A644" s="472"/>
      <c r="B644" s="472"/>
      <c r="C644" s="472"/>
      <c r="D644" s="472"/>
      <c r="E644" s="472"/>
      <c r="F644" s="472"/>
      <c r="G644" s="472"/>
      <c r="H644" s="472"/>
      <c r="I644" s="472"/>
      <c r="J644" s="472"/>
      <c r="K644" s="472"/>
      <c r="L644" s="472"/>
      <c r="M644" s="472"/>
      <c r="N644" s="472"/>
      <c r="O644" s="472"/>
      <c r="P644" s="472"/>
      <c r="Q644" s="472"/>
      <c r="R644" s="472"/>
      <c r="S644" s="472"/>
      <c r="T644" s="472"/>
      <c r="U644" s="472"/>
      <c r="V644" s="472"/>
      <c r="W644" s="472"/>
      <c r="X644" s="472"/>
      <c r="Y644" s="472"/>
      <c r="Z644" s="472"/>
    </row>
    <row r="645" spans="1:26" ht="14.25" customHeight="1">
      <c r="A645" s="472"/>
      <c r="B645" s="472"/>
      <c r="C645" s="472"/>
      <c r="D645" s="472"/>
      <c r="E645" s="472"/>
      <c r="F645" s="472"/>
      <c r="G645" s="472"/>
      <c r="H645" s="472"/>
      <c r="I645" s="472"/>
      <c r="J645" s="472"/>
      <c r="K645" s="472"/>
      <c r="L645" s="472"/>
      <c r="M645" s="472"/>
      <c r="N645" s="472"/>
      <c r="O645" s="472"/>
      <c r="P645" s="472"/>
      <c r="Q645" s="472"/>
      <c r="R645" s="472"/>
      <c r="S645" s="472"/>
      <c r="T645" s="472"/>
      <c r="U645" s="472"/>
      <c r="V645" s="472"/>
      <c r="W645" s="472"/>
      <c r="X645" s="472"/>
      <c r="Y645" s="472"/>
      <c r="Z645" s="472"/>
    </row>
    <row r="646" spans="1:26" ht="14.25" customHeight="1">
      <c r="A646" s="472"/>
      <c r="B646" s="472"/>
      <c r="C646" s="472"/>
      <c r="D646" s="472"/>
      <c r="E646" s="472"/>
      <c r="F646" s="472"/>
      <c r="G646" s="472"/>
      <c r="H646" s="472"/>
      <c r="I646" s="472"/>
      <c r="J646" s="472"/>
      <c r="K646" s="472"/>
      <c r="L646" s="472"/>
      <c r="M646" s="472"/>
      <c r="N646" s="472"/>
      <c r="O646" s="472"/>
      <c r="P646" s="472"/>
      <c r="Q646" s="472"/>
      <c r="R646" s="472"/>
      <c r="S646" s="472"/>
      <c r="T646" s="472"/>
      <c r="U646" s="472"/>
      <c r="V646" s="472"/>
      <c r="W646" s="472"/>
      <c r="X646" s="472"/>
      <c r="Y646" s="472"/>
      <c r="Z646" s="472"/>
    </row>
    <row r="647" spans="1:26" ht="14.25" customHeight="1">
      <c r="A647" s="472"/>
      <c r="B647" s="472"/>
      <c r="C647" s="472"/>
      <c r="D647" s="472"/>
      <c r="E647" s="472"/>
      <c r="F647" s="472"/>
      <c r="G647" s="472"/>
      <c r="H647" s="472"/>
      <c r="I647" s="472"/>
      <c r="J647" s="472"/>
      <c r="K647" s="472"/>
      <c r="L647" s="472"/>
      <c r="M647" s="472"/>
      <c r="N647" s="472"/>
      <c r="O647" s="472"/>
      <c r="P647" s="472"/>
      <c r="Q647" s="472"/>
      <c r="R647" s="472"/>
      <c r="S647" s="472"/>
      <c r="T647" s="472"/>
      <c r="U647" s="472"/>
      <c r="V647" s="472"/>
      <c r="W647" s="472"/>
      <c r="X647" s="472"/>
      <c r="Y647" s="472"/>
      <c r="Z647" s="472"/>
    </row>
    <row r="648" spans="1:26" ht="14.25" customHeight="1">
      <c r="A648" s="472"/>
      <c r="B648" s="472"/>
      <c r="C648" s="472"/>
      <c r="D648" s="472"/>
      <c r="E648" s="472"/>
      <c r="F648" s="472"/>
      <c r="G648" s="472"/>
      <c r="H648" s="472"/>
      <c r="I648" s="472"/>
      <c r="J648" s="472"/>
      <c r="K648" s="472"/>
      <c r="L648" s="472"/>
      <c r="M648" s="472"/>
      <c r="N648" s="472"/>
      <c r="O648" s="472"/>
      <c r="P648" s="472"/>
      <c r="Q648" s="472"/>
      <c r="R648" s="472"/>
      <c r="S648" s="472"/>
      <c r="T648" s="472"/>
      <c r="U648" s="472"/>
      <c r="V648" s="472"/>
      <c r="W648" s="472"/>
      <c r="X648" s="472"/>
      <c r="Y648" s="472"/>
      <c r="Z648" s="472"/>
    </row>
    <row r="649" spans="1:26" ht="14.25" customHeight="1">
      <c r="A649" s="472"/>
      <c r="B649" s="472"/>
      <c r="C649" s="472"/>
      <c r="D649" s="472"/>
      <c r="E649" s="472"/>
      <c r="F649" s="472"/>
      <c r="G649" s="472"/>
      <c r="H649" s="472"/>
      <c r="I649" s="472"/>
      <c r="J649" s="472"/>
      <c r="K649" s="472"/>
      <c r="L649" s="472"/>
      <c r="M649" s="472"/>
      <c r="N649" s="472"/>
      <c r="O649" s="472"/>
      <c r="P649" s="472"/>
      <c r="Q649" s="472"/>
      <c r="R649" s="472"/>
      <c r="S649" s="472"/>
      <c r="T649" s="472"/>
      <c r="U649" s="472"/>
      <c r="V649" s="472"/>
      <c r="W649" s="472"/>
      <c r="X649" s="472"/>
      <c r="Y649" s="472"/>
      <c r="Z649" s="472"/>
    </row>
    <row r="650" spans="1:26" ht="14.25" customHeight="1">
      <c r="A650" s="472"/>
      <c r="B650" s="472"/>
      <c r="C650" s="472"/>
      <c r="D650" s="472"/>
      <c r="E650" s="472"/>
      <c r="F650" s="472"/>
      <c r="G650" s="472"/>
      <c r="H650" s="472"/>
      <c r="I650" s="472"/>
      <c r="J650" s="472"/>
      <c r="K650" s="472"/>
      <c r="L650" s="472"/>
      <c r="M650" s="472"/>
      <c r="N650" s="472"/>
      <c r="O650" s="472"/>
      <c r="P650" s="472"/>
      <c r="Q650" s="472"/>
      <c r="R650" s="472"/>
      <c r="S650" s="472"/>
      <c r="T650" s="472"/>
      <c r="U650" s="472"/>
      <c r="V650" s="472"/>
      <c r="W650" s="472"/>
      <c r="X650" s="472"/>
      <c r="Y650" s="472"/>
      <c r="Z650" s="472"/>
    </row>
    <row r="651" spans="1:26" ht="14.25" customHeight="1">
      <c r="A651" s="472"/>
      <c r="B651" s="472"/>
      <c r="C651" s="472"/>
      <c r="D651" s="472"/>
      <c r="E651" s="472"/>
      <c r="F651" s="472"/>
      <c r="G651" s="472"/>
      <c r="H651" s="472"/>
      <c r="I651" s="472"/>
      <c r="J651" s="472"/>
      <c r="K651" s="472"/>
      <c r="L651" s="472"/>
      <c r="M651" s="472"/>
      <c r="N651" s="472"/>
      <c r="O651" s="472"/>
      <c r="P651" s="472"/>
      <c r="Q651" s="472"/>
      <c r="R651" s="472"/>
      <c r="S651" s="472"/>
      <c r="T651" s="472"/>
      <c r="U651" s="472"/>
      <c r="V651" s="472"/>
      <c r="W651" s="472"/>
      <c r="X651" s="472"/>
      <c r="Y651" s="472"/>
      <c r="Z651" s="472"/>
    </row>
    <row r="652" spans="1:26" ht="14.25" customHeight="1">
      <c r="A652" s="472"/>
      <c r="B652" s="472"/>
      <c r="C652" s="472"/>
      <c r="D652" s="472"/>
      <c r="E652" s="472"/>
      <c r="F652" s="472"/>
      <c r="G652" s="472"/>
      <c r="H652" s="472"/>
      <c r="I652" s="472"/>
      <c r="J652" s="472"/>
      <c r="K652" s="472"/>
      <c r="L652" s="472"/>
      <c r="M652" s="472"/>
      <c r="N652" s="472"/>
      <c r="O652" s="472"/>
      <c r="P652" s="472"/>
      <c r="Q652" s="472"/>
      <c r="R652" s="472"/>
      <c r="S652" s="472"/>
      <c r="T652" s="472"/>
      <c r="U652" s="472"/>
      <c r="V652" s="472"/>
      <c r="W652" s="472"/>
      <c r="X652" s="472"/>
      <c r="Y652" s="472"/>
      <c r="Z652" s="472"/>
    </row>
    <row r="653" spans="1:26" ht="14.25" customHeight="1">
      <c r="A653" s="472"/>
      <c r="B653" s="472"/>
      <c r="C653" s="472"/>
      <c r="D653" s="472"/>
      <c r="E653" s="472"/>
      <c r="F653" s="472"/>
      <c r="G653" s="472"/>
      <c r="H653" s="472"/>
      <c r="I653" s="472"/>
      <c r="J653" s="472"/>
      <c r="K653" s="472"/>
      <c r="L653" s="472"/>
      <c r="M653" s="472"/>
      <c r="N653" s="472"/>
      <c r="O653" s="472"/>
      <c r="P653" s="472"/>
      <c r="Q653" s="472"/>
      <c r="R653" s="472"/>
      <c r="S653" s="472"/>
      <c r="T653" s="472"/>
      <c r="U653" s="472"/>
      <c r="V653" s="472"/>
      <c r="W653" s="472"/>
      <c r="X653" s="472"/>
      <c r="Y653" s="472"/>
      <c r="Z653" s="472"/>
    </row>
    <row r="654" spans="1:26" ht="14.25" customHeight="1">
      <c r="A654" s="472"/>
      <c r="B654" s="472"/>
      <c r="C654" s="472"/>
      <c r="D654" s="472"/>
      <c r="E654" s="472"/>
      <c r="F654" s="472"/>
      <c r="G654" s="472"/>
      <c r="H654" s="472"/>
      <c r="I654" s="472"/>
      <c r="J654" s="472"/>
      <c r="K654" s="472"/>
      <c r="L654" s="472"/>
      <c r="M654" s="472"/>
      <c r="N654" s="472"/>
      <c r="O654" s="472"/>
      <c r="P654" s="472"/>
      <c r="Q654" s="472"/>
      <c r="R654" s="472"/>
      <c r="S654" s="472"/>
      <c r="T654" s="472"/>
      <c r="U654" s="472"/>
      <c r="V654" s="472"/>
      <c r="W654" s="472"/>
      <c r="X654" s="472"/>
      <c r="Y654" s="472"/>
      <c r="Z654" s="472"/>
    </row>
    <row r="655" spans="1:26" ht="14.25" customHeight="1">
      <c r="A655" s="472"/>
      <c r="B655" s="472"/>
      <c r="C655" s="472"/>
      <c r="D655" s="472"/>
      <c r="E655" s="472"/>
      <c r="F655" s="472"/>
      <c r="G655" s="472"/>
      <c r="H655" s="472"/>
      <c r="I655" s="472"/>
      <c r="J655" s="472"/>
      <c r="K655" s="472"/>
      <c r="L655" s="472"/>
      <c r="M655" s="472"/>
      <c r="N655" s="472"/>
      <c r="O655" s="472"/>
      <c r="P655" s="472"/>
      <c r="Q655" s="472"/>
      <c r="R655" s="472"/>
      <c r="S655" s="472"/>
      <c r="T655" s="472"/>
      <c r="U655" s="472"/>
      <c r="V655" s="472"/>
      <c r="W655" s="472"/>
      <c r="X655" s="472"/>
      <c r="Y655" s="472"/>
      <c r="Z655" s="472"/>
    </row>
    <row r="656" spans="1:26" ht="14.25" customHeight="1">
      <c r="A656" s="472"/>
      <c r="B656" s="472"/>
      <c r="C656" s="472"/>
      <c r="D656" s="472"/>
      <c r="E656" s="472"/>
      <c r="F656" s="472"/>
      <c r="G656" s="472"/>
      <c r="H656" s="472"/>
      <c r="I656" s="472"/>
      <c r="J656" s="472"/>
      <c r="K656" s="472"/>
      <c r="L656" s="472"/>
      <c r="M656" s="472"/>
      <c r="N656" s="472"/>
      <c r="O656" s="472"/>
      <c r="P656" s="472"/>
      <c r="Q656" s="472"/>
      <c r="R656" s="472"/>
      <c r="S656" s="472"/>
      <c r="T656" s="472"/>
      <c r="U656" s="472"/>
      <c r="V656" s="472"/>
      <c r="W656" s="472"/>
      <c r="X656" s="472"/>
      <c r="Y656" s="472"/>
      <c r="Z656" s="472"/>
    </row>
    <row r="657" spans="1:26" ht="14.25" customHeight="1">
      <c r="A657" s="472"/>
      <c r="B657" s="472"/>
      <c r="C657" s="472"/>
      <c r="D657" s="472"/>
      <c r="E657" s="472"/>
      <c r="F657" s="472"/>
      <c r="G657" s="472"/>
      <c r="H657" s="472"/>
      <c r="I657" s="472"/>
      <c r="J657" s="472"/>
      <c r="K657" s="472"/>
      <c r="L657" s="472"/>
      <c r="M657" s="472"/>
      <c r="N657" s="472"/>
      <c r="O657" s="472"/>
      <c r="P657" s="472"/>
      <c r="Q657" s="472"/>
      <c r="R657" s="472"/>
      <c r="S657" s="472"/>
      <c r="T657" s="472"/>
      <c r="U657" s="472"/>
      <c r="V657" s="472"/>
      <c r="W657" s="472"/>
      <c r="X657" s="472"/>
      <c r="Y657" s="472"/>
      <c r="Z657" s="472"/>
    </row>
    <row r="658" spans="1:26" ht="14.25" customHeight="1">
      <c r="A658" s="472"/>
      <c r="B658" s="472"/>
      <c r="C658" s="472"/>
      <c r="D658" s="472"/>
      <c r="E658" s="472"/>
      <c r="F658" s="472"/>
      <c r="G658" s="472"/>
      <c r="H658" s="472"/>
      <c r="I658" s="472"/>
      <c r="J658" s="472"/>
      <c r="K658" s="472"/>
      <c r="L658" s="472"/>
      <c r="M658" s="472"/>
      <c r="N658" s="472"/>
      <c r="O658" s="472"/>
      <c r="P658" s="472"/>
      <c r="Q658" s="472"/>
      <c r="R658" s="472"/>
      <c r="S658" s="472"/>
      <c r="T658" s="472"/>
      <c r="U658" s="472"/>
      <c r="V658" s="472"/>
      <c r="W658" s="472"/>
      <c r="X658" s="472"/>
      <c r="Y658" s="472"/>
      <c r="Z658" s="472"/>
    </row>
    <row r="659" spans="1:26" ht="14.25" customHeight="1">
      <c r="A659" s="472"/>
      <c r="B659" s="472"/>
      <c r="C659" s="472"/>
      <c r="D659" s="472"/>
      <c r="E659" s="472"/>
      <c r="F659" s="472"/>
      <c r="G659" s="472"/>
      <c r="H659" s="472"/>
      <c r="I659" s="472"/>
      <c r="J659" s="472"/>
      <c r="K659" s="472"/>
      <c r="L659" s="472"/>
      <c r="M659" s="472"/>
      <c r="N659" s="472"/>
      <c r="O659" s="472"/>
      <c r="P659" s="472"/>
      <c r="Q659" s="472"/>
      <c r="R659" s="472"/>
      <c r="S659" s="472"/>
      <c r="T659" s="472"/>
      <c r="U659" s="472"/>
      <c r="V659" s="472"/>
      <c r="W659" s="472"/>
      <c r="X659" s="472"/>
      <c r="Y659" s="472"/>
      <c r="Z659" s="472"/>
    </row>
    <row r="660" spans="1:26" ht="14.25" customHeight="1">
      <c r="A660" s="472"/>
      <c r="B660" s="472"/>
      <c r="C660" s="472"/>
      <c r="D660" s="472"/>
      <c r="E660" s="472"/>
      <c r="F660" s="472"/>
      <c r="G660" s="472"/>
      <c r="H660" s="472"/>
      <c r="I660" s="472"/>
      <c r="J660" s="472"/>
      <c r="K660" s="472"/>
      <c r="L660" s="472"/>
      <c r="M660" s="472"/>
      <c r="N660" s="472"/>
      <c r="O660" s="472"/>
      <c r="P660" s="472"/>
      <c r="Q660" s="472"/>
      <c r="R660" s="472"/>
      <c r="S660" s="472"/>
      <c r="T660" s="472"/>
      <c r="U660" s="472"/>
      <c r="V660" s="472"/>
      <c r="W660" s="472"/>
      <c r="X660" s="472"/>
      <c r="Y660" s="472"/>
      <c r="Z660" s="472"/>
    </row>
    <row r="661" spans="1:26" ht="14.25" customHeight="1">
      <c r="A661" s="472"/>
      <c r="B661" s="472"/>
      <c r="C661" s="472"/>
      <c r="D661" s="472"/>
      <c r="E661" s="472"/>
      <c r="F661" s="472"/>
      <c r="G661" s="472"/>
      <c r="H661" s="472"/>
      <c r="I661" s="472"/>
      <c r="J661" s="472"/>
      <c r="K661" s="472"/>
      <c r="L661" s="472"/>
      <c r="M661" s="472"/>
      <c r="N661" s="472"/>
      <c r="O661" s="472"/>
      <c r="P661" s="472"/>
      <c r="Q661" s="472"/>
      <c r="R661" s="472"/>
      <c r="S661" s="472"/>
      <c r="T661" s="472"/>
      <c r="U661" s="472"/>
      <c r="V661" s="472"/>
      <c r="W661" s="472"/>
      <c r="X661" s="472"/>
      <c r="Y661" s="472"/>
      <c r="Z661" s="472"/>
    </row>
    <row r="662" spans="1:26" ht="14.25" customHeight="1">
      <c r="A662" s="472"/>
      <c r="B662" s="472"/>
      <c r="C662" s="472"/>
      <c r="D662" s="472"/>
      <c r="E662" s="472"/>
      <c r="F662" s="472"/>
      <c r="G662" s="472"/>
      <c r="H662" s="472"/>
      <c r="I662" s="472"/>
      <c r="J662" s="472"/>
      <c r="K662" s="472"/>
      <c r="L662" s="472"/>
      <c r="M662" s="472"/>
      <c r="N662" s="472"/>
      <c r="O662" s="472"/>
      <c r="P662" s="472"/>
      <c r="Q662" s="472"/>
      <c r="R662" s="472"/>
      <c r="S662" s="472"/>
      <c r="T662" s="472"/>
      <c r="U662" s="472"/>
      <c r="V662" s="472"/>
      <c r="W662" s="472"/>
      <c r="X662" s="472"/>
      <c r="Y662" s="472"/>
      <c r="Z662" s="472"/>
    </row>
    <row r="663" spans="1:26" ht="14.25" customHeight="1">
      <c r="A663" s="472"/>
      <c r="B663" s="472"/>
      <c r="C663" s="472"/>
      <c r="D663" s="472"/>
      <c r="E663" s="472"/>
      <c r="F663" s="472"/>
      <c r="G663" s="472"/>
      <c r="H663" s="472"/>
      <c r="I663" s="472"/>
      <c r="J663" s="472"/>
      <c r="K663" s="472"/>
      <c r="L663" s="472"/>
      <c r="M663" s="472"/>
      <c r="N663" s="472"/>
      <c r="O663" s="472"/>
      <c r="P663" s="472"/>
      <c r="Q663" s="472"/>
      <c r="R663" s="472"/>
      <c r="S663" s="472"/>
      <c r="T663" s="472"/>
      <c r="U663" s="472"/>
      <c r="V663" s="472"/>
      <c r="W663" s="472"/>
      <c r="X663" s="472"/>
      <c r="Y663" s="472"/>
      <c r="Z663" s="472"/>
    </row>
    <row r="664" spans="1:26" ht="14.25" customHeight="1">
      <c r="A664" s="472"/>
      <c r="B664" s="472"/>
      <c r="C664" s="472"/>
      <c r="D664" s="472"/>
      <c r="E664" s="472"/>
      <c r="F664" s="472"/>
      <c r="G664" s="472"/>
      <c r="H664" s="472"/>
      <c r="I664" s="472"/>
      <c r="J664" s="472"/>
      <c r="K664" s="472"/>
      <c r="L664" s="472"/>
      <c r="M664" s="472"/>
      <c r="N664" s="472"/>
      <c r="O664" s="472"/>
      <c r="P664" s="472"/>
      <c r="Q664" s="472"/>
      <c r="R664" s="472"/>
      <c r="S664" s="472"/>
      <c r="T664" s="472"/>
      <c r="U664" s="472"/>
      <c r="V664" s="472"/>
      <c r="W664" s="472"/>
      <c r="X664" s="472"/>
      <c r="Y664" s="472"/>
      <c r="Z664" s="472"/>
    </row>
    <row r="665" spans="1:26" ht="14.25" customHeight="1">
      <c r="A665" s="472"/>
      <c r="B665" s="472"/>
      <c r="C665" s="472"/>
      <c r="D665" s="472"/>
      <c r="E665" s="472"/>
      <c r="F665" s="472"/>
      <c r="G665" s="472"/>
      <c r="H665" s="472"/>
      <c r="I665" s="472"/>
      <c r="J665" s="472"/>
      <c r="K665" s="472"/>
      <c r="L665" s="472"/>
      <c r="M665" s="472"/>
      <c r="N665" s="472"/>
      <c r="O665" s="472"/>
      <c r="P665" s="472"/>
      <c r="Q665" s="472"/>
      <c r="R665" s="472"/>
      <c r="S665" s="472"/>
      <c r="T665" s="472"/>
      <c r="U665" s="472"/>
      <c r="V665" s="472"/>
      <c r="W665" s="472"/>
      <c r="X665" s="472"/>
      <c r="Y665" s="472"/>
      <c r="Z665" s="472"/>
    </row>
    <row r="666" spans="1:26" ht="14.25" customHeight="1">
      <c r="A666" s="472"/>
      <c r="B666" s="472"/>
      <c r="C666" s="472"/>
      <c r="D666" s="472"/>
      <c r="E666" s="472"/>
      <c r="F666" s="472"/>
      <c r="G666" s="472"/>
      <c r="H666" s="472"/>
      <c r="I666" s="472"/>
      <c r="J666" s="472"/>
      <c r="K666" s="472"/>
      <c r="L666" s="472"/>
      <c r="M666" s="472"/>
      <c r="N666" s="472"/>
      <c r="O666" s="472"/>
      <c r="P666" s="472"/>
      <c r="Q666" s="472"/>
      <c r="R666" s="472"/>
      <c r="S666" s="472"/>
      <c r="T666" s="472"/>
      <c r="U666" s="472"/>
      <c r="V666" s="472"/>
      <c r="W666" s="472"/>
      <c r="X666" s="472"/>
      <c r="Y666" s="472"/>
      <c r="Z666" s="472"/>
    </row>
    <row r="667" spans="1:26" ht="14.25" customHeight="1">
      <c r="A667" s="472"/>
      <c r="B667" s="472"/>
      <c r="C667" s="472"/>
      <c r="D667" s="472"/>
      <c r="E667" s="472"/>
      <c r="F667" s="472"/>
      <c r="G667" s="472"/>
      <c r="H667" s="472"/>
      <c r="I667" s="472"/>
      <c r="J667" s="472"/>
      <c r="K667" s="472"/>
      <c r="L667" s="472"/>
      <c r="M667" s="472"/>
      <c r="N667" s="472"/>
      <c r="O667" s="472"/>
      <c r="P667" s="472"/>
      <c r="Q667" s="472"/>
      <c r="R667" s="472"/>
      <c r="S667" s="472"/>
      <c r="T667" s="472"/>
      <c r="U667" s="472"/>
      <c r="V667" s="472"/>
      <c r="W667" s="472"/>
      <c r="X667" s="472"/>
      <c r="Y667" s="472"/>
      <c r="Z667" s="472"/>
    </row>
    <row r="668" spans="1:26" ht="14.25" customHeight="1">
      <c r="A668" s="472"/>
      <c r="B668" s="472"/>
      <c r="C668" s="472"/>
      <c r="D668" s="472"/>
      <c r="E668" s="472"/>
      <c r="F668" s="472"/>
      <c r="G668" s="472"/>
      <c r="H668" s="472"/>
      <c r="I668" s="472"/>
      <c r="J668" s="472"/>
      <c r="K668" s="472"/>
      <c r="L668" s="472"/>
      <c r="M668" s="472"/>
      <c r="N668" s="472"/>
      <c r="O668" s="472"/>
      <c r="P668" s="472"/>
      <c r="Q668" s="472"/>
      <c r="R668" s="472"/>
      <c r="S668" s="472"/>
      <c r="T668" s="472"/>
      <c r="U668" s="472"/>
      <c r="V668" s="472"/>
      <c r="W668" s="472"/>
      <c r="X668" s="472"/>
      <c r="Y668" s="472"/>
      <c r="Z668" s="472"/>
    </row>
    <row r="669" spans="1:26" ht="14.25" customHeight="1">
      <c r="A669" s="472"/>
      <c r="B669" s="472"/>
      <c r="C669" s="472"/>
      <c r="D669" s="472"/>
      <c r="E669" s="472"/>
      <c r="F669" s="472"/>
      <c r="G669" s="472"/>
      <c r="H669" s="472"/>
      <c r="I669" s="472"/>
      <c r="J669" s="472"/>
      <c r="K669" s="472"/>
      <c r="L669" s="472"/>
      <c r="M669" s="472"/>
      <c r="N669" s="472"/>
      <c r="O669" s="472"/>
      <c r="P669" s="472"/>
      <c r="Q669" s="472"/>
      <c r="R669" s="472"/>
      <c r="S669" s="472"/>
      <c r="T669" s="472"/>
      <c r="U669" s="472"/>
      <c r="V669" s="472"/>
      <c r="W669" s="472"/>
      <c r="X669" s="472"/>
      <c r="Y669" s="472"/>
      <c r="Z669" s="472"/>
    </row>
    <row r="670" spans="1:26" ht="14.25" customHeight="1">
      <c r="A670" s="472"/>
      <c r="B670" s="472"/>
      <c r="C670" s="472"/>
      <c r="D670" s="472"/>
      <c r="E670" s="472"/>
      <c r="F670" s="472"/>
      <c r="G670" s="472"/>
      <c r="H670" s="472"/>
      <c r="I670" s="472"/>
      <c r="J670" s="472"/>
      <c r="K670" s="472"/>
      <c r="L670" s="472"/>
      <c r="M670" s="472"/>
      <c r="N670" s="472"/>
      <c r="O670" s="472"/>
      <c r="P670" s="472"/>
      <c r="Q670" s="472"/>
      <c r="R670" s="472"/>
      <c r="S670" s="472"/>
      <c r="T670" s="472"/>
      <c r="U670" s="472"/>
      <c r="V670" s="472"/>
      <c r="W670" s="472"/>
      <c r="X670" s="472"/>
      <c r="Y670" s="472"/>
      <c r="Z670" s="472"/>
    </row>
    <row r="671" spans="1:26" ht="14.25" customHeight="1">
      <c r="A671" s="472"/>
      <c r="B671" s="472"/>
      <c r="C671" s="472"/>
      <c r="D671" s="472"/>
      <c r="E671" s="472"/>
      <c r="F671" s="472"/>
      <c r="G671" s="472"/>
      <c r="H671" s="472"/>
      <c r="I671" s="472"/>
      <c r="J671" s="472"/>
      <c r="K671" s="472"/>
      <c r="L671" s="472"/>
      <c r="M671" s="472"/>
      <c r="N671" s="472"/>
      <c r="O671" s="472"/>
      <c r="P671" s="472"/>
      <c r="Q671" s="472"/>
      <c r="R671" s="472"/>
      <c r="S671" s="472"/>
      <c r="T671" s="472"/>
      <c r="U671" s="472"/>
      <c r="V671" s="472"/>
      <c r="W671" s="472"/>
      <c r="X671" s="472"/>
      <c r="Y671" s="472"/>
      <c r="Z671" s="472"/>
    </row>
    <row r="672" spans="1:26" ht="14.25" customHeight="1">
      <c r="A672" s="472"/>
      <c r="B672" s="472"/>
      <c r="C672" s="472"/>
      <c r="D672" s="472"/>
      <c r="E672" s="472"/>
      <c r="F672" s="472"/>
      <c r="G672" s="472"/>
      <c r="H672" s="472"/>
      <c r="I672" s="472"/>
      <c r="J672" s="472"/>
      <c r="K672" s="472"/>
      <c r="L672" s="472"/>
      <c r="M672" s="472"/>
      <c r="N672" s="472"/>
      <c r="O672" s="472"/>
      <c r="P672" s="472"/>
      <c r="Q672" s="472"/>
      <c r="R672" s="472"/>
      <c r="S672" s="472"/>
      <c r="T672" s="472"/>
      <c r="U672" s="472"/>
      <c r="V672" s="472"/>
      <c r="W672" s="472"/>
      <c r="X672" s="472"/>
      <c r="Y672" s="472"/>
      <c r="Z672" s="472"/>
    </row>
    <row r="673" spans="1:26" ht="14.25" customHeight="1">
      <c r="A673" s="472"/>
      <c r="B673" s="472"/>
      <c r="C673" s="472"/>
      <c r="D673" s="472"/>
      <c r="E673" s="472"/>
      <c r="F673" s="472"/>
      <c r="G673" s="472"/>
      <c r="H673" s="472"/>
      <c r="I673" s="472"/>
      <c r="J673" s="472"/>
      <c r="K673" s="472"/>
      <c r="L673" s="472"/>
      <c r="M673" s="472"/>
      <c r="N673" s="472"/>
      <c r="O673" s="472"/>
      <c r="P673" s="472"/>
      <c r="Q673" s="472"/>
      <c r="R673" s="472"/>
      <c r="S673" s="472"/>
      <c r="T673" s="472"/>
      <c r="U673" s="472"/>
      <c r="V673" s="472"/>
      <c r="W673" s="472"/>
      <c r="X673" s="472"/>
      <c r="Y673" s="472"/>
      <c r="Z673" s="472"/>
    </row>
    <row r="674" spans="1:26" ht="14.25" customHeight="1">
      <c r="A674" s="472"/>
      <c r="B674" s="472"/>
      <c r="C674" s="472"/>
      <c r="D674" s="472"/>
      <c r="E674" s="472"/>
      <c r="F674" s="472"/>
      <c r="G674" s="472"/>
      <c r="H674" s="472"/>
      <c r="I674" s="472"/>
      <c r="J674" s="472"/>
      <c r="K674" s="472"/>
      <c r="L674" s="472"/>
      <c r="M674" s="472"/>
      <c r="N674" s="472"/>
      <c r="O674" s="472"/>
      <c r="P674" s="472"/>
      <c r="Q674" s="472"/>
      <c r="R674" s="472"/>
      <c r="S674" s="472"/>
      <c r="T674" s="472"/>
      <c r="U674" s="472"/>
      <c r="V674" s="472"/>
      <c r="W674" s="472"/>
      <c r="X674" s="472"/>
      <c r="Y674" s="472"/>
      <c r="Z674" s="472"/>
    </row>
    <row r="675" spans="1:26" ht="14.25" customHeight="1">
      <c r="A675" s="472"/>
      <c r="B675" s="472"/>
      <c r="C675" s="472"/>
      <c r="D675" s="472"/>
      <c r="E675" s="472"/>
      <c r="F675" s="472"/>
      <c r="G675" s="472"/>
      <c r="H675" s="472"/>
      <c r="I675" s="472"/>
      <c r="J675" s="472"/>
      <c r="K675" s="472"/>
      <c r="L675" s="472"/>
      <c r="M675" s="472"/>
      <c r="N675" s="472"/>
      <c r="O675" s="472"/>
      <c r="P675" s="472"/>
      <c r="Q675" s="472"/>
      <c r="R675" s="472"/>
      <c r="S675" s="472"/>
      <c r="T675" s="472"/>
      <c r="U675" s="472"/>
      <c r="V675" s="472"/>
      <c r="W675" s="472"/>
      <c r="X675" s="472"/>
      <c r="Y675" s="472"/>
      <c r="Z675" s="472"/>
    </row>
    <row r="676" spans="1:26" ht="14.25" customHeight="1">
      <c r="A676" s="472"/>
      <c r="B676" s="472"/>
      <c r="C676" s="472"/>
      <c r="D676" s="472"/>
      <c r="E676" s="472"/>
      <c r="F676" s="472"/>
      <c r="G676" s="472"/>
      <c r="H676" s="472"/>
      <c r="I676" s="472"/>
      <c r="J676" s="472"/>
      <c r="K676" s="472"/>
      <c r="L676" s="472"/>
      <c r="M676" s="472"/>
      <c r="N676" s="472"/>
      <c r="O676" s="472"/>
      <c r="P676" s="472"/>
      <c r="Q676" s="472"/>
      <c r="R676" s="472"/>
      <c r="S676" s="472"/>
      <c r="T676" s="472"/>
      <c r="U676" s="472"/>
      <c r="V676" s="472"/>
      <c r="W676" s="472"/>
      <c r="X676" s="472"/>
      <c r="Y676" s="472"/>
      <c r="Z676" s="472"/>
    </row>
    <row r="677" spans="1:26" ht="14.25" customHeight="1">
      <c r="A677" s="472"/>
      <c r="B677" s="472"/>
      <c r="C677" s="472"/>
      <c r="D677" s="472"/>
      <c r="E677" s="472"/>
      <c r="F677" s="472"/>
      <c r="G677" s="472"/>
      <c r="H677" s="472"/>
      <c r="I677" s="472"/>
      <c r="J677" s="472"/>
      <c r="K677" s="472"/>
      <c r="L677" s="472"/>
      <c r="M677" s="472"/>
      <c r="N677" s="472"/>
      <c r="O677" s="472"/>
      <c r="P677" s="472"/>
      <c r="Q677" s="472"/>
      <c r="R677" s="472"/>
      <c r="S677" s="472"/>
      <c r="T677" s="472"/>
      <c r="U677" s="472"/>
      <c r="V677" s="472"/>
      <c r="W677" s="472"/>
      <c r="X677" s="472"/>
      <c r="Y677" s="472"/>
      <c r="Z677" s="472"/>
    </row>
    <row r="678" spans="1:26" ht="14.25" customHeight="1">
      <c r="A678" s="472"/>
      <c r="B678" s="472"/>
      <c r="C678" s="472"/>
      <c r="D678" s="472"/>
      <c r="E678" s="472"/>
      <c r="F678" s="472"/>
      <c r="G678" s="472"/>
      <c r="H678" s="472"/>
      <c r="I678" s="472"/>
      <c r="J678" s="472"/>
      <c r="K678" s="472"/>
      <c r="L678" s="472"/>
      <c r="M678" s="472"/>
      <c r="N678" s="472"/>
      <c r="O678" s="472"/>
      <c r="P678" s="472"/>
      <c r="Q678" s="472"/>
      <c r="R678" s="472"/>
      <c r="S678" s="472"/>
      <c r="T678" s="472"/>
      <c r="U678" s="472"/>
      <c r="V678" s="472"/>
      <c r="W678" s="472"/>
      <c r="X678" s="472"/>
      <c r="Y678" s="472"/>
      <c r="Z678" s="472"/>
    </row>
    <row r="679" spans="1:26" ht="14.25" customHeight="1">
      <c r="A679" s="472"/>
      <c r="B679" s="472"/>
      <c r="C679" s="472"/>
      <c r="D679" s="472"/>
      <c r="E679" s="472"/>
      <c r="F679" s="472"/>
      <c r="G679" s="472"/>
      <c r="H679" s="472"/>
      <c r="I679" s="472"/>
      <c r="J679" s="472"/>
      <c r="K679" s="472"/>
      <c r="L679" s="472"/>
      <c r="M679" s="472"/>
      <c r="N679" s="472"/>
      <c r="O679" s="472"/>
      <c r="P679" s="472"/>
      <c r="Q679" s="472"/>
      <c r="R679" s="472"/>
      <c r="S679" s="472"/>
      <c r="T679" s="472"/>
      <c r="U679" s="472"/>
      <c r="V679" s="472"/>
      <c r="W679" s="472"/>
      <c r="X679" s="472"/>
      <c r="Y679" s="472"/>
      <c r="Z679" s="472"/>
    </row>
    <row r="680" spans="1:26" ht="14.25" customHeight="1">
      <c r="A680" s="472"/>
      <c r="B680" s="472"/>
      <c r="C680" s="472"/>
      <c r="D680" s="472"/>
      <c r="E680" s="472"/>
      <c r="F680" s="472"/>
      <c r="G680" s="472"/>
      <c r="H680" s="472"/>
      <c r="I680" s="472"/>
      <c r="J680" s="472"/>
      <c r="K680" s="472"/>
      <c r="L680" s="472"/>
      <c r="M680" s="472"/>
      <c r="N680" s="472"/>
      <c r="O680" s="472"/>
      <c r="P680" s="472"/>
      <c r="Q680" s="472"/>
      <c r="R680" s="472"/>
      <c r="S680" s="472"/>
      <c r="T680" s="472"/>
      <c r="U680" s="472"/>
      <c r="V680" s="472"/>
      <c r="W680" s="472"/>
      <c r="X680" s="472"/>
      <c r="Y680" s="472"/>
      <c r="Z680" s="472"/>
    </row>
    <row r="681" spans="1:26" ht="14.25" customHeight="1">
      <c r="A681" s="472"/>
      <c r="B681" s="472"/>
      <c r="C681" s="472"/>
      <c r="D681" s="472"/>
      <c r="E681" s="472"/>
      <c r="F681" s="472"/>
      <c r="G681" s="472"/>
      <c r="H681" s="472"/>
      <c r="I681" s="472"/>
      <c r="J681" s="472"/>
      <c r="K681" s="472"/>
      <c r="L681" s="472"/>
      <c r="M681" s="472"/>
      <c r="N681" s="472"/>
      <c r="O681" s="472"/>
      <c r="P681" s="472"/>
      <c r="Q681" s="472"/>
      <c r="R681" s="472"/>
      <c r="S681" s="472"/>
      <c r="T681" s="472"/>
      <c r="U681" s="472"/>
      <c r="V681" s="472"/>
      <c r="W681" s="472"/>
      <c r="X681" s="472"/>
      <c r="Y681" s="472"/>
      <c r="Z681" s="472"/>
    </row>
    <row r="682" spans="1:26" ht="14.25" customHeight="1">
      <c r="A682" s="472"/>
      <c r="B682" s="472"/>
      <c r="C682" s="472"/>
      <c r="D682" s="472"/>
      <c r="E682" s="472"/>
      <c r="F682" s="472"/>
      <c r="G682" s="472"/>
      <c r="H682" s="472"/>
      <c r="I682" s="472"/>
      <c r="J682" s="472"/>
      <c r="K682" s="472"/>
      <c r="L682" s="472"/>
      <c r="M682" s="472"/>
      <c r="N682" s="472"/>
      <c r="O682" s="472"/>
      <c r="P682" s="472"/>
      <c r="Q682" s="472"/>
      <c r="R682" s="472"/>
      <c r="S682" s="472"/>
      <c r="T682" s="472"/>
      <c r="U682" s="472"/>
      <c r="V682" s="472"/>
      <c r="W682" s="472"/>
      <c r="X682" s="472"/>
      <c r="Y682" s="472"/>
      <c r="Z682" s="472"/>
    </row>
    <row r="683" spans="1:26" ht="14.25" customHeight="1">
      <c r="A683" s="472"/>
      <c r="B683" s="472"/>
      <c r="C683" s="472"/>
      <c r="D683" s="472"/>
      <c r="E683" s="472"/>
      <c r="F683" s="472"/>
      <c r="G683" s="472"/>
      <c r="H683" s="472"/>
      <c r="I683" s="472"/>
      <c r="J683" s="472"/>
      <c r="K683" s="472"/>
      <c r="L683" s="472"/>
      <c r="M683" s="472"/>
      <c r="N683" s="472"/>
      <c r="O683" s="472"/>
      <c r="P683" s="472"/>
      <c r="Q683" s="472"/>
      <c r="R683" s="472"/>
      <c r="S683" s="472"/>
      <c r="T683" s="472"/>
      <c r="U683" s="472"/>
      <c r="V683" s="472"/>
      <c r="W683" s="472"/>
      <c r="X683" s="472"/>
      <c r="Y683" s="472"/>
      <c r="Z683" s="472"/>
    </row>
    <row r="684" spans="1:26" ht="14.25" customHeight="1">
      <c r="A684" s="472"/>
      <c r="B684" s="472"/>
      <c r="C684" s="472"/>
      <c r="D684" s="472"/>
      <c r="E684" s="472"/>
      <c r="F684" s="472"/>
      <c r="G684" s="472"/>
      <c r="H684" s="472"/>
      <c r="I684" s="472"/>
      <c r="J684" s="472"/>
      <c r="K684" s="472"/>
      <c r="L684" s="472"/>
      <c r="M684" s="472"/>
      <c r="N684" s="472"/>
      <c r="O684" s="472"/>
      <c r="P684" s="472"/>
      <c r="Q684" s="472"/>
      <c r="R684" s="472"/>
      <c r="S684" s="472"/>
      <c r="T684" s="472"/>
      <c r="U684" s="472"/>
      <c r="V684" s="472"/>
      <c r="W684" s="472"/>
      <c r="X684" s="472"/>
      <c r="Y684" s="472"/>
      <c r="Z684" s="472"/>
    </row>
    <row r="685" spans="1:26" ht="14.25" customHeight="1">
      <c r="A685" s="472"/>
      <c r="B685" s="472"/>
      <c r="C685" s="472"/>
      <c r="D685" s="472"/>
      <c r="E685" s="472"/>
      <c r="F685" s="472"/>
      <c r="G685" s="472"/>
      <c r="H685" s="472"/>
      <c r="I685" s="472"/>
      <c r="J685" s="472"/>
      <c r="K685" s="472"/>
      <c r="L685" s="472"/>
      <c r="M685" s="472"/>
      <c r="N685" s="472"/>
      <c r="O685" s="472"/>
      <c r="P685" s="472"/>
      <c r="Q685" s="472"/>
      <c r="R685" s="472"/>
      <c r="S685" s="472"/>
      <c r="T685" s="472"/>
      <c r="U685" s="472"/>
      <c r="V685" s="472"/>
      <c r="W685" s="472"/>
      <c r="X685" s="472"/>
      <c r="Y685" s="472"/>
      <c r="Z685" s="472"/>
    </row>
    <row r="686" spans="1:26" ht="14.25" customHeight="1">
      <c r="A686" s="472"/>
      <c r="B686" s="472"/>
      <c r="C686" s="472"/>
      <c r="D686" s="472"/>
      <c r="E686" s="472"/>
      <c r="F686" s="472"/>
      <c r="G686" s="472"/>
      <c r="H686" s="472"/>
      <c r="I686" s="472"/>
      <c r="J686" s="472"/>
      <c r="K686" s="472"/>
      <c r="L686" s="472"/>
      <c r="M686" s="472"/>
      <c r="N686" s="472"/>
      <c r="O686" s="472"/>
      <c r="P686" s="472"/>
      <c r="Q686" s="472"/>
      <c r="R686" s="472"/>
      <c r="S686" s="472"/>
      <c r="T686" s="472"/>
      <c r="U686" s="472"/>
      <c r="V686" s="472"/>
      <c r="W686" s="472"/>
      <c r="X686" s="472"/>
      <c r="Y686" s="472"/>
      <c r="Z686" s="472"/>
    </row>
    <row r="687" spans="1:26" ht="14.25" customHeight="1">
      <c r="A687" s="472"/>
      <c r="B687" s="472"/>
      <c r="C687" s="472"/>
      <c r="D687" s="472"/>
      <c r="E687" s="472"/>
      <c r="F687" s="472"/>
      <c r="G687" s="472"/>
      <c r="H687" s="472"/>
      <c r="I687" s="472"/>
      <c r="J687" s="472"/>
      <c r="K687" s="472"/>
      <c r="L687" s="472"/>
      <c r="M687" s="472"/>
      <c r="N687" s="472"/>
      <c r="O687" s="472"/>
      <c r="P687" s="472"/>
      <c r="Q687" s="472"/>
      <c r="R687" s="472"/>
      <c r="S687" s="472"/>
      <c r="T687" s="472"/>
      <c r="U687" s="472"/>
      <c r="V687" s="472"/>
      <c r="W687" s="472"/>
      <c r="X687" s="472"/>
      <c r="Y687" s="472"/>
      <c r="Z687" s="472"/>
    </row>
    <row r="688" spans="1:26" ht="14.25" customHeight="1">
      <c r="A688" s="472"/>
      <c r="B688" s="472"/>
      <c r="C688" s="472"/>
      <c r="D688" s="472"/>
      <c r="E688" s="472"/>
      <c r="F688" s="472"/>
      <c r="G688" s="472"/>
      <c r="H688" s="472"/>
      <c r="I688" s="472"/>
      <c r="J688" s="472"/>
      <c r="K688" s="472"/>
      <c r="L688" s="472"/>
      <c r="M688" s="472"/>
      <c r="N688" s="472"/>
      <c r="O688" s="472"/>
      <c r="P688" s="472"/>
      <c r="Q688" s="472"/>
      <c r="R688" s="472"/>
      <c r="S688" s="472"/>
      <c r="T688" s="472"/>
      <c r="U688" s="472"/>
      <c r="V688" s="472"/>
      <c r="W688" s="472"/>
      <c r="X688" s="472"/>
      <c r="Y688" s="472"/>
      <c r="Z688" s="472"/>
    </row>
    <row r="689" spans="1:26" ht="14.25" customHeight="1">
      <c r="A689" s="472"/>
      <c r="B689" s="472"/>
      <c r="C689" s="472"/>
      <c r="D689" s="472"/>
      <c r="E689" s="472"/>
      <c r="F689" s="472"/>
      <c r="G689" s="472"/>
      <c r="H689" s="472"/>
      <c r="I689" s="472"/>
      <c r="J689" s="472"/>
      <c r="K689" s="472"/>
      <c r="L689" s="472"/>
      <c r="M689" s="472"/>
      <c r="N689" s="472"/>
      <c r="O689" s="472"/>
      <c r="P689" s="472"/>
      <c r="Q689" s="472"/>
      <c r="R689" s="472"/>
      <c r="S689" s="472"/>
      <c r="T689" s="472"/>
      <c r="U689" s="472"/>
      <c r="V689" s="472"/>
      <c r="W689" s="472"/>
      <c r="X689" s="472"/>
      <c r="Y689" s="472"/>
      <c r="Z689" s="472"/>
    </row>
    <row r="690" spans="1:26" ht="14.25" customHeight="1">
      <c r="A690" s="472"/>
      <c r="B690" s="472"/>
      <c r="C690" s="472"/>
      <c r="D690" s="472"/>
      <c r="E690" s="472"/>
      <c r="F690" s="472"/>
      <c r="G690" s="472"/>
      <c r="H690" s="472"/>
      <c r="I690" s="472"/>
      <c r="J690" s="472"/>
      <c r="K690" s="472"/>
      <c r="L690" s="472"/>
      <c r="M690" s="472"/>
      <c r="N690" s="472"/>
      <c r="O690" s="472"/>
      <c r="P690" s="472"/>
      <c r="Q690" s="472"/>
      <c r="R690" s="472"/>
      <c r="S690" s="472"/>
      <c r="T690" s="472"/>
      <c r="U690" s="472"/>
      <c r="V690" s="472"/>
      <c r="W690" s="472"/>
      <c r="X690" s="472"/>
      <c r="Y690" s="472"/>
      <c r="Z690" s="472"/>
    </row>
    <row r="691" spans="1:26" ht="14.25" customHeight="1">
      <c r="A691" s="472"/>
      <c r="B691" s="472"/>
      <c r="C691" s="472"/>
      <c r="D691" s="472"/>
      <c r="E691" s="472"/>
      <c r="F691" s="472"/>
      <c r="G691" s="472"/>
      <c r="H691" s="472"/>
      <c r="I691" s="472"/>
      <c r="J691" s="472"/>
      <c r="K691" s="472"/>
      <c r="L691" s="472"/>
      <c r="M691" s="472"/>
      <c r="N691" s="472"/>
      <c r="O691" s="472"/>
      <c r="P691" s="472"/>
      <c r="Q691" s="472"/>
      <c r="R691" s="472"/>
      <c r="S691" s="472"/>
      <c r="T691" s="472"/>
      <c r="U691" s="472"/>
      <c r="V691" s="472"/>
      <c r="W691" s="472"/>
      <c r="X691" s="472"/>
      <c r="Y691" s="472"/>
      <c r="Z691" s="472"/>
    </row>
    <row r="692" spans="1:26" ht="14.25" customHeight="1">
      <c r="A692" s="472"/>
      <c r="B692" s="472"/>
      <c r="C692" s="472"/>
      <c r="D692" s="472"/>
      <c r="E692" s="472"/>
      <c r="F692" s="472"/>
      <c r="G692" s="472"/>
      <c r="H692" s="472"/>
      <c r="I692" s="472"/>
      <c r="J692" s="472"/>
      <c r="K692" s="472"/>
      <c r="L692" s="472"/>
      <c r="M692" s="472"/>
      <c r="N692" s="472"/>
      <c r="O692" s="472"/>
      <c r="P692" s="472"/>
      <c r="Q692" s="472"/>
      <c r="R692" s="472"/>
      <c r="S692" s="472"/>
      <c r="T692" s="472"/>
      <c r="U692" s="472"/>
      <c r="V692" s="472"/>
      <c r="W692" s="472"/>
      <c r="X692" s="472"/>
      <c r="Y692" s="472"/>
      <c r="Z692" s="472"/>
    </row>
    <row r="693" spans="1:26" ht="14.25" customHeight="1">
      <c r="A693" s="472"/>
      <c r="B693" s="472"/>
      <c r="C693" s="472"/>
      <c r="D693" s="472"/>
      <c r="E693" s="472"/>
      <c r="F693" s="472"/>
      <c r="G693" s="472"/>
      <c r="H693" s="472"/>
      <c r="I693" s="472"/>
      <c r="J693" s="472"/>
      <c r="K693" s="472"/>
      <c r="L693" s="472"/>
      <c r="M693" s="472"/>
      <c r="N693" s="472"/>
      <c r="O693" s="472"/>
      <c r="P693" s="472"/>
      <c r="Q693" s="472"/>
      <c r="R693" s="472"/>
      <c r="S693" s="472"/>
      <c r="T693" s="472"/>
      <c r="U693" s="472"/>
      <c r="V693" s="472"/>
      <c r="W693" s="472"/>
      <c r="X693" s="472"/>
      <c r="Y693" s="472"/>
      <c r="Z693" s="472"/>
    </row>
    <row r="694" spans="1:26" ht="14.25" customHeight="1">
      <c r="A694" s="472"/>
      <c r="B694" s="472"/>
      <c r="C694" s="472"/>
      <c r="D694" s="472"/>
      <c r="E694" s="472"/>
      <c r="F694" s="472"/>
      <c r="G694" s="472"/>
      <c r="H694" s="472"/>
      <c r="I694" s="472"/>
      <c r="J694" s="472"/>
      <c r="K694" s="472"/>
      <c r="L694" s="472"/>
      <c r="M694" s="472"/>
      <c r="N694" s="472"/>
      <c r="O694" s="472"/>
      <c r="P694" s="472"/>
      <c r="Q694" s="472"/>
      <c r="R694" s="472"/>
      <c r="S694" s="472"/>
      <c r="T694" s="472"/>
      <c r="U694" s="472"/>
      <c r="V694" s="472"/>
      <c r="W694" s="472"/>
      <c r="X694" s="472"/>
      <c r="Y694" s="472"/>
      <c r="Z694" s="472"/>
    </row>
    <row r="695" spans="1:26" ht="14.25" customHeight="1">
      <c r="A695" s="472"/>
      <c r="B695" s="472"/>
      <c r="C695" s="472"/>
      <c r="D695" s="472"/>
      <c r="E695" s="472"/>
      <c r="F695" s="472"/>
      <c r="G695" s="472"/>
      <c r="H695" s="472"/>
      <c r="I695" s="472"/>
      <c r="J695" s="472"/>
      <c r="K695" s="472"/>
      <c r="L695" s="472"/>
      <c r="M695" s="472"/>
      <c r="N695" s="472"/>
      <c r="O695" s="472"/>
      <c r="P695" s="472"/>
      <c r="Q695" s="472"/>
      <c r="R695" s="472"/>
      <c r="S695" s="472"/>
      <c r="T695" s="472"/>
      <c r="U695" s="472"/>
      <c r="V695" s="472"/>
      <c r="W695" s="472"/>
      <c r="X695" s="472"/>
      <c r="Y695" s="472"/>
      <c r="Z695" s="472"/>
    </row>
    <row r="696" spans="1:26" ht="14.25" customHeight="1">
      <c r="A696" s="472"/>
      <c r="B696" s="472"/>
      <c r="C696" s="472"/>
      <c r="D696" s="472"/>
      <c r="E696" s="472"/>
      <c r="F696" s="472"/>
      <c r="G696" s="472"/>
      <c r="H696" s="472"/>
      <c r="I696" s="472"/>
      <c r="J696" s="472"/>
      <c r="K696" s="472"/>
      <c r="L696" s="472"/>
      <c r="M696" s="472"/>
      <c r="N696" s="472"/>
      <c r="O696" s="472"/>
      <c r="P696" s="472"/>
      <c r="Q696" s="472"/>
      <c r="R696" s="472"/>
      <c r="S696" s="472"/>
      <c r="T696" s="472"/>
      <c r="U696" s="472"/>
      <c r="V696" s="472"/>
      <c r="W696" s="472"/>
      <c r="X696" s="472"/>
      <c r="Y696" s="472"/>
      <c r="Z696" s="472"/>
    </row>
    <row r="697" spans="1:26" ht="14.25" customHeight="1">
      <c r="A697" s="472"/>
      <c r="B697" s="472"/>
      <c r="C697" s="472"/>
      <c r="D697" s="472"/>
      <c r="E697" s="472"/>
      <c r="F697" s="472"/>
      <c r="G697" s="472"/>
      <c r="H697" s="472"/>
      <c r="I697" s="472"/>
      <c r="J697" s="472"/>
      <c r="K697" s="472"/>
      <c r="L697" s="472"/>
      <c r="M697" s="472"/>
      <c r="N697" s="472"/>
      <c r="O697" s="472"/>
      <c r="P697" s="472"/>
      <c r="Q697" s="472"/>
      <c r="R697" s="472"/>
      <c r="S697" s="472"/>
      <c r="T697" s="472"/>
      <c r="U697" s="472"/>
      <c r="V697" s="472"/>
      <c r="W697" s="472"/>
      <c r="X697" s="472"/>
      <c r="Y697" s="472"/>
      <c r="Z697" s="472"/>
    </row>
    <row r="698" spans="1:26" ht="14.25" customHeight="1">
      <c r="A698" s="472"/>
      <c r="B698" s="472"/>
      <c r="C698" s="472"/>
      <c r="D698" s="472"/>
      <c r="E698" s="472"/>
      <c r="F698" s="472"/>
      <c r="G698" s="472"/>
      <c r="H698" s="472"/>
      <c r="I698" s="472"/>
      <c r="J698" s="472"/>
      <c r="K698" s="472"/>
      <c r="L698" s="472"/>
      <c r="M698" s="472"/>
      <c r="N698" s="472"/>
      <c r="O698" s="472"/>
      <c r="P698" s="472"/>
      <c r="Q698" s="472"/>
      <c r="R698" s="472"/>
      <c r="S698" s="472"/>
      <c r="T698" s="472"/>
      <c r="U698" s="472"/>
      <c r="V698" s="472"/>
      <c r="W698" s="472"/>
      <c r="X698" s="472"/>
      <c r="Y698" s="472"/>
      <c r="Z698" s="472"/>
    </row>
    <row r="699" spans="1:26" ht="14.25" customHeight="1">
      <c r="A699" s="472"/>
      <c r="B699" s="472"/>
      <c r="C699" s="472"/>
      <c r="D699" s="472"/>
      <c r="E699" s="472"/>
      <c r="F699" s="472"/>
      <c r="G699" s="472"/>
      <c r="H699" s="472"/>
      <c r="I699" s="472"/>
      <c r="J699" s="472"/>
      <c r="K699" s="472"/>
      <c r="L699" s="472"/>
      <c r="M699" s="472"/>
      <c r="N699" s="472"/>
      <c r="O699" s="472"/>
      <c r="P699" s="472"/>
      <c r="Q699" s="472"/>
      <c r="R699" s="472"/>
      <c r="S699" s="472"/>
      <c r="T699" s="472"/>
      <c r="U699" s="472"/>
      <c r="V699" s="472"/>
      <c r="W699" s="472"/>
      <c r="X699" s="472"/>
      <c r="Y699" s="472"/>
      <c r="Z699" s="472"/>
    </row>
    <row r="700" spans="1:26" ht="14.25" customHeight="1">
      <c r="A700" s="472"/>
      <c r="B700" s="472"/>
      <c r="C700" s="472"/>
      <c r="D700" s="472"/>
      <c r="E700" s="472"/>
      <c r="F700" s="472"/>
      <c r="G700" s="472"/>
      <c r="H700" s="472"/>
      <c r="I700" s="472"/>
      <c r="J700" s="472"/>
      <c r="K700" s="472"/>
      <c r="L700" s="472"/>
      <c r="M700" s="472"/>
      <c r="N700" s="472"/>
      <c r="O700" s="472"/>
      <c r="P700" s="472"/>
      <c r="Q700" s="472"/>
      <c r="R700" s="472"/>
      <c r="S700" s="472"/>
      <c r="T700" s="472"/>
      <c r="U700" s="472"/>
      <c r="V700" s="472"/>
      <c r="W700" s="472"/>
      <c r="X700" s="472"/>
      <c r="Y700" s="472"/>
      <c r="Z700" s="472"/>
    </row>
    <row r="701" spans="1:26" ht="14.25" customHeight="1">
      <c r="A701" s="472"/>
      <c r="B701" s="472"/>
      <c r="C701" s="472"/>
      <c r="D701" s="472"/>
      <c r="E701" s="472"/>
      <c r="F701" s="472"/>
      <c r="G701" s="472"/>
      <c r="H701" s="472"/>
      <c r="I701" s="472"/>
      <c r="J701" s="472"/>
      <c r="K701" s="472"/>
      <c r="L701" s="472"/>
      <c r="M701" s="472"/>
      <c r="N701" s="472"/>
      <c r="O701" s="472"/>
      <c r="P701" s="472"/>
      <c r="Q701" s="472"/>
      <c r="R701" s="472"/>
      <c r="S701" s="472"/>
      <c r="T701" s="472"/>
      <c r="U701" s="472"/>
      <c r="V701" s="472"/>
      <c r="W701" s="472"/>
      <c r="X701" s="472"/>
      <c r="Y701" s="472"/>
      <c r="Z701" s="472"/>
    </row>
    <row r="702" spans="1:26" ht="14.25" customHeight="1">
      <c r="A702" s="472"/>
      <c r="B702" s="472"/>
      <c r="C702" s="472"/>
      <c r="D702" s="472"/>
      <c r="E702" s="472"/>
      <c r="F702" s="472"/>
      <c r="G702" s="472"/>
      <c r="H702" s="472"/>
      <c r="I702" s="472"/>
      <c r="J702" s="472"/>
      <c r="K702" s="472"/>
      <c r="L702" s="472"/>
      <c r="M702" s="472"/>
      <c r="N702" s="472"/>
      <c r="O702" s="472"/>
      <c r="P702" s="472"/>
      <c r="Q702" s="472"/>
      <c r="R702" s="472"/>
      <c r="S702" s="472"/>
      <c r="T702" s="472"/>
      <c r="U702" s="472"/>
      <c r="V702" s="472"/>
      <c r="W702" s="472"/>
      <c r="X702" s="472"/>
      <c r="Y702" s="472"/>
      <c r="Z702" s="472"/>
    </row>
    <row r="703" spans="1:26" ht="14.25" customHeight="1">
      <c r="A703" s="472"/>
      <c r="B703" s="472"/>
      <c r="C703" s="472"/>
      <c r="D703" s="472"/>
      <c r="E703" s="472"/>
      <c r="F703" s="472"/>
      <c r="G703" s="472"/>
      <c r="H703" s="472"/>
      <c r="I703" s="472"/>
      <c r="J703" s="472"/>
      <c r="K703" s="472"/>
      <c r="L703" s="472"/>
      <c r="M703" s="472"/>
      <c r="N703" s="472"/>
      <c r="O703" s="472"/>
      <c r="P703" s="472"/>
      <c r="Q703" s="472"/>
      <c r="R703" s="472"/>
      <c r="S703" s="472"/>
      <c r="T703" s="472"/>
      <c r="U703" s="472"/>
      <c r="V703" s="472"/>
      <c r="W703" s="472"/>
      <c r="X703" s="472"/>
      <c r="Y703" s="472"/>
      <c r="Z703" s="472"/>
    </row>
    <row r="704" spans="1:26" ht="14.25" customHeight="1">
      <c r="A704" s="472"/>
      <c r="B704" s="472"/>
      <c r="C704" s="472"/>
      <c r="D704" s="472"/>
      <c r="E704" s="472"/>
      <c r="F704" s="472"/>
      <c r="G704" s="472"/>
      <c r="H704" s="472"/>
      <c r="I704" s="472"/>
      <c r="J704" s="472"/>
      <c r="K704" s="472"/>
      <c r="L704" s="472"/>
      <c r="M704" s="472"/>
      <c r="N704" s="472"/>
      <c r="O704" s="472"/>
      <c r="P704" s="472"/>
      <c r="Q704" s="472"/>
      <c r="R704" s="472"/>
      <c r="S704" s="472"/>
      <c r="T704" s="472"/>
      <c r="U704" s="472"/>
      <c r="V704" s="472"/>
      <c r="W704" s="472"/>
      <c r="X704" s="472"/>
      <c r="Y704" s="472"/>
      <c r="Z704" s="472"/>
    </row>
    <row r="705" spans="1:26" ht="14.25" customHeight="1">
      <c r="A705" s="472"/>
      <c r="B705" s="472"/>
      <c r="C705" s="472"/>
      <c r="D705" s="472"/>
      <c r="E705" s="472"/>
      <c r="F705" s="472"/>
      <c r="G705" s="472"/>
      <c r="H705" s="472"/>
      <c r="I705" s="472"/>
      <c r="J705" s="472"/>
      <c r="K705" s="472"/>
      <c r="L705" s="472"/>
      <c r="M705" s="472"/>
      <c r="N705" s="472"/>
      <c r="O705" s="472"/>
      <c r="P705" s="472"/>
      <c r="Q705" s="472"/>
      <c r="R705" s="472"/>
      <c r="S705" s="472"/>
      <c r="T705" s="472"/>
      <c r="U705" s="472"/>
      <c r="V705" s="472"/>
      <c r="W705" s="472"/>
      <c r="X705" s="472"/>
      <c r="Y705" s="472"/>
      <c r="Z705" s="472"/>
    </row>
    <row r="706" spans="1:26" ht="14.25" customHeight="1">
      <c r="A706" s="472"/>
      <c r="B706" s="472"/>
      <c r="C706" s="472"/>
      <c r="D706" s="472"/>
      <c r="E706" s="472"/>
      <c r="F706" s="472"/>
      <c r="G706" s="472"/>
      <c r="H706" s="472"/>
      <c r="I706" s="472"/>
      <c r="J706" s="472"/>
      <c r="K706" s="472"/>
      <c r="L706" s="472"/>
      <c r="M706" s="472"/>
      <c r="N706" s="472"/>
      <c r="O706" s="472"/>
      <c r="P706" s="472"/>
      <c r="Q706" s="472"/>
      <c r="R706" s="472"/>
      <c r="S706" s="472"/>
      <c r="T706" s="472"/>
      <c r="U706" s="472"/>
      <c r="V706" s="472"/>
      <c r="W706" s="472"/>
      <c r="X706" s="472"/>
      <c r="Y706" s="472"/>
      <c r="Z706" s="472"/>
    </row>
    <row r="707" spans="1:26" ht="14.25" customHeight="1">
      <c r="A707" s="472"/>
      <c r="B707" s="472"/>
      <c r="C707" s="472"/>
      <c r="D707" s="472"/>
      <c r="E707" s="472"/>
      <c r="F707" s="472"/>
      <c r="G707" s="472"/>
      <c r="H707" s="472"/>
      <c r="I707" s="472"/>
      <c r="J707" s="472"/>
      <c r="K707" s="472"/>
      <c r="L707" s="472"/>
      <c r="M707" s="472"/>
      <c r="N707" s="472"/>
      <c r="O707" s="472"/>
      <c r="P707" s="472"/>
      <c r="Q707" s="472"/>
      <c r="R707" s="472"/>
      <c r="S707" s="472"/>
      <c r="T707" s="472"/>
      <c r="U707" s="472"/>
      <c r="V707" s="472"/>
      <c r="W707" s="472"/>
      <c r="X707" s="472"/>
      <c r="Y707" s="472"/>
      <c r="Z707" s="472"/>
    </row>
    <row r="708" spans="1:26" ht="14.25" customHeight="1">
      <c r="A708" s="472"/>
      <c r="B708" s="472"/>
      <c r="C708" s="472"/>
      <c r="D708" s="472"/>
      <c r="E708" s="472"/>
      <c r="F708" s="472"/>
      <c r="G708" s="472"/>
      <c r="H708" s="472"/>
      <c r="I708" s="472"/>
      <c r="J708" s="472"/>
      <c r="K708" s="472"/>
      <c r="L708" s="472"/>
      <c r="M708" s="472"/>
      <c r="N708" s="472"/>
      <c r="O708" s="472"/>
      <c r="P708" s="472"/>
      <c r="Q708" s="472"/>
      <c r="R708" s="472"/>
      <c r="S708" s="472"/>
      <c r="T708" s="472"/>
      <c r="U708" s="472"/>
      <c r="V708" s="472"/>
      <c r="W708" s="472"/>
      <c r="X708" s="472"/>
      <c r="Y708" s="472"/>
      <c r="Z708" s="472"/>
    </row>
    <row r="709" spans="1:26" ht="14.25" customHeight="1">
      <c r="A709" s="472"/>
      <c r="B709" s="472"/>
      <c r="C709" s="472"/>
      <c r="D709" s="472"/>
      <c r="E709" s="472"/>
      <c r="F709" s="472"/>
      <c r="G709" s="472"/>
      <c r="H709" s="472"/>
      <c r="I709" s="472"/>
      <c r="J709" s="472"/>
      <c r="K709" s="472"/>
      <c r="L709" s="472"/>
      <c r="M709" s="472"/>
      <c r="N709" s="472"/>
      <c r="O709" s="472"/>
      <c r="P709" s="472"/>
      <c r="Q709" s="472"/>
      <c r="R709" s="472"/>
      <c r="S709" s="472"/>
      <c r="T709" s="472"/>
      <c r="U709" s="472"/>
      <c r="V709" s="472"/>
      <c r="W709" s="472"/>
      <c r="X709" s="472"/>
      <c r="Y709" s="472"/>
      <c r="Z709" s="472"/>
    </row>
    <row r="710" spans="1:26" ht="14.25" customHeight="1">
      <c r="A710" s="472"/>
      <c r="B710" s="472"/>
      <c r="C710" s="472"/>
      <c r="D710" s="472"/>
      <c r="E710" s="472"/>
      <c r="F710" s="472"/>
      <c r="G710" s="472"/>
      <c r="H710" s="472"/>
      <c r="I710" s="472"/>
      <c r="J710" s="472"/>
      <c r="K710" s="472"/>
      <c r="L710" s="472"/>
      <c r="M710" s="472"/>
      <c r="N710" s="472"/>
      <c r="O710" s="472"/>
      <c r="P710" s="472"/>
      <c r="Q710" s="472"/>
      <c r="R710" s="472"/>
      <c r="S710" s="472"/>
      <c r="T710" s="472"/>
      <c r="U710" s="472"/>
      <c r="V710" s="472"/>
      <c r="W710" s="472"/>
      <c r="X710" s="472"/>
      <c r="Y710" s="472"/>
      <c r="Z710" s="472"/>
    </row>
    <row r="711" spans="1:26" ht="14.25" customHeight="1">
      <c r="A711" s="472"/>
      <c r="B711" s="472"/>
      <c r="C711" s="472"/>
      <c r="D711" s="472"/>
      <c r="E711" s="472"/>
      <c r="F711" s="472"/>
      <c r="G711" s="472"/>
      <c r="H711" s="472"/>
      <c r="I711" s="472"/>
      <c r="J711" s="472"/>
      <c r="K711" s="472"/>
      <c r="L711" s="472"/>
      <c r="M711" s="472"/>
      <c r="N711" s="472"/>
      <c r="O711" s="472"/>
      <c r="P711" s="472"/>
      <c r="Q711" s="472"/>
      <c r="R711" s="472"/>
      <c r="S711" s="472"/>
      <c r="T711" s="472"/>
      <c r="U711" s="472"/>
      <c r="V711" s="472"/>
      <c r="W711" s="472"/>
      <c r="X711" s="472"/>
      <c r="Y711" s="472"/>
      <c r="Z711" s="472"/>
    </row>
    <row r="712" spans="1:26" ht="14.25" customHeight="1">
      <c r="A712" s="472"/>
      <c r="B712" s="472"/>
      <c r="C712" s="472"/>
      <c r="D712" s="472"/>
      <c r="E712" s="472"/>
      <c r="F712" s="472"/>
      <c r="G712" s="472"/>
      <c r="H712" s="472"/>
      <c r="I712" s="472"/>
      <c r="J712" s="472"/>
      <c r="K712" s="472"/>
      <c r="L712" s="472"/>
      <c r="M712" s="472"/>
      <c r="N712" s="472"/>
      <c r="O712" s="472"/>
      <c r="P712" s="472"/>
      <c r="Q712" s="472"/>
      <c r="R712" s="472"/>
      <c r="S712" s="472"/>
      <c r="T712" s="472"/>
      <c r="U712" s="472"/>
      <c r="V712" s="472"/>
      <c r="W712" s="472"/>
      <c r="X712" s="472"/>
      <c r="Y712" s="472"/>
      <c r="Z712" s="472"/>
    </row>
    <row r="713" spans="1:26" ht="14.25" customHeight="1">
      <c r="A713" s="472"/>
      <c r="B713" s="472"/>
      <c r="C713" s="472"/>
      <c r="D713" s="472"/>
      <c r="E713" s="472"/>
      <c r="F713" s="472"/>
      <c r="G713" s="472"/>
      <c r="H713" s="472"/>
      <c r="I713" s="472"/>
      <c r="J713" s="472"/>
      <c r="K713" s="472"/>
      <c r="L713" s="472"/>
      <c r="M713" s="472"/>
      <c r="N713" s="472"/>
      <c r="O713" s="472"/>
      <c r="P713" s="472"/>
      <c r="Q713" s="472"/>
      <c r="R713" s="472"/>
      <c r="S713" s="472"/>
      <c r="T713" s="472"/>
      <c r="U713" s="472"/>
      <c r="V713" s="472"/>
      <c r="W713" s="472"/>
      <c r="X713" s="472"/>
      <c r="Y713" s="472"/>
      <c r="Z713" s="472"/>
    </row>
    <row r="714" spans="1:26" ht="14.25" customHeight="1">
      <c r="A714" s="472"/>
      <c r="B714" s="472"/>
      <c r="C714" s="472"/>
      <c r="D714" s="472"/>
      <c r="E714" s="472"/>
      <c r="F714" s="472"/>
      <c r="G714" s="472"/>
      <c r="H714" s="472"/>
      <c r="I714" s="472"/>
      <c r="J714" s="472"/>
      <c r="K714" s="472"/>
      <c r="L714" s="472"/>
      <c r="M714" s="472"/>
      <c r="N714" s="472"/>
      <c r="O714" s="472"/>
      <c r="P714" s="472"/>
      <c r="Q714" s="472"/>
      <c r="R714" s="472"/>
      <c r="S714" s="472"/>
      <c r="T714" s="472"/>
      <c r="U714" s="472"/>
      <c r="V714" s="472"/>
      <c r="W714" s="472"/>
      <c r="X714" s="472"/>
      <c r="Y714" s="472"/>
      <c r="Z714" s="472"/>
    </row>
    <row r="715" spans="1:26" ht="14.25" customHeight="1">
      <c r="A715" s="472"/>
      <c r="B715" s="472"/>
      <c r="C715" s="472"/>
      <c r="D715" s="472"/>
      <c r="E715" s="472"/>
      <c r="F715" s="472"/>
      <c r="G715" s="472"/>
      <c r="H715" s="472"/>
      <c r="I715" s="472"/>
      <c r="J715" s="472"/>
      <c r="K715" s="472"/>
      <c r="L715" s="472"/>
      <c r="M715" s="472"/>
      <c r="N715" s="472"/>
      <c r="O715" s="472"/>
      <c r="P715" s="472"/>
      <c r="Q715" s="472"/>
      <c r="R715" s="472"/>
      <c r="S715" s="472"/>
      <c r="T715" s="472"/>
      <c r="U715" s="472"/>
      <c r="V715" s="472"/>
      <c r="W715" s="472"/>
      <c r="X715" s="472"/>
      <c r="Y715" s="472"/>
      <c r="Z715" s="472"/>
    </row>
    <row r="716" spans="1:26" ht="14.25" customHeight="1">
      <c r="A716" s="472"/>
      <c r="B716" s="472"/>
      <c r="C716" s="472"/>
      <c r="D716" s="472"/>
      <c r="E716" s="472"/>
      <c r="F716" s="472"/>
      <c r="G716" s="472"/>
      <c r="H716" s="472"/>
      <c r="I716" s="472"/>
      <c r="J716" s="472"/>
      <c r="K716" s="472"/>
      <c r="L716" s="472"/>
      <c r="M716" s="472"/>
      <c r="N716" s="472"/>
      <c r="O716" s="472"/>
      <c r="P716" s="472"/>
      <c r="Q716" s="472"/>
      <c r="R716" s="472"/>
      <c r="S716" s="472"/>
      <c r="T716" s="472"/>
      <c r="U716" s="472"/>
      <c r="V716" s="472"/>
      <c r="W716" s="472"/>
      <c r="X716" s="472"/>
      <c r="Y716" s="472"/>
      <c r="Z716" s="472"/>
    </row>
    <row r="717" spans="1:26" ht="14.25" customHeight="1">
      <c r="A717" s="472"/>
      <c r="B717" s="472"/>
      <c r="C717" s="472"/>
      <c r="D717" s="472"/>
      <c r="E717" s="472"/>
      <c r="F717" s="472"/>
      <c r="G717" s="472"/>
      <c r="H717" s="472"/>
      <c r="I717" s="472"/>
      <c r="J717" s="472"/>
      <c r="K717" s="472"/>
      <c r="L717" s="472"/>
      <c r="M717" s="472"/>
      <c r="N717" s="472"/>
      <c r="O717" s="472"/>
      <c r="P717" s="472"/>
      <c r="Q717" s="472"/>
      <c r="R717" s="472"/>
      <c r="S717" s="472"/>
      <c r="T717" s="472"/>
      <c r="U717" s="472"/>
      <c r="V717" s="472"/>
      <c r="W717" s="472"/>
      <c r="X717" s="472"/>
      <c r="Y717" s="472"/>
      <c r="Z717" s="472"/>
    </row>
    <row r="718" spans="1:26" ht="14.25" customHeight="1">
      <c r="A718" s="472"/>
      <c r="B718" s="472"/>
      <c r="C718" s="472"/>
      <c r="D718" s="472"/>
      <c r="E718" s="472"/>
      <c r="F718" s="472"/>
      <c r="G718" s="472"/>
      <c r="H718" s="472"/>
      <c r="I718" s="472"/>
      <c r="J718" s="472"/>
      <c r="K718" s="472"/>
      <c r="L718" s="472"/>
      <c r="M718" s="472"/>
      <c r="N718" s="472"/>
      <c r="O718" s="472"/>
      <c r="P718" s="472"/>
      <c r="Q718" s="472"/>
      <c r="R718" s="472"/>
      <c r="S718" s="472"/>
      <c r="T718" s="472"/>
      <c r="U718" s="472"/>
      <c r="V718" s="472"/>
      <c r="W718" s="472"/>
      <c r="X718" s="472"/>
      <c r="Y718" s="472"/>
      <c r="Z718" s="472"/>
    </row>
    <row r="719" spans="1:26" ht="14.25" customHeight="1">
      <c r="A719" s="472"/>
      <c r="B719" s="472"/>
      <c r="C719" s="472"/>
      <c r="D719" s="472"/>
      <c r="E719" s="472"/>
      <c r="F719" s="472"/>
      <c r="G719" s="472"/>
      <c r="H719" s="472"/>
      <c r="I719" s="472"/>
      <c r="J719" s="472"/>
      <c r="K719" s="472"/>
      <c r="L719" s="472"/>
      <c r="M719" s="472"/>
      <c r="N719" s="472"/>
      <c r="O719" s="472"/>
      <c r="P719" s="472"/>
      <c r="Q719" s="472"/>
      <c r="R719" s="472"/>
      <c r="S719" s="472"/>
      <c r="T719" s="472"/>
      <c r="U719" s="472"/>
      <c r="V719" s="472"/>
      <c r="W719" s="472"/>
      <c r="X719" s="472"/>
      <c r="Y719" s="472"/>
      <c r="Z719" s="472"/>
    </row>
    <row r="720" spans="1:26" ht="14.25" customHeight="1">
      <c r="A720" s="472"/>
      <c r="B720" s="472"/>
      <c r="C720" s="472"/>
      <c r="D720" s="472"/>
      <c r="E720" s="472"/>
      <c r="F720" s="472"/>
      <c r="G720" s="472"/>
      <c r="H720" s="472"/>
      <c r="I720" s="472"/>
      <c r="J720" s="472"/>
      <c r="K720" s="472"/>
      <c r="L720" s="472"/>
      <c r="M720" s="472"/>
      <c r="N720" s="472"/>
      <c r="O720" s="472"/>
      <c r="P720" s="472"/>
      <c r="Q720" s="472"/>
      <c r="R720" s="472"/>
      <c r="S720" s="472"/>
      <c r="T720" s="472"/>
      <c r="U720" s="472"/>
      <c r="V720" s="472"/>
      <c r="W720" s="472"/>
      <c r="X720" s="472"/>
      <c r="Y720" s="472"/>
      <c r="Z720" s="472"/>
    </row>
    <row r="721" spans="1:26" ht="14.25" customHeight="1">
      <c r="A721" s="472"/>
      <c r="B721" s="472"/>
      <c r="C721" s="472"/>
      <c r="D721" s="472"/>
      <c r="E721" s="472"/>
      <c r="F721" s="472"/>
      <c r="G721" s="472"/>
      <c r="H721" s="472"/>
      <c r="I721" s="472"/>
      <c r="J721" s="472"/>
      <c r="K721" s="472"/>
      <c r="L721" s="472"/>
      <c r="M721" s="472"/>
      <c r="N721" s="472"/>
      <c r="O721" s="472"/>
      <c r="P721" s="472"/>
      <c r="Q721" s="472"/>
      <c r="R721" s="472"/>
      <c r="S721" s="472"/>
      <c r="T721" s="472"/>
      <c r="U721" s="472"/>
      <c r="V721" s="472"/>
      <c r="W721" s="472"/>
      <c r="X721" s="472"/>
      <c r="Y721" s="472"/>
      <c r="Z721" s="472"/>
    </row>
    <row r="722" spans="1:26" ht="14.25" customHeight="1">
      <c r="A722" s="472"/>
      <c r="B722" s="472"/>
      <c r="C722" s="472"/>
      <c r="D722" s="472"/>
      <c r="E722" s="472"/>
      <c r="F722" s="472"/>
      <c r="G722" s="472"/>
      <c r="H722" s="472"/>
      <c r="I722" s="472"/>
      <c r="J722" s="472"/>
      <c r="K722" s="472"/>
      <c r="L722" s="472"/>
      <c r="M722" s="472"/>
      <c r="N722" s="472"/>
      <c r="O722" s="472"/>
      <c r="P722" s="472"/>
      <c r="Q722" s="472"/>
      <c r="R722" s="472"/>
      <c r="S722" s="472"/>
      <c r="T722" s="472"/>
      <c r="U722" s="472"/>
      <c r="V722" s="472"/>
      <c r="W722" s="472"/>
      <c r="X722" s="472"/>
      <c r="Y722" s="472"/>
      <c r="Z722" s="472"/>
    </row>
    <row r="723" spans="1:26" ht="14.25" customHeight="1">
      <c r="A723" s="472"/>
      <c r="B723" s="472"/>
      <c r="C723" s="472"/>
      <c r="D723" s="472"/>
      <c r="E723" s="472"/>
      <c r="F723" s="472"/>
      <c r="G723" s="472"/>
      <c r="H723" s="472"/>
      <c r="I723" s="472"/>
      <c r="J723" s="472"/>
      <c r="K723" s="472"/>
      <c r="L723" s="472"/>
      <c r="M723" s="472"/>
      <c r="N723" s="472"/>
      <c r="O723" s="472"/>
      <c r="P723" s="472"/>
      <c r="Q723" s="472"/>
      <c r="R723" s="472"/>
      <c r="S723" s="472"/>
      <c r="T723" s="472"/>
      <c r="U723" s="472"/>
      <c r="V723" s="472"/>
      <c r="W723" s="472"/>
      <c r="X723" s="472"/>
      <c r="Y723" s="472"/>
      <c r="Z723" s="472"/>
    </row>
    <row r="724" spans="1:26" ht="14.25" customHeight="1">
      <c r="A724" s="472"/>
      <c r="B724" s="472"/>
      <c r="C724" s="472"/>
      <c r="D724" s="472"/>
      <c r="E724" s="472"/>
      <c r="F724" s="472"/>
      <c r="G724" s="472"/>
      <c r="H724" s="472"/>
      <c r="I724" s="472"/>
      <c r="J724" s="472"/>
      <c r="K724" s="472"/>
      <c r="L724" s="472"/>
      <c r="M724" s="472"/>
      <c r="N724" s="472"/>
      <c r="O724" s="472"/>
      <c r="P724" s="472"/>
      <c r="Q724" s="472"/>
      <c r="R724" s="472"/>
      <c r="S724" s="472"/>
      <c r="T724" s="472"/>
      <c r="U724" s="472"/>
      <c r="V724" s="472"/>
      <c r="W724" s="472"/>
      <c r="X724" s="472"/>
      <c r="Y724" s="472"/>
      <c r="Z724" s="472"/>
    </row>
    <row r="725" spans="1:26" ht="14.25" customHeight="1">
      <c r="A725" s="472"/>
      <c r="B725" s="472"/>
      <c r="C725" s="472"/>
      <c r="D725" s="472"/>
      <c r="E725" s="472"/>
      <c r="F725" s="472"/>
      <c r="G725" s="472"/>
      <c r="H725" s="472"/>
      <c r="I725" s="472"/>
      <c r="J725" s="472"/>
      <c r="K725" s="472"/>
      <c r="L725" s="472"/>
      <c r="M725" s="472"/>
      <c r="N725" s="472"/>
      <c r="O725" s="472"/>
      <c r="P725" s="472"/>
      <c r="Q725" s="472"/>
      <c r="R725" s="472"/>
      <c r="S725" s="472"/>
      <c r="T725" s="472"/>
      <c r="U725" s="472"/>
      <c r="V725" s="472"/>
      <c r="W725" s="472"/>
      <c r="X725" s="472"/>
      <c r="Y725" s="472"/>
      <c r="Z725" s="472"/>
    </row>
    <row r="726" spans="1:26" ht="14.25" customHeight="1">
      <c r="A726" s="472"/>
      <c r="B726" s="472"/>
      <c r="C726" s="472"/>
      <c r="D726" s="472"/>
      <c r="E726" s="472"/>
      <c r="F726" s="472"/>
      <c r="G726" s="472"/>
      <c r="H726" s="472"/>
      <c r="I726" s="472"/>
      <c r="J726" s="472"/>
      <c r="K726" s="472"/>
      <c r="L726" s="472"/>
      <c r="M726" s="472"/>
      <c r="N726" s="472"/>
      <c r="O726" s="472"/>
      <c r="P726" s="472"/>
      <c r="Q726" s="472"/>
      <c r="R726" s="472"/>
      <c r="S726" s="472"/>
      <c r="T726" s="472"/>
      <c r="U726" s="472"/>
      <c r="V726" s="472"/>
      <c r="W726" s="472"/>
      <c r="X726" s="472"/>
      <c r="Y726" s="472"/>
      <c r="Z726" s="472"/>
    </row>
    <row r="727" spans="1:26" ht="14.25" customHeight="1">
      <c r="A727" s="472"/>
      <c r="B727" s="472"/>
      <c r="C727" s="472"/>
      <c r="D727" s="472"/>
      <c r="E727" s="472"/>
      <c r="F727" s="472"/>
      <c r="G727" s="472"/>
      <c r="H727" s="472"/>
      <c r="I727" s="472"/>
      <c r="J727" s="472"/>
      <c r="K727" s="472"/>
      <c r="L727" s="472"/>
      <c r="M727" s="472"/>
      <c r="N727" s="472"/>
      <c r="O727" s="472"/>
      <c r="P727" s="472"/>
      <c r="Q727" s="472"/>
      <c r="R727" s="472"/>
      <c r="S727" s="472"/>
      <c r="T727" s="472"/>
      <c r="U727" s="472"/>
      <c r="V727" s="472"/>
      <c r="W727" s="472"/>
      <c r="X727" s="472"/>
      <c r="Y727" s="472"/>
      <c r="Z727" s="472"/>
    </row>
    <row r="728" spans="1:26" ht="14.25" customHeight="1">
      <c r="A728" s="472"/>
      <c r="B728" s="472"/>
      <c r="C728" s="472"/>
      <c r="D728" s="472"/>
      <c r="E728" s="472"/>
      <c r="F728" s="472"/>
      <c r="G728" s="472"/>
      <c r="H728" s="472"/>
      <c r="I728" s="472"/>
      <c r="J728" s="472"/>
      <c r="K728" s="472"/>
      <c r="L728" s="472"/>
      <c r="M728" s="472"/>
      <c r="N728" s="472"/>
      <c r="O728" s="472"/>
      <c r="P728" s="472"/>
      <c r="Q728" s="472"/>
      <c r="R728" s="472"/>
      <c r="S728" s="472"/>
      <c r="T728" s="472"/>
      <c r="U728" s="472"/>
      <c r="V728" s="472"/>
      <c r="W728" s="472"/>
      <c r="X728" s="472"/>
      <c r="Y728" s="472"/>
      <c r="Z728" s="472"/>
    </row>
    <row r="729" spans="1:26" ht="14.25" customHeight="1">
      <c r="A729" s="472"/>
      <c r="B729" s="472"/>
      <c r="C729" s="472"/>
      <c r="D729" s="472"/>
      <c r="E729" s="472"/>
      <c r="F729" s="472"/>
      <c r="G729" s="472"/>
      <c r="H729" s="472"/>
      <c r="I729" s="472"/>
      <c r="J729" s="472"/>
      <c r="K729" s="472"/>
      <c r="L729" s="472"/>
      <c r="M729" s="472"/>
      <c r="N729" s="472"/>
      <c r="O729" s="472"/>
      <c r="P729" s="472"/>
      <c r="Q729" s="472"/>
      <c r="R729" s="472"/>
      <c r="S729" s="472"/>
      <c r="T729" s="472"/>
      <c r="U729" s="472"/>
      <c r="V729" s="472"/>
      <c r="W729" s="472"/>
      <c r="X729" s="472"/>
      <c r="Y729" s="472"/>
      <c r="Z729" s="472"/>
    </row>
    <row r="730" spans="1:26" ht="14.25" customHeight="1">
      <c r="A730" s="472"/>
      <c r="B730" s="472"/>
      <c r="C730" s="472"/>
      <c r="D730" s="472"/>
      <c r="E730" s="472"/>
      <c r="F730" s="472"/>
      <c r="G730" s="472"/>
      <c r="H730" s="472"/>
      <c r="I730" s="472"/>
      <c r="J730" s="472"/>
      <c r="K730" s="472"/>
      <c r="L730" s="472"/>
      <c r="M730" s="472"/>
      <c r="N730" s="472"/>
      <c r="O730" s="472"/>
      <c r="P730" s="472"/>
      <c r="Q730" s="472"/>
      <c r="R730" s="472"/>
      <c r="S730" s="472"/>
      <c r="T730" s="472"/>
      <c r="U730" s="472"/>
      <c r="V730" s="472"/>
      <c r="W730" s="472"/>
      <c r="X730" s="472"/>
      <c r="Y730" s="472"/>
      <c r="Z730" s="472"/>
    </row>
    <row r="731" spans="1:26" ht="14.25" customHeight="1">
      <c r="A731" s="472"/>
      <c r="B731" s="472"/>
      <c r="C731" s="472"/>
      <c r="D731" s="472"/>
      <c r="E731" s="472"/>
      <c r="F731" s="472"/>
      <c r="G731" s="472"/>
      <c r="H731" s="472"/>
      <c r="I731" s="472"/>
      <c r="J731" s="472"/>
      <c r="K731" s="472"/>
      <c r="L731" s="472"/>
      <c r="M731" s="472"/>
      <c r="N731" s="472"/>
      <c r="O731" s="472"/>
      <c r="P731" s="472"/>
      <c r="Q731" s="472"/>
      <c r="R731" s="472"/>
      <c r="S731" s="472"/>
      <c r="T731" s="472"/>
      <c r="U731" s="472"/>
      <c r="V731" s="472"/>
      <c r="W731" s="472"/>
      <c r="X731" s="472"/>
      <c r="Y731" s="472"/>
      <c r="Z731" s="472"/>
    </row>
    <row r="732" spans="1:26" ht="14.25" customHeight="1">
      <c r="A732" s="472"/>
      <c r="B732" s="472"/>
      <c r="C732" s="472"/>
      <c r="D732" s="472"/>
      <c r="E732" s="472"/>
      <c r="F732" s="472"/>
      <c r="G732" s="472"/>
      <c r="H732" s="472"/>
      <c r="I732" s="472"/>
      <c r="J732" s="472"/>
      <c r="K732" s="472"/>
      <c r="L732" s="472"/>
      <c r="M732" s="472"/>
      <c r="N732" s="472"/>
      <c r="O732" s="472"/>
      <c r="P732" s="472"/>
      <c r="Q732" s="472"/>
      <c r="R732" s="472"/>
      <c r="S732" s="472"/>
      <c r="T732" s="472"/>
      <c r="U732" s="472"/>
      <c r="V732" s="472"/>
      <c r="W732" s="472"/>
      <c r="X732" s="472"/>
      <c r="Y732" s="472"/>
      <c r="Z732" s="472"/>
    </row>
    <row r="733" spans="1:26" ht="14.25" customHeight="1">
      <c r="A733" s="472"/>
      <c r="B733" s="472"/>
      <c r="C733" s="472"/>
      <c r="D733" s="472"/>
      <c r="E733" s="472"/>
      <c r="F733" s="472"/>
      <c r="G733" s="472"/>
      <c r="H733" s="472"/>
      <c r="I733" s="472"/>
      <c r="J733" s="472"/>
      <c r="K733" s="472"/>
      <c r="L733" s="472"/>
      <c r="M733" s="472"/>
      <c r="N733" s="472"/>
      <c r="O733" s="472"/>
      <c r="P733" s="472"/>
      <c r="Q733" s="472"/>
      <c r="R733" s="472"/>
      <c r="S733" s="472"/>
      <c r="T733" s="472"/>
      <c r="U733" s="472"/>
      <c r="V733" s="472"/>
      <c r="W733" s="472"/>
      <c r="X733" s="472"/>
      <c r="Y733" s="472"/>
      <c r="Z733" s="472"/>
    </row>
    <row r="734" spans="1:26" ht="14.25" customHeight="1">
      <c r="A734" s="472"/>
      <c r="B734" s="472"/>
      <c r="C734" s="472"/>
      <c r="D734" s="472"/>
      <c r="E734" s="472"/>
      <c r="F734" s="472"/>
      <c r="G734" s="472"/>
      <c r="H734" s="472"/>
      <c r="I734" s="472"/>
      <c r="J734" s="472"/>
      <c r="K734" s="472"/>
      <c r="L734" s="472"/>
      <c r="M734" s="472"/>
      <c r="N734" s="472"/>
      <c r="O734" s="472"/>
      <c r="P734" s="472"/>
      <c r="Q734" s="472"/>
      <c r="R734" s="472"/>
      <c r="S734" s="472"/>
      <c r="T734" s="472"/>
      <c r="U734" s="472"/>
      <c r="V734" s="472"/>
      <c r="W734" s="472"/>
      <c r="X734" s="472"/>
      <c r="Y734" s="472"/>
      <c r="Z734" s="472"/>
    </row>
    <row r="735" spans="1:26" ht="14.25" customHeight="1">
      <c r="A735" s="472"/>
      <c r="B735" s="472"/>
      <c r="C735" s="472"/>
      <c r="D735" s="472"/>
      <c r="E735" s="472"/>
      <c r="F735" s="472"/>
      <c r="G735" s="472"/>
      <c r="H735" s="472"/>
      <c r="I735" s="472"/>
      <c r="J735" s="472"/>
      <c r="K735" s="472"/>
      <c r="L735" s="472"/>
      <c r="M735" s="472"/>
      <c r="N735" s="472"/>
      <c r="O735" s="472"/>
      <c r="P735" s="472"/>
      <c r="Q735" s="472"/>
      <c r="R735" s="472"/>
      <c r="S735" s="472"/>
      <c r="T735" s="472"/>
      <c r="U735" s="472"/>
      <c r="V735" s="472"/>
      <c r="W735" s="472"/>
      <c r="X735" s="472"/>
      <c r="Y735" s="472"/>
      <c r="Z735" s="472"/>
    </row>
    <row r="736" spans="1:26" ht="14.25" customHeight="1">
      <c r="A736" s="472"/>
      <c r="B736" s="472"/>
      <c r="C736" s="472"/>
      <c r="D736" s="472"/>
      <c r="E736" s="472"/>
      <c r="F736" s="472"/>
      <c r="G736" s="472"/>
      <c r="H736" s="472"/>
      <c r="I736" s="472"/>
      <c r="J736" s="472"/>
      <c r="K736" s="472"/>
      <c r="L736" s="472"/>
      <c r="M736" s="472"/>
      <c r="N736" s="472"/>
      <c r="O736" s="472"/>
      <c r="P736" s="472"/>
      <c r="Q736" s="472"/>
      <c r="R736" s="472"/>
      <c r="S736" s="472"/>
      <c r="T736" s="472"/>
      <c r="U736" s="472"/>
      <c r="V736" s="472"/>
      <c r="W736" s="472"/>
      <c r="X736" s="472"/>
      <c r="Y736" s="472"/>
      <c r="Z736" s="472"/>
    </row>
    <row r="737" spans="1:26" ht="14.25" customHeight="1">
      <c r="A737" s="472"/>
      <c r="B737" s="472"/>
      <c r="C737" s="472"/>
      <c r="D737" s="472"/>
      <c r="E737" s="472"/>
      <c r="F737" s="472"/>
      <c r="G737" s="472"/>
      <c r="H737" s="472"/>
      <c r="I737" s="472"/>
      <c r="J737" s="472"/>
      <c r="K737" s="472"/>
      <c r="L737" s="472"/>
      <c r="M737" s="472"/>
      <c r="N737" s="472"/>
      <c r="O737" s="472"/>
      <c r="P737" s="472"/>
      <c r="Q737" s="472"/>
      <c r="R737" s="472"/>
      <c r="S737" s="472"/>
      <c r="T737" s="472"/>
      <c r="U737" s="472"/>
      <c r="V737" s="472"/>
      <c r="W737" s="472"/>
      <c r="X737" s="472"/>
      <c r="Y737" s="472"/>
      <c r="Z737" s="472"/>
    </row>
    <row r="738" spans="1:26" ht="14.25" customHeight="1">
      <c r="A738" s="472"/>
      <c r="B738" s="472"/>
      <c r="C738" s="472"/>
      <c r="D738" s="472"/>
      <c r="E738" s="472"/>
      <c r="F738" s="472"/>
      <c r="G738" s="472"/>
      <c r="H738" s="472"/>
      <c r="I738" s="472"/>
      <c r="J738" s="472"/>
      <c r="K738" s="472"/>
      <c r="L738" s="472"/>
      <c r="M738" s="472"/>
      <c r="N738" s="472"/>
      <c r="O738" s="472"/>
      <c r="P738" s="472"/>
      <c r="Q738" s="472"/>
      <c r="R738" s="472"/>
      <c r="S738" s="472"/>
      <c r="T738" s="472"/>
      <c r="U738" s="472"/>
      <c r="V738" s="472"/>
      <c r="W738" s="472"/>
      <c r="X738" s="472"/>
      <c r="Y738" s="472"/>
      <c r="Z738" s="472"/>
    </row>
    <row r="739" spans="1:26" ht="14.25" customHeight="1">
      <c r="A739" s="472"/>
      <c r="B739" s="472"/>
      <c r="C739" s="472"/>
      <c r="D739" s="472"/>
      <c r="E739" s="472"/>
      <c r="F739" s="472"/>
      <c r="G739" s="472"/>
      <c r="H739" s="472"/>
      <c r="I739" s="472"/>
      <c r="J739" s="472"/>
      <c r="K739" s="472"/>
      <c r="L739" s="472"/>
      <c r="M739" s="472"/>
      <c r="N739" s="472"/>
      <c r="O739" s="472"/>
      <c r="P739" s="472"/>
      <c r="Q739" s="472"/>
      <c r="R739" s="472"/>
      <c r="S739" s="472"/>
      <c r="T739" s="472"/>
      <c r="U739" s="472"/>
      <c r="V739" s="472"/>
      <c r="W739" s="472"/>
      <c r="X739" s="472"/>
      <c r="Y739" s="472"/>
      <c r="Z739" s="472"/>
    </row>
    <row r="740" spans="1:26" ht="14.25" customHeight="1">
      <c r="A740" s="472"/>
      <c r="B740" s="472"/>
      <c r="C740" s="472"/>
      <c r="D740" s="472"/>
      <c r="E740" s="472"/>
      <c r="F740" s="472"/>
      <c r="G740" s="472"/>
      <c r="H740" s="472"/>
      <c r="I740" s="472"/>
      <c r="J740" s="472"/>
      <c r="K740" s="472"/>
      <c r="L740" s="472"/>
      <c r="M740" s="472"/>
      <c r="N740" s="472"/>
      <c r="O740" s="472"/>
      <c r="P740" s="472"/>
      <c r="Q740" s="472"/>
      <c r="R740" s="472"/>
      <c r="S740" s="472"/>
      <c r="T740" s="472"/>
      <c r="U740" s="472"/>
      <c r="V740" s="472"/>
      <c r="W740" s="472"/>
      <c r="X740" s="472"/>
      <c r="Y740" s="472"/>
      <c r="Z740" s="472"/>
    </row>
    <row r="741" spans="1:26" ht="14.25" customHeight="1">
      <c r="A741" s="472"/>
      <c r="B741" s="472"/>
      <c r="C741" s="472"/>
      <c r="D741" s="472"/>
      <c r="E741" s="472"/>
      <c r="F741" s="472"/>
      <c r="G741" s="472"/>
      <c r="H741" s="472"/>
      <c r="I741" s="472"/>
      <c r="J741" s="472"/>
      <c r="K741" s="472"/>
      <c r="L741" s="472"/>
      <c r="M741" s="472"/>
      <c r="N741" s="472"/>
      <c r="O741" s="472"/>
      <c r="P741" s="472"/>
      <c r="Q741" s="472"/>
      <c r="R741" s="472"/>
      <c r="S741" s="472"/>
      <c r="T741" s="472"/>
      <c r="U741" s="472"/>
      <c r="V741" s="472"/>
      <c r="W741" s="472"/>
      <c r="X741" s="472"/>
      <c r="Y741" s="472"/>
      <c r="Z741" s="472"/>
    </row>
    <row r="742" spans="1:26" ht="14.25" customHeight="1">
      <c r="A742" s="472"/>
      <c r="B742" s="472"/>
      <c r="C742" s="472"/>
      <c r="D742" s="472"/>
      <c r="E742" s="472"/>
      <c r="F742" s="472"/>
      <c r="G742" s="472"/>
      <c r="H742" s="472"/>
      <c r="I742" s="472"/>
      <c r="J742" s="472"/>
      <c r="K742" s="472"/>
      <c r="L742" s="472"/>
      <c r="M742" s="472"/>
      <c r="N742" s="472"/>
      <c r="O742" s="472"/>
      <c r="P742" s="472"/>
      <c r="Q742" s="472"/>
      <c r="R742" s="472"/>
      <c r="S742" s="472"/>
      <c r="T742" s="472"/>
      <c r="U742" s="472"/>
      <c r="V742" s="472"/>
      <c r="W742" s="472"/>
      <c r="X742" s="472"/>
      <c r="Y742" s="472"/>
      <c r="Z742" s="472"/>
    </row>
    <row r="743" spans="1:26" ht="14.25" customHeight="1">
      <c r="A743" s="472"/>
      <c r="B743" s="472"/>
      <c r="C743" s="472"/>
      <c r="D743" s="472"/>
      <c r="E743" s="472"/>
      <c r="F743" s="472"/>
      <c r="G743" s="472"/>
      <c r="H743" s="472"/>
      <c r="I743" s="472"/>
      <c r="J743" s="472"/>
      <c r="K743" s="472"/>
      <c r="L743" s="472"/>
      <c r="M743" s="472"/>
      <c r="N743" s="472"/>
      <c r="O743" s="472"/>
      <c r="P743" s="472"/>
      <c r="Q743" s="472"/>
      <c r="R743" s="472"/>
      <c r="S743" s="472"/>
      <c r="T743" s="472"/>
      <c r="U743" s="472"/>
      <c r="V743" s="472"/>
      <c r="W743" s="472"/>
      <c r="X743" s="472"/>
      <c r="Y743" s="472"/>
      <c r="Z743" s="472"/>
    </row>
    <row r="744" spans="1:26" ht="14.25" customHeight="1">
      <c r="A744" s="472"/>
      <c r="B744" s="472"/>
      <c r="C744" s="472"/>
      <c r="D744" s="472"/>
      <c r="E744" s="472"/>
      <c r="F744" s="472"/>
      <c r="G744" s="472"/>
      <c r="H744" s="472"/>
      <c r="I744" s="472"/>
      <c r="J744" s="472"/>
      <c r="K744" s="472"/>
      <c r="L744" s="472"/>
      <c r="M744" s="472"/>
      <c r="N744" s="472"/>
      <c r="O744" s="472"/>
      <c r="P744" s="472"/>
      <c r="Q744" s="472"/>
      <c r="R744" s="472"/>
      <c r="S744" s="472"/>
      <c r="T744" s="472"/>
      <c r="U744" s="472"/>
      <c r="V744" s="472"/>
      <c r="W744" s="472"/>
      <c r="X744" s="472"/>
      <c r="Y744" s="472"/>
      <c r="Z744" s="472"/>
    </row>
    <row r="745" spans="1:26" ht="14.25" customHeight="1">
      <c r="A745" s="472"/>
      <c r="B745" s="472"/>
      <c r="C745" s="472"/>
      <c r="D745" s="472"/>
      <c r="E745" s="472"/>
      <c r="F745" s="472"/>
      <c r="G745" s="472"/>
      <c r="H745" s="472"/>
      <c r="I745" s="472"/>
      <c r="J745" s="472"/>
      <c r="K745" s="472"/>
      <c r="L745" s="472"/>
      <c r="M745" s="472"/>
      <c r="N745" s="472"/>
      <c r="O745" s="472"/>
      <c r="P745" s="472"/>
      <c r="Q745" s="472"/>
      <c r="R745" s="472"/>
      <c r="S745" s="472"/>
      <c r="T745" s="472"/>
      <c r="U745" s="472"/>
      <c r="V745" s="472"/>
      <c r="W745" s="472"/>
      <c r="X745" s="472"/>
      <c r="Y745" s="472"/>
      <c r="Z745" s="472"/>
    </row>
    <row r="746" spans="1:26" ht="14.25" customHeight="1">
      <c r="A746" s="472"/>
      <c r="B746" s="472"/>
      <c r="C746" s="472"/>
      <c r="D746" s="472"/>
      <c r="E746" s="472"/>
      <c r="F746" s="472"/>
      <c r="G746" s="472"/>
      <c r="H746" s="472"/>
      <c r="I746" s="472"/>
      <c r="J746" s="472"/>
      <c r="K746" s="472"/>
      <c r="L746" s="472"/>
      <c r="M746" s="472"/>
      <c r="N746" s="472"/>
      <c r="O746" s="472"/>
      <c r="P746" s="472"/>
      <c r="Q746" s="472"/>
      <c r="R746" s="472"/>
      <c r="S746" s="472"/>
      <c r="T746" s="472"/>
      <c r="U746" s="472"/>
      <c r="V746" s="472"/>
      <c r="W746" s="472"/>
      <c r="X746" s="472"/>
      <c r="Y746" s="472"/>
      <c r="Z746" s="472"/>
    </row>
    <row r="747" spans="1:26" ht="14.25" customHeight="1">
      <c r="A747" s="472"/>
      <c r="B747" s="472"/>
      <c r="C747" s="472"/>
      <c r="D747" s="472"/>
      <c r="E747" s="472"/>
      <c r="F747" s="472"/>
      <c r="G747" s="472"/>
      <c r="H747" s="472"/>
      <c r="I747" s="472"/>
      <c r="J747" s="472"/>
      <c r="K747" s="472"/>
      <c r="L747" s="472"/>
      <c r="M747" s="472"/>
      <c r="N747" s="472"/>
      <c r="O747" s="472"/>
      <c r="P747" s="472"/>
      <c r="Q747" s="472"/>
      <c r="R747" s="472"/>
      <c r="S747" s="472"/>
      <c r="T747" s="472"/>
      <c r="U747" s="472"/>
      <c r="V747" s="472"/>
      <c r="W747" s="472"/>
      <c r="X747" s="472"/>
      <c r="Y747" s="472"/>
      <c r="Z747" s="472"/>
    </row>
    <row r="748" spans="1:26" ht="14.25" customHeight="1">
      <c r="A748" s="472"/>
      <c r="B748" s="472"/>
      <c r="C748" s="472"/>
      <c r="D748" s="472"/>
      <c r="E748" s="472"/>
      <c r="F748" s="472"/>
      <c r="G748" s="472"/>
      <c r="H748" s="472"/>
      <c r="I748" s="472"/>
      <c r="J748" s="472"/>
      <c r="K748" s="472"/>
      <c r="L748" s="472"/>
      <c r="M748" s="472"/>
      <c r="N748" s="472"/>
      <c r="O748" s="472"/>
      <c r="P748" s="472"/>
      <c r="Q748" s="472"/>
      <c r="R748" s="472"/>
      <c r="S748" s="472"/>
      <c r="T748" s="472"/>
      <c r="U748" s="472"/>
      <c r="V748" s="472"/>
      <c r="W748" s="472"/>
      <c r="X748" s="472"/>
      <c r="Y748" s="472"/>
      <c r="Z748" s="472"/>
    </row>
    <row r="749" spans="1:26" ht="14.25" customHeight="1">
      <c r="A749" s="472"/>
      <c r="B749" s="472"/>
      <c r="C749" s="472"/>
      <c r="D749" s="472"/>
      <c r="E749" s="472"/>
      <c r="F749" s="472"/>
      <c r="G749" s="472"/>
      <c r="H749" s="472"/>
      <c r="I749" s="472"/>
      <c r="J749" s="472"/>
      <c r="K749" s="472"/>
      <c r="L749" s="472"/>
      <c r="M749" s="472"/>
      <c r="N749" s="472"/>
      <c r="O749" s="472"/>
      <c r="P749" s="472"/>
      <c r="Q749" s="472"/>
      <c r="R749" s="472"/>
      <c r="S749" s="472"/>
      <c r="T749" s="472"/>
      <c r="U749" s="472"/>
      <c r="V749" s="472"/>
      <c r="W749" s="472"/>
      <c r="X749" s="472"/>
      <c r="Y749" s="472"/>
      <c r="Z749" s="472"/>
    </row>
    <row r="750" spans="1:26" ht="14.25" customHeight="1">
      <c r="A750" s="472"/>
      <c r="B750" s="472"/>
      <c r="C750" s="472"/>
      <c r="D750" s="472"/>
      <c r="E750" s="472"/>
      <c r="F750" s="472"/>
      <c r="G750" s="472"/>
      <c r="H750" s="472"/>
      <c r="I750" s="472"/>
      <c r="J750" s="472"/>
      <c r="K750" s="472"/>
      <c r="L750" s="472"/>
      <c r="M750" s="472"/>
      <c r="N750" s="472"/>
      <c r="O750" s="472"/>
      <c r="P750" s="472"/>
      <c r="Q750" s="472"/>
      <c r="R750" s="472"/>
      <c r="S750" s="472"/>
      <c r="T750" s="472"/>
      <c r="U750" s="472"/>
      <c r="V750" s="472"/>
      <c r="W750" s="472"/>
      <c r="X750" s="472"/>
      <c r="Y750" s="472"/>
      <c r="Z750" s="472"/>
    </row>
    <row r="751" spans="1:26" ht="14.25" customHeight="1">
      <c r="A751" s="472"/>
      <c r="B751" s="472"/>
      <c r="C751" s="472"/>
      <c r="D751" s="472"/>
      <c r="E751" s="472"/>
      <c r="F751" s="472"/>
      <c r="G751" s="472"/>
      <c r="H751" s="472"/>
      <c r="I751" s="472"/>
      <c r="J751" s="472"/>
      <c r="K751" s="472"/>
      <c r="L751" s="472"/>
      <c r="M751" s="472"/>
      <c r="N751" s="472"/>
      <c r="O751" s="472"/>
      <c r="P751" s="472"/>
      <c r="Q751" s="472"/>
      <c r="R751" s="472"/>
      <c r="S751" s="472"/>
      <c r="T751" s="472"/>
      <c r="U751" s="472"/>
      <c r="V751" s="472"/>
      <c r="W751" s="472"/>
      <c r="X751" s="472"/>
      <c r="Y751" s="472"/>
      <c r="Z751" s="472"/>
    </row>
    <row r="752" spans="1:26" ht="14.25" customHeight="1">
      <c r="A752" s="472"/>
      <c r="B752" s="472"/>
      <c r="C752" s="472"/>
      <c r="D752" s="472"/>
      <c r="E752" s="472"/>
      <c r="F752" s="472"/>
      <c r="G752" s="472"/>
      <c r="H752" s="472"/>
      <c r="I752" s="472"/>
      <c r="J752" s="472"/>
      <c r="K752" s="472"/>
      <c r="L752" s="472"/>
      <c r="M752" s="472"/>
      <c r="N752" s="472"/>
      <c r="O752" s="472"/>
      <c r="P752" s="472"/>
      <c r="Q752" s="472"/>
      <c r="R752" s="472"/>
      <c r="S752" s="472"/>
      <c r="T752" s="472"/>
      <c r="U752" s="472"/>
      <c r="V752" s="472"/>
      <c r="W752" s="472"/>
      <c r="X752" s="472"/>
      <c r="Y752" s="472"/>
      <c r="Z752" s="472"/>
    </row>
    <row r="753" spans="1:26" ht="14.25" customHeight="1">
      <c r="A753" s="472"/>
      <c r="B753" s="472"/>
      <c r="C753" s="472"/>
      <c r="D753" s="472"/>
      <c r="E753" s="472"/>
      <c r="F753" s="472"/>
      <c r="G753" s="472"/>
      <c r="H753" s="472"/>
      <c r="I753" s="472"/>
      <c r="J753" s="472"/>
      <c r="K753" s="472"/>
      <c r="L753" s="472"/>
      <c r="M753" s="472"/>
      <c r="N753" s="472"/>
      <c r="O753" s="472"/>
      <c r="P753" s="472"/>
      <c r="Q753" s="472"/>
      <c r="R753" s="472"/>
      <c r="S753" s="472"/>
      <c r="T753" s="472"/>
      <c r="U753" s="472"/>
      <c r="V753" s="472"/>
      <c r="W753" s="472"/>
      <c r="X753" s="472"/>
      <c r="Y753" s="472"/>
      <c r="Z753" s="472"/>
    </row>
    <row r="754" spans="1:26" ht="14.25" customHeight="1">
      <c r="A754" s="472"/>
      <c r="B754" s="472"/>
      <c r="C754" s="472"/>
      <c r="D754" s="472"/>
      <c r="E754" s="472"/>
      <c r="F754" s="472"/>
      <c r="G754" s="472"/>
      <c r="H754" s="472"/>
      <c r="I754" s="472"/>
      <c r="J754" s="472"/>
      <c r="K754" s="472"/>
      <c r="L754" s="472"/>
      <c r="M754" s="472"/>
      <c r="N754" s="472"/>
      <c r="O754" s="472"/>
      <c r="P754" s="472"/>
      <c r="Q754" s="472"/>
      <c r="R754" s="472"/>
      <c r="S754" s="472"/>
      <c r="T754" s="472"/>
      <c r="U754" s="472"/>
      <c r="V754" s="472"/>
      <c r="W754" s="472"/>
      <c r="X754" s="472"/>
      <c r="Y754" s="472"/>
      <c r="Z754" s="472"/>
    </row>
    <row r="755" spans="1:26" ht="14.25" customHeight="1">
      <c r="A755" s="472"/>
      <c r="B755" s="472"/>
      <c r="C755" s="472"/>
      <c r="D755" s="472"/>
      <c r="E755" s="472"/>
      <c r="F755" s="472"/>
      <c r="G755" s="472"/>
      <c r="H755" s="472"/>
      <c r="I755" s="472"/>
      <c r="J755" s="472"/>
      <c r="K755" s="472"/>
      <c r="L755" s="472"/>
      <c r="M755" s="472"/>
      <c r="N755" s="472"/>
      <c r="O755" s="472"/>
      <c r="P755" s="472"/>
      <c r="Q755" s="472"/>
      <c r="R755" s="472"/>
      <c r="S755" s="472"/>
      <c r="T755" s="472"/>
      <c r="U755" s="472"/>
      <c r="V755" s="472"/>
      <c r="W755" s="472"/>
      <c r="X755" s="472"/>
      <c r="Y755" s="472"/>
      <c r="Z755" s="472"/>
    </row>
    <row r="756" spans="1:26" ht="14.25" customHeight="1">
      <c r="A756" s="472"/>
      <c r="B756" s="472"/>
      <c r="C756" s="472"/>
      <c r="D756" s="472"/>
      <c r="E756" s="472"/>
      <c r="F756" s="472"/>
      <c r="G756" s="472"/>
      <c r="H756" s="472"/>
      <c r="I756" s="472"/>
      <c r="J756" s="472"/>
      <c r="K756" s="472"/>
      <c r="L756" s="472"/>
      <c r="M756" s="472"/>
      <c r="N756" s="472"/>
      <c r="O756" s="472"/>
      <c r="P756" s="472"/>
      <c r="Q756" s="472"/>
      <c r="R756" s="472"/>
      <c r="S756" s="472"/>
      <c r="T756" s="472"/>
      <c r="U756" s="472"/>
      <c r="V756" s="472"/>
      <c r="W756" s="472"/>
      <c r="X756" s="472"/>
      <c r="Y756" s="472"/>
      <c r="Z756" s="472"/>
    </row>
    <row r="757" spans="1:26" ht="14.25" customHeight="1">
      <c r="A757" s="472"/>
      <c r="B757" s="472"/>
      <c r="C757" s="472"/>
      <c r="D757" s="472"/>
      <c r="E757" s="472"/>
      <c r="F757" s="472"/>
      <c r="G757" s="472"/>
      <c r="H757" s="472"/>
      <c r="I757" s="472"/>
      <c r="J757" s="472"/>
      <c r="K757" s="472"/>
      <c r="L757" s="472"/>
      <c r="M757" s="472"/>
      <c r="N757" s="472"/>
      <c r="O757" s="472"/>
      <c r="P757" s="472"/>
      <c r="Q757" s="472"/>
      <c r="R757" s="472"/>
      <c r="S757" s="472"/>
      <c r="T757" s="472"/>
      <c r="U757" s="472"/>
      <c r="V757" s="472"/>
      <c r="W757" s="472"/>
      <c r="X757" s="472"/>
      <c r="Y757" s="472"/>
      <c r="Z757" s="472"/>
    </row>
    <row r="758" spans="1:26" ht="14.25" customHeight="1">
      <c r="A758" s="472"/>
      <c r="B758" s="472"/>
      <c r="C758" s="472"/>
      <c r="D758" s="472"/>
      <c r="E758" s="472"/>
      <c r="F758" s="472"/>
      <c r="G758" s="472"/>
      <c r="H758" s="472"/>
      <c r="I758" s="472"/>
      <c r="J758" s="472"/>
      <c r="K758" s="472"/>
      <c r="L758" s="472"/>
      <c r="M758" s="472"/>
      <c r="N758" s="472"/>
      <c r="O758" s="472"/>
      <c r="P758" s="472"/>
      <c r="Q758" s="472"/>
      <c r="R758" s="472"/>
      <c r="S758" s="472"/>
      <c r="T758" s="472"/>
      <c r="U758" s="472"/>
      <c r="V758" s="472"/>
      <c r="W758" s="472"/>
      <c r="X758" s="472"/>
      <c r="Y758" s="472"/>
      <c r="Z758" s="472"/>
    </row>
    <row r="759" spans="1:26" ht="14.25" customHeight="1">
      <c r="A759" s="472"/>
      <c r="B759" s="472"/>
      <c r="C759" s="472"/>
      <c r="D759" s="472"/>
      <c r="E759" s="472"/>
      <c r="F759" s="472"/>
      <c r="G759" s="472"/>
      <c r="H759" s="472"/>
      <c r="I759" s="472"/>
      <c r="J759" s="472"/>
      <c r="K759" s="472"/>
      <c r="L759" s="472"/>
      <c r="M759" s="472"/>
      <c r="N759" s="472"/>
      <c r="O759" s="472"/>
      <c r="P759" s="472"/>
      <c r="Q759" s="472"/>
      <c r="R759" s="472"/>
      <c r="S759" s="472"/>
      <c r="T759" s="472"/>
      <c r="U759" s="472"/>
      <c r="V759" s="472"/>
      <c r="W759" s="472"/>
      <c r="X759" s="472"/>
      <c r="Y759" s="472"/>
      <c r="Z759" s="472"/>
    </row>
    <row r="760" spans="1:26" ht="14.25" customHeight="1">
      <c r="A760" s="472"/>
      <c r="B760" s="472"/>
      <c r="C760" s="472"/>
      <c r="D760" s="472"/>
      <c r="E760" s="472"/>
      <c r="F760" s="472"/>
      <c r="G760" s="472"/>
      <c r="H760" s="472"/>
      <c r="I760" s="472"/>
      <c r="J760" s="472"/>
      <c r="K760" s="472"/>
      <c r="L760" s="472"/>
      <c r="M760" s="472"/>
      <c r="N760" s="472"/>
      <c r="O760" s="472"/>
      <c r="P760" s="472"/>
      <c r="Q760" s="472"/>
      <c r="R760" s="472"/>
      <c r="S760" s="472"/>
      <c r="T760" s="472"/>
      <c r="U760" s="472"/>
      <c r="V760" s="472"/>
      <c r="W760" s="472"/>
      <c r="X760" s="472"/>
      <c r="Y760" s="472"/>
      <c r="Z760" s="472"/>
    </row>
    <row r="761" spans="1:26" ht="14.25" customHeight="1">
      <c r="A761" s="472"/>
      <c r="B761" s="472"/>
      <c r="C761" s="472"/>
      <c r="D761" s="472"/>
      <c r="E761" s="472"/>
      <c r="F761" s="472"/>
      <c r="G761" s="472"/>
      <c r="H761" s="472"/>
      <c r="I761" s="472"/>
      <c r="J761" s="472"/>
      <c r="K761" s="472"/>
      <c r="L761" s="472"/>
      <c r="M761" s="472"/>
      <c r="N761" s="472"/>
      <c r="O761" s="472"/>
      <c r="P761" s="472"/>
      <c r="Q761" s="472"/>
      <c r="R761" s="472"/>
      <c r="S761" s="472"/>
      <c r="T761" s="472"/>
      <c r="U761" s="472"/>
      <c r="V761" s="472"/>
      <c r="W761" s="472"/>
      <c r="X761" s="472"/>
      <c r="Y761" s="472"/>
      <c r="Z761" s="472"/>
    </row>
    <row r="762" spans="1:26" ht="14.25" customHeight="1">
      <c r="A762" s="472"/>
      <c r="B762" s="472"/>
      <c r="C762" s="472"/>
      <c r="D762" s="472"/>
      <c r="E762" s="472"/>
      <c r="F762" s="472"/>
      <c r="G762" s="472"/>
      <c r="H762" s="472"/>
      <c r="I762" s="472"/>
      <c r="J762" s="472"/>
      <c r="K762" s="472"/>
      <c r="L762" s="472"/>
      <c r="M762" s="472"/>
      <c r="N762" s="472"/>
      <c r="O762" s="472"/>
      <c r="P762" s="472"/>
      <c r="Q762" s="472"/>
      <c r="R762" s="472"/>
      <c r="S762" s="472"/>
      <c r="T762" s="472"/>
      <c r="U762" s="472"/>
      <c r="V762" s="472"/>
      <c r="W762" s="472"/>
      <c r="X762" s="472"/>
      <c r="Y762" s="472"/>
      <c r="Z762" s="472"/>
    </row>
    <row r="763" spans="1:26" ht="14.25" customHeight="1">
      <c r="A763" s="472"/>
      <c r="B763" s="472"/>
      <c r="C763" s="472"/>
      <c r="D763" s="472"/>
      <c r="E763" s="472"/>
      <c r="F763" s="472"/>
      <c r="G763" s="472"/>
      <c r="H763" s="472"/>
      <c r="I763" s="472"/>
      <c r="J763" s="472"/>
      <c r="K763" s="472"/>
      <c r="L763" s="472"/>
      <c r="M763" s="472"/>
      <c r="N763" s="472"/>
      <c r="O763" s="472"/>
      <c r="P763" s="472"/>
      <c r="Q763" s="472"/>
      <c r="R763" s="472"/>
      <c r="S763" s="472"/>
      <c r="T763" s="472"/>
      <c r="U763" s="472"/>
      <c r="V763" s="472"/>
      <c r="W763" s="472"/>
      <c r="X763" s="472"/>
      <c r="Y763" s="472"/>
      <c r="Z763" s="472"/>
    </row>
    <row r="764" spans="1:26" ht="14.25" customHeight="1">
      <c r="A764" s="472"/>
      <c r="B764" s="472"/>
      <c r="C764" s="472"/>
      <c r="D764" s="472"/>
      <c r="E764" s="472"/>
      <c r="F764" s="472"/>
      <c r="G764" s="472"/>
      <c r="H764" s="472"/>
      <c r="I764" s="472"/>
      <c r="J764" s="472"/>
      <c r="K764" s="472"/>
      <c r="L764" s="472"/>
      <c r="M764" s="472"/>
      <c r="N764" s="472"/>
      <c r="O764" s="472"/>
      <c r="P764" s="472"/>
      <c r="Q764" s="472"/>
      <c r="R764" s="472"/>
      <c r="S764" s="472"/>
      <c r="T764" s="472"/>
      <c r="U764" s="472"/>
      <c r="V764" s="472"/>
      <c r="W764" s="472"/>
      <c r="X764" s="472"/>
      <c r="Y764" s="472"/>
      <c r="Z764" s="472"/>
    </row>
    <row r="765" spans="1:26" ht="14.25" customHeight="1">
      <c r="A765" s="472"/>
      <c r="B765" s="472"/>
      <c r="C765" s="472"/>
      <c r="D765" s="472"/>
      <c r="E765" s="472"/>
      <c r="F765" s="472"/>
      <c r="G765" s="472"/>
      <c r="H765" s="472"/>
      <c r="I765" s="472"/>
      <c r="J765" s="472"/>
      <c r="K765" s="472"/>
      <c r="L765" s="472"/>
      <c r="M765" s="472"/>
      <c r="N765" s="472"/>
      <c r="O765" s="472"/>
      <c r="P765" s="472"/>
      <c r="Q765" s="472"/>
      <c r="R765" s="472"/>
      <c r="S765" s="472"/>
      <c r="T765" s="472"/>
      <c r="U765" s="472"/>
      <c r="V765" s="472"/>
      <c r="W765" s="472"/>
      <c r="X765" s="472"/>
      <c r="Y765" s="472"/>
      <c r="Z765" s="472"/>
    </row>
    <row r="766" spans="1:26" ht="14.25" customHeight="1">
      <c r="A766" s="472"/>
      <c r="B766" s="472"/>
      <c r="C766" s="472"/>
      <c r="D766" s="472"/>
      <c r="E766" s="472"/>
      <c r="F766" s="472"/>
      <c r="G766" s="472"/>
      <c r="H766" s="472"/>
      <c r="I766" s="472"/>
      <c r="J766" s="472"/>
      <c r="K766" s="472"/>
      <c r="L766" s="472"/>
      <c r="M766" s="472"/>
      <c r="N766" s="472"/>
      <c r="O766" s="472"/>
      <c r="P766" s="472"/>
      <c r="Q766" s="472"/>
      <c r="R766" s="472"/>
      <c r="S766" s="472"/>
      <c r="T766" s="472"/>
      <c r="U766" s="472"/>
      <c r="V766" s="472"/>
      <c r="W766" s="472"/>
      <c r="X766" s="472"/>
      <c r="Y766" s="472"/>
      <c r="Z766" s="472"/>
    </row>
    <row r="767" spans="1:26" ht="14.25" customHeight="1">
      <c r="A767" s="472"/>
      <c r="B767" s="472"/>
      <c r="C767" s="472"/>
      <c r="D767" s="472"/>
      <c r="E767" s="472"/>
      <c r="F767" s="472"/>
      <c r="G767" s="472"/>
      <c r="H767" s="472"/>
      <c r="I767" s="472"/>
      <c r="J767" s="472"/>
      <c r="K767" s="472"/>
      <c r="L767" s="472"/>
      <c r="M767" s="472"/>
      <c r="N767" s="472"/>
      <c r="O767" s="472"/>
      <c r="P767" s="472"/>
      <c r="Q767" s="472"/>
      <c r="R767" s="472"/>
      <c r="S767" s="472"/>
      <c r="T767" s="472"/>
      <c r="U767" s="472"/>
      <c r="V767" s="472"/>
      <c r="W767" s="472"/>
      <c r="X767" s="472"/>
      <c r="Y767" s="472"/>
      <c r="Z767" s="472"/>
    </row>
    <row r="768" spans="1:26" ht="14.25" customHeight="1">
      <c r="A768" s="472"/>
      <c r="B768" s="472"/>
      <c r="C768" s="472"/>
      <c r="D768" s="472"/>
      <c r="E768" s="472"/>
      <c r="F768" s="472"/>
      <c r="G768" s="472"/>
      <c r="H768" s="472"/>
      <c r="I768" s="472"/>
      <c r="J768" s="472"/>
      <c r="K768" s="472"/>
      <c r="L768" s="472"/>
      <c r="M768" s="472"/>
      <c r="N768" s="472"/>
      <c r="O768" s="472"/>
      <c r="P768" s="472"/>
      <c r="Q768" s="472"/>
      <c r="R768" s="472"/>
      <c r="S768" s="472"/>
      <c r="T768" s="472"/>
      <c r="U768" s="472"/>
      <c r="V768" s="472"/>
      <c r="W768" s="472"/>
      <c r="X768" s="472"/>
      <c r="Y768" s="472"/>
      <c r="Z768" s="472"/>
    </row>
    <row r="769" spans="1:26" ht="14.25" customHeight="1">
      <c r="A769" s="472"/>
      <c r="B769" s="472"/>
      <c r="C769" s="472"/>
      <c r="D769" s="472"/>
      <c r="E769" s="472"/>
      <c r="F769" s="472"/>
      <c r="G769" s="472"/>
      <c r="H769" s="472"/>
      <c r="I769" s="472"/>
      <c r="J769" s="472"/>
      <c r="K769" s="472"/>
      <c r="L769" s="472"/>
      <c r="M769" s="472"/>
      <c r="N769" s="472"/>
      <c r="O769" s="472"/>
      <c r="P769" s="472"/>
      <c r="Q769" s="472"/>
      <c r="R769" s="472"/>
      <c r="S769" s="472"/>
      <c r="T769" s="472"/>
      <c r="U769" s="472"/>
      <c r="V769" s="472"/>
      <c r="W769" s="472"/>
      <c r="X769" s="472"/>
      <c r="Y769" s="472"/>
      <c r="Z769" s="472"/>
    </row>
    <row r="770" spans="1:26" ht="14.25" customHeight="1">
      <c r="A770" s="472"/>
      <c r="B770" s="472"/>
      <c r="C770" s="472"/>
      <c r="D770" s="472"/>
      <c r="E770" s="472"/>
      <c r="F770" s="472"/>
      <c r="G770" s="472"/>
      <c r="H770" s="472"/>
      <c r="I770" s="472"/>
      <c r="J770" s="472"/>
      <c r="K770" s="472"/>
      <c r="L770" s="472"/>
      <c r="M770" s="472"/>
      <c r="N770" s="472"/>
      <c r="O770" s="472"/>
      <c r="P770" s="472"/>
      <c r="Q770" s="472"/>
      <c r="R770" s="472"/>
      <c r="S770" s="472"/>
      <c r="T770" s="472"/>
      <c r="U770" s="472"/>
      <c r="V770" s="472"/>
      <c r="W770" s="472"/>
      <c r="X770" s="472"/>
      <c r="Y770" s="472"/>
      <c r="Z770" s="472"/>
    </row>
    <row r="771" spans="1:26" ht="14.25" customHeight="1">
      <c r="A771" s="472"/>
      <c r="B771" s="472"/>
      <c r="C771" s="472"/>
      <c r="D771" s="472"/>
      <c r="E771" s="472"/>
      <c r="F771" s="472"/>
      <c r="G771" s="472"/>
      <c r="H771" s="472"/>
      <c r="I771" s="472"/>
      <c r="J771" s="472"/>
      <c r="K771" s="472"/>
      <c r="L771" s="472"/>
      <c r="M771" s="472"/>
      <c r="N771" s="472"/>
      <c r="O771" s="472"/>
      <c r="P771" s="472"/>
      <c r="Q771" s="472"/>
      <c r="R771" s="472"/>
      <c r="S771" s="472"/>
      <c r="T771" s="472"/>
      <c r="U771" s="472"/>
      <c r="V771" s="472"/>
      <c r="W771" s="472"/>
      <c r="X771" s="472"/>
      <c r="Y771" s="472"/>
      <c r="Z771" s="472"/>
    </row>
    <row r="772" spans="1:26" ht="14.25" customHeight="1">
      <c r="A772" s="472"/>
      <c r="B772" s="472"/>
      <c r="C772" s="472"/>
      <c r="D772" s="472"/>
      <c r="E772" s="472"/>
      <c r="F772" s="472"/>
      <c r="G772" s="472"/>
      <c r="H772" s="472"/>
      <c r="I772" s="472"/>
      <c r="J772" s="472"/>
      <c r="K772" s="472"/>
      <c r="L772" s="472"/>
      <c r="M772" s="472"/>
      <c r="N772" s="472"/>
      <c r="O772" s="472"/>
      <c r="P772" s="472"/>
      <c r="Q772" s="472"/>
      <c r="R772" s="472"/>
      <c r="S772" s="472"/>
      <c r="T772" s="472"/>
      <c r="U772" s="472"/>
      <c r="V772" s="472"/>
      <c r="W772" s="472"/>
      <c r="X772" s="472"/>
      <c r="Y772" s="472"/>
      <c r="Z772" s="472"/>
    </row>
    <row r="773" spans="1:26" ht="14.25" customHeight="1">
      <c r="A773" s="472"/>
      <c r="B773" s="472"/>
      <c r="C773" s="472"/>
      <c r="D773" s="472"/>
      <c r="E773" s="472"/>
      <c r="F773" s="472"/>
      <c r="G773" s="472"/>
      <c r="H773" s="472"/>
      <c r="I773" s="472"/>
      <c r="J773" s="472"/>
      <c r="K773" s="472"/>
      <c r="L773" s="472"/>
      <c r="M773" s="472"/>
      <c r="N773" s="472"/>
      <c r="O773" s="472"/>
      <c r="P773" s="472"/>
      <c r="Q773" s="472"/>
      <c r="R773" s="472"/>
      <c r="S773" s="472"/>
      <c r="T773" s="472"/>
      <c r="U773" s="472"/>
      <c r="V773" s="472"/>
      <c r="W773" s="472"/>
      <c r="X773" s="472"/>
      <c r="Y773" s="472"/>
      <c r="Z773" s="472"/>
    </row>
    <row r="774" spans="1:26" ht="14.25" customHeight="1">
      <c r="A774" s="472"/>
      <c r="B774" s="472"/>
      <c r="C774" s="472"/>
      <c r="D774" s="472"/>
      <c r="E774" s="472"/>
      <c r="F774" s="472"/>
      <c r="G774" s="472"/>
      <c r="H774" s="472"/>
      <c r="I774" s="472"/>
      <c r="J774" s="472"/>
      <c r="K774" s="472"/>
      <c r="L774" s="472"/>
      <c r="M774" s="472"/>
      <c r="N774" s="472"/>
      <c r="O774" s="472"/>
      <c r="P774" s="472"/>
      <c r="Q774" s="472"/>
      <c r="R774" s="472"/>
      <c r="S774" s="472"/>
      <c r="T774" s="472"/>
      <c r="U774" s="472"/>
      <c r="V774" s="472"/>
      <c r="W774" s="472"/>
      <c r="X774" s="472"/>
      <c r="Y774" s="472"/>
      <c r="Z774" s="472"/>
    </row>
    <row r="775" spans="1:26" ht="14.25" customHeight="1">
      <c r="A775" s="472"/>
      <c r="B775" s="472"/>
      <c r="C775" s="472"/>
      <c r="D775" s="472"/>
      <c r="E775" s="472"/>
      <c r="F775" s="472"/>
      <c r="G775" s="472"/>
      <c r="H775" s="472"/>
      <c r="I775" s="472"/>
      <c r="J775" s="472"/>
      <c r="K775" s="472"/>
      <c r="L775" s="472"/>
      <c r="M775" s="472"/>
      <c r="N775" s="472"/>
      <c r="O775" s="472"/>
      <c r="P775" s="472"/>
      <c r="Q775" s="472"/>
      <c r="R775" s="472"/>
      <c r="S775" s="472"/>
      <c r="T775" s="472"/>
      <c r="U775" s="472"/>
      <c r="V775" s="472"/>
      <c r="W775" s="472"/>
      <c r="X775" s="472"/>
      <c r="Y775" s="472"/>
      <c r="Z775" s="472"/>
    </row>
    <row r="776" spans="1:26" ht="14.25" customHeight="1">
      <c r="A776" s="472"/>
      <c r="B776" s="472"/>
      <c r="C776" s="472"/>
      <c r="D776" s="472"/>
      <c r="E776" s="472"/>
      <c r="F776" s="472"/>
      <c r="G776" s="472"/>
      <c r="H776" s="472"/>
      <c r="I776" s="472"/>
      <c r="J776" s="472"/>
      <c r="K776" s="472"/>
      <c r="L776" s="472"/>
      <c r="M776" s="472"/>
      <c r="N776" s="472"/>
      <c r="O776" s="472"/>
      <c r="P776" s="472"/>
      <c r="Q776" s="472"/>
      <c r="R776" s="472"/>
      <c r="S776" s="472"/>
      <c r="T776" s="472"/>
      <c r="U776" s="472"/>
      <c r="V776" s="472"/>
      <c r="W776" s="472"/>
      <c r="X776" s="472"/>
      <c r="Y776" s="472"/>
      <c r="Z776" s="472"/>
    </row>
    <row r="777" spans="1:26" ht="14.25" customHeight="1">
      <c r="A777" s="472"/>
      <c r="B777" s="472"/>
      <c r="C777" s="472"/>
      <c r="D777" s="472"/>
      <c r="E777" s="472"/>
      <c r="F777" s="472"/>
      <c r="G777" s="472"/>
      <c r="H777" s="472"/>
      <c r="I777" s="472"/>
      <c r="J777" s="472"/>
      <c r="K777" s="472"/>
      <c r="L777" s="472"/>
      <c r="M777" s="472"/>
      <c r="N777" s="472"/>
      <c r="O777" s="472"/>
      <c r="P777" s="472"/>
      <c r="Q777" s="472"/>
      <c r="R777" s="472"/>
      <c r="S777" s="472"/>
      <c r="T777" s="472"/>
      <c r="U777" s="472"/>
      <c r="V777" s="472"/>
      <c r="W777" s="472"/>
      <c r="X777" s="472"/>
      <c r="Y777" s="472"/>
      <c r="Z777" s="472"/>
    </row>
    <row r="778" spans="1:26" ht="14.25" customHeight="1">
      <c r="A778" s="472"/>
      <c r="B778" s="472"/>
      <c r="C778" s="472"/>
      <c r="D778" s="472"/>
      <c r="E778" s="472"/>
      <c r="F778" s="472"/>
      <c r="G778" s="472"/>
      <c r="H778" s="472"/>
      <c r="I778" s="472"/>
      <c r="J778" s="472"/>
      <c r="K778" s="472"/>
      <c r="L778" s="472"/>
      <c r="M778" s="472"/>
      <c r="N778" s="472"/>
      <c r="O778" s="472"/>
      <c r="P778" s="472"/>
      <c r="Q778" s="472"/>
      <c r="R778" s="472"/>
      <c r="S778" s="472"/>
      <c r="T778" s="472"/>
      <c r="U778" s="472"/>
      <c r="V778" s="472"/>
      <c r="W778" s="472"/>
      <c r="X778" s="472"/>
      <c r="Y778" s="472"/>
      <c r="Z778" s="472"/>
    </row>
    <row r="779" spans="1:26" ht="14.25" customHeight="1">
      <c r="A779" s="472"/>
      <c r="B779" s="472"/>
      <c r="C779" s="472"/>
      <c r="D779" s="472"/>
      <c r="E779" s="472"/>
      <c r="F779" s="472"/>
      <c r="G779" s="472"/>
      <c r="H779" s="472"/>
      <c r="I779" s="472"/>
      <c r="J779" s="472"/>
      <c r="K779" s="472"/>
      <c r="L779" s="472"/>
      <c r="M779" s="472"/>
      <c r="N779" s="472"/>
      <c r="O779" s="472"/>
      <c r="P779" s="472"/>
      <c r="Q779" s="472"/>
      <c r="R779" s="472"/>
      <c r="S779" s="472"/>
      <c r="T779" s="472"/>
      <c r="U779" s="472"/>
      <c r="V779" s="472"/>
      <c r="W779" s="472"/>
      <c r="X779" s="472"/>
      <c r="Y779" s="472"/>
      <c r="Z779" s="472"/>
    </row>
    <row r="780" spans="1:26" ht="14.25" customHeight="1">
      <c r="A780" s="472"/>
      <c r="B780" s="472"/>
      <c r="C780" s="472"/>
      <c r="D780" s="472"/>
      <c r="E780" s="472"/>
      <c r="F780" s="472"/>
      <c r="G780" s="472"/>
      <c r="H780" s="472"/>
      <c r="I780" s="472"/>
      <c r="J780" s="472"/>
      <c r="K780" s="472"/>
      <c r="L780" s="472"/>
      <c r="M780" s="472"/>
      <c r="N780" s="472"/>
      <c r="O780" s="472"/>
      <c r="P780" s="472"/>
      <c r="Q780" s="472"/>
      <c r="R780" s="472"/>
      <c r="S780" s="472"/>
      <c r="T780" s="472"/>
      <c r="U780" s="472"/>
      <c r="V780" s="472"/>
      <c r="W780" s="472"/>
      <c r="X780" s="472"/>
      <c r="Y780" s="472"/>
      <c r="Z780" s="472"/>
    </row>
    <row r="781" spans="1:26" ht="14.25" customHeight="1">
      <c r="A781" s="472"/>
      <c r="B781" s="472"/>
      <c r="C781" s="472"/>
      <c r="D781" s="472"/>
      <c r="E781" s="472"/>
      <c r="F781" s="472"/>
      <c r="G781" s="472"/>
      <c r="H781" s="472"/>
      <c r="I781" s="472"/>
      <c r="J781" s="472"/>
      <c r="K781" s="472"/>
      <c r="L781" s="472"/>
      <c r="M781" s="472"/>
      <c r="N781" s="472"/>
      <c r="O781" s="472"/>
      <c r="P781" s="472"/>
      <c r="Q781" s="472"/>
      <c r="R781" s="472"/>
      <c r="S781" s="472"/>
      <c r="T781" s="472"/>
      <c r="U781" s="472"/>
      <c r="V781" s="472"/>
      <c r="W781" s="472"/>
      <c r="X781" s="472"/>
      <c r="Y781" s="472"/>
      <c r="Z781" s="472"/>
    </row>
    <row r="782" spans="1:26" ht="14.25" customHeight="1">
      <c r="A782" s="472"/>
      <c r="B782" s="472"/>
      <c r="C782" s="472"/>
      <c r="D782" s="472"/>
      <c r="E782" s="472"/>
      <c r="F782" s="472"/>
      <c r="G782" s="472"/>
      <c r="H782" s="472"/>
      <c r="I782" s="472"/>
      <c r="J782" s="472"/>
      <c r="K782" s="472"/>
      <c r="L782" s="472"/>
      <c r="M782" s="472"/>
      <c r="N782" s="472"/>
      <c r="O782" s="472"/>
      <c r="P782" s="472"/>
      <c r="Q782" s="472"/>
      <c r="R782" s="472"/>
      <c r="S782" s="472"/>
      <c r="T782" s="472"/>
      <c r="U782" s="472"/>
      <c r="V782" s="472"/>
      <c r="W782" s="472"/>
      <c r="X782" s="472"/>
      <c r="Y782" s="472"/>
      <c r="Z782" s="472"/>
    </row>
    <row r="783" spans="1:26" ht="14.25" customHeight="1">
      <c r="A783" s="472"/>
      <c r="B783" s="472"/>
      <c r="C783" s="472"/>
      <c r="D783" s="472"/>
      <c r="E783" s="472"/>
      <c r="F783" s="472"/>
      <c r="G783" s="472"/>
      <c r="H783" s="472"/>
      <c r="I783" s="472"/>
      <c r="J783" s="472"/>
      <c r="K783" s="472"/>
      <c r="L783" s="472"/>
      <c r="M783" s="472"/>
      <c r="N783" s="472"/>
      <c r="O783" s="472"/>
      <c r="P783" s="472"/>
      <c r="Q783" s="472"/>
      <c r="R783" s="472"/>
      <c r="S783" s="472"/>
      <c r="T783" s="472"/>
      <c r="U783" s="472"/>
      <c r="V783" s="472"/>
      <c r="W783" s="472"/>
      <c r="X783" s="472"/>
      <c r="Y783" s="472"/>
      <c r="Z783" s="472"/>
    </row>
    <row r="784" spans="1:26" ht="14.25" customHeight="1">
      <c r="A784" s="472"/>
      <c r="B784" s="472"/>
      <c r="C784" s="472"/>
      <c r="D784" s="472"/>
      <c r="E784" s="472"/>
      <c r="F784" s="472"/>
      <c r="G784" s="472"/>
      <c r="H784" s="472"/>
      <c r="I784" s="472"/>
      <c r="J784" s="472"/>
      <c r="K784" s="472"/>
      <c r="L784" s="472"/>
      <c r="M784" s="472"/>
      <c r="N784" s="472"/>
      <c r="O784" s="472"/>
      <c r="P784" s="472"/>
      <c r="Q784" s="472"/>
      <c r="R784" s="472"/>
      <c r="S784" s="472"/>
      <c r="T784" s="472"/>
      <c r="U784" s="472"/>
      <c r="V784" s="472"/>
      <c r="W784" s="472"/>
      <c r="X784" s="472"/>
      <c r="Y784" s="472"/>
      <c r="Z784" s="472"/>
    </row>
    <row r="785" spans="1:26" ht="14.25" customHeight="1">
      <c r="A785" s="472"/>
      <c r="B785" s="472"/>
      <c r="C785" s="472"/>
      <c r="D785" s="472"/>
      <c r="E785" s="472"/>
      <c r="F785" s="472"/>
      <c r="G785" s="472"/>
      <c r="H785" s="472"/>
      <c r="I785" s="472"/>
      <c r="J785" s="472"/>
      <c r="K785" s="472"/>
      <c r="L785" s="472"/>
      <c r="M785" s="472"/>
      <c r="N785" s="472"/>
      <c r="O785" s="472"/>
      <c r="P785" s="472"/>
      <c r="Q785" s="472"/>
      <c r="R785" s="472"/>
      <c r="S785" s="472"/>
      <c r="T785" s="472"/>
      <c r="U785" s="472"/>
      <c r="V785" s="472"/>
      <c r="W785" s="472"/>
      <c r="X785" s="472"/>
      <c r="Y785" s="472"/>
      <c r="Z785" s="472"/>
    </row>
    <row r="786" spans="1:26" ht="14.25" customHeight="1">
      <c r="A786" s="472"/>
      <c r="B786" s="472"/>
      <c r="C786" s="472"/>
      <c r="D786" s="472"/>
      <c r="E786" s="472"/>
      <c r="F786" s="472"/>
      <c r="G786" s="472"/>
      <c r="H786" s="472"/>
      <c r="I786" s="472"/>
      <c r="J786" s="472"/>
      <c r="K786" s="472"/>
      <c r="L786" s="472"/>
      <c r="M786" s="472"/>
      <c r="N786" s="472"/>
      <c r="O786" s="472"/>
      <c r="P786" s="472"/>
      <c r="Q786" s="472"/>
      <c r="R786" s="472"/>
      <c r="S786" s="472"/>
      <c r="T786" s="472"/>
      <c r="U786" s="472"/>
      <c r="V786" s="472"/>
      <c r="W786" s="472"/>
      <c r="X786" s="472"/>
      <c r="Y786" s="472"/>
      <c r="Z786" s="472"/>
    </row>
    <row r="787" spans="1:26" ht="14.25" customHeight="1">
      <c r="A787" s="472"/>
      <c r="B787" s="472"/>
      <c r="C787" s="472"/>
      <c r="D787" s="472"/>
      <c r="E787" s="472"/>
      <c r="F787" s="472"/>
      <c r="G787" s="472"/>
      <c r="H787" s="472"/>
      <c r="I787" s="472"/>
      <c r="J787" s="472"/>
      <c r="K787" s="472"/>
      <c r="L787" s="472"/>
      <c r="M787" s="472"/>
      <c r="N787" s="472"/>
      <c r="O787" s="472"/>
      <c r="P787" s="472"/>
      <c r="Q787" s="472"/>
      <c r="R787" s="472"/>
      <c r="S787" s="472"/>
      <c r="T787" s="472"/>
      <c r="U787" s="472"/>
      <c r="V787" s="472"/>
      <c r="W787" s="472"/>
      <c r="X787" s="472"/>
      <c r="Y787" s="472"/>
      <c r="Z787" s="472"/>
    </row>
    <row r="788" spans="1:26" ht="14.25" customHeight="1">
      <c r="A788" s="472"/>
      <c r="B788" s="472"/>
      <c r="C788" s="472"/>
      <c r="D788" s="472"/>
      <c r="E788" s="472"/>
      <c r="F788" s="472"/>
      <c r="G788" s="472"/>
      <c r="H788" s="472"/>
      <c r="I788" s="472"/>
      <c r="J788" s="472"/>
      <c r="K788" s="472"/>
      <c r="L788" s="472"/>
      <c r="M788" s="472"/>
      <c r="N788" s="472"/>
      <c r="O788" s="472"/>
      <c r="P788" s="472"/>
      <c r="Q788" s="472"/>
      <c r="R788" s="472"/>
      <c r="S788" s="472"/>
      <c r="T788" s="472"/>
      <c r="U788" s="472"/>
      <c r="V788" s="472"/>
      <c r="W788" s="472"/>
      <c r="X788" s="472"/>
      <c r="Y788" s="472"/>
      <c r="Z788" s="472"/>
    </row>
    <row r="789" spans="1:26" ht="14.25" customHeight="1">
      <c r="A789" s="472"/>
      <c r="B789" s="472"/>
      <c r="C789" s="472"/>
      <c r="D789" s="472"/>
      <c r="E789" s="472"/>
      <c r="F789" s="472"/>
      <c r="G789" s="472"/>
      <c r="H789" s="472"/>
      <c r="I789" s="472"/>
      <c r="J789" s="472"/>
      <c r="K789" s="472"/>
      <c r="L789" s="472"/>
      <c r="M789" s="472"/>
      <c r="N789" s="472"/>
      <c r="O789" s="472"/>
      <c r="P789" s="472"/>
      <c r="Q789" s="472"/>
      <c r="R789" s="472"/>
      <c r="S789" s="472"/>
      <c r="T789" s="472"/>
      <c r="U789" s="472"/>
      <c r="V789" s="472"/>
      <c r="W789" s="472"/>
      <c r="X789" s="472"/>
      <c r="Y789" s="472"/>
      <c r="Z789" s="472"/>
    </row>
    <row r="790" spans="1:26" ht="14.25" customHeight="1">
      <c r="A790" s="472"/>
      <c r="B790" s="472"/>
      <c r="C790" s="472"/>
      <c r="D790" s="472"/>
      <c r="E790" s="472"/>
      <c r="F790" s="472"/>
      <c r="G790" s="472"/>
      <c r="H790" s="472"/>
      <c r="I790" s="472"/>
      <c r="J790" s="472"/>
      <c r="K790" s="472"/>
      <c r="L790" s="472"/>
      <c r="M790" s="472"/>
      <c r="N790" s="472"/>
      <c r="O790" s="472"/>
      <c r="P790" s="472"/>
      <c r="Q790" s="472"/>
      <c r="R790" s="472"/>
      <c r="S790" s="472"/>
      <c r="T790" s="472"/>
      <c r="U790" s="472"/>
      <c r="V790" s="472"/>
      <c r="W790" s="472"/>
      <c r="X790" s="472"/>
      <c r="Y790" s="472"/>
      <c r="Z790" s="472"/>
    </row>
    <row r="791" spans="1:26" ht="14.25" customHeight="1">
      <c r="A791" s="472"/>
      <c r="B791" s="472"/>
      <c r="C791" s="472"/>
      <c r="D791" s="472"/>
      <c r="E791" s="472"/>
      <c r="F791" s="472"/>
      <c r="G791" s="472"/>
      <c r="H791" s="472"/>
      <c r="I791" s="472"/>
      <c r="J791" s="472"/>
      <c r="K791" s="472"/>
      <c r="L791" s="472"/>
      <c r="M791" s="472"/>
      <c r="N791" s="472"/>
      <c r="O791" s="472"/>
      <c r="P791" s="472"/>
      <c r="Q791" s="472"/>
      <c r="R791" s="472"/>
      <c r="S791" s="472"/>
      <c r="T791" s="472"/>
      <c r="U791" s="472"/>
      <c r="V791" s="472"/>
      <c r="W791" s="472"/>
      <c r="X791" s="472"/>
      <c r="Y791" s="472"/>
      <c r="Z791" s="472"/>
    </row>
    <row r="792" spans="1:26" ht="14.25" customHeight="1">
      <c r="A792" s="472"/>
      <c r="B792" s="472"/>
      <c r="C792" s="472"/>
      <c r="D792" s="472"/>
      <c r="E792" s="472"/>
      <c r="F792" s="472"/>
      <c r="G792" s="472"/>
      <c r="H792" s="472"/>
      <c r="I792" s="472"/>
      <c r="J792" s="472"/>
      <c r="K792" s="472"/>
      <c r="L792" s="472"/>
      <c r="M792" s="472"/>
      <c r="N792" s="472"/>
      <c r="O792" s="472"/>
      <c r="P792" s="472"/>
      <c r="Q792" s="472"/>
      <c r="R792" s="472"/>
      <c r="S792" s="472"/>
      <c r="T792" s="472"/>
      <c r="U792" s="472"/>
      <c r="V792" s="472"/>
      <c r="W792" s="472"/>
      <c r="X792" s="472"/>
      <c r="Y792" s="472"/>
      <c r="Z792" s="472"/>
    </row>
    <row r="793" spans="1:26" ht="14.25" customHeight="1">
      <c r="A793" s="472"/>
      <c r="B793" s="472"/>
      <c r="C793" s="472"/>
      <c r="D793" s="472"/>
      <c r="E793" s="472"/>
      <c r="F793" s="472"/>
      <c r="G793" s="472"/>
      <c r="H793" s="472"/>
      <c r="I793" s="472"/>
      <c r="J793" s="472"/>
      <c r="K793" s="472"/>
      <c r="L793" s="472"/>
      <c r="M793" s="472"/>
      <c r="N793" s="472"/>
      <c r="O793" s="472"/>
      <c r="P793" s="472"/>
      <c r="Q793" s="472"/>
      <c r="R793" s="472"/>
      <c r="S793" s="472"/>
      <c r="T793" s="472"/>
      <c r="U793" s="472"/>
      <c r="V793" s="472"/>
      <c r="W793" s="472"/>
      <c r="X793" s="472"/>
      <c r="Y793" s="472"/>
      <c r="Z793" s="472"/>
    </row>
    <row r="794" spans="1:26" ht="14.25" customHeight="1">
      <c r="A794" s="472"/>
      <c r="B794" s="472"/>
      <c r="C794" s="472"/>
      <c r="D794" s="472"/>
      <c r="E794" s="472"/>
      <c r="F794" s="472"/>
      <c r="G794" s="472"/>
      <c r="H794" s="472"/>
      <c r="I794" s="472"/>
      <c r="J794" s="472"/>
      <c r="K794" s="472"/>
      <c r="L794" s="472"/>
      <c r="M794" s="472"/>
      <c r="N794" s="472"/>
      <c r="O794" s="472"/>
      <c r="P794" s="472"/>
      <c r="Q794" s="472"/>
      <c r="R794" s="472"/>
      <c r="S794" s="472"/>
      <c r="T794" s="472"/>
      <c r="U794" s="472"/>
      <c r="V794" s="472"/>
      <c r="W794" s="472"/>
      <c r="X794" s="472"/>
      <c r="Y794" s="472"/>
      <c r="Z794" s="472"/>
    </row>
    <row r="795" spans="1:26" ht="14.25" customHeight="1">
      <c r="A795" s="472"/>
      <c r="B795" s="472"/>
      <c r="C795" s="472"/>
      <c r="D795" s="472"/>
      <c r="E795" s="472"/>
      <c r="F795" s="472"/>
      <c r="G795" s="472"/>
      <c r="H795" s="472"/>
      <c r="I795" s="472"/>
      <c r="J795" s="472"/>
      <c r="K795" s="472"/>
      <c r="L795" s="472"/>
      <c r="M795" s="472"/>
      <c r="N795" s="472"/>
      <c r="O795" s="472"/>
      <c r="P795" s="472"/>
      <c r="Q795" s="472"/>
      <c r="R795" s="472"/>
      <c r="S795" s="472"/>
      <c r="T795" s="472"/>
      <c r="U795" s="472"/>
      <c r="V795" s="472"/>
      <c r="W795" s="472"/>
      <c r="X795" s="472"/>
      <c r="Y795" s="472"/>
      <c r="Z795" s="472"/>
    </row>
    <row r="796" spans="1:26" ht="14.25" customHeight="1">
      <c r="A796" s="472"/>
      <c r="B796" s="472"/>
      <c r="C796" s="472"/>
      <c r="D796" s="472"/>
      <c r="E796" s="472"/>
      <c r="F796" s="472"/>
      <c r="G796" s="472"/>
      <c r="H796" s="472"/>
      <c r="I796" s="472"/>
      <c r="J796" s="472"/>
      <c r="K796" s="472"/>
      <c r="L796" s="472"/>
      <c r="M796" s="472"/>
      <c r="N796" s="472"/>
      <c r="O796" s="472"/>
      <c r="P796" s="472"/>
      <c r="Q796" s="472"/>
      <c r="R796" s="472"/>
      <c r="S796" s="472"/>
      <c r="T796" s="472"/>
      <c r="U796" s="472"/>
      <c r="V796" s="472"/>
      <c r="W796" s="472"/>
      <c r="X796" s="472"/>
      <c r="Y796" s="472"/>
      <c r="Z796" s="472"/>
    </row>
    <row r="797" spans="1:26" ht="14.25" customHeight="1">
      <c r="A797" s="472"/>
      <c r="B797" s="472"/>
      <c r="C797" s="472"/>
      <c r="D797" s="472"/>
      <c r="E797" s="472"/>
      <c r="F797" s="472"/>
      <c r="G797" s="472"/>
      <c r="H797" s="472"/>
      <c r="I797" s="472"/>
      <c r="J797" s="472"/>
      <c r="K797" s="472"/>
      <c r="L797" s="472"/>
      <c r="M797" s="472"/>
      <c r="N797" s="472"/>
      <c r="O797" s="472"/>
      <c r="P797" s="472"/>
      <c r="Q797" s="472"/>
      <c r="R797" s="472"/>
      <c r="S797" s="472"/>
      <c r="T797" s="472"/>
      <c r="U797" s="472"/>
      <c r="V797" s="472"/>
      <c r="W797" s="472"/>
      <c r="X797" s="472"/>
      <c r="Y797" s="472"/>
      <c r="Z797" s="472"/>
    </row>
    <row r="798" spans="1:26" ht="14.25" customHeight="1">
      <c r="A798" s="472"/>
      <c r="B798" s="472"/>
      <c r="C798" s="472"/>
      <c r="D798" s="472"/>
      <c r="E798" s="472"/>
      <c r="F798" s="472"/>
      <c r="G798" s="472"/>
      <c r="H798" s="472"/>
      <c r="I798" s="472"/>
      <c r="J798" s="472"/>
      <c r="K798" s="472"/>
      <c r="L798" s="472"/>
      <c r="M798" s="472"/>
      <c r="N798" s="472"/>
      <c r="O798" s="472"/>
      <c r="P798" s="472"/>
      <c r="Q798" s="472"/>
      <c r="R798" s="472"/>
      <c r="S798" s="472"/>
      <c r="T798" s="472"/>
      <c r="U798" s="472"/>
      <c r="V798" s="472"/>
      <c r="W798" s="472"/>
      <c r="X798" s="472"/>
      <c r="Y798" s="472"/>
      <c r="Z798" s="472"/>
    </row>
    <row r="799" spans="1:26" ht="14.25" customHeight="1">
      <c r="A799" s="472"/>
      <c r="B799" s="472"/>
      <c r="C799" s="472"/>
      <c r="D799" s="472"/>
      <c r="E799" s="472"/>
      <c r="F799" s="472"/>
      <c r="G799" s="472"/>
      <c r="H799" s="472"/>
      <c r="I799" s="472"/>
      <c r="J799" s="472"/>
      <c r="K799" s="472"/>
      <c r="L799" s="472"/>
      <c r="M799" s="472"/>
      <c r="N799" s="472"/>
      <c r="O799" s="472"/>
      <c r="P799" s="472"/>
      <c r="Q799" s="472"/>
      <c r="R799" s="472"/>
      <c r="S799" s="472"/>
      <c r="T799" s="472"/>
      <c r="U799" s="472"/>
      <c r="V799" s="472"/>
      <c r="W799" s="472"/>
      <c r="X799" s="472"/>
      <c r="Y799" s="472"/>
      <c r="Z799" s="472"/>
    </row>
    <row r="800" spans="1:26" ht="14.25" customHeight="1">
      <c r="A800" s="472"/>
      <c r="B800" s="472"/>
      <c r="C800" s="472"/>
      <c r="D800" s="472"/>
      <c r="E800" s="472"/>
      <c r="F800" s="472"/>
      <c r="G800" s="472"/>
      <c r="H800" s="472"/>
      <c r="I800" s="472"/>
      <c r="J800" s="472"/>
      <c r="K800" s="472"/>
      <c r="L800" s="472"/>
      <c r="M800" s="472"/>
      <c r="N800" s="472"/>
      <c r="O800" s="472"/>
      <c r="P800" s="472"/>
      <c r="Q800" s="472"/>
      <c r="R800" s="472"/>
      <c r="S800" s="472"/>
      <c r="T800" s="472"/>
      <c r="U800" s="472"/>
      <c r="V800" s="472"/>
      <c r="W800" s="472"/>
      <c r="X800" s="472"/>
      <c r="Y800" s="472"/>
      <c r="Z800" s="472"/>
    </row>
    <row r="801" spans="1:26" ht="14.25" customHeight="1">
      <c r="A801" s="472"/>
      <c r="B801" s="472"/>
      <c r="C801" s="472"/>
      <c r="D801" s="472"/>
      <c r="E801" s="472"/>
      <c r="F801" s="472"/>
      <c r="G801" s="472"/>
      <c r="H801" s="472"/>
      <c r="I801" s="472"/>
      <c r="J801" s="472"/>
      <c r="K801" s="472"/>
      <c r="L801" s="472"/>
      <c r="M801" s="472"/>
      <c r="N801" s="472"/>
      <c r="O801" s="472"/>
      <c r="P801" s="472"/>
      <c r="Q801" s="472"/>
      <c r="R801" s="472"/>
      <c r="S801" s="472"/>
      <c r="T801" s="472"/>
      <c r="U801" s="472"/>
      <c r="V801" s="472"/>
      <c r="W801" s="472"/>
      <c r="X801" s="472"/>
      <c r="Y801" s="472"/>
      <c r="Z801" s="472"/>
    </row>
    <row r="802" spans="1:26" ht="14.25" customHeight="1">
      <c r="A802" s="472"/>
      <c r="B802" s="472"/>
      <c r="C802" s="472"/>
      <c r="D802" s="472"/>
      <c r="E802" s="472"/>
      <c r="F802" s="472"/>
      <c r="G802" s="472"/>
      <c r="H802" s="472"/>
      <c r="I802" s="472"/>
      <c r="J802" s="472"/>
      <c r="K802" s="472"/>
      <c r="L802" s="472"/>
      <c r="M802" s="472"/>
      <c r="N802" s="472"/>
      <c r="O802" s="472"/>
      <c r="P802" s="472"/>
      <c r="Q802" s="472"/>
      <c r="R802" s="472"/>
      <c r="S802" s="472"/>
      <c r="T802" s="472"/>
      <c r="U802" s="472"/>
      <c r="V802" s="472"/>
      <c r="W802" s="472"/>
      <c r="X802" s="472"/>
      <c r="Y802" s="472"/>
      <c r="Z802" s="472"/>
    </row>
    <row r="803" spans="1:26" ht="14.25" customHeight="1">
      <c r="A803" s="472"/>
      <c r="B803" s="472"/>
      <c r="C803" s="472"/>
      <c r="D803" s="472"/>
      <c r="E803" s="472"/>
      <c r="F803" s="472"/>
      <c r="G803" s="472"/>
      <c r="H803" s="472"/>
      <c r="I803" s="472"/>
      <c r="J803" s="472"/>
      <c r="K803" s="472"/>
      <c r="L803" s="472"/>
      <c r="M803" s="472"/>
      <c r="N803" s="472"/>
      <c r="O803" s="472"/>
      <c r="P803" s="472"/>
      <c r="Q803" s="472"/>
      <c r="R803" s="472"/>
      <c r="S803" s="472"/>
      <c r="T803" s="472"/>
      <c r="U803" s="472"/>
      <c r="V803" s="472"/>
      <c r="W803" s="472"/>
      <c r="X803" s="472"/>
      <c r="Y803" s="472"/>
      <c r="Z803" s="472"/>
    </row>
    <row r="804" spans="1:26" ht="14.25" customHeight="1">
      <c r="A804" s="472"/>
      <c r="B804" s="472"/>
      <c r="C804" s="472"/>
      <c r="D804" s="472"/>
      <c r="E804" s="472"/>
      <c r="F804" s="472"/>
      <c r="G804" s="472"/>
      <c r="H804" s="472"/>
      <c r="I804" s="472"/>
      <c r="J804" s="472"/>
      <c r="K804" s="472"/>
      <c r="L804" s="472"/>
      <c r="M804" s="472"/>
      <c r="N804" s="472"/>
      <c r="O804" s="472"/>
      <c r="P804" s="472"/>
      <c r="Q804" s="472"/>
      <c r="R804" s="472"/>
      <c r="S804" s="472"/>
      <c r="T804" s="472"/>
      <c r="U804" s="472"/>
      <c r="V804" s="472"/>
      <c r="W804" s="472"/>
      <c r="X804" s="472"/>
      <c r="Y804" s="472"/>
      <c r="Z804" s="472"/>
    </row>
    <row r="805" spans="1:26" ht="14.25" customHeight="1">
      <c r="A805" s="472"/>
      <c r="B805" s="472"/>
      <c r="C805" s="472"/>
      <c r="D805" s="472"/>
      <c r="E805" s="472"/>
      <c r="F805" s="472"/>
      <c r="G805" s="472"/>
      <c r="H805" s="472"/>
      <c r="I805" s="472"/>
      <c r="J805" s="472"/>
      <c r="K805" s="472"/>
      <c r="L805" s="472"/>
      <c r="M805" s="472"/>
      <c r="N805" s="472"/>
      <c r="O805" s="472"/>
      <c r="P805" s="472"/>
      <c r="Q805" s="472"/>
      <c r="R805" s="472"/>
      <c r="S805" s="472"/>
      <c r="T805" s="472"/>
      <c r="U805" s="472"/>
      <c r="V805" s="472"/>
      <c r="W805" s="472"/>
      <c r="X805" s="472"/>
      <c r="Y805" s="472"/>
      <c r="Z805" s="472"/>
    </row>
    <row r="806" spans="1:26" ht="14.25" customHeight="1">
      <c r="A806" s="472"/>
      <c r="B806" s="472"/>
      <c r="C806" s="472"/>
      <c r="D806" s="472"/>
      <c r="E806" s="472"/>
      <c r="F806" s="472"/>
      <c r="G806" s="472"/>
      <c r="H806" s="472"/>
      <c r="I806" s="472"/>
      <c r="J806" s="472"/>
      <c r="K806" s="472"/>
      <c r="L806" s="472"/>
      <c r="M806" s="472"/>
      <c r="N806" s="472"/>
      <c r="O806" s="472"/>
      <c r="P806" s="472"/>
      <c r="Q806" s="472"/>
      <c r="R806" s="472"/>
      <c r="S806" s="472"/>
      <c r="T806" s="472"/>
      <c r="U806" s="472"/>
      <c r="V806" s="472"/>
      <c r="W806" s="472"/>
      <c r="X806" s="472"/>
      <c r="Y806" s="472"/>
      <c r="Z806" s="472"/>
    </row>
    <row r="807" spans="1:26" ht="14.25" customHeight="1">
      <c r="A807" s="472"/>
      <c r="B807" s="472"/>
      <c r="C807" s="472"/>
      <c r="D807" s="472"/>
      <c r="E807" s="472"/>
      <c r="F807" s="472"/>
      <c r="G807" s="472"/>
      <c r="H807" s="472"/>
      <c r="I807" s="472"/>
      <c r="J807" s="472"/>
      <c r="K807" s="472"/>
      <c r="L807" s="472"/>
      <c r="M807" s="472"/>
      <c r="N807" s="472"/>
      <c r="O807" s="472"/>
      <c r="P807" s="472"/>
      <c r="Q807" s="472"/>
      <c r="R807" s="472"/>
      <c r="S807" s="472"/>
      <c r="T807" s="472"/>
      <c r="U807" s="472"/>
      <c r="V807" s="472"/>
      <c r="W807" s="472"/>
      <c r="X807" s="472"/>
      <c r="Y807" s="472"/>
      <c r="Z807" s="472"/>
    </row>
    <row r="808" spans="1:26" ht="14.25" customHeight="1">
      <c r="A808" s="472"/>
      <c r="B808" s="472"/>
      <c r="C808" s="472"/>
      <c r="D808" s="472"/>
      <c r="E808" s="472"/>
      <c r="F808" s="472"/>
      <c r="G808" s="472"/>
      <c r="H808" s="472"/>
      <c r="I808" s="472"/>
      <c r="J808" s="472"/>
      <c r="K808" s="472"/>
      <c r="L808" s="472"/>
      <c r="M808" s="472"/>
      <c r="N808" s="472"/>
      <c r="O808" s="472"/>
      <c r="P808" s="472"/>
      <c r="Q808" s="472"/>
      <c r="R808" s="472"/>
      <c r="S808" s="472"/>
      <c r="T808" s="472"/>
      <c r="U808" s="472"/>
      <c r="V808" s="472"/>
      <c r="W808" s="472"/>
      <c r="X808" s="472"/>
      <c r="Y808" s="472"/>
      <c r="Z808" s="472"/>
    </row>
    <row r="809" spans="1:26" ht="14.25" customHeight="1">
      <c r="A809" s="472"/>
      <c r="B809" s="472"/>
      <c r="C809" s="472"/>
      <c r="D809" s="472"/>
      <c r="E809" s="472"/>
      <c r="F809" s="472"/>
      <c r="G809" s="472"/>
      <c r="H809" s="472"/>
      <c r="I809" s="472"/>
      <c r="J809" s="472"/>
      <c r="K809" s="472"/>
      <c r="L809" s="472"/>
      <c r="M809" s="472"/>
      <c r="N809" s="472"/>
      <c r="O809" s="472"/>
      <c r="P809" s="472"/>
      <c r="Q809" s="472"/>
      <c r="R809" s="472"/>
      <c r="S809" s="472"/>
      <c r="T809" s="472"/>
      <c r="U809" s="472"/>
      <c r="V809" s="472"/>
      <c r="W809" s="472"/>
      <c r="X809" s="472"/>
      <c r="Y809" s="472"/>
      <c r="Z809" s="472"/>
    </row>
    <row r="810" spans="1:26" ht="14.25" customHeight="1">
      <c r="A810" s="472"/>
      <c r="B810" s="472"/>
      <c r="C810" s="472"/>
      <c r="D810" s="472"/>
      <c r="E810" s="472"/>
      <c r="F810" s="472"/>
      <c r="G810" s="472"/>
      <c r="H810" s="472"/>
      <c r="I810" s="472"/>
      <c r="J810" s="472"/>
      <c r="K810" s="472"/>
      <c r="L810" s="472"/>
      <c r="M810" s="472"/>
      <c r="N810" s="472"/>
      <c r="O810" s="472"/>
      <c r="P810" s="472"/>
      <c r="Q810" s="472"/>
      <c r="R810" s="472"/>
      <c r="S810" s="472"/>
      <c r="T810" s="472"/>
      <c r="U810" s="472"/>
      <c r="V810" s="472"/>
      <c r="W810" s="472"/>
      <c r="X810" s="472"/>
      <c r="Y810" s="472"/>
      <c r="Z810" s="472"/>
    </row>
    <row r="811" spans="1:26" ht="14.25" customHeight="1">
      <c r="A811" s="472"/>
      <c r="B811" s="472"/>
      <c r="C811" s="472"/>
      <c r="D811" s="472"/>
      <c r="E811" s="472"/>
      <c r="F811" s="472"/>
      <c r="G811" s="472"/>
      <c r="H811" s="472"/>
      <c r="I811" s="472"/>
      <c r="J811" s="472"/>
      <c r="K811" s="472"/>
      <c r="L811" s="472"/>
      <c r="M811" s="472"/>
      <c r="N811" s="472"/>
      <c r="O811" s="472"/>
      <c r="P811" s="472"/>
      <c r="Q811" s="472"/>
      <c r="R811" s="472"/>
      <c r="S811" s="472"/>
      <c r="T811" s="472"/>
      <c r="U811" s="472"/>
      <c r="V811" s="472"/>
      <c r="W811" s="472"/>
      <c r="X811" s="472"/>
      <c r="Y811" s="472"/>
      <c r="Z811" s="472"/>
    </row>
    <row r="812" spans="1:26" ht="14.25" customHeight="1">
      <c r="A812" s="472"/>
      <c r="B812" s="472"/>
      <c r="C812" s="472"/>
      <c r="D812" s="472"/>
      <c r="E812" s="472"/>
      <c r="F812" s="472"/>
      <c r="G812" s="472"/>
      <c r="H812" s="472"/>
      <c r="I812" s="472"/>
      <c r="J812" s="472"/>
      <c r="K812" s="472"/>
      <c r="L812" s="472"/>
      <c r="M812" s="472"/>
      <c r="N812" s="472"/>
      <c r="O812" s="472"/>
      <c r="P812" s="472"/>
      <c r="Q812" s="472"/>
      <c r="R812" s="472"/>
      <c r="S812" s="472"/>
      <c r="T812" s="472"/>
      <c r="U812" s="472"/>
      <c r="V812" s="472"/>
      <c r="W812" s="472"/>
      <c r="X812" s="472"/>
      <c r="Y812" s="472"/>
      <c r="Z812" s="472"/>
    </row>
    <row r="813" spans="1:26" ht="14.25" customHeight="1">
      <c r="A813" s="472"/>
      <c r="B813" s="472"/>
      <c r="C813" s="472"/>
      <c r="D813" s="472"/>
      <c r="E813" s="472"/>
      <c r="F813" s="472"/>
      <c r="G813" s="472"/>
      <c r="H813" s="472"/>
      <c r="I813" s="472"/>
      <c r="J813" s="472"/>
      <c r="K813" s="472"/>
      <c r="L813" s="472"/>
      <c r="M813" s="472"/>
      <c r="N813" s="472"/>
      <c r="O813" s="472"/>
      <c r="P813" s="472"/>
      <c r="Q813" s="472"/>
      <c r="R813" s="472"/>
      <c r="S813" s="472"/>
      <c r="T813" s="472"/>
      <c r="U813" s="472"/>
      <c r="V813" s="472"/>
      <c r="W813" s="472"/>
      <c r="X813" s="472"/>
      <c r="Y813" s="472"/>
      <c r="Z813" s="472"/>
    </row>
    <row r="814" spans="1:26" ht="14.25" customHeight="1">
      <c r="A814" s="472"/>
      <c r="B814" s="472"/>
      <c r="C814" s="472"/>
      <c r="D814" s="472"/>
      <c r="E814" s="472"/>
      <c r="F814" s="472"/>
      <c r="G814" s="472"/>
      <c r="H814" s="472"/>
      <c r="I814" s="472"/>
      <c r="J814" s="472"/>
      <c r="K814" s="472"/>
      <c r="L814" s="472"/>
      <c r="M814" s="472"/>
      <c r="N814" s="472"/>
      <c r="O814" s="472"/>
      <c r="P814" s="472"/>
      <c r="Q814" s="472"/>
      <c r="R814" s="472"/>
      <c r="S814" s="472"/>
      <c r="T814" s="472"/>
      <c r="U814" s="472"/>
      <c r="V814" s="472"/>
      <c r="W814" s="472"/>
      <c r="X814" s="472"/>
      <c r="Y814" s="472"/>
      <c r="Z814" s="472"/>
    </row>
    <row r="815" spans="1:26" ht="14.25" customHeight="1">
      <c r="A815" s="472"/>
      <c r="B815" s="472"/>
      <c r="C815" s="472"/>
      <c r="D815" s="472"/>
      <c r="E815" s="472"/>
      <c r="F815" s="472"/>
      <c r="G815" s="472"/>
      <c r="H815" s="472"/>
      <c r="I815" s="472"/>
      <c r="J815" s="472"/>
      <c r="K815" s="472"/>
      <c r="L815" s="472"/>
      <c r="M815" s="472"/>
      <c r="N815" s="472"/>
      <c r="O815" s="472"/>
      <c r="P815" s="472"/>
      <c r="Q815" s="472"/>
      <c r="R815" s="472"/>
      <c r="S815" s="472"/>
      <c r="T815" s="472"/>
      <c r="U815" s="472"/>
      <c r="V815" s="472"/>
      <c r="W815" s="472"/>
      <c r="X815" s="472"/>
      <c r="Y815" s="472"/>
      <c r="Z815" s="472"/>
    </row>
    <row r="816" spans="1:26" ht="14.25" customHeight="1">
      <c r="A816" s="472"/>
      <c r="B816" s="472"/>
      <c r="C816" s="472"/>
      <c r="D816" s="472"/>
      <c r="E816" s="472"/>
      <c r="F816" s="472"/>
      <c r="G816" s="472"/>
      <c r="H816" s="472"/>
      <c r="I816" s="472"/>
      <c r="J816" s="472"/>
      <c r="K816" s="472"/>
      <c r="L816" s="472"/>
      <c r="M816" s="472"/>
      <c r="N816" s="472"/>
      <c r="O816" s="472"/>
      <c r="P816" s="472"/>
      <c r="Q816" s="472"/>
      <c r="R816" s="472"/>
      <c r="S816" s="472"/>
      <c r="T816" s="472"/>
      <c r="U816" s="472"/>
      <c r="V816" s="472"/>
      <c r="W816" s="472"/>
      <c r="X816" s="472"/>
      <c r="Y816" s="472"/>
      <c r="Z816" s="472"/>
    </row>
    <row r="817" spans="1:26" ht="14.25" customHeight="1">
      <c r="A817" s="472"/>
      <c r="B817" s="472"/>
      <c r="C817" s="472"/>
      <c r="D817" s="472"/>
      <c r="E817" s="472"/>
      <c r="F817" s="472"/>
      <c r="G817" s="472"/>
      <c r="H817" s="472"/>
      <c r="I817" s="472"/>
      <c r="J817" s="472"/>
      <c r="K817" s="472"/>
      <c r="L817" s="472"/>
      <c r="M817" s="472"/>
      <c r="N817" s="472"/>
      <c r="O817" s="472"/>
      <c r="P817" s="472"/>
      <c r="Q817" s="472"/>
      <c r="R817" s="472"/>
      <c r="S817" s="472"/>
      <c r="T817" s="472"/>
      <c r="U817" s="472"/>
      <c r="V817" s="472"/>
      <c r="W817" s="472"/>
      <c r="X817" s="472"/>
      <c r="Y817" s="472"/>
      <c r="Z817" s="472"/>
    </row>
    <row r="818" spans="1:26" ht="14.25" customHeight="1">
      <c r="A818" s="472"/>
      <c r="B818" s="472"/>
      <c r="C818" s="472"/>
      <c r="D818" s="472"/>
      <c r="E818" s="472"/>
      <c r="F818" s="472"/>
      <c r="G818" s="472"/>
      <c r="H818" s="472"/>
      <c r="I818" s="472"/>
      <c r="J818" s="472"/>
      <c r="K818" s="472"/>
      <c r="L818" s="472"/>
      <c r="M818" s="472"/>
      <c r="N818" s="472"/>
      <c r="O818" s="472"/>
      <c r="P818" s="472"/>
      <c r="Q818" s="472"/>
      <c r="R818" s="472"/>
      <c r="S818" s="472"/>
      <c r="T818" s="472"/>
      <c r="U818" s="472"/>
      <c r="V818" s="472"/>
      <c r="W818" s="472"/>
      <c r="X818" s="472"/>
      <c r="Y818" s="472"/>
      <c r="Z818" s="472"/>
    </row>
    <row r="819" spans="1:26" ht="14.25" customHeight="1">
      <c r="A819" s="472"/>
      <c r="B819" s="472"/>
      <c r="C819" s="472"/>
      <c r="D819" s="472"/>
      <c r="E819" s="472"/>
      <c r="F819" s="472"/>
      <c r="G819" s="472"/>
      <c r="H819" s="472"/>
      <c r="I819" s="472"/>
      <c r="J819" s="472"/>
      <c r="K819" s="472"/>
      <c r="L819" s="472"/>
      <c r="M819" s="472"/>
      <c r="N819" s="472"/>
      <c r="O819" s="472"/>
      <c r="P819" s="472"/>
      <c r="Q819" s="472"/>
      <c r="R819" s="472"/>
      <c r="S819" s="472"/>
      <c r="T819" s="472"/>
      <c r="U819" s="472"/>
      <c r="V819" s="472"/>
      <c r="W819" s="472"/>
      <c r="X819" s="472"/>
      <c r="Y819" s="472"/>
      <c r="Z819" s="472"/>
    </row>
    <row r="820" spans="1:26" ht="14.25" customHeight="1">
      <c r="A820" s="472"/>
      <c r="B820" s="472"/>
      <c r="C820" s="472"/>
      <c r="D820" s="472"/>
      <c r="E820" s="472"/>
      <c r="F820" s="472"/>
      <c r="G820" s="472"/>
      <c r="H820" s="472"/>
      <c r="I820" s="472"/>
      <c r="J820" s="472"/>
      <c r="K820" s="472"/>
      <c r="L820" s="472"/>
      <c r="M820" s="472"/>
      <c r="N820" s="472"/>
      <c r="O820" s="472"/>
      <c r="P820" s="472"/>
      <c r="Q820" s="472"/>
      <c r="R820" s="472"/>
      <c r="S820" s="472"/>
      <c r="T820" s="472"/>
      <c r="U820" s="472"/>
      <c r="V820" s="472"/>
      <c r="W820" s="472"/>
      <c r="X820" s="472"/>
      <c r="Y820" s="472"/>
      <c r="Z820" s="472"/>
    </row>
    <row r="821" spans="1:26" ht="14.25" customHeight="1">
      <c r="A821" s="472"/>
      <c r="B821" s="472"/>
      <c r="C821" s="472"/>
      <c r="D821" s="472"/>
      <c r="E821" s="472"/>
      <c r="F821" s="472"/>
      <c r="G821" s="472"/>
      <c r="H821" s="472"/>
      <c r="I821" s="472"/>
      <c r="J821" s="472"/>
      <c r="K821" s="472"/>
      <c r="L821" s="472"/>
      <c r="M821" s="472"/>
      <c r="N821" s="472"/>
      <c r="O821" s="472"/>
      <c r="P821" s="472"/>
      <c r="Q821" s="472"/>
      <c r="R821" s="472"/>
      <c r="S821" s="472"/>
      <c r="T821" s="472"/>
      <c r="U821" s="472"/>
      <c r="V821" s="472"/>
      <c r="W821" s="472"/>
      <c r="X821" s="472"/>
      <c r="Y821" s="472"/>
      <c r="Z821" s="472"/>
    </row>
    <row r="822" spans="1:26" ht="14.25" customHeight="1">
      <c r="A822" s="472"/>
      <c r="B822" s="472"/>
      <c r="C822" s="472"/>
      <c r="D822" s="472"/>
      <c r="E822" s="472"/>
      <c r="F822" s="472"/>
      <c r="G822" s="472"/>
      <c r="H822" s="472"/>
      <c r="I822" s="472"/>
      <c r="J822" s="472"/>
      <c r="K822" s="472"/>
      <c r="L822" s="472"/>
      <c r="M822" s="472"/>
      <c r="N822" s="472"/>
      <c r="O822" s="472"/>
      <c r="P822" s="472"/>
      <c r="Q822" s="472"/>
      <c r="R822" s="472"/>
      <c r="S822" s="472"/>
      <c r="T822" s="472"/>
      <c r="U822" s="472"/>
      <c r="V822" s="472"/>
      <c r="W822" s="472"/>
      <c r="X822" s="472"/>
      <c r="Y822" s="472"/>
      <c r="Z822" s="472"/>
    </row>
    <row r="823" spans="1:26" ht="14.25" customHeight="1">
      <c r="A823" s="472"/>
      <c r="B823" s="472"/>
      <c r="C823" s="472"/>
      <c r="D823" s="472"/>
      <c r="E823" s="472"/>
      <c r="F823" s="472"/>
      <c r="G823" s="472"/>
      <c r="H823" s="472"/>
      <c r="I823" s="472"/>
      <c r="J823" s="472"/>
      <c r="K823" s="472"/>
      <c r="L823" s="472"/>
      <c r="M823" s="472"/>
      <c r="N823" s="472"/>
      <c r="O823" s="472"/>
      <c r="P823" s="472"/>
      <c r="Q823" s="472"/>
      <c r="R823" s="472"/>
      <c r="S823" s="472"/>
      <c r="T823" s="472"/>
      <c r="U823" s="472"/>
      <c r="V823" s="472"/>
      <c r="W823" s="472"/>
      <c r="X823" s="472"/>
      <c r="Y823" s="472"/>
      <c r="Z823" s="472"/>
    </row>
    <row r="824" spans="1:26" ht="14.25" customHeight="1">
      <c r="A824" s="472"/>
      <c r="B824" s="472"/>
      <c r="C824" s="472"/>
      <c r="D824" s="472"/>
      <c r="E824" s="472"/>
      <c r="F824" s="472"/>
      <c r="G824" s="472"/>
      <c r="H824" s="472"/>
      <c r="I824" s="472"/>
      <c r="J824" s="472"/>
      <c r="K824" s="472"/>
      <c r="L824" s="472"/>
      <c r="M824" s="472"/>
      <c r="N824" s="472"/>
      <c r="O824" s="472"/>
      <c r="P824" s="472"/>
      <c r="Q824" s="472"/>
      <c r="R824" s="472"/>
      <c r="S824" s="472"/>
      <c r="T824" s="472"/>
      <c r="U824" s="472"/>
      <c r="V824" s="472"/>
      <c r="W824" s="472"/>
      <c r="X824" s="472"/>
      <c r="Y824" s="472"/>
      <c r="Z824" s="472"/>
    </row>
    <row r="825" spans="1:26" ht="14.25" customHeight="1">
      <c r="A825" s="472"/>
      <c r="B825" s="472"/>
      <c r="C825" s="472"/>
      <c r="D825" s="472"/>
      <c r="E825" s="472"/>
      <c r="F825" s="472"/>
      <c r="G825" s="472"/>
      <c r="H825" s="472"/>
      <c r="I825" s="472"/>
      <c r="J825" s="472"/>
      <c r="K825" s="472"/>
      <c r="L825" s="472"/>
      <c r="M825" s="472"/>
      <c r="N825" s="472"/>
      <c r="O825" s="472"/>
      <c r="P825" s="472"/>
      <c r="Q825" s="472"/>
      <c r="R825" s="472"/>
      <c r="S825" s="472"/>
      <c r="T825" s="472"/>
      <c r="U825" s="472"/>
      <c r="V825" s="472"/>
      <c r="W825" s="472"/>
      <c r="X825" s="472"/>
      <c r="Y825" s="472"/>
      <c r="Z825" s="472"/>
    </row>
    <row r="826" spans="1:26" ht="14.25" customHeight="1">
      <c r="A826" s="472"/>
      <c r="B826" s="472"/>
      <c r="C826" s="472"/>
      <c r="D826" s="472"/>
      <c r="E826" s="472"/>
      <c r="F826" s="472"/>
      <c r="G826" s="472"/>
      <c r="H826" s="472"/>
      <c r="I826" s="472"/>
      <c r="J826" s="472"/>
      <c r="K826" s="472"/>
      <c r="L826" s="472"/>
      <c r="M826" s="472"/>
      <c r="N826" s="472"/>
      <c r="O826" s="472"/>
      <c r="P826" s="472"/>
      <c r="Q826" s="472"/>
      <c r="R826" s="472"/>
      <c r="S826" s="472"/>
      <c r="T826" s="472"/>
      <c r="U826" s="472"/>
      <c r="V826" s="472"/>
      <c r="W826" s="472"/>
      <c r="X826" s="472"/>
      <c r="Y826" s="472"/>
      <c r="Z826" s="472"/>
    </row>
    <row r="827" spans="1:26" ht="14.25" customHeight="1">
      <c r="A827" s="472"/>
      <c r="B827" s="472"/>
      <c r="C827" s="472"/>
      <c r="D827" s="472"/>
      <c r="E827" s="472"/>
      <c r="F827" s="472"/>
      <c r="G827" s="472"/>
      <c r="H827" s="472"/>
      <c r="I827" s="472"/>
      <c r="J827" s="472"/>
      <c r="K827" s="472"/>
      <c r="L827" s="472"/>
      <c r="M827" s="472"/>
      <c r="N827" s="472"/>
      <c r="O827" s="472"/>
      <c r="P827" s="472"/>
      <c r="Q827" s="472"/>
      <c r="R827" s="472"/>
      <c r="S827" s="472"/>
      <c r="T827" s="472"/>
      <c r="U827" s="472"/>
      <c r="V827" s="472"/>
      <c r="W827" s="472"/>
      <c r="X827" s="472"/>
      <c r="Y827" s="472"/>
      <c r="Z827" s="472"/>
    </row>
    <row r="828" spans="1:26" ht="14.25" customHeight="1">
      <c r="A828" s="472"/>
      <c r="B828" s="472"/>
      <c r="C828" s="472"/>
      <c r="D828" s="472"/>
      <c r="E828" s="472"/>
      <c r="F828" s="472"/>
      <c r="G828" s="472"/>
      <c r="H828" s="472"/>
      <c r="I828" s="472"/>
      <c r="J828" s="472"/>
      <c r="K828" s="472"/>
      <c r="L828" s="472"/>
      <c r="M828" s="472"/>
      <c r="N828" s="472"/>
      <c r="O828" s="472"/>
      <c r="P828" s="472"/>
      <c r="Q828" s="472"/>
      <c r="R828" s="472"/>
      <c r="S828" s="472"/>
      <c r="T828" s="472"/>
      <c r="U828" s="472"/>
      <c r="V828" s="472"/>
      <c r="W828" s="472"/>
      <c r="X828" s="472"/>
      <c r="Y828" s="472"/>
      <c r="Z828" s="472"/>
    </row>
    <row r="829" spans="1:26" ht="14.25" customHeight="1">
      <c r="A829" s="472"/>
      <c r="B829" s="472"/>
      <c r="C829" s="472"/>
      <c r="D829" s="472"/>
      <c r="E829" s="472"/>
      <c r="F829" s="472"/>
      <c r="G829" s="472"/>
      <c r="H829" s="472"/>
      <c r="I829" s="472"/>
      <c r="J829" s="472"/>
      <c r="K829" s="472"/>
      <c r="L829" s="472"/>
      <c r="M829" s="472"/>
      <c r="N829" s="472"/>
      <c r="O829" s="472"/>
      <c r="P829" s="472"/>
      <c r="Q829" s="472"/>
      <c r="R829" s="472"/>
      <c r="S829" s="472"/>
      <c r="T829" s="472"/>
      <c r="U829" s="472"/>
      <c r="V829" s="472"/>
      <c r="W829" s="472"/>
      <c r="X829" s="472"/>
      <c r="Y829" s="472"/>
      <c r="Z829" s="472"/>
    </row>
    <row r="830" spans="1:26" ht="14.25" customHeight="1">
      <c r="A830" s="472"/>
      <c r="B830" s="472"/>
      <c r="C830" s="472"/>
      <c r="D830" s="472"/>
      <c r="E830" s="472"/>
      <c r="F830" s="472"/>
      <c r="G830" s="472"/>
      <c r="H830" s="472"/>
      <c r="I830" s="472"/>
      <c r="J830" s="472"/>
      <c r="K830" s="472"/>
      <c r="L830" s="472"/>
      <c r="M830" s="472"/>
      <c r="N830" s="472"/>
      <c r="O830" s="472"/>
      <c r="P830" s="472"/>
      <c r="Q830" s="472"/>
      <c r="R830" s="472"/>
      <c r="S830" s="472"/>
      <c r="T830" s="472"/>
      <c r="U830" s="472"/>
      <c r="V830" s="472"/>
      <c r="W830" s="472"/>
      <c r="X830" s="472"/>
      <c r="Y830" s="472"/>
      <c r="Z830" s="472"/>
    </row>
    <row r="831" spans="1:26" ht="14.25" customHeight="1">
      <c r="A831" s="472"/>
      <c r="B831" s="472"/>
      <c r="C831" s="472"/>
      <c r="D831" s="472"/>
      <c r="E831" s="472"/>
      <c r="F831" s="472"/>
      <c r="G831" s="472"/>
      <c r="H831" s="472"/>
      <c r="I831" s="472"/>
      <c r="J831" s="472"/>
      <c r="K831" s="472"/>
      <c r="L831" s="472"/>
      <c r="M831" s="472"/>
      <c r="N831" s="472"/>
      <c r="O831" s="472"/>
      <c r="P831" s="472"/>
      <c r="Q831" s="472"/>
      <c r="R831" s="472"/>
      <c r="S831" s="472"/>
      <c r="T831" s="472"/>
      <c r="U831" s="472"/>
      <c r="V831" s="472"/>
      <c r="W831" s="472"/>
      <c r="X831" s="472"/>
      <c r="Y831" s="472"/>
      <c r="Z831" s="472"/>
    </row>
    <row r="832" spans="1:26" ht="14.25" customHeight="1">
      <c r="A832" s="472"/>
      <c r="B832" s="472"/>
      <c r="C832" s="472"/>
      <c r="D832" s="472"/>
      <c r="E832" s="472"/>
      <c r="F832" s="472"/>
      <c r="G832" s="472"/>
      <c r="H832" s="472"/>
      <c r="I832" s="472"/>
      <c r="J832" s="472"/>
      <c r="K832" s="472"/>
      <c r="L832" s="472"/>
      <c r="M832" s="472"/>
      <c r="N832" s="472"/>
      <c r="O832" s="472"/>
      <c r="P832" s="472"/>
      <c r="Q832" s="472"/>
      <c r="R832" s="472"/>
      <c r="S832" s="472"/>
      <c r="T832" s="472"/>
      <c r="U832" s="472"/>
      <c r="V832" s="472"/>
      <c r="W832" s="472"/>
      <c r="X832" s="472"/>
      <c r="Y832" s="472"/>
      <c r="Z832" s="472"/>
    </row>
    <row r="833" spans="1:26" ht="14.25" customHeight="1">
      <c r="A833" s="472"/>
      <c r="B833" s="472"/>
      <c r="C833" s="472"/>
      <c r="D833" s="472"/>
      <c r="E833" s="472"/>
      <c r="F833" s="472"/>
      <c r="G833" s="472"/>
      <c r="H833" s="472"/>
      <c r="I833" s="472"/>
      <c r="J833" s="472"/>
      <c r="K833" s="472"/>
      <c r="L833" s="472"/>
      <c r="M833" s="472"/>
      <c r="N833" s="472"/>
      <c r="O833" s="472"/>
      <c r="P833" s="472"/>
      <c r="Q833" s="472"/>
      <c r="R833" s="472"/>
      <c r="S833" s="472"/>
      <c r="T833" s="472"/>
      <c r="U833" s="472"/>
      <c r="V833" s="472"/>
      <c r="W833" s="472"/>
      <c r="X833" s="472"/>
      <c r="Y833" s="472"/>
      <c r="Z833" s="472"/>
    </row>
    <row r="834" spans="1:26" ht="14.25" customHeight="1">
      <c r="A834" s="472"/>
      <c r="B834" s="472"/>
      <c r="C834" s="472"/>
      <c r="D834" s="472"/>
      <c r="E834" s="472"/>
      <c r="F834" s="472"/>
      <c r="G834" s="472"/>
      <c r="H834" s="472"/>
      <c r="I834" s="472"/>
      <c r="J834" s="472"/>
      <c r="K834" s="472"/>
      <c r="L834" s="472"/>
      <c r="M834" s="472"/>
      <c r="N834" s="472"/>
      <c r="O834" s="472"/>
      <c r="P834" s="472"/>
      <c r="Q834" s="472"/>
      <c r="R834" s="472"/>
      <c r="S834" s="472"/>
      <c r="T834" s="472"/>
      <c r="U834" s="472"/>
      <c r="V834" s="472"/>
      <c r="W834" s="472"/>
      <c r="X834" s="472"/>
      <c r="Y834" s="472"/>
      <c r="Z834" s="472"/>
    </row>
    <row r="835" spans="1:26" ht="14.25" customHeight="1">
      <c r="A835" s="472"/>
      <c r="B835" s="472"/>
      <c r="C835" s="472"/>
      <c r="D835" s="472"/>
      <c r="E835" s="472"/>
      <c r="F835" s="472"/>
      <c r="G835" s="472"/>
      <c r="H835" s="472"/>
      <c r="I835" s="472"/>
      <c r="J835" s="472"/>
      <c r="K835" s="472"/>
      <c r="L835" s="472"/>
      <c r="M835" s="472"/>
      <c r="N835" s="472"/>
      <c r="O835" s="472"/>
      <c r="P835" s="472"/>
      <c r="Q835" s="472"/>
      <c r="R835" s="472"/>
      <c r="S835" s="472"/>
      <c r="T835" s="472"/>
      <c r="U835" s="472"/>
      <c r="V835" s="472"/>
      <c r="W835" s="472"/>
      <c r="X835" s="472"/>
      <c r="Y835" s="472"/>
      <c r="Z835" s="472"/>
    </row>
    <row r="836" spans="1:26" ht="14.25" customHeight="1">
      <c r="A836" s="472"/>
      <c r="B836" s="472"/>
      <c r="C836" s="472"/>
      <c r="D836" s="472"/>
      <c r="E836" s="472"/>
      <c r="F836" s="472"/>
      <c r="G836" s="472"/>
      <c r="H836" s="472"/>
      <c r="I836" s="472"/>
      <c r="J836" s="472"/>
      <c r="K836" s="472"/>
      <c r="L836" s="472"/>
      <c r="M836" s="472"/>
      <c r="N836" s="472"/>
      <c r="O836" s="472"/>
      <c r="P836" s="472"/>
      <c r="Q836" s="472"/>
      <c r="R836" s="472"/>
      <c r="S836" s="472"/>
      <c r="T836" s="472"/>
      <c r="U836" s="472"/>
      <c r="V836" s="472"/>
      <c r="W836" s="472"/>
      <c r="X836" s="472"/>
      <c r="Y836" s="472"/>
      <c r="Z836" s="472"/>
    </row>
    <row r="837" spans="1:26" ht="14.25" customHeight="1">
      <c r="A837" s="472"/>
      <c r="B837" s="472"/>
      <c r="C837" s="472"/>
      <c r="D837" s="472"/>
      <c r="E837" s="472"/>
      <c r="F837" s="472"/>
      <c r="G837" s="472"/>
      <c r="H837" s="472"/>
      <c r="I837" s="472"/>
      <c r="J837" s="472"/>
      <c r="K837" s="472"/>
      <c r="L837" s="472"/>
      <c r="M837" s="472"/>
      <c r="N837" s="472"/>
      <c r="O837" s="472"/>
      <c r="P837" s="472"/>
      <c r="Q837" s="472"/>
      <c r="R837" s="472"/>
      <c r="S837" s="472"/>
      <c r="T837" s="472"/>
      <c r="U837" s="472"/>
      <c r="V837" s="472"/>
      <c r="W837" s="472"/>
      <c r="X837" s="472"/>
      <c r="Y837" s="472"/>
      <c r="Z837" s="472"/>
    </row>
    <row r="838" spans="1:26" ht="14.25" customHeight="1">
      <c r="A838" s="472"/>
      <c r="B838" s="472"/>
      <c r="C838" s="472"/>
      <c r="D838" s="472"/>
      <c r="E838" s="472"/>
      <c r="F838" s="472"/>
      <c r="G838" s="472"/>
      <c r="H838" s="472"/>
      <c r="I838" s="472"/>
      <c r="J838" s="472"/>
      <c r="K838" s="472"/>
      <c r="L838" s="472"/>
      <c r="M838" s="472"/>
      <c r="N838" s="472"/>
      <c r="O838" s="472"/>
      <c r="P838" s="472"/>
      <c r="Q838" s="472"/>
      <c r="R838" s="472"/>
      <c r="S838" s="472"/>
      <c r="T838" s="472"/>
      <c r="U838" s="472"/>
      <c r="V838" s="472"/>
      <c r="W838" s="472"/>
      <c r="X838" s="472"/>
      <c r="Y838" s="472"/>
      <c r="Z838" s="472"/>
    </row>
    <row r="839" spans="1:26" ht="14.25" customHeight="1">
      <c r="A839" s="472"/>
      <c r="B839" s="472"/>
      <c r="C839" s="472"/>
      <c r="D839" s="472"/>
      <c r="E839" s="472"/>
      <c r="F839" s="472"/>
      <c r="G839" s="472"/>
      <c r="H839" s="472"/>
      <c r="I839" s="472"/>
      <c r="J839" s="472"/>
      <c r="K839" s="472"/>
      <c r="L839" s="472"/>
      <c r="M839" s="472"/>
      <c r="N839" s="472"/>
      <c r="O839" s="472"/>
      <c r="P839" s="472"/>
      <c r="Q839" s="472"/>
      <c r="R839" s="472"/>
      <c r="S839" s="472"/>
      <c r="T839" s="472"/>
      <c r="U839" s="472"/>
      <c r="V839" s="472"/>
      <c r="W839" s="472"/>
      <c r="X839" s="472"/>
      <c r="Y839" s="472"/>
      <c r="Z839" s="472"/>
    </row>
    <row r="840" spans="1:26" ht="14.25" customHeight="1">
      <c r="A840" s="472"/>
      <c r="B840" s="472"/>
      <c r="C840" s="472"/>
      <c r="D840" s="472"/>
      <c r="E840" s="472"/>
      <c r="F840" s="472"/>
      <c r="G840" s="472"/>
      <c r="H840" s="472"/>
      <c r="I840" s="472"/>
      <c r="J840" s="472"/>
      <c r="K840" s="472"/>
      <c r="L840" s="472"/>
      <c r="M840" s="472"/>
      <c r="N840" s="472"/>
      <c r="O840" s="472"/>
      <c r="P840" s="472"/>
      <c r="Q840" s="472"/>
      <c r="R840" s="472"/>
      <c r="S840" s="472"/>
      <c r="T840" s="472"/>
      <c r="U840" s="472"/>
      <c r="V840" s="472"/>
      <c r="W840" s="472"/>
      <c r="X840" s="472"/>
      <c r="Y840" s="472"/>
      <c r="Z840" s="472"/>
    </row>
    <row r="841" spans="1:26" ht="14.25" customHeight="1">
      <c r="A841" s="472"/>
      <c r="B841" s="472"/>
      <c r="C841" s="472"/>
      <c r="D841" s="472"/>
      <c r="E841" s="472"/>
      <c r="F841" s="472"/>
      <c r="G841" s="472"/>
      <c r="H841" s="472"/>
      <c r="I841" s="472"/>
      <c r="J841" s="472"/>
      <c r="K841" s="472"/>
      <c r="L841" s="472"/>
      <c r="M841" s="472"/>
      <c r="N841" s="472"/>
      <c r="O841" s="472"/>
      <c r="P841" s="472"/>
      <c r="Q841" s="472"/>
      <c r="R841" s="472"/>
      <c r="S841" s="472"/>
      <c r="T841" s="472"/>
      <c r="U841" s="472"/>
      <c r="V841" s="472"/>
      <c r="W841" s="472"/>
      <c r="X841" s="472"/>
      <c r="Y841" s="472"/>
      <c r="Z841" s="472"/>
    </row>
    <row r="842" spans="1:26" ht="14.25" customHeight="1">
      <c r="A842" s="472"/>
      <c r="B842" s="472"/>
      <c r="C842" s="472"/>
      <c r="D842" s="472"/>
      <c r="E842" s="472"/>
      <c r="F842" s="472"/>
      <c r="G842" s="472"/>
      <c r="H842" s="472"/>
      <c r="I842" s="472"/>
      <c r="J842" s="472"/>
      <c r="K842" s="472"/>
      <c r="L842" s="472"/>
      <c r="M842" s="472"/>
      <c r="N842" s="472"/>
      <c r="O842" s="472"/>
      <c r="P842" s="472"/>
      <c r="Q842" s="472"/>
      <c r="R842" s="472"/>
      <c r="S842" s="472"/>
      <c r="T842" s="472"/>
      <c r="U842" s="472"/>
      <c r="V842" s="472"/>
      <c r="W842" s="472"/>
      <c r="X842" s="472"/>
      <c r="Y842" s="472"/>
      <c r="Z842" s="472"/>
    </row>
    <row r="843" spans="1:26" ht="14.25" customHeight="1">
      <c r="A843" s="472"/>
      <c r="B843" s="472"/>
      <c r="C843" s="472"/>
      <c r="D843" s="472"/>
      <c r="E843" s="472"/>
      <c r="F843" s="472"/>
      <c r="G843" s="472"/>
      <c r="H843" s="472"/>
      <c r="I843" s="472"/>
      <c r="J843" s="472"/>
      <c r="K843" s="472"/>
      <c r="L843" s="472"/>
      <c r="M843" s="472"/>
      <c r="N843" s="472"/>
      <c r="O843" s="472"/>
      <c r="P843" s="472"/>
      <c r="Q843" s="472"/>
      <c r="R843" s="472"/>
      <c r="S843" s="472"/>
      <c r="T843" s="472"/>
      <c r="U843" s="472"/>
      <c r="V843" s="472"/>
      <c r="W843" s="472"/>
      <c r="X843" s="472"/>
      <c r="Y843" s="472"/>
      <c r="Z843" s="472"/>
    </row>
    <row r="844" spans="1:26" ht="14.25" customHeight="1">
      <c r="A844" s="472"/>
      <c r="B844" s="472"/>
      <c r="C844" s="472"/>
      <c r="D844" s="472"/>
      <c r="E844" s="472"/>
      <c r="F844" s="472"/>
      <c r="G844" s="472"/>
      <c r="H844" s="472"/>
      <c r="I844" s="472"/>
      <c r="J844" s="472"/>
      <c r="K844" s="472"/>
      <c r="L844" s="472"/>
      <c r="M844" s="472"/>
      <c r="N844" s="472"/>
      <c r="O844" s="472"/>
      <c r="P844" s="472"/>
      <c r="Q844" s="472"/>
      <c r="R844" s="472"/>
      <c r="S844" s="472"/>
      <c r="T844" s="472"/>
      <c r="U844" s="472"/>
      <c r="V844" s="472"/>
      <c r="W844" s="472"/>
      <c r="X844" s="472"/>
      <c r="Y844" s="472"/>
      <c r="Z844" s="472"/>
    </row>
    <row r="845" spans="1:26" ht="14.25" customHeight="1">
      <c r="A845" s="472"/>
      <c r="B845" s="472"/>
      <c r="C845" s="472"/>
      <c r="D845" s="472"/>
      <c r="E845" s="472"/>
      <c r="F845" s="472"/>
      <c r="G845" s="472"/>
      <c r="H845" s="472"/>
      <c r="I845" s="472"/>
      <c r="J845" s="472"/>
      <c r="K845" s="472"/>
      <c r="L845" s="472"/>
      <c r="M845" s="472"/>
      <c r="N845" s="472"/>
      <c r="O845" s="472"/>
      <c r="P845" s="472"/>
      <c r="Q845" s="472"/>
      <c r="R845" s="472"/>
      <c r="S845" s="472"/>
      <c r="T845" s="472"/>
      <c r="U845" s="472"/>
      <c r="V845" s="472"/>
      <c r="W845" s="472"/>
      <c r="X845" s="472"/>
      <c r="Y845" s="472"/>
      <c r="Z845" s="472"/>
    </row>
    <row r="846" spans="1:26" ht="14.25" customHeight="1">
      <c r="A846" s="472"/>
      <c r="B846" s="472"/>
      <c r="C846" s="472"/>
      <c r="D846" s="472"/>
      <c r="E846" s="472"/>
      <c r="F846" s="472"/>
      <c r="G846" s="472"/>
      <c r="H846" s="472"/>
      <c r="I846" s="472"/>
      <c r="J846" s="472"/>
      <c r="K846" s="472"/>
      <c r="L846" s="472"/>
      <c r="M846" s="472"/>
      <c r="N846" s="472"/>
      <c r="O846" s="472"/>
      <c r="P846" s="472"/>
      <c r="Q846" s="472"/>
      <c r="R846" s="472"/>
      <c r="S846" s="472"/>
      <c r="T846" s="472"/>
      <c r="U846" s="472"/>
      <c r="V846" s="472"/>
      <c r="W846" s="472"/>
      <c r="X846" s="472"/>
      <c r="Y846" s="472"/>
      <c r="Z846" s="472"/>
    </row>
    <row r="847" spans="1:26" ht="14.25" customHeight="1">
      <c r="A847" s="472"/>
      <c r="B847" s="472"/>
      <c r="C847" s="472"/>
      <c r="D847" s="472"/>
      <c r="E847" s="472"/>
      <c r="F847" s="472"/>
      <c r="G847" s="472"/>
      <c r="H847" s="472"/>
      <c r="I847" s="472"/>
      <c r="J847" s="472"/>
      <c r="K847" s="472"/>
      <c r="L847" s="472"/>
      <c r="M847" s="472"/>
      <c r="N847" s="472"/>
      <c r="O847" s="472"/>
      <c r="P847" s="472"/>
      <c r="Q847" s="472"/>
      <c r="R847" s="472"/>
      <c r="S847" s="472"/>
      <c r="T847" s="472"/>
      <c r="U847" s="472"/>
      <c r="V847" s="472"/>
      <c r="W847" s="472"/>
      <c r="X847" s="472"/>
      <c r="Y847" s="472"/>
      <c r="Z847" s="472"/>
    </row>
    <row r="848" spans="1:26" ht="14.25" customHeight="1">
      <c r="A848" s="472"/>
      <c r="B848" s="472"/>
      <c r="C848" s="472"/>
      <c r="D848" s="472"/>
      <c r="E848" s="472"/>
      <c r="F848" s="472"/>
      <c r="G848" s="472"/>
      <c r="H848" s="472"/>
      <c r="I848" s="472"/>
      <c r="J848" s="472"/>
      <c r="K848" s="472"/>
      <c r="L848" s="472"/>
      <c r="M848" s="472"/>
      <c r="N848" s="472"/>
      <c r="O848" s="472"/>
      <c r="P848" s="472"/>
      <c r="Q848" s="472"/>
      <c r="R848" s="472"/>
      <c r="S848" s="472"/>
      <c r="T848" s="472"/>
      <c r="U848" s="472"/>
      <c r="V848" s="472"/>
      <c r="W848" s="472"/>
      <c r="X848" s="472"/>
      <c r="Y848" s="472"/>
      <c r="Z848" s="472"/>
    </row>
    <row r="849" spans="1:26" ht="14.25" customHeight="1">
      <c r="A849" s="472"/>
      <c r="B849" s="472"/>
      <c r="C849" s="472"/>
      <c r="D849" s="472"/>
      <c r="E849" s="472"/>
      <c r="F849" s="472"/>
      <c r="G849" s="472"/>
      <c r="H849" s="472"/>
      <c r="I849" s="472"/>
      <c r="J849" s="472"/>
      <c r="K849" s="472"/>
      <c r="L849" s="472"/>
      <c r="M849" s="472"/>
      <c r="N849" s="472"/>
      <c r="O849" s="472"/>
      <c r="P849" s="472"/>
      <c r="Q849" s="472"/>
      <c r="R849" s="472"/>
      <c r="S849" s="472"/>
      <c r="T849" s="472"/>
      <c r="U849" s="472"/>
      <c r="V849" s="472"/>
      <c r="W849" s="472"/>
      <c r="X849" s="472"/>
      <c r="Y849" s="472"/>
      <c r="Z849" s="472"/>
    </row>
    <row r="850" spans="1:26" ht="14.25" customHeight="1">
      <c r="A850" s="472"/>
      <c r="B850" s="472"/>
      <c r="C850" s="472"/>
      <c r="D850" s="472"/>
      <c r="E850" s="472"/>
      <c r="F850" s="472"/>
      <c r="G850" s="472"/>
      <c r="H850" s="472"/>
      <c r="I850" s="472"/>
      <c r="J850" s="472"/>
      <c r="K850" s="472"/>
      <c r="L850" s="472"/>
      <c r="M850" s="472"/>
      <c r="N850" s="472"/>
      <c r="O850" s="472"/>
      <c r="P850" s="472"/>
      <c r="Q850" s="472"/>
      <c r="R850" s="472"/>
      <c r="S850" s="472"/>
      <c r="T850" s="472"/>
      <c r="U850" s="472"/>
      <c r="V850" s="472"/>
      <c r="W850" s="472"/>
      <c r="X850" s="472"/>
      <c r="Y850" s="472"/>
      <c r="Z850" s="472"/>
    </row>
    <row r="851" spans="1:26" ht="14.25" customHeight="1">
      <c r="A851" s="472"/>
      <c r="B851" s="472"/>
      <c r="C851" s="472"/>
      <c r="D851" s="472"/>
      <c r="E851" s="472"/>
      <c r="F851" s="472"/>
      <c r="G851" s="472"/>
      <c r="H851" s="472"/>
      <c r="I851" s="472"/>
      <c r="J851" s="472"/>
      <c r="K851" s="472"/>
      <c r="L851" s="472"/>
      <c r="M851" s="472"/>
      <c r="N851" s="472"/>
      <c r="O851" s="472"/>
      <c r="P851" s="472"/>
      <c r="Q851" s="472"/>
      <c r="R851" s="472"/>
      <c r="S851" s="472"/>
      <c r="T851" s="472"/>
      <c r="U851" s="472"/>
      <c r="V851" s="472"/>
      <c r="W851" s="472"/>
      <c r="X851" s="472"/>
      <c r="Y851" s="472"/>
      <c r="Z851" s="472"/>
    </row>
    <row r="852" spans="1:26" ht="14.25" customHeight="1">
      <c r="A852" s="472"/>
      <c r="B852" s="472"/>
      <c r="C852" s="472"/>
      <c r="D852" s="472"/>
      <c r="E852" s="472"/>
      <c r="F852" s="472"/>
      <c r="G852" s="472"/>
      <c r="H852" s="472"/>
      <c r="I852" s="472"/>
      <c r="J852" s="472"/>
      <c r="K852" s="472"/>
      <c r="L852" s="472"/>
      <c r="M852" s="472"/>
      <c r="N852" s="472"/>
      <c r="O852" s="472"/>
      <c r="P852" s="472"/>
      <c r="Q852" s="472"/>
      <c r="R852" s="472"/>
      <c r="S852" s="472"/>
      <c r="T852" s="472"/>
      <c r="U852" s="472"/>
      <c r="V852" s="472"/>
      <c r="W852" s="472"/>
      <c r="X852" s="472"/>
      <c r="Y852" s="472"/>
      <c r="Z852" s="472"/>
    </row>
    <row r="853" spans="1:26" ht="14.25" customHeight="1">
      <c r="A853" s="472"/>
      <c r="B853" s="472"/>
      <c r="C853" s="472"/>
      <c r="D853" s="472"/>
      <c r="E853" s="472"/>
      <c r="F853" s="472"/>
      <c r="G853" s="472"/>
      <c r="H853" s="472"/>
      <c r="I853" s="472"/>
      <c r="J853" s="472"/>
      <c r="K853" s="472"/>
      <c r="L853" s="472"/>
      <c r="M853" s="472"/>
      <c r="N853" s="472"/>
      <c r="O853" s="472"/>
      <c r="P853" s="472"/>
      <c r="Q853" s="472"/>
      <c r="R853" s="472"/>
      <c r="S853" s="472"/>
      <c r="T853" s="472"/>
      <c r="U853" s="472"/>
      <c r="V853" s="472"/>
      <c r="W853" s="472"/>
      <c r="X853" s="472"/>
      <c r="Y853" s="472"/>
      <c r="Z853" s="472"/>
    </row>
    <row r="854" spans="1:26" ht="14.25" customHeight="1">
      <c r="A854" s="472"/>
      <c r="B854" s="472"/>
      <c r="C854" s="472"/>
      <c r="D854" s="472"/>
      <c r="E854" s="472"/>
      <c r="F854" s="472"/>
      <c r="G854" s="472"/>
      <c r="H854" s="472"/>
      <c r="I854" s="472"/>
      <c r="J854" s="472"/>
      <c r="K854" s="472"/>
      <c r="L854" s="472"/>
      <c r="M854" s="472"/>
      <c r="N854" s="472"/>
      <c r="O854" s="472"/>
      <c r="P854" s="472"/>
      <c r="Q854" s="472"/>
      <c r="R854" s="472"/>
      <c r="S854" s="472"/>
      <c r="T854" s="472"/>
      <c r="U854" s="472"/>
      <c r="V854" s="472"/>
      <c r="W854" s="472"/>
      <c r="X854" s="472"/>
      <c r="Y854" s="472"/>
      <c r="Z854" s="472"/>
    </row>
    <row r="855" spans="1:26" ht="14.25" customHeight="1">
      <c r="A855" s="472"/>
      <c r="B855" s="472"/>
      <c r="C855" s="472"/>
      <c r="D855" s="472"/>
      <c r="E855" s="472"/>
      <c r="F855" s="472"/>
      <c r="G855" s="472"/>
      <c r="H855" s="472"/>
      <c r="I855" s="472"/>
      <c r="J855" s="472"/>
      <c r="K855" s="472"/>
      <c r="L855" s="472"/>
      <c r="M855" s="472"/>
      <c r="N855" s="472"/>
      <c r="O855" s="472"/>
      <c r="P855" s="472"/>
      <c r="Q855" s="472"/>
      <c r="R855" s="472"/>
      <c r="S855" s="472"/>
      <c r="T855" s="472"/>
      <c r="U855" s="472"/>
      <c r="V855" s="472"/>
      <c r="W855" s="472"/>
      <c r="X855" s="472"/>
      <c r="Y855" s="472"/>
      <c r="Z855" s="472"/>
    </row>
    <row r="856" spans="1:26" ht="14.25" customHeight="1">
      <c r="A856" s="472"/>
      <c r="B856" s="472"/>
      <c r="C856" s="472"/>
      <c r="D856" s="472"/>
      <c r="E856" s="472"/>
      <c r="F856" s="472"/>
      <c r="G856" s="472"/>
      <c r="H856" s="472"/>
      <c r="I856" s="472"/>
      <c r="J856" s="472"/>
      <c r="K856" s="472"/>
      <c r="L856" s="472"/>
      <c r="M856" s="472"/>
      <c r="N856" s="472"/>
      <c r="O856" s="472"/>
      <c r="P856" s="472"/>
      <c r="Q856" s="472"/>
      <c r="R856" s="472"/>
      <c r="S856" s="472"/>
      <c r="T856" s="472"/>
      <c r="U856" s="472"/>
      <c r="V856" s="472"/>
      <c r="W856" s="472"/>
      <c r="X856" s="472"/>
      <c r="Y856" s="472"/>
      <c r="Z856" s="472"/>
    </row>
    <row r="857" spans="1:26" ht="14.25" customHeight="1">
      <c r="A857" s="472"/>
      <c r="B857" s="472"/>
      <c r="C857" s="472"/>
      <c r="D857" s="472"/>
      <c r="E857" s="472"/>
      <c r="F857" s="472"/>
      <c r="G857" s="472"/>
      <c r="H857" s="472"/>
      <c r="I857" s="472"/>
      <c r="J857" s="472"/>
      <c r="K857" s="472"/>
      <c r="L857" s="472"/>
      <c r="M857" s="472"/>
      <c r="N857" s="472"/>
      <c r="O857" s="472"/>
      <c r="P857" s="472"/>
      <c r="Q857" s="472"/>
      <c r="R857" s="472"/>
      <c r="S857" s="472"/>
      <c r="T857" s="472"/>
      <c r="U857" s="472"/>
      <c r="V857" s="472"/>
      <c r="W857" s="472"/>
      <c r="X857" s="472"/>
      <c r="Y857" s="472"/>
      <c r="Z857" s="472"/>
    </row>
    <row r="858" spans="1:26" ht="14.25" customHeight="1">
      <c r="A858" s="472"/>
      <c r="B858" s="472"/>
      <c r="C858" s="472"/>
      <c r="D858" s="472"/>
      <c r="E858" s="472"/>
      <c r="F858" s="472"/>
      <c r="G858" s="472"/>
      <c r="H858" s="472"/>
      <c r="I858" s="472"/>
      <c r="J858" s="472"/>
      <c r="K858" s="472"/>
      <c r="L858" s="472"/>
      <c r="M858" s="472"/>
      <c r="N858" s="472"/>
      <c r="O858" s="472"/>
      <c r="P858" s="472"/>
      <c r="Q858" s="472"/>
      <c r="R858" s="472"/>
      <c r="S858" s="472"/>
      <c r="T858" s="472"/>
      <c r="U858" s="472"/>
      <c r="V858" s="472"/>
      <c r="W858" s="472"/>
      <c r="X858" s="472"/>
      <c r="Y858" s="472"/>
      <c r="Z858" s="472"/>
    </row>
    <row r="859" spans="1:26" ht="14.25" customHeight="1">
      <c r="A859" s="472"/>
      <c r="B859" s="472"/>
      <c r="C859" s="472"/>
      <c r="D859" s="472"/>
      <c r="E859" s="472"/>
      <c r="F859" s="472"/>
      <c r="G859" s="472"/>
      <c r="H859" s="472"/>
      <c r="I859" s="472"/>
      <c r="J859" s="472"/>
      <c r="K859" s="472"/>
      <c r="L859" s="472"/>
      <c r="M859" s="472"/>
      <c r="N859" s="472"/>
      <c r="O859" s="472"/>
      <c r="P859" s="472"/>
      <c r="Q859" s="472"/>
      <c r="R859" s="472"/>
      <c r="S859" s="472"/>
      <c r="T859" s="472"/>
      <c r="U859" s="472"/>
      <c r="V859" s="472"/>
      <c r="W859" s="472"/>
      <c r="X859" s="472"/>
      <c r="Y859" s="472"/>
      <c r="Z859" s="472"/>
    </row>
    <row r="860" spans="1:26" ht="14.25" customHeight="1">
      <c r="A860" s="472"/>
      <c r="B860" s="472"/>
      <c r="C860" s="472"/>
      <c r="D860" s="472"/>
      <c r="E860" s="472"/>
      <c r="F860" s="472"/>
      <c r="G860" s="472"/>
      <c r="H860" s="472"/>
      <c r="I860" s="472"/>
      <c r="J860" s="472"/>
      <c r="K860" s="472"/>
      <c r="L860" s="472"/>
      <c r="M860" s="472"/>
      <c r="N860" s="472"/>
      <c r="O860" s="472"/>
      <c r="P860" s="472"/>
      <c r="Q860" s="472"/>
      <c r="R860" s="472"/>
      <c r="S860" s="472"/>
      <c r="T860" s="472"/>
      <c r="U860" s="472"/>
      <c r="V860" s="472"/>
      <c r="W860" s="472"/>
      <c r="X860" s="472"/>
      <c r="Y860" s="472"/>
      <c r="Z860" s="472"/>
    </row>
    <row r="861" spans="1:26" ht="14.25" customHeight="1">
      <c r="A861" s="472"/>
      <c r="B861" s="472"/>
      <c r="C861" s="472"/>
      <c r="D861" s="472"/>
      <c r="E861" s="472"/>
      <c r="F861" s="472"/>
      <c r="G861" s="472"/>
      <c r="H861" s="472"/>
      <c r="I861" s="472"/>
      <c r="J861" s="472"/>
      <c r="K861" s="472"/>
      <c r="L861" s="472"/>
      <c r="M861" s="472"/>
      <c r="N861" s="472"/>
      <c r="O861" s="472"/>
      <c r="P861" s="472"/>
      <c r="Q861" s="472"/>
      <c r="R861" s="472"/>
      <c r="S861" s="472"/>
      <c r="T861" s="472"/>
      <c r="U861" s="472"/>
      <c r="V861" s="472"/>
      <c r="W861" s="472"/>
      <c r="X861" s="472"/>
      <c r="Y861" s="472"/>
      <c r="Z861" s="472"/>
    </row>
    <row r="862" spans="1:26" ht="14.25" customHeight="1">
      <c r="A862" s="472"/>
      <c r="B862" s="472"/>
      <c r="C862" s="472"/>
      <c r="D862" s="472"/>
      <c r="E862" s="472"/>
      <c r="F862" s="472"/>
      <c r="G862" s="472"/>
      <c r="H862" s="472"/>
      <c r="I862" s="472"/>
      <c r="J862" s="472"/>
      <c r="K862" s="472"/>
      <c r="L862" s="472"/>
      <c r="M862" s="472"/>
      <c r="N862" s="472"/>
      <c r="O862" s="472"/>
      <c r="P862" s="472"/>
      <c r="Q862" s="472"/>
      <c r="R862" s="472"/>
      <c r="S862" s="472"/>
      <c r="T862" s="472"/>
      <c r="U862" s="472"/>
      <c r="V862" s="472"/>
      <c r="W862" s="472"/>
      <c r="X862" s="472"/>
      <c r="Y862" s="472"/>
      <c r="Z862" s="472"/>
    </row>
    <row r="863" spans="1:26" ht="14.25" customHeight="1">
      <c r="A863" s="472"/>
      <c r="B863" s="472"/>
      <c r="C863" s="472"/>
      <c r="D863" s="472"/>
      <c r="E863" s="472"/>
      <c r="F863" s="472"/>
      <c r="G863" s="472"/>
      <c r="H863" s="472"/>
      <c r="I863" s="472"/>
      <c r="J863" s="472"/>
      <c r="K863" s="472"/>
      <c r="L863" s="472"/>
      <c r="M863" s="472"/>
      <c r="N863" s="472"/>
      <c r="O863" s="472"/>
      <c r="P863" s="472"/>
      <c r="Q863" s="472"/>
      <c r="R863" s="472"/>
      <c r="S863" s="472"/>
      <c r="T863" s="472"/>
      <c r="U863" s="472"/>
      <c r="V863" s="472"/>
      <c r="W863" s="472"/>
      <c r="X863" s="472"/>
      <c r="Y863" s="472"/>
      <c r="Z863" s="472"/>
    </row>
    <row r="864" spans="1:26" ht="14.25" customHeight="1">
      <c r="A864" s="472"/>
      <c r="B864" s="472"/>
      <c r="C864" s="472"/>
      <c r="D864" s="472"/>
      <c r="E864" s="472"/>
      <c r="F864" s="472"/>
      <c r="G864" s="472"/>
      <c r="H864" s="472"/>
      <c r="I864" s="472"/>
      <c r="J864" s="472"/>
      <c r="K864" s="472"/>
      <c r="L864" s="472"/>
      <c r="M864" s="472"/>
      <c r="N864" s="472"/>
      <c r="O864" s="472"/>
      <c r="P864" s="472"/>
      <c r="Q864" s="472"/>
      <c r="R864" s="472"/>
      <c r="S864" s="472"/>
      <c r="T864" s="472"/>
      <c r="U864" s="472"/>
      <c r="V864" s="472"/>
      <c r="W864" s="472"/>
      <c r="X864" s="472"/>
      <c r="Y864" s="472"/>
      <c r="Z864" s="472"/>
    </row>
    <row r="865" spans="1:26" ht="14.25" customHeight="1">
      <c r="A865" s="472"/>
      <c r="B865" s="472"/>
      <c r="C865" s="472"/>
      <c r="D865" s="472"/>
      <c r="E865" s="472"/>
      <c r="F865" s="472"/>
      <c r="G865" s="472"/>
      <c r="H865" s="472"/>
      <c r="I865" s="472"/>
      <c r="J865" s="472"/>
      <c r="K865" s="472"/>
      <c r="L865" s="472"/>
      <c r="M865" s="472"/>
      <c r="N865" s="472"/>
      <c r="O865" s="472"/>
      <c r="P865" s="472"/>
      <c r="Q865" s="472"/>
      <c r="R865" s="472"/>
      <c r="S865" s="472"/>
      <c r="T865" s="472"/>
      <c r="U865" s="472"/>
      <c r="V865" s="472"/>
      <c r="W865" s="472"/>
      <c r="X865" s="472"/>
      <c r="Y865" s="472"/>
      <c r="Z865" s="472"/>
    </row>
    <row r="866" spans="1:26" ht="14.25" customHeight="1">
      <c r="A866" s="472"/>
      <c r="B866" s="472"/>
      <c r="C866" s="472"/>
      <c r="D866" s="472"/>
      <c r="E866" s="472"/>
      <c r="F866" s="472"/>
      <c r="G866" s="472"/>
      <c r="H866" s="472"/>
      <c r="I866" s="472"/>
      <c r="J866" s="472"/>
      <c r="K866" s="472"/>
      <c r="L866" s="472"/>
      <c r="M866" s="472"/>
      <c r="N866" s="472"/>
      <c r="O866" s="472"/>
      <c r="P866" s="472"/>
      <c r="Q866" s="472"/>
      <c r="R866" s="472"/>
      <c r="S866" s="472"/>
      <c r="T866" s="472"/>
      <c r="U866" s="472"/>
      <c r="V866" s="472"/>
      <c r="W866" s="472"/>
      <c r="X866" s="472"/>
      <c r="Y866" s="472"/>
      <c r="Z866" s="472"/>
    </row>
    <row r="867" spans="1:26" ht="14.25" customHeight="1">
      <c r="A867" s="472"/>
      <c r="B867" s="472"/>
      <c r="C867" s="472"/>
      <c r="D867" s="472"/>
      <c r="E867" s="472"/>
      <c r="F867" s="472"/>
      <c r="G867" s="472"/>
      <c r="H867" s="472"/>
      <c r="I867" s="472"/>
      <c r="J867" s="472"/>
      <c r="K867" s="472"/>
      <c r="L867" s="472"/>
      <c r="M867" s="472"/>
      <c r="N867" s="472"/>
      <c r="O867" s="472"/>
      <c r="P867" s="472"/>
      <c r="Q867" s="472"/>
      <c r="R867" s="472"/>
      <c r="S867" s="472"/>
      <c r="T867" s="472"/>
      <c r="U867" s="472"/>
      <c r="V867" s="472"/>
      <c r="W867" s="472"/>
      <c r="X867" s="472"/>
      <c r="Y867" s="472"/>
      <c r="Z867" s="472"/>
    </row>
    <row r="868" spans="1:26" ht="14.25" customHeight="1">
      <c r="A868" s="472"/>
      <c r="B868" s="472"/>
      <c r="C868" s="472"/>
      <c r="D868" s="472"/>
      <c r="E868" s="472"/>
      <c r="F868" s="472"/>
      <c r="G868" s="472"/>
      <c r="H868" s="472"/>
      <c r="I868" s="472"/>
      <c r="J868" s="472"/>
      <c r="K868" s="472"/>
      <c r="L868" s="472"/>
      <c r="M868" s="472"/>
      <c r="N868" s="472"/>
      <c r="O868" s="472"/>
      <c r="P868" s="472"/>
      <c r="Q868" s="472"/>
      <c r="R868" s="472"/>
      <c r="S868" s="472"/>
      <c r="T868" s="472"/>
      <c r="U868" s="472"/>
      <c r="V868" s="472"/>
      <c r="W868" s="472"/>
      <c r="X868" s="472"/>
      <c r="Y868" s="472"/>
      <c r="Z868" s="472"/>
    </row>
    <row r="869" spans="1:26" ht="14.25" customHeight="1">
      <c r="A869" s="472"/>
      <c r="B869" s="472"/>
      <c r="C869" s="472"/>
      <c r="D869" s="472"/>
      <c r="E869" s="472"/>
      <c r="F869" s="472"/>
      <c r="G869" s="472"/>
      <c r="H869" s="472"/>
      <c r="I869" s="472"/>
      <c r="J869" s="472"/>
      <c r="K869" s="472"/>
      <c r="L869" s="472"/>
      <c r="M869" s="472"/>
      <c r="N869" s="472"/>
      <c r="O869" s="472"/>
      <c r="P869" s="472"/>
      <c r="Q869" s="472"/>
      <c r="R869" s="472"/>
      <c r="S869" s="472"/>
      <c r="T869" s="472"/>
      <c r="U869" s="472"/>
      <c r="V869" s="472"/>
      <c r="W869" s="472"/>
      <c r="X869" s="472"/>
      <c r="Y869" s="472"/>
      <c r="Z869" s="472"/>
    </row>
    <row r="870" spans="1:26" ht="14.25" customHeight="1">
      <c r="A870" s="472"/>
      <c r="B870" s="472"/>
      <c r="C870" s="472"/>
      <c r="D870" s="472"/>
      <c r="E870" s="472"/>
      <c r="F870" s="472"/>
      <c r="G870" s="472"/>
      <c r="H870" s="472"/>
      <c r="I870" s="472"/>
      <c r="J870" s="472"/>
      <c r="K870" s="472"/>
      <c r="L870" s="472"/>
      <c r="M870" s="472"/>
      <c r="N870" s="472"/>
      <c r="O870" s="472"/>
      <c r="P870" s="472"/>
      <c r="Q870" s="472"/>
      <c r="R870" s="472"/>
      <c r="S870" s="472"/>
      <c r="T870" s="472"/>
      <c r="U870" s="472"/>
      <c r="V870" s="472"/>
      <c r="W870" s="472"/>
      <c r="X870" s="472"/>
      <c r="Y870" s="472"/>
      <c r="Z870" s="472"/>
    </row>
    <row r="871" spans="1:26" ht="14.25" customHeight="1">
      <c r="A871" s="472"/>
      <c r="B871" s="472"/>
      <c r="C871" s="472"/>
      <c r="D871" s="472"/>
      <c r="E871" s="472"/>
      <c r="F871" s="472"/>
      <c r="G871" s="472"/>
      <c r="H871" s="472"/>
      <c r="I871" s="472"/>
      <c r="J871" s="472"/>
      <c r="K871" s="472"/>
      <c r="L871" s="472"/>
      <c r="M871" s="472"/>
      <c r="N871" s="472"/>
      <c r="O871" s="472"/>
      <c r="P871" s="472"/>
      <c r="Q871" s="472"/>
      <c r="R871" s="472"/>
      <c r="S871" s="472"/>
      <c r="T871" s="472"/>
      <c r="U871" s="472"/>
      <c r="V871" s="472"/>
      <c r="W871" s="472"/>
      <c r="X871" s="472"/>
      <c r="Y871" s="472"/>
      <c r="Z871" s="472"/>
    </row>
    <row r="872" spans="1:26" ht="14.25" customHeight="1">
      <c r="A872" s="472"/>
      <c r="B872" s="472"/>
      <c r="C872" s="472"/>
      <c r="D872" s="472"/>
      <c r="E872" s="472"/>
      <c r="F872" s="472"/>
      <c r="G872" s="472"/>
      <c r="H872" s="472"/>
      <c r="I872" s="472"/>
      <c r="J872" s="472"/>
      <c r="K872" s="472"/>
      <c r="L872" s="472"/>
      <c r="M872" s="472"/>
      <c r="N872" s="472"/>
      <c r="O872" s="472"/>
      <c r="P872" s="472"/>
      <c r="Q872" s="472"/>
      <c r="R872" s="472"/>
      <c r="S872" s="472"/>
      <c r="T872" s="472"/>
      <c r="U872" s="472"/>
      <c r="V872" s="472"/>
      <c r="W872" s="472"/>
      <c r="X872" s="472"/>
      <c r="Y872" s="472"/>
      <c r="Z872" s="472"/>
    </row>
    <row r="873" spans="1:26" ht="14.25" customHeight="1">
      <c r="A873" s="472"/>
      <c r="B873" s="472"/>
      <c r="C873" s="472"/>
      <c r="D873" s="472"/>
      <c r="E873" s="472"/>
      <c r="F873" s="472"/>
      <c r="G873" s="472"/>
      <c r="H873" s="472"/>
      <c r="I873" s="472"/>
      <c r="J873" s="472"/>
      <c r="K873" s="472"/>
      <c r="L873" s="472"/>
      <c r="M873" s="472"/>
      <c r="N873" s="472"/>
      <c r="O873" s="472"/>
      <c r="P873" s="472"/>
      <c r="Q873" s="472"/>
      <c r="R873" s="472"/>
      <c r="S873" s="472"/>
      <c r="T873" s="472"/>
      <c r="U873" s="472"/>
      <c r="V873" s="472"/>
      <c r="W873" s="472"/>
      <c r="X873" s="472"/>
      <c r="Y873" s="472"/>
      <c r="Z873" s="472"/>
    </row>
    <row r="874" spans="1:26" ht="14.25" customHeight="1">
      <c r="A874" s="472"/>
      <c r="B874" s="472"/>
      <c r="C874" s="472"/>
      <c r="D874" s="472"/>
      <c r="E874" s="472"/>
      <c r="F874" s="472"/>
      <c r="G874" s="472"/>
      <c r="H874" s="472"/>
      <c r="I874" s="472"/>
      <c r="J874" s="472"/>
      <c r="K874" s="472"/>
      <c r="L874" s="472"/>
      <c r="M874" s="472"/>
      <c r="N874" s="472"/>
      <c r="O874" s="472"/>
      <c r="P874" s="472"/>
      <c r="Q874" s="472"/>
      <c r="R874" s="472"/>
      <c r="S874" s="472"/>
      <c r="T874" s="472"/>
      <c r="U874" s="472"/>
      <c r="V874" s="472"/>
      <c r="W874" s="472"/>
      <c r="X874" s="472"/>
      <c r="Y874" s="472"/>
      <c r="Z874" s="472"/>
    </row>
    <row r="875" spans="1:26" ht="14.25" customHeight="1">
      <c r="A875" s="472"/>
      <c r="B875" s="472"/>
      <c r="C875" s="472"/>
      <c r="D875" s="472"/>
      <c r="E875" s="472"/>
      <c r="F875" s="472"/>
      <c r="G875" s="472"/>
      <c r="H875" s="472"/>
      <c r="I875" s="472"/>
      <c r="J875" s="472"/>
      <c r="K875" s="472"/>
      <c r="L875" s="472"/>
      <c r="M875" s="472"/>
      <c r="N875" s="472"/>
      <c r="O875" s="472"/>
      <c r="P875" s="472"/>
      <c r="Q875" s="472"/>
      <c r="R875" s="472"/>
      <c r="S875" s="472"/>
      <c r="T875" s="472"/>
      <c r="U875" s="472"/>
      <c r="V875" s="472"/>
      <c r="W875" s="472"/>
      <c r="X875" s="472"/>
      <c r="Y875" s="472"/>
      <c r="Z875" s="472"/>
    </row>
    <row r="876" spans="1:26" ht="14.25" customHeight="1">
      <c r="A876" s="472"/>
      <c r="B876" s="472"/>
      <c r="C876" s="472"/>
      <c r="D876" s="472"/>
      <c r="E876" s="472"/>
      <c r="F876" s="472"/>
      <c r="G876" s="472"/>
      <c r="H876" s="472"/>
      <c r="I876" s="472"/>
      <c r="J876" s="472"/>
      <c r="K876" s="472"/>
      <c r="L876" s="472"/>
      <c r="M876" s="472"/>
      <c r="N876" s="472"/>
      <c r="O876" s="472"/>
      <c r="P876" s="472"/>
      <c r="Q876" s="472"/>
      <c r="R876" s="472"/>
      <c r="S876" s="472"/>
      <c r="T876" s="472"/>
      <c r="U876" s="472"/>
      <c r="V876" s="472"/>
      <c r="W876" s="472"/>
      <c r="X876" s="472"/>
      <c r="Y876" s="472"/>
      <c r="Z876" s="472"/>
    </row>
    <row r="877" spans="1:26" ht="14.25" customHeight="1">
      <c r="A877" s="472"/>
      <c r="B877" s="472"/>
      <c r="C877" s="472"/>
      <c r="D877" s="472"/>
      <c r="E877" s="472"/>
      <c r="F877" s="472"/>
      <c r="G877" s="472"/>
      <c r="H877" s="472"/>
      <c r="I877" s="472"/>
      <c r="J877" s="472"/>
      <c r="K877" s="472"/>
      <c r="L877" s="472"/>
      <c r="M877" s="472"/>
      <c r="N877" s="472"/>
      <c r="O877" s="472"/>
      <c r="P877" s="472"/>
      <c r="Q877" s="472"/>
      <c r="R877" s="472"/>
      <c r="S877" s="472"/>
      <c r="T877" s="472"/>
      <c r="U877" s="472"/>
      <c r="V877" s="472"/>
      <c r="W877" s="472"/>
      <c r="X877" s="472"/>
      <c r="Y877" s="472"/>
      <c r="Z877" s="472"/>
    </row>
    <row r="878" spans="1:26" ht="14.25" customHeight="1">
      <c r="A878" s="472"/>
      <c r="B878" s="472"/>
      <c r="C878" s="472"/>
      <c r="D878" s="472"/>
      <c r="E878" s="472"/>
      <c r="F878" s="472"/>
      <c r="G878" s="472"/>
      <c r="H878" s="472"/>
      <c r="I878" s="472"/>
      <c r="J878" s="472"/>
      <c r="K878" s="472"/>
      <c r="L878" s="472"/>
      <c r="M878" s="472"/>
      <c r="N878" s="472"/>
      <c r="O878" s="472"/>
      <c r="P878" s="472"/>
      <c r="Q878" s="472"/>
      <c r="R878" s="472"/>
      <c r="S878" s="472"/>
      <c r="T878" s="472"/>
      <c r="U878" s="472"/>
      <c r="V878" s="472"/>
      <c r="W878" s="472"/>
      <c r="X878" s="472"/>
      <c r="Y878" s="472"/>
      <c r="Z878" s="472"/>
    </row>
    <row r="879" spans="1:26" ht="14.25" customHeight="1">
      <c r="A879" s="472"/>
      <c r="B879" s="472"/>
      <c r="C879" s="472"/>
      <c r="D879" s="472"/>
      <c r="E879" s="472"/>
      <c r="F879" s="472"/>
      <c r="G879" s="472"/>
      <c r="H879" s="472"/>
      <c r="I879" s="472"/>
      <c r="J879" s="472"/>
      <c r="K879" s="472"/>
      <c r="L879" s="472"/>
      <c r="M879" s="472"/>
      <c r="N879" s="472"/>
      <c r="O879" s="472"/>
      <c r="P879" s="472"/>
      <c r="Q879" s="472"/>
      <c r="R879" s="472"/>
      <c r="S879" s="472"/>
      <c r="T879" s="472"/>
      <c r="U879" s="472"/>
      <c r="V879" s="472"/>
      <c r="W879" s="472"/>
      <c r="X879" s="472"/>
      <c r="Y879" s="472"/>
      <c r="Z879" s="472"/>
    </row>
    <row r="880" spans="1:26" ht="14.25" customHeight="1">
      <c r="A880" s="472"/>
      <c r="B880" s="472"/>
      <c r="C880" s="472"/>
      <c r="D880" s="472"/>
      <c r="E880" s="472"/>
      <c r="F880" s="472"/>
      <c r="G880" s="472"/>
      <c r="H880" s="472"/>
      <c r="I880" s="472"/>
      <c r="J880" s="472"/>
      <c r="K880" s="472"/>
      <c r="L880" s="472"/>
      <c r="M880" s="472"/>
      <c r="N880" s="472"/>
      <c r="O880" s="472"/>
      <c r="P880" s="472"/>
      <c r="Q880" s="472"/>
      <c r="R880" s="472"/>
      <c r="S880" s="472"/>
      <c r="T880" s="472"/>
      <c r="U880" s="472"/>
      <c r="V880" s="472"/>
      <c r="W880" s="472"/>
      <c r="X880" s="472"/>
      <c r="Y880" s="472"/>
      <c r="Z880" s="472"/>
    </row>
    <row r="881" spans="1:26" ht="14.25" customHeight="1">
      <c r="A881" s="472"/>
      <c r="B881" s="472"/>
      <c r="C881" s="472"/>
      <c r="D881" s="472"/>
      <c r="E881" s="472"/>
      <c r="F881" s="472"/>
      <c r="G881" s="472"/>
      <c r="H881" s="472"/>
      <c r="I881" s="472"/>
      <c r="J881" s="472"/>
      <c r="K881" s="472"/>
      <c r="L881" s="472"/>
      <c r="M881" s="472"/>
      <c r="N881" s="472"/>
      <c r="O881" s="472"/>
      <c r="P881" s="472"/>
      <c r="Q881" s="472"/>
      <c r="R881" s="472"/>
      <c r="S881" s="472"/>
      <c r="T881" s="472"/>
      <c r="U881" s="472"/>
      <c r="V881" s="472"/>
      <c r="W881" s="472"/>
      <c r="X881" s="472"/>
      <c r="Y881" s="472"/>
      <c r="Z881" s="472"/>
    </row>
    <row r="882" spans="1:26" ht="14.25" customHeight="1">
      <c r="A882" s="472"/>
      <c r="B882" s="472"/>
      <c r="C882" s="472"/>
      <c r="D882" s="472"/>
      <c r="E882" s="472"/>
      <c r="F882" s="472"/>
      <c r="G882" s="472"/>
      <c r="H882" s="472"/>
      <c r="I882" s="472"/>
      <c r="J882" s="472"/>
      <c r="K882" s="472"/>
      <c r="L882" s="472"/>
      <c r="M882" s="472"/>
      <c r="N882" s="472"/>
      <c r="O882" s="472"/>
      <c r="P882" s="472"/>
      <c r="Q882" s="472"/>
      <c r="R882" s="472"/>
      <c r="S882" s="472"/>
      <c r="T882" s="472"/>
      <c r="U882" s="472"/>
      <c r="V882" s="472"/>
      <c r="W882" s="472"/>
      <c r="X882" s="472"/>
      <c r="Y882" s="472"/>
      <c r="Z882" s="472"/>
    </row>
    <row r="883" spans="1:26" ht="14.25" customHeight="1">
      <c r="A883" s="472"/>
      <c r="B883" s="472"/>
      <c r="C883" s="472"/>
      <c r="D883" s="472"/>
      <c r="E883" s="472"/>
      <c r="F883" s="472"/>
      <c r="G883" s="472"/>
      <c r="H883" s="472"/>
      <c r="I883" s="472"/>
      <c r="J883" s="472"/>
      <c r="K883" s="472"/>
      <c r="L883" s="472"/>
      <c r="M883" s="472"/>
      <c r="N883" s="472"/>
      <c r="O883" s="472"/>
      <c r="P883" s="472"/>
      <c r="Q883" s="472"/>
      <c r="R883" s="472"/>
      <c r="S883" s="472"/>
      <c r="T883" s="472"/>
      <c r="U883" s="472"/>
      <c r="V883" s="472"/>
      <c r="W883" s="472"/>
      <c r="X883" s="472"/>
      <c r="Y883" s="472"/>
      <c r="Z883" s="472"/>
    </row>
    <row r="884" spans="1:26" ht="14.25" customHeight="1">
      <c r="A884" s="472"/>
      <c r="B884" s="472"/>
      <c r="C884" s="472"/>
      <c r="D884" s="472"/>
      <c r="E884" s="472"/>
      <c r="F884" s="472"/>
      <c r="G884" s="472"/>
      <c r="H884" s="472"/>
      <c r="I884" s="472"/>
      <c r="J884" s="472"/>
      <c r="K884" s="472"/>
      <c r="L884" s="472"/>
      <c r="M884" s="472"/>
      <c r="N884" s="472"/>
      <c r="O884" s="472"/>
      <c r="P884" s="472"/>
      <c r="Q884" s="472"/>
      <c r="R884" s="472"/>
      <c r="S884" s="472"/>
      <c r="T884" s="472"/>
      <c r="U884" s="472"/>
      <c r="V884" s="472"/>
      <c r="W884" s="472"/>
      <c r="X884" s="472"/>
      <c r="Y884" s="472"/>
      <c r="Z884" s="472"/>
    </row>
    <row r="885" spans="1:26" ht="14.25" customHeight="1">
      <c r="A885" s="472"/>
      <c r="B885" s="472"/>
      <c r="C885" s="472"/>
      <c r="D885" s="472"/>
      <c r="E885" s="472"/>
      <c r="F885" s="472"/>
      <c r="G885" s="472"/>
      <c r="H885" s="472"/>
      <c r="I885" s="472"/>
      <c r="J885" s="472"/>
      <c r="K885" s="472"/>
      <c r="L885" s="472"/>
      <c r="M885" s="472"/>
      <c r="N885" s="472"/>
      <c r="O885" s="472"/>
      <c r="P885" s="472"/>
      <c r="Q885" s="472"/>
      <c r="R885" s="472"/>
      <c r="S885" s="472"/>
      <c r="T885" s="472"/>
      <c r="U885" s="472"/>
      <c r="V885" s="472"/>
      <c r="W885" s="472"/>
      <c r="X885" s="472"/>
      <c r="Y885" s="472"/>
      <c r="Z885" s="472"/>
    </row>
    <row r="886" spans="1:26" ht="14.25" customHeight="1">
      <c r="A886" s="472"/>
      <c r="B886" s="472"/>
      <c r="C886" s="472"/>
      <c r="D886" s="472"/>
      <c r="E886" s="472"/>
      <c r="F886" s="472"/>
      <c r="G886" s="472"/>
      <c r="H886" s="472"/>
      <c r="I886" s="472"/>
      <c r="J886" s="472"/>
      <c r="K886" s="472"/>
      <c r="L886" s="472"/>
      <c r="M886" s="472"/>
      <c r="N886" s="472"/>
      <c r="O886" s="472"/>
      <c r="P886" s="472"/>
      <c r="Q886" s="472"/>
      <c r="R886" s="472"/>
      <c r="S886" s="472"/>
      <c r="T886" s="472"/>
      <c r="U886" s="472"/>
      <c r="V886" s="472"/>
      <c r="W886" s="472"/>
      <c r="X886" s="472"/>
      <c r="Y886" s="472"/>
      <c r="Z886" s="472"/>
    </row>
    <row r="887" spans="1:26" ht="14.25" customHeight="1">
      <c r="A887" s="472"/>
      <c r="B887" s="472"/>
      <c r="C887" s="472"/>
      <c r="D887" s="472"/>
      <c r="E887" s="472"/>
      <c r="F887" s="472"/>
      <c r="G887" s="472"/>
      <c r="H887" s="472"/>
      <c r="I887" s="472"/>
      <c r="J887" s="472"/>
      <c r="K887" s="472"/>
      <c r="L887" s="472"/>
      <c r="M887" s="472"/>
      <c r="N887" s="472"/>
      <c r="O887" s="472"/>
      <c r="P887" s="472"/>
      <c r="Q887" s="472"/>
      <c r="R887" s="472"/>
      <c r="S887" s="472"/>
      <c r="T887" s="472"/>
      <c r="U887" s="472"/>
      <c r="V887" s="472"/>
      <c r="W887" s="472"/>
      <c r="X887" s="472"/>
      <c r="Y887" s="472"/>
      <c r="Z887" s="472"/>
    </row>
    <row r="888" spans="1:26" ht="14.25" customHeight="1">
      <c r="A888" s="472"/>
      <c r="B888" s="472"/>
      <c r="C888" s="472"/>
      <c r="D888" s="472"/>
      <c r="E888" s="472"/>
      <c r="F888" s="472"/>
      <c r="G888" s="472"/>
      <c r="H888" s="472"/>
      <c r="I888" s="472"/>
      <c r="J888" s="472"/>
      <c r="K888" s="472"/>
      <c r="L888" s="472"/>
      <c r="M888" s="472"/>
      <c r="N888" s="472"/>
      <c r="O888" s="472"/>
      <c r="P888" s="472"/>
      <c r="Q888" s="472"/>
      <c r="R888" s="472"/>
      <c r="S888" s="472"/>
      <c r="T888" s="472"/>
      <c r="U888" s="472"/>
      <c r="V888" s="472"/>
      <c r="W888" s="472"/>
      <c r="X888" s="472"/>
      <c r="Y888" s="472"/>
      <c r="Z888" s="472"/>
    </row>
    <row r="889" spans="1:26" ht="14.25" customHeight="1">
      <c r="A889" s="472"/>
      <c r="B889" s="472"/>
      <c r="C889" s="472"/>
      <c r="D889" s="472"/>
      <c r="E889" s="472"/>
      <c r="F889" s="472"/>
      <c r="G889" s="472"/>
      <c r="H889" s="472"/>
      <c r="I889" s="472"/>
      <c r="J889" s="472"/>
      <c r="K889" s="472"/>
      <c r="L889" s="472"/>
      <c r="M889" s="472"/>
      <c r="N889" s="472"/>
      <c r="O889" s="472"/>
      <c r="P889" s="472"/>
      <c r="Q889" s="472"/>
      <c r="R889" s="472"/>
      <c r="S889" s="472"/>
      <c r="T889" s="472"/>
      <c r="U889" s="472"/>
      <c r="V889" s="472"/>
      <c r="W889" s="472"/>
      <c r="X889" s="472"/>
      <c r="Y889" s="472"/>
      <c r="Z889" s="472"/>
    </row>
    <row r="890" spans="1:26" ht="14.25" customHeight="1">
      <c r="A890" s="472"/>
      <c r="B890" s="472"/>
      <c r="C890" s="472"/>
      <c r="D890" s="472"/>
      <c r="E890" s="472"/>
      <c r="F890" s="472"/>
      <c r="G890" s="472"/>
      <c r="H890" s="472"/>
      <c r="I890" s="472"/>
      <c r="J890" s="472"/>
      <c r="K890" s="472"/>
      <c r="L890" s="472"/>
      <c r="M890" s="472"/>
      <c r="N890" s="472"/>
      <c r="O890" s="472"/>
      <c r="P890" s="472"/>
      <c r="Q890" s="472"/>
      <c r="R890" s="472"/>
      <c r="S890" s="472"/>
      <c r="T890" s="472"/>
      <c r="U890" s="472"/>
      <c r="V890" s="472"/>
      <c r="W890" s="472"/>
      <c r="X890" s="472"/>
      <c r="Y890" s="472"/>
      <c r="Z890" s="472"/>
    </row>
    <row r="891" spans="1:26" ht="14.25" customHeight="1">
      <c r="A891" s="472"/>
      <c r="B891" s="472"/>
      <c r="C891" s="472"/>
      <c r="D891" s="472"/>
      <c r="E891" s="472"/>
      <c r="F891" s="472"/>
      <c r="G891" s="472"/>
      <c r="H891" s="472"/>
      <c r="I891" s="472"/>
      <c r="J891" s="472"/>
      <c r="K891" s="472"/>
      <c r="L891" s="472"/>
      <c r="M891" s="472"/>
      <c r="N891" s="472"/>
      <c r="O891" s="472"/>
      <c r="P891" s="472"/>
      <c r="Q891" s="472"/>
      <c r="R891" s="472"/>
      <c r="S891" s="472"/>
      <c r="T891" s="472"/>
      <c r="U891" s="472"/>
      <c r="V891" s="472"/>
      <c r="W891" s="472"/>
      <c r="X891" s="472"/>
      <c r="Y891" s="472"/>
      <c r="Z891" s="472"/>
    </row>
    <row r="892" spans="1:26" ht="14.25" customHeight="1">
      <c r="A892" s="472"/>
      <c r="B892" s="472"/>
      <c r="C892" s="472"/>
      <c r="D892" s="472"/>
      <c r="E892" s="472"/>
      <c r="F892" s="472"/>
      <c r="G892" s="472"/>
      <c r="H892" s="472"/>
      <c r="I892" s="472"/>
      <c r="J892" s="472"/>
      <c r="K892" s="472"/>
      <c r="L892" s="472"/>
      <c r="M892" s="472"/>
      <c r="N892" s="472"/>
      <c r="O892" s="472"/>
      <c r="P892" s="472"/>
      <c r="Q892" s="472"/>
      <c r="R892" s="472"/>
      <c r="S892" s="472"/>
      <c r="T892" s="472"/>
      <c r="U892" s="472"/>
      <c r="V892" s="472"/>
      <c r="W892" s="472"/>
      <c r="X892" s="472"/>
      <c r="Y892" s="472"/>
      <c r="Z892" s="472"/>
    </row>
    <row r="893" spans="1:26" ht="14.25" customHeight="1">
      <c r="A893" s="472"/>
      <c r="B893" s="472"/>
      <c r="C893" s="472"/>
      <c r="D893" s="472"/>
      <c r="E893" s="472"/>
      <c r="F893" s="472"/>
      <c r="G893" s="472"/>
      <c r="H893" s="472"/>
      <c r="I893" s="472"/>
      <c r="J893" s="472"/>
      <c r="K893" s="472"/>
      <c r="L893" s="472"/>
      <c r="M893" s="472"/>
      <c r="N893" s="472"/>
      <c r="O893" s="472"/>
      <c r="P893" s="472"/>
      <c r="Q893" s="472"/>
      <c r="R893" s="472"/>
      <c r="S893" s="472"/>
      <c r="T893" s="472"/>
      <c r="U893" s="472"/>
      <c r="V893" s="472"/>
      <c r="W893" s="472"/>
      <c r="X893" s="472"/>
      <c r="Y893" s="472"/>
      <c r="Z893" s="472"/>
    </row>
    <row r="894" spans="1:26" ht="14.25" customHeight="1">
      <c r="A894" s="472"/>
      <c r="B894" s="472"/>
      <c r="C894" s="472"/>
      <c r="D894" s="472"/>
      <c r="E894" s="472"/>
      <c r="F894" s="472"/>
      <c r="G894" s="472"/>
      <c r="H894" s="472"/>
      <c r="I894" s="472"/>
      <c r="J894" s="472"/>
      <c r="K894" s="472"/>
      <c r="L894" s="472"/>
      <c r="M894" s="472"/>
      <c r="N894" s="472"/>
      <c r="O894" s="472"/>
      <c r="P894" s="472"/>
      <c r="Q894" s="472"/>
      <c r="R894" s="472"/>
      <c r="S894" s="472"/>
      <c r="T894" s="472"/>
      <c r="U894" s="472"/>
      <c r="V894" s="472"/>
      <c r="W894" s="472"/>
      <c r="X894" s="472"/>
      <c r="Y894" s="472"/>
      <c r="Z894" s="472"/>
    </row>
    <row r="895" spans="1:26" ht="14.25" customHeight="1">
      <c r="A895" s="472"/>
      <c r="B895" s="472"/>
      <c r="C895" s="472"/>
      <c r="D895" s="472"/>
      <c r="E895" s="472"/>
      <c r="F895" s="472"/>
      <c r="G895" s="472"/>
      <c r="H895" s="472"/>
      <c r="I895" s="472"/>
      <c r="J895" s="472"/>
      <c r="K895" s="472"/>
      <c r="L895" s="472"/>
      <c r="M895" s="472"/>
      <c r="N895" s="472"/>
      <c r="O895" s="472"/>
      <c r="P895" s="472"/>
      <c r="Q895" s="472"/>
      <c r="R895" s="472"/>
      <c r="S895" s="472"/>
      <c r="T895" s="472"/>
      <c r="U895" s="472"/>
      <c r="V895" s="472"/>
      <c r="W895" s="472"/>
      <c r="X895" s="472"/>
      <c r="Y895" s="472"/>
      <c r="Z895" s="472"/>
    </row>
    <row r="896" spans="1:26" ht="14.25" customHeight="1">
      <c r="A896" s="472"/>
      <c r="B896" s="472"/>
      <c r="C896" s="472"/>
      <c r="D896" s="472"/>
      <c r="E896" s="472"/>
      <c r="F896" s="472"/>
      <c r="G896" s="472"/>
      <c r="H896" s="472"/>
      <c r="I896" s="472"/>
      <c r="J896" s="472"/>
      <c r="K896" s="472"/>
      <c r="L896" s="472"/>
      <c r="M896" s="472"/>
      <c r="N896" s="472"/>
      <c r="O896" s="472"/>
      <c r="P896" s="472"/>
      <c r="Q896" s="472"/>
      <c r="R896" s="472"/>
      <c r="S896" s="472"/>
      <c r="T896" s="472"/>
      <c r="U896" s="472"/>
      <c r="V896" s="472"/>
      <c r="W896" s="472"/>
      <c r="X896" s="472"/>
      <c r="Y896" s="472"/>
      <c r="Z896" s="472"/>
    </row>
    <row r="897" spans="1:26" ht="14.25" customHeight="1">
      <c r="A897" s="472"/>
      <c r="B897" s="472"/>
      <c r="C897" s="472"/>
      <c r="D897" s="472"/>
      <c r="E897" s="472"/>
      <c r="F897" s="472"/>
      <c r="G897" s="472"/>
      <c r="H897" s="472"/>
      <c r="I897" s="472"/>
      <c r="J897" s="472"/>
      <c r="K897" s="472"/>
      <c r="L897" s="472"/>
      <c r="M897" s="472"/>
      <c r="N897" s="472"/>
      <c r="O897" s="472"/>
      <c r="P897" s="472"/>
      <c r="Q897" s="472"/>
      <c r="R897" s="472"/>
      <c r="S897" s="472"/>
      <c r="T897" s="472"/>
      <c r="U897" s="472"/>
      <c r="V897" s="472"/>
      <c r="W897" s="472"/>
      <c r="X897" s="472"/>
      <c r="Y897" s="472"/>
      <c r="Z897" s="472"/>
    </row>
    <row r="898" spans="1:26" ht="14.25" customHeight="1">
      <c r="A898" s="472"/>
      <c r="B898" s="472"/>
      <c r="C898" s="472"/>
      <c r="D898" s="472"/>
      <c r="E898" s="472"/>
      <c r="F898" s="472"/>
      <c r="G898" s="472"/>
      <c r="H898" s="472"/>
      <c r="I898" s="472"/>
      <c r="J898" s="472"/>
      <c r="K898" s="472"/>
      <c r="L898" s="472"/>
      <c r="M898" s="472"/>
      <c r="N898" s="472"/>
      <c r="O898" s="472"/>
      <c r="P898" s="472"/>
      <c r="Q898" s="472"/>
      <c r="R898" s="472"/>
      <c r="S898" s="472"/>
      <c r="T898" s="472"/>
      <c r="U898" s="472"/>
      <c r="V898" s="472"/>
      <c r="W898" s="472"/>
      <c r="X898" s="472"/>
      <c r="Y898" s="472"/>
      <c r="Z898" s="472"/>
    </row>
    <row r="899" spans="1:26" ht="14.25" customHeight="1">
      <c r="A899" s="472"/>
      <c r="B899" s="472"/>
      <c r="C899" s="472"/>
      <c r="D899" s="472"/>
      <c r="E899" s="472"/>
      <c r="F899" s="472"/>
      <c r="G899" s="472"/>
      <c r="H899" s="472"/>
      <c r="I899" s="472"/>
      <c r="J899" s="472"/>
      <c r="K899" s="472"/>
      <c r="L899" s="472"/>
      <c r="M899" s="472"/>
      <c r="N899" s="472"/>
      <c r="O899" s="472"/>
      <c r="P899" s="472"/>
      <c r="Q899" s="472"/>
      <c r="R899" s="472"/>
      <c r="S899" s="472"/>
      <c r="T899" s="472"/>
      <c r="U899" s="472"/>
      <c r="V899" s="472"/>
      <c r="W899" s="472"/>
      <c r="X899" s="472"/>
      <c r="Y899" s="472"/>
      <c r="Z899" s="472"/>
    </row>
    <row r="900" spans="1:26" ht="14.25" customHeight="1">
      <c r="A900" s="472"/>
      <c r="B900" s="472"/>
      <c r="C900" s="472"/>
      <c r="D900" s="472"/>
      <c r="E900" s="472"/>
      <c r="F900" s="472"/>
      <c r="G900" s="472"/>
      <c r="H900" s="472"/>
      <c r="I900" s="472"/>
      <c r="J900" s="472"/>
      <c r="K900" s="472"/>
      <c r="L900" s="472"/>
      <c r="M900" s="472"/>
      <c r="N900" s="472"/>
      <c r="O900" s="472"/>
      <c r="P900" s="472"/>
      <c r="Q900" s="472"/>
      <c r="R900" s="472"/>
      <c r="S900" s="472"/>
      <c r="T900" s="472"/>
      <c r="U900" s="472"/>
      <c r="V900" s="472"/>
      <c r="W900" s="472"/>
      <c r="X900" s="472"/>
      <c r="Y900" s="472"/>
      <c r="Z900" s="472"/>
    </row>
    <row r="901" spans="1:26" ht="14.25" customHeight="1">
      <c r="A901" s="472"/>
      <c r="B901" s="472"/>
      <c r="C901" s="472"/>
      <c r="D901" s="472"/>
      <c r="E901" s="472"/>
      <c r="F901" s="472"/>
      <c r="G901" s="472"/>
      <c r="H901" s="472"/>
      <c r="I901" s="472"/>
      <c r="J901" s="472"/>
      <c r="K901" s="472"/>
      <c r="L901" s="472"/>
      <c r="M901" s="472"/>
      <c r="N901" s="472"/>
      <c r="O901" s="472"/>
      <c r="P901" s="472"/>
      <c r="Q901" s="472"/>
      <c r="R901" s="472"/>
      <c r="S901" s="472"/>
      <c r="T901" s="472"/>
      <c r="U901" s="472"/>
      <c r="V901" s="472"/>
      <c r="W901" s="472"/>
      <c r="X901" s="472"/>
      <c r="Y901" s="472"/>
      <c r="Z901" s="472"/>
    </row>
    <row r="902" spans="1:26" ht="14.25" customHeight="1">
      <c r="A902" s="472"/>
      <c r="B902" s="472"/>
      <c r="C902" s="472"/>
      <c r="D902" s="472"/>
      <c r="E902" s="472"/>
      <c r="F902" s="472"/>
      <c r="G902" s="472"/>
      <c r="H902" s="472"/>
      <c r="I902" s="472"/>
      <c r="J902" s="472"/>
      <c r="K902" s="472"/>
      <c r="L902" s="472"/>
      <c r="M902" s="472"/>
      <c r="N902" s="472"/>
      <c r="O902" s="472"/>
      <c r="P902" s="472"/>
      <c r="Q902" s="472"/>
      <c r="R902" s="472"/>
      <c r="S902" s="472"/>
      <c r="T902" s="472"/>
      <c r="U902" s="472"/>
      <c r="V902" s="472"/>
      <c r="W902" s="472"/>
      <c r="X902" s="472"/>
      <c r="Y902" s="472"/>
      <c r="Z902" s="472"/>
    </row>
    <row r="903" spans="1:26" ht="14.25" customHeight="1">
      <c r="A903" s="472"/>
      <c r="B903" s="472"/>
      <c r="C903" s="472"/>
      <c r="D903" s="472"/>
      <c r="E903" s="472"/>
      <c r="F903" s="472"/>
      <c r="G903" s="472"/>
      <c r="H903" s="472"/>
      <c r="I903" s="472"/>
      <c r="J903" s="472"/>
      <c r="K903" s="472"/>
      <c r="L903" s="472"/>
      <c r="M903" s="472"/>
      <c r="N903" s="472"/>
      <c r="O903" s="472"/>
      <c r="P903" s="472"/>
      <c r="Q903" s="472"/>
      <c r="R903" s="472"/>
      <c r="S903" s="472"/>
      <c r="T903" s="472"/>
      <c r="U903" s="472"/>
      <c r="V903" s="472"/>
      <c r="W903" s="472"/>
      <c r="X903" s="472"/>
      <c r="Y903" s="472"/>
      <c r="Z903" s="472"/>
    </row>
    <row r="904" spans="1:26" ht="14.25" customHeight="1">
      <c r="A904" s="472"/>
      <c r="B904" s="472"/>
      <c r="C904" s="472"/>
      <c r="D904" s="472"/>
      <c r="E904" s="472"/>
      <c r="F904" s="472"/>
      <c r="G904" s="472"/>
      <c r="H904" s="472"/>
      <c r="I904" s="472"/>
      <c r="J904" s="472"/>
      <c r="K904" s="472"/>
      <c r="L904" s="472"/>
      <c r="M904" s="472"/>
      <c r="N904" s="472"/>
      <c r="O904" s="472"/>
      <c r="P904" s="472"/>
      <c r="Q904" s="472"/>
      <c r="R904" s="472"/>
      <c r="S904" s="472"/>
      <c r="T904" s="472"/>
      <c r="U904" s="472"/>
      <c r="V904" s="472"/>
      <c r="W904" s="472"/>
      <c r="X904" s="472"/>
      <c r="Y904" s="472"/>
      <c r="Z904" s="472"/>
    </row>
    <row r="905" spans="1:26" ht="14.25" customHeight="1">
      <c r="A905" s="472"/>
      <c r="B905" s="472"/>
      <c r="C905" s="472"/>
      <c r="D905" s="472"/>
      <c r="E905" s="472"/>
      <c r="F905" s="472"/>
      <c r="G905" s="472"/>
      <c r="H905" s="472"/>
      <c r="I905" s="472"/>
      <c r="J905" s="472"/>
      <c r="K905" s="472"/>
      <c r="L905" s="472"/>
      <c r="M905" s="472"/>
      <c r="N905" s="472"/>
      <c r="O905" s="472"/>
      <c r="P905" s="472"/>
      <c r="Q905" s="472"/>
      <c r="R905" s="472"/>
      <c r="S905" s="472"/>
      <c r="T905" s="472"/>
      <c r="U905" s="472"/>
      <c r="V905" s="472"/>
      <c r="W905" s="472"/>
      <c r="X905" s="472"/>
      <c r="Y905" s="472"/>
      <c r="Z905" s="472"/>
    </row>
    <row r="906" spans="1:26" ht="14.25" customHeight="1">
      <c r="A906" s="472"/>
      <c r="B906" s="472"/>
      <c r="C906" s="472"/>
      <c r="D906" s="472"/>
      <c r="E906" s="472"/>
      <c r="F906" s="472"/>
      <c r="G906" s="472"/>
      <c r="H906" s="472"/>
      <c r="I906" s="472"/>
      <c r="J906" s="472"/>
      <c r="K906" s="472"/>
      <c r="L906" s="472"/>
      <c r="M906" s="472"/>
      <c r="N906" s="472"/>
      <c r="O906" s="472"/>
      <c r="P906" s="472"/>
      <c r="Q906" s="472"/>
      <c r="R906" s="472"/>
      <c r="S906" s="472"/>
      <c r="T906" s="472"/>
      <c r="U906" s="472"/>
      <c r="V906" s="472"/>
      <c r="W906" s="472"/>
      <c r="X906" s="472"/>
      <c r="Y906" s="472"/>
      <c r="Z906" s="472"/>
    </row>
    <row r="907" spans="1:26" ht="14.25" customHeight="1">
      <c r="A907" s="472"/>
      <c r="B907" s="472"/>
      <c r="C907" s="472"/>
      <c r="D907" s="472"/>
      <c r="E907" s="472"/>
      <c r="F907" s="472"/>
      <c r="G907" s="472"/>
      <c r="H907" s="472"/>
      <c r="I907" s="472"/>
      <c r="J907" s="472"/>
      <c r="K907" s="472"/>
      <c r="L907" s="472"/>
      <c r="M907" s="472"/>
      <c r="N907" s="472"/>
      <c r="O907" s="472"/>
      <c r="P907" s="472"/>
      <c r="Q907" s="472"/>
      <c r="R907" s="472"/>
      <c r="S907" s="472"/>
      <c r="T907" s="472"/>
      <c r="U907" s="472"/>
      <c r="V907" s="472"/>
      <c r="W907" s="472"/>
      <c r="X907" s="472"/>
      <c r="Y907" s="472"/>
      <c r="Z907" s="472"/>
    </row>
    <row r="908" spans="1:26" ht="14.25" customHeight="1">
      <c r="A908" s="472"/>
      <c r="B908" s="472"/>
      <c r="C908" s="472"/>
      <c r="D908" s="472"/>
      <c r="E908" s="472"/>
      <c r="F908" s="472"/>
      <c r="G908" s="472"/>
      <c r="H908" s="472"/>
      <c r="I908" s="472"/>
      <c r="J908" s="472"/>
      <c r="K908" s="472"/>
      <c r="L908" s="472"/>
      <c r="M908" s="472"/>
      <c r="N908" s="472"/>
      <c r="O908" s="472"/>
      <c r="P908" s="472"/>
      <c r="Q908" s="472"/>
      <c r="R908" s="472"/>
      <c r="S908" s="472"/>
      <c r="T908" s="472"/>
      <c r="U908" s="472"/>
      <c r="V908" s="472"/>
      <c r="W908" s="472"/>
      <c r="X908" s="472"/>
      <c r="Y908" s="472"/>
      <c r="Z908" s="472"/>
    </row>
    <row r="909" spans="1:26" ht="14.25" customHeight="1">
      <c r="A909" s="472"/>
      <c r="B909" s="472"/>
      <c r="C909" s="472"/>
      <c r="D909" s="472"/>
      <c r="E909" s="472"/>
      <c r="F909" s="472"/>
      <c r="G909" s="472"/>
      <c r="H909" s="472"/>
      <c r="I909" s="472"/>
      <c r="J909" s="472"/>
      <c r="K909" s="472"/>
      <c r="L909" s="472"/>
      <c r="M909" s="472"/>
      <c r="N909" s="472"/>
      <c r="O909" s="472"/>
      <c r="P909" s="472"/>
      <c r="Q909" s="472"/>
      <c r="R909" s="472"/>
      <c r="S909" s="472"/>
      <c r="T909" s="472"/>
      <c r="U909" s="472"/>
      <c r="V909" s="472"/>
      <c r="W909" s="472"/>
      <c r="X909" s="472"/>
      <c r="Y909" s="472"/>
      <c r="Z909" s="472"/>
    </row>
    <row r="910" spans="1:26" ht="14.25" customHeight="1">
      <c r="A910" s="472"/>
      <c r="B910" s="472"/>
      <c r="C910" s="472"/>
      <c r="D910" s="472"/>
      <c r="E910" s="472"/>
      <c r="F910" s="472"/>
      <c r="G910" s="472"/>
      <c r="H910" s="472"/>
      <c r="I910" s="472"/>
      <c r="J910" s="472"/>
      <c r="K910" s="472"/>
      <c r="L910" s="472"/>
      <c r="M910" s="472"/>
      <c r="N910" s="472"/>
      <c r="O910" s="472"/>
      <c r="P910" s="472"/>
      <c r="Q910" s="472"/>
      <c r="R910" s="472"/>
      <c r="S910" s="472"/>
      <c r="T910" s="472"/>
      <c r="U910" s="472"/>
      <c r="V910" s="472"/>
      <c r="W910" s="472"/>
      <c r="X910" s="472"/>
      <c r="Y910" s="472"/>
      <c r="Z910" s="472"/>
    </row>
    <row r="911" spans="1:26" ht="14.25" customHeight="1">
      <c r="A911" s="472"/>
      <c r="B911" s="472"/>
      <c r="C911" s="472"/>
      <c r="D911" s="472"/>
      <c r="E911" s="472"/>
      <c r="F911" s="472"/>
      <c r="G911" s="472"/>
      <c r="H911" s="472"/>
      <c r="I911" s="472"/>
      <c r="J911" s="472"/>
      <c r="K911" s="472"/>
      <c r="L911" s="472"/>
      <c r="M911" s="472"/>
      <c r="N911" s="472"/>
      <c r="O911" s="472"/>
      <c r="P911" s="472"/>
      <c r="Q911" s="472"/>
      <c r="R911" s="472"/>
      <c r="S911" s="472"/>
      <c r="T911" s="472"/>
      <c r="U911" s="472"/>
      <c r="V911" s="472"/>
      <c r="W911" s="472"/>
      <c r="X911" s="472"/>
      <c r="Y911" s="472"/>
      <c r="Z911" s="472"/>
    </row>
    <row r="912" spans="1:26" ht="14.25" customHeight="1">
      <c r="A912" s="472"/>
      <c r="B912" s="472"/>
      <c r="C912" s="472"/>
      <c r="D912" s="472"/>
      <c r="E912" s="472"/>
      <c r="F912" s="472"/>
      <c r="G912" s="472"/>
      <c r="H912" s="472"/>
      <c r="I912" s="472"/>
      <c r="J912" s="472"/>
      <c r="K912" s="472"/>
      <c r="L912" s="472"/>
      <c r="M912" s="472"/>
      <c r="N912" s="472"/>
      <c r="O912" s="472"/>
      <c r="P912" s="472"/>
      <c r="Q912" s="472"/>
      <c r="R912" s="472"/>
      <c r="S912" s="472"/>
      <c r="T912" s="472"/>
      <c r="U912" s="472"/>
      <c r="V912" s="472"/>
      <c r="W912" s="472"/>
      <c r="X912" s="472"/>
      <c r="Y912" s="472"/>
      <c r="Z912" s="472"/>
    </row>
    <row r="913" spans="1:26" ht="14.25" customHeight="1">
      <c r="A913" s="472"/>
      <c r="B913" s="472"/>
      <c r="C913" s="472"/>
      <c r="D913" s="472"/>
      <c r="E913" s="472"/>
      <c r="F913" s="472"/>
      <c r="G913" s="472"/>
      <c r="H913" s="472"/>
      <c r="I913" s="472"/>
      <c r="J913" s="472"/>
      <c r="K913" s="472"/>
      <c r="L913" s="472"/>
      <c r="M913" s="472"/>
      <c r="N913" s="472"/>
      <c r="O913" s="472"/>
      <c r="P913" s="472"/>
      <c r="Q913" s="472"/>
      <c r="R913" s="472"/>
      <c r="S913" s="472"/>
      <c r="T913" s="472"/>
      <c r="U913" s="472"/>
      <c r="V913" s="472"/>
      <c r="W913" s="472"/>
      <c r="X913" s="472"/>
      <c r="Y913" s="472"/>
      <c r="Z913" s="472"/>
    </row>
    <row r="914" spans="1:26" ht="14.25" customHeight="1">
      <c r="A914" s="472"/>
      <c r="B914" s="472"/>
      <c r="C914" s="472"/>
      <c r="D914" s="472"/>
      <c r="E914" s="472"/>
      <c r="F914" s="472"/>
      <c r="G914" s="472"/>
      <c r="H914" s="472"/>
      <c r="I914" s="472"/>
      <c r="J914" s="472"/>
      <c r="K914" s="472"/>
      <c r="L914" s="472"/>
      <c r="M914" s="472"/>
      <c r="N914" s="472"/>
      <c r="O914" s="472"/>
      <c r="P914" s="472"/>
      <c r="Q914" s="472"/>
      <c r="R914" s="472"/>
      <c r="S914" s="472"/>
      <c r="T914" s="472"/>
      <c r="U914" s="472"/>
      <c r="V914" s="472"/>
      <c r="W914" s="472"/>
      <c r="X914" s="472"/>
      <c r="Y914" s="472"/>
      <c r="Z914" s="472"/>
    </row>
    <row r="915" spans="1:26" ht="14.25" customHeight="1">
      <c r="A915" s="472"/>
      <c r="B915" s="472"/>
      <c r="C915" s="472"/>
      <c r="D915" s="472"/>
      <c r="E915" s="472"/>
      <c r="F915" s="472"/>
      <c r="G915" s="472"/>
      <c r="H915" s="472"/>
      <c r="I915" s="472"/>
      <c r="J915" s="472"/>
      <c r="K915" s="472"/>
      <c r="L915" s="472"/>
      <c r="M915" s="472"/>
      <c r="N915" s="472"/>
      <c r="O915" s="472"/>
      <c r="P915" s="472"/>
      <c r="Q915" s="472"/>
      <c r="R915" s="472"/>
      <c r="S915" s="472"/>
      <c r="T915" s="472"/>
      <c r="U915" s="472"/>
      <c r="V915" s="472"/>
      <c r="W915" s="472"/>
      <c r="X915" s="472"/>
      <c r="Y915" s="472"/>
      <c r="Z915" s="472"/>
    </row>
    <row r="916" spans="1:26" ht="14.25" customHeight="1">
      <c r="A916" s="472"/>
      <c r="B916" s="472"/>
      <c r="C916" s="472"/>
      <c r="D916" s="472"/>
      <c r="E916" s="472"/>
      <c r="F916" s="472"/>
      <c r="G916" s="472"/>
      <c r="H916" s="472"/>
      <c r="I916" s="472"/>
      <c r="J916" s="472"/>
      <c r="K916" s="472"/>
      <c r="L916" s="472"/>
      <c r="M916" s="472"/>
      <c r="N916" s="472"/>
      <c r="O916" s="472"/>
      <c r="P916" s="472"/>
      <c r="Q916" s="472"/>
      <c r="R916" s="472"/>
      <c r="S916" s="472"/>
      <c r="T916" s="472"/>
      <c r="U916" s="472"/>
      <c r="V916" s="472"/>
      <c r="W916" s="472"/>
      <c r="X916" s="472"/>
      <c r="Y916" s="472"/>
      <c r="Z916" s="472"/>
    </row>
    <row r="917" spans="1:26" ht="14.25" customHeight="1">
      <c r="A917" s="472"/>
      <c r="B917" s="472"/>
      <c r="C917" s="472"/>
      <c r="D917" s="472"/>
      <c r="E917" s="472"/>
      <c r="F917" s="472"/>
      <c r="G917" s="472"/>
      <c r="H917" s="472"/>
      <c r="I917" s="472"/>
      <c r="J917" s="472"/>
      <c r="K917" s="472"/>
      <c r="L917" s="472"/>
      <c r="M917" s="472"/>
      <c r="N917" s="472"/>
      <c r="O917" s="472"/>
      <c r="P917" s="472"/>
      <c r="Q917" s="472"/>
      <c r="R917" s="472"/>
      <c r="S917" s="472"/>
      <c r="T917" s="472"/>
      <c r="U917" s="472"/>
      <c r="V917" s="472"/>
      <c r="W917" s="472"/>
      <c r="X917" s="472"/>
      <c r="Y917" s="472"/>
      <c r="Z917" s="472"/>
    </row>
    <row r="918" spans="1:26" ht="14.25" customHeight="1">
      <c r="A918" s="472"/>
      <c r="B918" s="472"/>
      <c r="C918" s="472"/>
      <c r="D918" s="472"/>
      <c r="E918" s="472"/>
      <c r="F918" s="472"/>
      <c r="G918" s="472"/>
      <c r="H918" s="472"/>
      <c r="I918" s="472"/>
      <c r="J918" s="472"/>
      <c r="K918" s="472"/>
      <c r="L918" s="472"/>
      <c r="M918" s="472"/>
      <c r="N918" s="472"/>
      <c r="O918" s="472"/>
      <c r="P918" s="472"/>
      <c r="Q918" s="472"/>
      <c r="R918" s="472"/>
      <c r="S918" s="472"/>
      <c r="T918" s="472"/>
      <c r="U918" s="472"/>
      <c r="V918" s="472"/>
      <c r="W918" s="472"/>
      <c r="X918" s="472"/>
      <c r="Y918" s="472"/>
      <c r="Z918" s="472"/>
    </row>
    <row r="919" spans="1:26" ht="14.25" customHeight="1">
      <c r="A919" s="472"/>
      <c r="B919" s="472"/>
      <c r="C919" s="472"/>
      <c r="D919" s="472"/>
      <c r="E919" s="472"/>
      <c r="F919" s="472"/>
      <c r="G919" s="472"/>
      <c r="H919" s="472"/>
      <c r="I919" s="472"/>
      <c r="J919" s="472"/>
      <c r="K919" s="472"/>
      <c r="L919" s="472"/>
      <c r="M919" s="472"/>
      <c r="N919" s="472"/>
      <c r="O919" s="472"/>
      <c r="P919" s="472"/>
      <c r="Q919" s="472"/>
      <c r="R919" s="472"/>
      <c r="S919" s="472"/>
      <c r="T919" s="472"/>
      <c r="U919" s="472"/>
      <c r="V919" s="472"/>
      <c r="W919" s="472"/>
      <c r="X919" s="472"/>
      <c r="Y919" s="472"/>
      <c r="Z919" s="472"/>
    </row>
    <row r="920" spans="1:26" ht="14.25" customHeight="1">
      <c r="A920" s="472"/>
      <c r="B920" s="472"/>
      <c r="C920" s="472"/>
      <c r="D920" s="472"/>
      <c r="E920" s="472"/>
      <c r="F920" s="472"/>
      <c r="G920" s="472"/>
      <c r="H920" s="472"/>
      <c r="I920" s="472"/>
      <c r="J920" s="472"/>
      <c r="K920" s="472"/>
      <c r="L920" s="472"/>
      <c r="M920" s="472"/>
      <c r="N920" s="472"/>
      <c r="O920" s="472"/>
      <c r="P920" s="472"/>
      <c r="Q920" s="472"/>
      <c r="R920" s="472"/>
      <c r="S920" s="472"/>
      <c r="T920" s="472"/>
      <c r="U920" s="472"/>
      <c r="V920" s="472"/>
      <c r="W920" s="472"/>
      <c r="X920" s="472"/>
      <c r="Y920" s="472"/>
      <c r="Z920" s="472"/>
    </row>
    <row r="921" spans="1:26" ht="14.25" customHeight="1">
      <c r="A921" s="472"/>
      <c r="B921" s="472"/>
      <c r="C921" s="472"/>
      <c r="D921" s="472"/>
      <c r="E921" s="472"/>
      <c r="F921" s="472"/>
      <c r="G921" s="472"/>
      <c r="H921" s="472"/>
      <c r="I921" s="472"/>
      <c r="J921" s="472"/>
      <c r="K921" s="472"/>
      <c r="L921" s="472"/>
      <c r="M921" s="472"/>
      <c r="N921" s="472"/>
      <c r="O921" s="472"/>
      <c r="P921" s="472"/>
      <c r="Q921" s="472"/>
      <c r="R921" s="472"/>
      <c r="S921" s="472"/>
      <c r="T921" s="472"/>
      <c r="U921" s="472"/>
      <c r="V921" s="472"/>
      <c r="W921" s="472"/>
      <c r="X921" s="472"/>
      <c r="Y921" s="472"/>
      <c r="Z921" s="472"/>
    </row>
    <row r="922" spans="1:26" ht="14.25" customHeight="1">
      <c r="A922" s="472"/>
      <c r="B922" s="472"/>
      <c r="C922" s="472"/>
      <c r="D922" s="472"/>
      <c r="E922" s="472"/>
      <c r="F922" s="472"/>
      <c r="G922" s="472"/>
      <c r="H922" s="472"/>
      <c r="I922" s="472"/>
      <c r="J922" s="472"/>
      <c r="K922" s="472"/>
      <c r="L922" s="472"/>
      <c r="M922" s="472"/>
      <c r="N922" s="472"/>
      <c r="O922" s="472"/>
      <c r="P922" s="472"/>
      <c r="Q922" s="472"/>
      <c r="R922" s="472"/>
      <c r="S922" s="472"/>
      <c r="T922" s="472"/>
      <c r="U922" s="472"/>
      <c r="V922" s="472"/>
      <c r="W922" s="472"/>
      <c r="X922" s="472"/>
      <c r="Y922" s="472"/>
      <c r="Z922" s="472"/>
    </row>
    <row r="923" spans="1:26" ht="14.25" customHeight="1">
      <c r="A923" s="472"/>
      <c r="B923" s="472"/>
      <c r="C923" s="472"/>
      <c r="D923" s="472"/>
      <c r="E923" s="472"/>
      <c r="F923" s="472"/>
      <c r="G923" s="472"/>
      <c r="H923" s="472"/>
      <c r="I923" s="472"/>
      <c r="J923" s="472"/>
      <c r="K923" s="472"/>
      <c r="L923" s="472"/>
      <c r="M923" s="472"/>
      <c r="N923" s="472"/>
      <c r="O923" s="472"/>
      <c r="P923" s="472"/>
      <c r="Q923" s="472"/>
      <c r="R923" s="472"/>
      <c r="S923" s="472"/>
      <c r="T923" s="472"/>
      <c r="U923" s="472"/>
      <c r="V923" s="472"/>
      <c r="W923" s="472"/>
      <c r="X923" s="472"/>
      <c r="Y923" s="472"/>
      <c r="Z923" s="472"/>
    </row>
    <row r="924" spans="1:26" ht="14.25" customHeight="1">
      <c r="A924" s="472"/>
      <c r="B924" s="472"/>
      <c r="C924" s="472"/>
      <c r="D924" s="472"/>
      <c r="E924" s="472"/>
      <c r="F924" s="472"/>
      <c r="G924" s="472"/>
      <c r="H924" s="472"/>
      <c r="I924" s="472"/>
      <c r="J924" s="472"/>
      <c r="K924" s="472"/>
      <c r="L924" s="472"/>
      <c r="M924" s="472"/>
      <c r="N924" s="472"/>
      <c r="O924" s="472"/>
      <c r="P924" s="472"/>
      <c r="Q924" s="472"/>
      <c r="R924" s="472"/>
      <c r="S924" s="472"/>
      <c r="T924" s="472"/>
      <c r="U924" s="472"/>
      <c r="V924" s="472"/>
      <c r="W924" s="472"/>
      <c r="X924" s="472"/>
      <c r="Y924" s="472"/>
      <c r="Z924" s="472"/>
    </row>
    <row r="925" spans="1:26" ht="14.25" customHeight="1">
      <c r="A925" s="472"/>
      <c r="B925" s="472"/>
      <c r="C925" s="472"/>
      <c r="D925" s="472"/>
      <c r="E925" s="472"/>
      <c r="F925" s="472"/>
      <c r="G925" s="472"/>
      <c r="H925" s="472"/>
      <c r="I925" s="472"/>
      <c r="J925" s="472"/>
      <c r="K925" s="472"/>
      <c r="L925" s="472"/>
      <c r="M925" s="472"/>
      <c r="N925" s="472"/>
      <c r="O925" s="472"/>
      <c r="P925" s="472"/>
      <c r="Q925" s="472"/>
      <c r="R925" s="472"/>
      <c r="S925" s="472"/>
      <c r="T925" s="472"/>
      <c r="U925" s="472"/>
      <c r="V925" s="472"/>
      <c r="W925" s="472"/>
      <c r="X925" s="472"/>
      <c r="Y925" s="472"/>
      <c r="Z925" s="472"/>
    </row>
    <row r="926" spans="1:26" ht="14.25" customHeight="1">
      <c r="A926" s="472"/>
      <c r="B926" s="472"/>
      <c r="C926" s="472"/>
      <c r="D926" s="472"/>
      <c r="E926" s="472"/>
      <c r="F926" s="472"/>
      <c r="G926" s="472"/>
      <c r="H926" s="472"/>
      <c r="I926" s="472"/>
      <c r="J926" s="472"/>
      <c r="K926" s="472"/>
      <c r="L926" s="472"/>
      <c r="M926" s="472"/>
      <c r="N926" s="472"/>
      <c r="O926" s="472"/>
      <c r="P926" s="472"/>
      <c r="Q926" s="472"/>
      <c r="R926" s="472"/>
      <c r="S926" s="472"/>
      <c r="T926" s="472"/>
      <c r="U926" s="472"/>
      <c r="V926" s="472"/>
      <c r="W926" s="472"/>
      <c r="X926" s="472"/>
      <c r="Y926" s="472"/>
      <c r="Z926" s="472"/>
    </row>
    <row r="927" spans="1:26" ht="14.25" customHeight="1">
      <c r="A927" s="472"/>
      <c r="B927" s="472"/>
      <c r="C927" s="472"/>
      <c r="D927" s="472"/>
      <c r="E927" s="472"/>
      <c r="F927" s="472"/>
      <c r="G927" s="472"/>
      <c r="H927" s="472"/>
      <c r="I927" s="472"/>
      <c r="J927" s="472"/>
      <c r="K927" s="472"/>
      <c r="L927" s="472"/>
      <c r="M927" s="472"/>
      <c r="N927" s="472"/>
      <c r="O927" s="472"/>
      <c r="P927" s="472"/>
      <c r="Q927" s="472"/>
      <c r="R927" s="472"/>
      <c r="S927" s="472"/>
      <c r="T927" s="472"/>
      <c r="U927" s="472"/>
      <c r="V927" s="472"/>
      <c r="W927" s="472"/>
      <c r="X927" s="472"/>
      <c r="Y927" s="472"/>
      <c r="Z927" s="472"/>
    </row>
    <row r="928" spans="1:26" ht="14.25" customHeight="1">
      <c r="A928" s="472"/>
      <c r="B928" s="472"/>
      <c r="C928" s="472"/>
      <c r="D928" s="472"/>
      <c r="E928" s="472"/>
      <c r="F928" s="472"/>
      <c r="G928" s="472"/>
      <c r="H928" s="472"/>
      <c r="I928" s="472"/>
      <c r="J928" s="472"/>
      <c r="K928" s="472"/>
      <c r="L928" s="472"/>
      <c r="M928" s="472"/>
      <c r="N928" s="472"/>
      <c r="O928" s="472"/>
      <c r="P928" s="472"/>
      <c r="Q928" s="472"/>
      <c r="R928" s="472"/>
      <c r="S928" s="472"/>
      <c r="T928" s="472"/>
      <c r="U928" s="472"/>
      <c r="V928" s="472"/>
      <c r="W928" s="472"/>
      <c r="X928" s="472"/>
      <c r="Y928" s="472"/>
      <c r="Z928" s="472"/>
    </row>
    <row r="929" spans="1:26" ht="14.25" customHeight="1">
      <c r="A929" s="472"/>
      <c r="B929" s="472"/>
      <c r="C929" s="472"/>
      <c r="D929" s="472"/>
      <c r="E929" s="472"/>
      <c r="F929" s="472"/>
      <c r="G929" s="472"/>
      <c r="H929" s="472"/>
      <c r="I929" s="472"/>
      <c r="J929" s="472"/>
      <c r="K929" s="472"/>
      <c r="L929" s="472"/>
      <c r="M929" s="472"/>
      <c r="N929" s="472"/>
      <c r="O929" s="472"/>
      <c r="P929" s="472"/>
      <c r="Q929" s="472"/>
      <c r="R929" s="472"/>
      <c r="S929" s="472"/>
      <c r="T929" s="472"/>
      <c r="U929" s="472"/>
      <c r="V929" s="472"/>
      <c r="W929" s="472"/>
      <c r="X929" s="472"/>
      <c r="Y929" s="472"/>
      <c r="Z929" s="472"/>
    </row>
    <row r="930" spans="1:26" ht="14.25" customHeight="1">
      <c r="A930" s="472"/>
      <c r="B930" s="472"/>
      <c r="C930" s="472"/>
      <c r="D930" s="472"/>
      <c r="E930" s="472"/>
      <c r="F930" s="472"/>
      <c r="G930" s="472"/>
      <c r="H930" s="472"/>
      <c r="I930" s="472"/>
      <c r="J930" s="472"/>
      <c r="K930" s="472"/>
      <c r="L930" s="472"/>
      <c r="M930" s="472"/>
      <c r="N930" s="472"/>
      <c r="O930" s="472"/>
      <c r="P930" s="472"/>
      <c r="Q930" s="472"/>
      <c r="R930" s="472"/>
      <c r="S930" s="472"/>
      <c r="T930" s="472"/>
      <c r="U930" s="472"/>
      <c r="V930" s="472"/>
      <c r="W930" s="472"/>
      <c r="X930" s="472"/>
      <c r="Y930" s="472"/>
      <c r="Z930" s="472"/>
    </row>
    <row r="931" spans="1:26" ht="14.25" customHeight="1">
      <c r="A931" s="472"/>
      <c r="B931" s="472"/>
      <c r="C931" s="472"/>
      <c r="D931" s="472"/>
      <c r="E931" s="472"/>
      <c r="F931" s="472"/>
      <c r="G931" s="472"/>
      <c r="H931" s="472"/>
      <c r="I931" s="472"/>
      <c r="J931" s="472"/>
      <c r="K931" s="472"/>
      <c r="L931" s="472"/>
      <c r="M931" s="472"/>
      <c r="N931" s="472"/>
      <c r="O931" s="472"/>
      <c r="P931" s="472"/>
      <c r="Q931" s="472"/>
      <c r="R931" s="472"/>
      <c r="S931" s="472"/>
      <c r="T931" s="472"/>
      <c r="U931" s="472"/>
      <c r="V931" s="472"/>
      <c r="W931" s="472"/>
      <c r="X931" s="472"/>
      <c r="Y931" s="472"/>
      <c r="Z931" s="472"/>
    </row>
    <row r="932" spans="1:26" ht="14.25" customHeight="1">
      <c r="A932" s="472"/>
      <c r="B932" s="472"/>
      <c r="C932" s="472"/>
      <c r="D932" s="472"/>
      <c r="E932" s="472"/>
      <c r="F932" s="472"/>
      <c r="G932" s="472"/>
      <c r="H932" s="472"/>
      <c r="I932" s="472"/>
      <c r="J932" s="472"/>
      <c r="K932" s="472"/>
      <c r="L932" s="472"/>
      <c r="M932" s="472"/>
      <c r="N932" s="472"/>
      <c r="O932" s="472"/>
      <c r="P932" s="472"/>
      <c r="Q932" s="472"/>
      <c r="R932" s="472"/>
      <c r="S932" s="472"/>
      <c r="T932" s="472"/>
      <c r="U932" s="472"/>
      <c r="V932" s="472"/>
      <c r="W932" s="472"/>
      <c r="X932" s="472"/>
      <c r="Y932" s="472"/>
      <c r="Z932" s="472"/>
    </row>
    <row r="933" spans="1:26" ht="14.25" customHeight="1">
      <c r="A933" s="472"/>
      <c r="B933" s="472"/>
      <c r="C933" s="472"/>
      <c r="D933" s="472"/>
      <c r="E933" s="472"/>
      <c r="F933" s="472"/>
      <c r="G933" s="472"/>
      <c r="H933" s="472"/>
      <c r="I933" s="472"/>
      <c r="J933" s="472"/>
      <c r="K933" s="472"/>
      <c r="L933" s="472"/>
      <c r="M933" s="472"/>
      <c r="N933" s="472"/>
      <c r="O933" s="472"/>
      <c r="P933" s="472"/>
      <c r="Q933" s="472"/>
      <c r="R933" s="472"/>
      <c r="S933" s="472"/>
      <c r="T933" s="472"/>
      <c r="U933" s="472"/>
      <c r="V933" s="472"/>
      <c r="W933" s="472"/>
      <c r="X933" s="472"/>
      <c r="Y933" s="472"/>
      <c r="Z933" s="472"/>
    </row>
    <row r="934" spans="1:26" ht="14.25" customHeight="1">
      <c r="A934" s="472"/>
      <c r="B934" s="472"/>
      <c r="C934" s="472"/>
      <c r="D934" s="472"/>
      <c r="E934" s="472"/>
      <c r="F934" s="472"/>
      <c r="G934" s="472"/>
      <c r="H934" s="472"/>
      <c r="I934" s="472"/>
      <c r="J934" s="472"/>
      <c r="K934" s="472"/>
      <c r="L934" s="472"/>
      <c r="M934" s="472"/>
      <c r="N934" s="472"/>
      <c r="O934" s="472"/>
      <c r="P934" s="472"/>
      <c r="Q934" s="472"/>
      <c r="R934" s="472"/>
      <c r="S934" s="472"/>
      <c r="T934" s="472"/>
      <c r="U934" s="472"/>
      <c r="V934" s="472"/>
      <c r="W934" s="472"/>
      <c r="X934" s="472"/>
      <c r="Y934" s="472"/>
      <c r="Z934" s="472"/>
    </row>
    <row r="935" spans="1:26" ht="14.25" customHeight="1">
      <c r="A935" s="472"/>
      <c r="B935" s="472"/>
      <c r="C935" s="472"/>
      <c r="D935" s="472"/>
      <c r="E935" s="472"/>
      <c r="F935" s="472"/>
      <c r="G935" s="472"/>
      <c r="H935" s="472"/>
      <c r="I935" s="472"/>
      <c r="J935" s="472"/>
      <c r="K935" s="472"/>
      <c r="L935" s="472"/>
      <c r="M935" s="472"/>
      <c r="N935" s="472"/>
      <c r="O935" s="472"/>
      <c r="P935" s="472"/>
      <c r="Q935" s="472"/>
      <c r="R935" s="472"/>
      <c r="S935" s="472"/>
      <c r="T935" s="472"/>
      <c r="U935" s="472"/>
      <c r="V935" s="472"/>
      <c r="W935" s="472"/>
      <c r="X935" s="472"/>
      <c r="Y935" s="472"/>
      <c r="Z935" s="472"/>
    </row>
    <row r="936" spans="1:26" ht="14.25" customHeight="1">
      <c r="A936" s="472"/>
      <c r="B936" s="472"/>
      <c r="C936" s="472"/>
      <c r="D936" s="472"/>
      <c r="E936" s="472"/>
      <c r="F936" s="472"/>
      <c r="G936" s="472"/>
      <c r="H936" s="472"/>
      <c r="I936" s="472"/>
      <c r="J936" s="472"/>
      <c r="K936" s="472"/>
      <c r="L936" s="472"/>
      <c r="M936" s="472"/>
      <c r="N936" s="472"/>
      <c r="O936" s="472"/>
      <c r="P936" s="472"/>
      <c r="Q936" s="472"/>
      <c r="R936" s="472"/>
      <c r="S936" s="472"/>
      <c r="T936" s="472"/>
      <c r="U936" s="472"/>
      <c r="V936" s="472"/>
      <c r="W936" s="472"/>
      <c r="X936" s="472"/>
      <c r="Y936" s="472"/>
      <c r="Z936" s="472"/>
    </row>
    <row r="937" spans="1:26" ht="14.25" customHeight="1">
      <c r="A937" s="472"/>
      <c r="B937" s="472"/>
      <c r="C937" s="472"/>
      <c r="D937" s="472"/>
      <c r="E937" s="472"/>
      <c r="F937" s="472"/>
      <c r="G937" s="472"/>
      <c r="H937" s="472"/>
      <c r="I937" s="472"/>
      <c r="J937" s="472"/>
      <c r="K937" s="472"/>
      <c r="L937" s="472"/>
      <c r="M937" s="472"/>
      <c r="N937" s="472"/>
      <c r="O937" s="472"/>
      <c r="P937" s="472"/>
      <c r="Q937" s="472"/>
      <c r="R937" s="472"/>
      <c r="S937" s="472"/>
      <c r="T937" s="472"/>
      <c r="U937" s="472"/>
      <c r="V937" s="472"/>
      <c r="W937" s="472"/>
      <c r="X937" s="472"/>
      <c r="Y937" s="472"/>
      <c r="Z937" s="472"/>
    </row>
    <row r="938" spans="1:26" ht="14.25" customHeight="1">
      <c r="A938" s="472"/>
      <c r="B938" s="472"/>
      <c r="C938" s="472"/>
      <c r="D938" s="472"/>
      <c r="E938" s="472"/>
      <c r="F938" s="472"/>
      <c r="G938" s="472"/>
      <c r="H938" s="472"/>
      <c r="I938" s="472"/>
      <c r="J938" s="472"/>
      <c r="K938" s="472"/>
      <c r="L938" s="472"/>
      <c r="M938" s="472"/>
      <c r="N938" s="472"/>
      <c r="O938" s="472"/>
      <c r="P938" s="472"/>
      <c r="Q938" s="472"/>
      <c r="R938" s="472"/>
      <c r="S938" s="472"/>
      <c r="T938" s="472"/>
      <c r="U938" s="472"/>
      <c r="V938" s="472"/>
      <c r="W938" s="472"/>
      <c r="X938" s="472"/>
      <c r="Y938" s="472"/>
      <c r="Z938" s="472"/>
    </row>
    <row r="939" spans="1:26" ht="14.25" customHeight="1">
      <c r="A939" s="472"/>
      <c r="B939" s="472"/>
      <c r="C939" s="472"/>
      <c r="D939" s="472"/>
      <c r="E939" s="472"/>
      <c r="F939" s="472"/>
      <c r="G939" s="472"/>
      <c r="H939" s="472"/>
      <c r="I939" s="472"/>
      <c r="J939" s="472"/>
      <c r="K939" s="472"/>
      <c r="L939" s="472"/>
      <c r="M939" s="472"/>
      <c r="N939" s="472"/>
      <c r="O939" s="472"/>
      <c r="P939" s="472"/>
      <c r="Q939" s="472"/>
      <c r="R939" s="472"/>
      <c r="S939" s="472"/>
      <c r="T939" s="472"/>
      <c r="U939" s="472"/>
      <c r="V939" s="472"/>
      <c r="W939" s="472"/>
      <c r="X939" s="472"/>
      <c r="Y939" s="472"/>
      <c r="Z939" s="472"/>
    </row>
    <row r="940" spans="1:26" ht="14.25" customHeight="1">
      <c r="A940" s="472"/>
      <c r="B940" s="472"/>
      <c r="C940" s="472"/>
      <c r="D940" s="472"/>
      <c r="E940" s="472"/>
      <c r="F940" s="472"/>
      <c r="G940" s="472"/>
      <c r="H940" s="472"/>
      <c r="I940" s="472"/>
      <c r="J940" s="472"/>
      <c r="K940" s="472"/>
      <c r="L940" s="472"/>
      <c r="M940" s="472"/>
      <c r="N940" s="472"/>
      <c r="O940" s="472"/>
      <c r="P940" s="472"/>
      <c r="Q940" s="472"/>
      <c r="R940" s="472"/>
      <c r="S940" s="472"/>
      <c r="T940" s="472"/>
      <c r="U940" s="472"/>
      <c r="V940" s="472"/>
      <c r="W940" s="472"/>
      <c r="X940" s="472"/>
      <c r="Y940" s="472"/>
      <c r="Z940" s="472"/>
    </row>
    <row r="941" spans="1:26" ht="14.25" customHeight="1">
      <c r="A941" s="472"/>
      <c r="B941" s="472"/>
      <c r="C941" s="472"/>
      <c r="D941" s="472"/>
      <c r="E941" s="472"/>
      <c r="F941" s="472"/>
      <c r="G941" s="472"/>
      <c r="H941" s="472"/>
      <c r="I941" s="472"/>
      <c r="J941" s="472"/>
      <c r="K941" s="472"/>
      <c r="L941" s="472"/>
      <c r="M941" s="472"/>
      <c r="N941" s="472"/>
      <c r="O941" s="472"/>
      <c r="P941" s="472"/>
      <c r="Q941" s="472"/>
      <c r="R941" s="472"/>
      <c r="S941" s="472"/>
      <c r="T941" s="472"/>
      <c r="U941" s="472"/>
      <c r="V941" s="472"/>
      <c r="W941" s="472"/>
      <c r="X941" s="472"/>
      <c r="Y941" s="472"/>
      <c r="Z941" s="472"/>
    </row>
    <row r="942" spans="1:26" ht="14.25" customHeight="1">
      <c r="A942" s="472"/>
      <c r="B942" s="472"/>
      <c r="C942" s="472"/>
      <c r="D942" s="472"/>
      <c r="E942" s="472"/>
      <c r="F942" s="472"/>
      <c r="G942" s="472"/>
      <c r="H942" s="472"/>
      <c r="I942" s="472"/>
      <c r="J942" s="472"/>
      <c r="K942" s="472"/>
      <c r="L942" s="472"/>
      <c r="M942" s="472"/>
      <c r="N942" s="472"/>
      <c r="O942" s="472"/>
      <c r="P942" s="472"/>
      <c r="Q942" s="472"/>
      <c r="R942" s="472"/>
      <c r="S942" s="472"/>
      <c r="T942" s="472"/>
      <c r="U942" s="472"/>
      <c r="V942" s="472"/>
      <c r="W942" s="472"/>
      <c r="X942" s="472"/>
      <c r="Y942" s="472"/>
      <c r="Z942" s="472"/>
    </row>
    <row r="943" spans="1:26" ht="14.25" customHeight="1">
      <c r="A943" s="472"/>
      <c r="B943" s="472"/>
      <c r="C943" s="472"/>
      <c r="D943" s="472"/>
      <c r="E943" s="472"/>
      <c r="F943" s="472"/>
      <c r="G943" s="472"/>
      <c r="H943" s="472"/>
      <c r="I943" s="472"/>
      <c r="J943" s="472"/>
      <c r="K943" s="472"/>
      <c r="L943" s="472"/>
      <c r="M943" s="472"/>
      <c r="N943" s="472"/>
      <c r="O943" s="472"/>
      <c r="P943" s="472"/>
      <c r="Q943" s="472"/>
      <c r="R943" s="472"/>
      <c r="S943" s="472"/>
      <c r="T943" s="472"/>
      <c r="U943" s="472"/>
      <c r="V943" s="472"/>
      <c r="W943" s="472"/>
      <c r="X943" s="472"/>
      <c r="Y943" s="472"/>
      <c r="Z943" s="472"/>
    </row>
    <row r="944" spans="1:26" ht="14.25" customHeight="1">
      <c r="A944" s="472"/>
      <c r="B944" s="472"/>
      <c r="C944" s="472"/>
      <c r="D944" s="472"/>
      <c r="E944" s="472"/>
      <c r="F944" s="472"/>
      <c r="G944" s="472"/>
      <c r="H944" s="472"/>
      <c r="I944" s="472"/>
      <c r="J944" s="472"/>
      <c r="K944" s="472"/>
      <c r="L944" s="472"/>
      <c r="M944" s="472"/>
      <c r="N944" s="472"/>
      <c r="O944" s="472"/>
      <c r="P944" s="472"/>
      <c r="Q944" s="472"/>
      <c r="R944" s="472"/>
      <c r="S944" s="472"/>
      <c r="T944" s="472"/>
      <c r="U944" s="472"/>
      <c r="V944" s="472"/>
      <c r="W944" s="472"/>
      <c r="X944" s="472"/>
      <c r="Y944" s="472"/>
      <c r="Z944" s="472"/>
    </row>
    <row r="945" spans="1:26" ht="14.25" customHeight="1">
      <c r="A945" s="472"/>
      <c r="B945" s="472"/>
      <c r="C945" s="472"/>
      <c r="D945" s="472"/>
      <c r="E945" s="472"/>
      <c r="F945" s="472"/>
      <c r="G945" s="472"/>
      <c r="H945" s="472"/>
      <c r="I945" s="472"/>
      <c r="J945" s="472"/>
      <c r="K945" s="472"/>
      <c r="L945" s="472"/>
      <c r="M945" s="472"/>
      <c r="N945" s="472"/>
      <c r="O945" s="472"/>
      <c r="P945" s="472"/>
      <c r="Q945" s="472"/>
      <c r="R945" s="472"/>
      <c r="S945" s="472"/>
      <c r="T945" s="472"/>
      <c r="U945" s="472"/>
      <c r="V945" s="472"/>
      <c r="W945" s="472"/>
      <c r="X945" s="472"/>
      <c r="Y945" s="472"/>
      <c r="Z945" s="472"/>
    </row>
    <row r="946" spans="1:26" ht="14.25" customHeight="1">
      <c r="A946" s="472"/>
      <c r="B946" s="472"/>
      <c r="C946" s="472"/>
      <c r="D946" s="472"/>
      <c r="E946" s="472"/>
      <c r="F946" s="472"/>
      <c r="G946" s="472"/>
      <c r="H946" s="472"/>
      <c r="I946" s="472"/>
      <c r="J946" s="472"/>
      <c r="K946" s="472"/>
      <c r="L946" s="472"/>
      <c r="M946" s="472"/>
      <c r="N946" s="472"/>
      <c r="O946" s="472"/>
      <c r="P946" s="472"/>
      <c r="Q946" s="472"/>
      <c r="R946" s="472"/>
      <c r="S946" s="472"/>
      <c r="T946" s="472"/>
      <c r="U946" s="472"/>
      <c r="V946" s="472"/>
      <c r="W946" s="472"/>
      <c r="X946" s="472"/>
      <c r="Y946" s="472"/>
      <c r="Z946" s="472"/>
    </row>
    <row r="947" spans="1:26" ht="14.25" customHeight="1">
      <c r="A947" s="472"/>
      <c r="B947" s="472"/>
      <c r="C947" s="472"/>
      <c r="D947" s="472"/>
      <c r="E947" s="472"/>
      <c r="F947" s="472"/>
      <c r="G947" s="472"/>
      <c r="H947" s="472"/>
      <c r="I947" s="472"/>
      <c r="J947" s="472"/>
      <c r="K947" s="472"/>
      <c r="L947" s="472"/>
      <c r="M947" s="472"/>
      <c r="N947" s="472"/>
      <c r="O947" s="472"/>
      <c r="P947" s="472"/>
      <c r="Q947" s="472"/>
      <c r="R947" s="472"/>
      <c r="S947" s="472"/>
      <c r="T947" s="472"/>
      <c r="U947" s="472"/>
      <c r="V947" s="472"/>
      <c r="W947" s="472"/>
      <c r="X947" s="472"/>
      <c r="Y947" s="472"/>
      <c r="Z947" s="472"/>
    </row>
    <row r="948" spans="1:26" ht="14.25" customHeight="1">
      <c r="A948" s="472"/>
      <c r="B948" s="472"/>
      <c r="C948" s="472"/>
      <c r="D948" s="472"/>
      <c r="E948" s="472"/>
      <c r="F948" s="472"/>
      <c r="G948" s="472"/>
      <c r="H948" s="472"/>
      <c r="I948" s="472"/>
      <c r="J948" s="472"/>
      <c r="K948" s="472"/>
      <c r="L948" s="472"/>
      <c r="M948" s="472"/>
      <c r="N948" s="472"/>
      <c r="O948" s="472"/>
      <c r="P948" s="472"/>
      <c r="Q948" s="472"/>
      <c r="R948" s="472"/>
      <c r="S948" s="472"/>
      <c r="T948" s="472"/>
      <c r="U948" s="472"/>
      <c r="V948" s="472"/>
      <c r="W948" s="472"/>
      <c r="X948" s="472"/>
      <c r="Y948" s="472"/>
      <c r="Z948" s="472"/>
    </row>
    <row r="949" spans="1:26" ht="14.25" customHeight="1">
      <c r="A949" s="472"/>
      <c r="B949" s="472"/>
      <c r="C949" s="472"/>
      <c r="D949" s="472"/>
      <c r="E949" s="472"/>
      <c r="F949" s="472"/>
      <c r="G949" s="472"/>
      <c r="H949" s="472"/>
      <c r="I949" s="472"/>
      <c r="J949" s="472"/>
      <c r="K949" s="472"/>
      <c r="L949" s="472"/>
      <c r="M949" s="472"/>
      <c r="N949" s="472"/>
      <c r="O949" s="472"/>
      <c r="P949" s="472"/>
      <c r="Q949" s="472"/>
      <c r="R949" s="472"/>
      <c r="S949" s="472"/>
      <c r="T949" s="472"/>
      <c r="U949" s="472"/>
      <c r="V949" s="472"/>
      <c r="W949" s="472"/>
      <c r="X949" s="472"/>
      <c r="Y949" s="472"/>
      <c r="Z949" s="472"/>
    </row>
    <row r="950" spans="1:26" ht="14.25" customHeight="1">
      <c r="A950" s="472"/>
      <c r="B950" s="472"/>
      <c r="C950" s="472"/>
      <c r="D950" s="472"/>
      <c r="E950" s="472"/>
      <c r="F950" s="472"/>
      <c r="G950" s="472"/>
      <c r="H950" s="472"/>
      <c r="I950" s="472"/>
      <c r="J950" s="472"/>
      <c r="K950" s="472"/>
      <c r="L950" s="472"/>
      <c r="M950" s="472"/>
      <c r="N950" s="472"/>
      <c r="O950" s="472"/>
      <c r="P950" s="472"/>
      <c r="Q950" s="472"/>
      <c r="R950" s="472"/>
      <c r="S950" s="472"/>
      <c r="T950" s="472"/>
      <c r="U950" s="472"/>
      <c r="V950" s="472"/>
      <c r="W950" s="472"/>
      <c r="X950" s="472"/>
      <c r="Y950" s="472"/>
      <c r="Z950" s="472"/>
    </row>
    <row r="951" spans="1:26" ht="14.25" customHeight="1">
      <c r="A951" s="472"/>
      <c r="B951" s="472"/>
      <c r="C951" s="472"/>
      <c r="D951" s="472"/>
      <c r="E951" s="472"/>
      <c r="F951" s="472"/>
      <c r="G951" s="472"/>
      <c r="H951" s="472"/>
      <c r="I951" s="472"/>
      <c r="J951" s="472"/>
      <c r="K951" s="472"/>
      <c r="L951" s="472"/>
      <c r="M951" s="472"/>
      <c r="N951" s="472"/>
      <c r="O951" s="472"/>
      <c r="P951" s="472"/>
      <c r="Q951" s="472"/>
      <c r="R951" s="472"/>
      <c r="S951" s="472"/>
      <c r="T951" s="472"/>
      <c r="U951" s="472"/>
      <c r="V951" s="472"/>
      <c r="W951" s="472"/>
      <c r="X951" s="472"/>
      <c r="Y951" s="472"/>
      <c r="Z951" s="472"/>
    </row>
    <row r="952" spans="1:26" ht="14.25" customHeight="1">
      <c r="A952" s="472"/>
      <c r="B952" s="472"/>
      <c r="C952" s="472"/>
      <c r="D952" s="472"/>
      <c r="E952" s="472"/>
      <c r="F952" s="472"/>
      <c r="G952" s="472"/>
      <c r="H952" s="472"/>
      <c r="I952" s="472"/>
      <c r="J952" s="472"/>
      <c r="K952" s="472"/>
      <c r="L952" s="472"/>
      <c r="M952" s="472"/>
      <c r="N952" s="472"/>
      <c r="O952" s="472"/>
      <c r="P952" s="472"/>
      <c r="Q952" s="472"/>
      <c r="R952" s="472"/>
      <c r="S952" s="472"/>
      <c r="T952" s="472"/>
      <c r="U952" s="472"/>
      <c r="V952" s="472"/>
      <c r="W952" s="472"/>
      <c r="X952" s="472"/>
      <c r="Y952" s="472"/>
      <c r="Z952" s="472"/>
    </row>
    <row r="953" spans="1:26" ht="14.25" customHeight="1">
      <c r="A953" s="472"/>
      <c r="B953" s="472"/>
      <c r="C953" s="472"/>
      <c r="D953" s="472"/>
      <c r="E953" s="472"/>
      <c r="F953" s="472"/>
      <c r="G953" s="472"/>
      <c r="H953" s="472"/>
      <c r="I953" s="472"/>
      <c r="J953" s="472"/>
      <c r="K953" s="472"/>
      <c r="L953" s="472"/>
      <c r="M953" s="472"/>
      <c r="N953" s="472"/>
      <c r="O953" s="472"/>
      <c r="P953" s="472"/>
      <c r="Q953" s="472"/>
      <c r="R953" s="472"/>
      <c r="S953" s="472"/>
      <c r="T953" s="472"/>
      <c r="U953" s="472"/>
      <c r="V953" s="472"/>
      <c r="W953" s="472"/>
      <c r="X953" s="472"/>
      <c r="Y953" s="472"/>
      <c r="Z953" s="472"/>
    </row>
    <row r="954" spans="1:26" ht="14.25" customHeight="1">
      <c r="A954" s="472"/>
      <c r="B954" s="472"/>
      <c r="C954" s="472"/>
      <c r="D954" s="472"/>
      <c r="E954" s="472"/>
      <c r="F954" s="472"/>
      <c r="G954" s="472"/>
      <c r="H954" s="472"/>
      <c r="I954" s="472"/>
      <c r="J954" s="472"/>
      <c r="K954" s="472"/>
      <c r="L954" s="472"/>
      <c r="M954" s="472"/>
      <c r="N954" s="472"/>
      <c r="O954" s="472"/>
      <c r="P954" s="472"/>
      <c r="Q954" s="472"/>
      <c r="R954" s="472"/>
      <c r="S954" s="472"/>
      <c r="T954" s="472"/>
      <c r="U954" s="472"/>
      <c r="V954" s="472"/>
      <c r="W954" s="472"/>
      <c r="X954" s="472"/>
      <c r="Y954" s="472"/>
      <c r="Z954" s="472"/>
    </row>
    <row r="955" spans="1:26" ht="14.25" customHeight="1">
      <c r="A955" s="472"/>
      <c r="B955" s="472"/>
      <c r="C955" s="472"/>
      <c r="D955" s="472"/>
      <c r="E955" s="472"/>
      <c r="F955" s="472"/>
      <c r="G955" s="472"/>
      <c r="H955" s="472"/>
      <c r="I955" s="472"/>
      <c r="J955" s="472"/>
      <c r="K955" s="472"/>
      <c r="L955" s="472"/>
      <c r="M955" s="472"/>
      <c r="N955" s="472"/>
      <c r="O955" s="472"/>
      <c r="P955" s="472"/>
      <c r="Q955" s="472"/>
      <c r="R955" s="472"/>
      <c r="S955" s="472"/>
      <c r="T955" s="472"/>
      <c r="U955" s="472"/>
      <c r="V955" s="472"/>
      <c r="W955" s="472"/>
      <c r="X955" s="472"/>
      <c r="Y955" s="472"/>
      <c r="Z955" s="472"/>
    </row>
    <row r="956" spans="1:26" ht="14.25" customHeight="1">
      <c r="A956" s="472"/>
      <c r="B956" s="472"/>
      <c r="C956" s="472"/>
      <c r="D956" s="472"/>
      <c r="E956" s="472"/>
      <c r="F956" s="472"/>
      <c r="G956" s="472"/>
      <c r="H956" s="472"/>
      <c r="I956" s="472"/>
      <c r="J956" s="472"/>
      <c r="K956" s="472"/>
      <c r="L956" s="472"/>
      <c r="M956" s="472"/>
      <c r="N956" s="472"/>
      <c r="O956" s="472"/>
      <c r="P956" s="472"/>
      <c r="Q956" s="472"/>
      <c r="R956" s="472"/>
      <c r="S956" s="472"/>
      <c r="T956" s="472"/>
      <c r="U956" s="472"/>
      <c r="V956" s="472"/>
      <c r="W956" s="472"/>
      <c r="X956" s="472"/>
      <c r="Y956" s="472"/>
      <c r="Z956" s="472"/>
    </row>
    <row r="957" spans="1:26" ht="14.25" customHeight="1">
      <c r="A957" s="472"/>
      <c r="B957" s="472"/>
      <c r="C957" s="472"/>
      <c r="D957" s="472"/>
      <c r="E957" s="472"/>
      <c r="F957" s="472"/>
      <c r="G957" s="472"/>
      <c r="H957" s="472"/>
      <c r="I957" s="472"/>
      <c r="J957" s="472"/>
      <c r="K957" s="472"/>
      <c r="L957" s="472"/>
      <c r="M957" s="472"/>
      <c r="N957" s="472"/>
      <c r="O957" s="472"/>
      <c r="P957" s="472"/>
      <c r="Q957" s="472"/>
      <c r="R957" s="472"/>
      <c r="S957" s="472"/>
      <c r="T957" s="472"/>
      <c r="U957" s="472"/>
      <c r="V957" s="472"/>
      <c r="W957" s="472"/>
      <c r="X957" s="472"/>
      <c r="Y957" s="472"/>
      <c r="Z957" s="472"/>
    </row>
    <row r="958" spans="1:26" ht="14.25" customHeight="1">
      <c r="A958" s="472"/>
      <c r="B958" s="472"/>
      <c r="C958" s="472"/>
      <c r="D958" s="472"/>
      <c r="E958" s="472"/>
      <c r="F958" s="472"/>
      <c r="G958" s="472"/>
      <c r="H958" s="472"/>
      <c r="I958" s="472"/>
      <c r="J958" s="472"/>
      <c r="K958" s="472"/>
      <c r="L958" s="472"/>
      <c r="M958" s="472"/>
      <c r="N958" s="472"/>
      <c r="O958" s="472"/>
      <c r="P958" s="472"/>
      <c r="Q958" s="472"/>
      <c r="R958" s="472"/>
      <c r="S958" s="472"/>
      <c r="T958" s="472"/>
      <c r="U958" s="472"/>
      <c r="V958" s="472"/>
      <c r="W958" s="472"/>
      <c r="X958" s="472"/>
      <c r="Y958" s="472"/>
      <c r="Z958" s="472"/>
    </row>
    <row r="959" spans="1:26" ht="14.25" customHeight="1">
      <c r="A959" s="472"/>
      <c r="B959" s="472"/>
      <c r="C959" s="472"/>
      <c r="D959" s="472"/>
      <c r="E959" s="472"/>
      <c r="F959" s="472"/>
      <c r="G959" s="472"/>
      <c r="H959" s="472"/>
      <c r="I959" s="472"/>
      <c r="J959" s="472"/>
      <c r="K959" s="472"/>
      <c r="L959" s="472"/>
      <c r="M959" s="472"/>
      <c r="N959" s="472"/>
      <c r="O959" s="472"/>
      <c r="P959" s="472"/>
      <c r="Q959" s="472"/>
      <c r="R959" s="472"/>
      <c r="S959" s="472"/>
      <c r="T959" s="472"/>
      <c r="U959" s="472"/>
      <c r="V959" s="472"/>
      <c r="W959" s="472"/>
      <c r="X959" s="472"/>
      <c r="Y959" s="472"/>
      <c r="Z959" s="472"/>
    </row>
    <row r="960" spans="1:26" ht="14.25" customHeight="1">
      <c r="A960" s="472"/>
      <c r="B960" s="472"/>
      <c r="C960" s="472"/>
      <c r="D960" s="472"/>
      <c r="E960" s="472"/>
      <c r="F960" s="472"/>
      <c r="G960" s="472"/>
      <c r="H960" s="472"/>
      <c r="I960" s="472"/>
      <c r="J960" s="472"/>
      <c r="K960" s="472"/>
      <c r="L960" s="472"/>
      <c r="M960" s="472"/>
      <c r="N960" s="472"/>
      <c r="O960" s="472"/>
      <c r="P960" s="472"/>
      <c r="Q960" s="472"/>
      <c r="R960" s="472"/>
      <c r="S960" s="472"/>
      <c r="T960" s="472"/>
      <c r="U960" s="472"/>
      <c r="V960" s="472"/>
      <c r="W960" s="472"/>
      <c r="X960" s="472"/>
      <c r="Y960" s="472"/>
      <c r="Z960" s="472"/>
    </row>
    <row r="961" spans="1:26" ht="14.25" customHeight="1">
      <c r="A961" s="472"/>
      <c r="B961" s="472"/>
      <c r="C961" s="472"/>
      <c r="D961" s="472"/>
      <c r="E961" s="472"/>
      <c r="F961" s="472"/>
      <c r="G961" s="472"/>
      <c r="H961" s="472"/>
      <c r="I961" s="472"/>
      <c r="J961" s="472"/>
      <c r="K961" s="472"/>
      <c r="L961" s="472"/>
      <c r="M961" s="472"/>
      <c r="N961" s="472"/>
      <c r="O961" s="472"/>
      <c r="P961" s="472"/>
      <c r="Q961" s="472"/>
      <c r="R961" s="472"/>
      <c r="S961" s="472"/>
      <c r="T961" s="472"/>
      <c r="U961" s="472"/>
      <c r="V961" s="472"/>
      <c r="W961" s="472"/>
      <c r="X961" s="472"/>
      <c r="Y961" s="472"/>
      <c r="Z961" s="472"/>
    </row>
    <row r="962" spans="1:26" ht="14.25" customHeight="1">
      <c r="A962" s="472"/>
      <c r="B962" s="472"/>
      <c r="C962" s="472"/>
      <c r="D962" s="472"/>
      <c r="E962" s="472"/>
      <c r="F962" s="472"/>
      <c r="G962" s="472"/>
      <c r="H962" s="472"/>
      <c r="I962" s="472"/>
      <c r="J962" s="472"/>
      <c r="K962" s="472"/>
      <c r="L962" s="472"/>
      <c r="M962" s="472"/>
      <c r="N962" s="472"/>
      <c r="O962" s="472"/>
      <c r="P962" s="472"/>
      <c r="Q962" s="472"/>
      <c r="R962" s="472"/>
      <c r="S962" s="472"/>
      <c r="T962" s="472"/>
      <c r="U962" s="472"/>
      <c r="V962" s="472"/>
      <c r="W962" s="472"/>
      <c r="X962" s="472"/>
      <c r="Y962" s="472"/>
      <c r="Z962" s="472"/>
    </row>
    <row r="963" spans="1:26" ht="14.25" customHeight="1">
      <c r="A963" s="472"/>
      <c r="B963" s="472"/>
      <c r="C963" s="472"/>
      <c r="D963" s="472"/>
      <c r="E963" s="472"/>
      <c r="F963" s="472"/>
      <c r="G963" s="472"/>
      <c r="H963" s="472"/>
      <c r="I963" s="472"/>
      <c r="J963" s="472"/>
      <c r="K963" s="472"/>
      <c r="L963" s="472"/>
      <c r="M963" s="472"/>
      <c r="N963" s="472"/>
      <c r="O963" s="472"/>
      <c r="P963" s="472"/>
      <c r="Q963" s="472"/>
      <c r="R963" s="472"/>
      <c r="S963" s="472"/>
      <c r="T963" s="472"/>
      <c r="U963" s="472"/>
      <c r="V963" s="472"/>
      <c r="W963" s="472"/>
      <c r="X963" s="472"/>
      <c r="Y963" s="472"/>
      <c r="Z963" s="472"/>
    </row>
    <row r="964" spans="1:26" ht="14.25" customHeight="1">
      <c r="A964" s="472"/>
      <c r="B964" s="472"/>
      <c r="C964" s="472"/>
      <c r="D964" s="472"/>
      <c r="E964" s="472"/>
      <c r="F964" s="472"/>
      <c r="G964" s="472"/>
      <c r="H964" s="472"/>
      <c r="I964" s="472"/>
      <c r="J964" s="472"/>
      <c r="K964" s="472"/>
      <c r="L964" s="472"/>
      <c r="M964" s="472"/>
      <c r="N964" s="472"/>
      <c r="O964" s="472"/>
      <c r="P964" s="472"/>
      <c r="Q964" s="472"/>
      <c r="R964" s="472"/>
      <c r="S964" s="472"/>
      <c r="T964" s="472"/>
      <c r="U964" s="472"/>
      <c r="V964" s="472"/>
      <c r="W964" s="472"/>
      <c r="X964" s="472"/>
      <c r="Y964" s="472"/>
      <c r="Z964" s="472"/>
    </row>
    <row r="965" spans="1:26" ht="14.25" customHeight="1">
      <c r="A965" s="472"/>
      <c r="B965" s="472"/>
      <c r="C965" s="472"/>
      <c r="D965" s="472"/>
      <c r="E965" s="472"/>
      <c r="F965" s="472"/>
      <c r="G965" s="472"/>
      <c r="H965" s="472"/>
      <c r="I965" s="472"/>
      <c r="J965" s="472"/>
      <c r="K965" s="472"/>
      <c r="L965" s="472"/>
      <c r="M965" s="472"/>
      <c r="N965" s="472"/>
      <c r="O965" s="472"/>
      <c r="P965" s="472"/>
      <c r="Q965" s="472"/>
      <c r="R965" s="472"/>
      <c r="S965" s="472"/>
      <c r="T965" s="472"/>
      <c r="U965" s="472"/>
      <c r="V965" s="472"/>
      <c r="W965" s="472"/>
      <c r="X965" s="472"/>
      <c r="Y965" s="472"/>
      <c r="Z965" s="472"/>
    </row>
    <row r="966" spans="1:26" ht="14.25" customHeight="1">
      <c r="A966" s="472"/>
      <c r="B966" s="472"/>
      <c r="C966" s="472"/>
      <c r="D966" s="472"/>
      <c r="E966" s="472"/>
      <c r="F966" s="472"/>
      <c r="G966" s="472"/>
      <c r="H966" s="472"/>
      <c r="I966" s="472"/>
      <c r="J966" s="472"/>
      <c r="K966" s="472"/>
      <c r="L966" s="472"/>
      <c r="M966" s="472"/>
      <c r="N966" s="472"/>
      <c r="O966" s="472"/>
      <c r="P966" s="472"/>
      <c r="Q966" s="472"/>
      <c r="R966" s="472"/>
      <c r="S966" s="472"/>
      <c r="T966" s="472"/>
      <c r="U966" s="472"/>
      <c r="V966" s="472"/>
      <c r="W966" s="472"/>
      <c r="X966" s="472"/>
      <c r="Y966" s="472"/>
      <c r="Z966" s="472"/>
    </row>
    <row r="967" spans="1:26" ht="14.25" customHeight="1">
      <c r="A967" s="472"/>
      <c r="B967" s="472"/>
      <c r="C967" s="472"/>
      <c r="D967" s="472"/>
      <c r="E967" s="472"/>
      <c r="F967" s="472"/>
      <c r="G967" s="472"/>
      <c r="H967" s="472"/>
      <c r="I967" s="472"/>
      <c r="J967" s="472"/>
      <c r="K967" s="472"/>
      <c r="L967" s="472"/>
      <c r="M967" s="472"/>
      <c r="N967" s="472"/>
      <c r="O967" s="472"/>
      <c r="P967" s="472"/>
      <c r="Q967" s="472"/>
      <c r="R967" s="472"/>
      <c r="S967" s="472"/>
      <c r="T967" s="472"/>
      <c r="U967" s="472"/>
      <c r="V967" s="472"/>
      <c r="W967" s="472"/>
      <c r="X967" s="472"/>
      <c r="Y967" s="472"/>
      <c r="Z967" s="472"/>
    </row>
    <row r="968" spans="1:26" ht="14.25" customHeight="1">
      <c r="A968" s="472"/>
      <c r="B968" s="472"/>
      <c r="C968" s="472"/>
      <c r="D968" s="472"/>
      <c r="E968" s="472"/>
      <c r="F968" s="472"/>
      <c r="G968" s="472"/>
      <c r="H968" s="472"/>
      <c r="I968" s="472"/>
      <c r="J968" s="472"/>
      <c r="K968" s="472"/>
      <c r="L968" s="472"/>
      <c r="M968" s="472"/>
      <c r="N968" s="472"/>
      <c r="O968" s="472"/>
      <c r="P968" s="472"/>
      <c r="Q968" s="472"/>
      <c r="R968" s="472"/>
      <c r="S968" s="472"/>
      <c r="T968" s="472"/>
      <c r="U968" s="472"/>
      <c r="V968" s="472"/>
      <c r="W968" s="472"/>
      <c r="X968" s="472"/>
      <c r="Y968" s="472"/>
      <c r="Z968" s="472"/>
    </row>
    <row r="969" spans="1:26" ht="14.25" customHeight="1">
      <c r="A969" s="472"/>
      <c r="B969" s="472"/>
      <c r="C969" s="472"/>
      <c r="D969" s="472"/>
      <c r="E969" s="472"/>
      <c r="F969" s="472"/>
      <c r="G969" s="472"/>
      <c r="H969" s="472"/>
      <c r="I969" s="472"/>
      <c r="J969" s="472"/>
      <c r="K969" s="472"/>
      <c r="L969" s="472"/>
      <c r="M969" s="472"/>
      <c r="N969" s="472"/>
      <c r="O969" s="472"/>
      <c r="P969" s="472"/>
      <c r="Q969" s="472"/>
      <c r="R969" s="472"/>
      <c r="S969" s="472"/>
      <c r="T969" s="472"/>
      <c r="U969" s="472"/>
      <c r="V969" s="472"/>
      <c r="W969" s="472"/>
      <c r="X969" s="472"/>
      <c r="Y969" s="472"/>
      <c r="Z969" s="472"/>
    </row>
    <row r="970" spans="1:26" ht="14.25" customHeight="1">
      <c r="A970" s="472"/>
      <c r="B970" s="472"/>
      <c r="C970" s="472"/>
      <c r="D970" s="472"/>
      <c r="E970" s="472"/>
      <c r="F970" s="472"/>
      <c r="G970" s="472"/>
      <c r="H970" s="472"/>
      <c r="I970" s="472"/>
      <c r="J970" s="472"/>
      <c r="K970" s="472"/>
      <c r="L970" s="472"/>
      <c r="M970" s="472"/>
      <c r="N970" s="472"/>
      <c r="O970" s="472"/>
      <c r="P970" s="472"/>
      <c r="Q970" s="472"/>
      <c r="R970" s="472"/>
      <c r="S970" s="472"/>
      <c r="T970" s="472"/>
      <c r="U970" s="472"/>
      <c r="V970" s="472"/>
      <c r="W970" s="472"/>
      <c r="X970" s="472"/>
      <c r="Y970" s="472"/>
      <c r="Z970" s="472"/>
    </row>
    <row r="971" spans="1:26" ht="14.25" customHeight="1">
      <c r="A971" s="472"/>
      <c r="B971" s="472"/>
      <c r="C971" s="472"/>
      <c r="D971" s="472"/>
      <c r="E971" s="472"/>
      <c r="F971" s="472"/>
      <c r="G971" s="472"/>
      <c r="H971" s="472"/>
      <c r="I971" s="472"/>
      <c r="J971" s="472"/>
      <c r="K971" s="472"/>
      <c r="L971" s="472"/>
      <c r="M971" s="472"/>
      <c r="N971" s="472"/>
      <c r="O971" s="472"/>
      <c r="P971" s="472"/>
      <c r="Q971" s="472"/>
      <c r="R971" s="472"/>
      <c r="S971" s="472"/>
      <c r="T971" s="472"/>
      <c r="U971" s="472"/>
      <c r="V971" s="472"/>
      <c r="W971" s="472"/>
      <c r="X971" s="472"/>
      <c r="Y971" s="472"/>
      <c r="Z971" s="472"/>
    </row>
    <row r="972" spans="1:26" ht="14.25" customHeight="1">
      <c r="A972" s="472"/>
      <c r="B972" s="472"/>
      <c r="C972" s="472"/>
      <c r="D972" s="472"/>
      <c r="E972" s="472"/>
      <c r="F972" s="472"/>
      <c r="G972" s="472"/>
      <c r="H972" s="472"/>
      <c r="I972" s="472"/>
      <c r="J972" s="472"/>
      <c r="K972" s="472"/>
      <c r="L972" s="472"/>
      <c r="M972" s="472"/>
      <c r="N972" s="472"/>
      <c r="O972" s="472"/>
      <c r="P972" s="472"/>
      <c r="Q972" s="472"/>
      <c r="R972" s="472"/>
      <c r="S972" s="472"/>
      <c r="T972" s="472"/>
      <c r="U972" s="472"/>
      <c r="V972" s="472"/>
      <c r="W972" s="472"/>
      <c r="X972" s="472"/>
      <c r="Y972" s="472"/>
      <c r="Z972" s="472"/>
    </row>
    <row r="973" spans="1:26" ht="14.25" customHeight="1">
      <c r="A973" s="472"/>
      <c r="B973" s="472"/>
      <c r="C973" s="472"/>
      <c r="D973" s="472"/>
      <c r="E973" s="472"/>
      <c r="F973" s="472"/>
      <c r="G973" s="472"/>
      <c r="H973" s="472"/>
      <c r="I973" s="472"/>
      <c r="J973" s="472"/>
      <c r="K973" s="472"/>
      <c r="L973" s="472"/>
      <c r="M973" s="472"/>
      <c r="N973" s="472"/>
      <c r="O973" s="472"/>
      <c r="P973" s="472"/>
      <c r="Q973" s="472"/>
      <c r="R973" s="472"/>
      <c r="S973" s="472"/>
      <c r="T973" s="472"/>
      <c r="U973" s="472"/>
      <c r="V973" s="472"/>
      <c r="W973" s="472"/>
      <c r="X973" s="472"/>
      <c r="Y973" s="472"/>
      <c r="Z973" s="472"/>
    </row>
    <row r="974" spans="1:26" ht="14.25" customHeight="1">
      <c r="A974" s="472"/>
      <c r="B974" s="472"/>
      <c r="C974" s="472"/>
      <c r="D974" s="472"/>
      <c r="E974" s="472"/>
      <c r="F974" s="472"/>
      <c r="G974" s="472"/>
      <c r="H974" s="472"/>
      <c r="I974" s="472"/>
      <c r="J974" s="472"/>
      <c r="K974" s="472"/>
      <c r="L974" s="472"/>
      <c r="M974" s="472"/>
      <c r="N974" s="472"/>
      <c r="O974" s="472"/>
      <c r="P974" s="472"/>
      <c r="Q974" s="472"/>
      <c r="R974" s="472"/>
      <c r="S974" s="472"/>
      <c r="T974" s="472"/>
      <c r="U974" s="472"/>
      <c r="V974" s="472"/>
      <c r="W974" s="472"/>
      <c r="X974" s="472"/>
      <c r="Y974" s="472"/>
      <c r="Z974" s="472"/>
    </row>
    <row r="975" spans="1:26" ht="14.25" customHeight="1">
      <c r="A975" s="472"/>
      <c r="B975" s="472"/>
      <c r="C975" s="472"/>
      <c r="D975" s="472"/>
      <c r="E975" s="472"/>
      <c r="F975" s="472"/>
      <c r="G975" s="472"/>
      <c r="H975" s="472"/>
      <c r="I975" s="472"/>
      <c r="J975" s="472"/>
      <c r="K975" s="472"/>
      <c r="L975" s="472"/>
      <c r="M975" s="472"/>
      <c r="N975" s="472"/>
      <c r="O975" s="472"/>
      <c r="P975" s="472"/>
      <c r="Q975" s="472"/>
      <c r="R975" s="472"/>
      <c r="S975" s="472"/>
      <c r="T975" s="472"/>
      <c r="U975" s="472"/>
      <c r="V975" s="472"/>
      <c r="W975" s="472"/>
      <c r="X975" s="472"/>
      <c r="Y975" s="472"/>
      <c r="Z975" s="472"/>
    </row>
    <row r="976" spans="1:26" ht="14.25" customHeight="1">
      <c r="A976" s="472"/>
      <c r="B976" s="472"/>
      <c r="C976" s="472"/>
      <c r="D976" s="472"/>
      <c r="E976" s="472"/>
      <c r="F976" s="472"/>
      <c r="G976" s="472"/>
      <c r="H976" s="472"/>
      <c r="I976" s="472"/>
      <c r="J976" s="472"/>
      <c r="K976" s="472"/>
      <c r="L976" s="472"/>
      <c r="M976" s="472"/>
      <c r="N976" s="472"/>
      <c r="O976" s="472"/>
      <c r="P976" s="472"/>
      <c r="Q976" s="472"/>
      <c r="R976" s="472"/>
      <c r="S976" s="472"/>
      <c r="T976" s="472"/>
      <c r="U976" s="472"/>
      <c r="V976" s="472"/>
      <c r="W976" s="472"/>
      <c r="X976" s="472"/>
      <c r="Y976" s="472"/>
      <c r="Z976" s="472"/>
    </row>
    <row r="977" spans="1:26" ht="14.25" customHeight="1">
      <c r="A977" s="472"/>
      <c r="B977" s="472"/>
      <c r="C977" s="472"/>
      <c r="D977" s="472"/>
      <c r="E977" s="472"/>
      <c r="F977" s="472"/>
      <c r="G977" s="472"/>
      <c r="H977" s="472"/>
      <c r="I977" s="472"/>
      <c r="J977" s="472"/>
      <c r="K977" s="472"/>
      <c r="L977" s="472"/>
      <c r="M977" s="472"/>
      <c r="N977" s="472"/>
      <c r="O977" s="472"/>
      <c r="P977" s="472"/>
      <c r="Q977" s="472"/>
      <c r="R977" s="472"/>
      <c r="S977" s="472"/>
      <c r="T977" s="472"/>
      <c r="U977" s="472"/>
      <c r="V977" s="472"/>
      <c r="W977" s="472"/>
      <c r="X977" s="472"/>
      <c r="Y977" s="472"/>
      <c r="Z977" s="472"/>
    </row>
    <row r="978" spans="1:26" ht="14.25" customHeight="1">
      <c r="A978" s="472"/>
      <c r="B978" s="472"/>
      <c r="C978" s="472"/>
      <c r="D978" s="472"/>
      <c r="E978" s="472"/>
      <c r="F978" s="472"/>
      <c r="G978" s="472"/>
      <c r="H978" s="472"/>
      <c r="I978" s="472"/>
      <c r="J978" s="472"/>
      <c r="K978" s="472"/>
      <c r="L978" s="472"/>
      <c r="M978" s="472"/>
      <c r="N978" s="472"/>
      <c r="O978" s="472"/>
      <c r="P978" s="472"/>
      <c r="Q978" s="472"/>
      <c r="R978" s="472"/>
      <c r="S978" s="472"/>
      <c r="T978" s="472"/>
      <c r="U978" s="472"/>
      <c r="V978" s="472"/>
      <c r="W978" s="472"/>
      <c r="X978" s="472"/>
      <c r="Y978" s="472"/>
      <c r="Z978" s="472"/>
    </row>
    <row r="979" spans="1:26" ht="14.25" customHeight="1">
      <c r="A979" s="472"/>
      <c r="B979" s="472"/>
      <c r="C979" s="472"/>
      <c r="D979" s="472"/>
      <c r="E979" s="472"/>
      <c r="F979" s="472"/>
      <c r="G979" s="472"/>
      <c r="H979" s="472"/>
      <c r="I979" s="472"/>
      <c r="J979" s="472"/>
      <c r="K979" s="472"/>
      <c r="L979" s="472"/>
      <c r="M979" s="472"/>
      <c r="N979" s="472"/>
      <c r="O979" s="472"/>
      <c r="P979" s="472"/>
      <c r="Q979" s="472"/>
      <c r="R979" s="472"/>
      <c r="S979" s="472"/>
      <c r="T979" s="472"/>
      <c r="U979" s="472"/>
      <c r="V979" s="472"/>
      <c r="W979" s="472"/>
      <c r="X979" s="472"/>
      <c r="Y979" s="472"/>
      <c r="Z979" s="472"/>
    </row>
    <row r="980" spans="1:26" ht="14.25" customHeight="1">
      <c r="A980" s="472"/>
      <c r="B980" s="472"/>
      <c r="C980" s="472"/>
      <c r="D980" s="472"/>
      <c r="E980" s="472"/>
      <c r="F980" s="472"/>
      <c r="G980" s="472"/>
      <c r="H980" s="472"/>
      <c r="I980" s="472"/>
      <c r="J980" s="472"/>
      <c r="K980" s="472"/>
      <c r="L980" s="472"/>
      <c r="M980" s="472"/>
      <c r="N980" s="472"/>
      <c r="O980" s="472"/>
      <c r="P980" s="472"/>
      <c r="Q980" s="472"/>
      <c r="R980" s="472"/>
      <c r="S980" s="472"/>
      <c r="T980" s="472"/>
      <c r="U980" s="472"/>
      <c r="V980" s="472"/>
      <c r="W980" s="472"/>
      <c r="X980" s="472"/>
      <c r="Y980" s="472"/>
      <c r="Z980" s="472"/>
    </row>
    <row r="981" spans="1:26" ht="14.25" customHeight="1">
      <c r="A981" s="472"/>
      <c r="B981" s="472"/>
      <c r="C981" s="472"/>
      <c r="D981" s="472"/>
      <c r="E981" s="472"/>
      <c r="F981" s="472"/>
      <c r="G981" s="472"/>
      <c r="H981" s="472"/>
      <c r="I981" s="472"/>
      <c r="J981" s="472"/>
      <c r="K981" s="472"/>
      <c r="L981" s="472"/>
      <c r="M981" s="472"/>
      <c r="N981" s="472"/>
      <c r="O981" s="472"/>
      <c r="P981" s="472"/>
      <c r="Q981" s="472"/>
      <c r="R981" s="472"/>
      <c r="S981" s="472"/>
      <c r="T981" s="472"/>
      <c r="U981" s="472"/>
      <c r="V981" s="472"/>
      <c r="W981" s="472"/>
      <c r="X981" s="472"/>
      <c r="Y981" s="472"/>
      <c r="Z981" s="472"/>
    </row>
    <row r="982" spans="1:26" ht="14.25" customHeight="1">
      <c r="A982" s="472"/>
      <c r="B982" s="472"/>
      <c r="C982" s="472"/>
      <c r="D982" s="472"/>
      <c r="E982" s="472"/>
      <c r="F982" s="472"/>
      <c r="G982" s="472"/>
      <c r="H982" s="472"/>
      <c r="I982" s="472"/>
      <c r="J982" s="472"/>
      <c r="K982" s="472"/>
      <c r="L982" s="472"/>
      <c r="M982" s="472"/>
      <c r="N982" s="472"/>
      <c r="O982" s="472"/>
      <c r="P982" s="472"/>
      <c r="Q982" s="472"/>
      <c r="R982" s="472"/>
      <c r="S982" s="472"/>
      <c r="T982" s="472"/>
      <c r="U982" s="472"/>
      <c r="V982" s="472"/>
      <c r="W982" s="472"/>
      <c r="X982" s="472"/>
      <c r="Y982" s="472"/>
      <c r="Z982" s="472"/>
    </row>
    <row r="983" spans="1:26" ht="14.25" customHeight="1">
      <c r="A983" s="472"/>
      <c r="B983" s="472"/>
      <c r="C983" s="472"/>
      <c r="D983" s="472"/>
      <c r="E983" s="472"/>
      <c r="F983" s="472"/>
      <c r="G983" s="472"/>
      <c r="H983" s="472"/>
      <c r="I983" s="472"/>
      <c r="J983" s="472"/>
      <c r="K983" s="472"/>
      <c r="L983" s="472"/>
      <c r="M983" s="472"/>
      <c r="N983" s="472"/>
      <c r="O983" s="472"/>
      <c r="P983" s="472"/>
      <c r="Q983" s="472"/>
      <c r="R983" s="472"/>
      <c r="S983" s="472"/>
      <c r="T983" s="472"/>
      <c r="U983" s="472"/>
      <c r="V983" s="472"/>
      <c r="W983" s="472"/>
      <c r="X983" s="472"/>
      <c r="Y983" s="472"/>
      <c r="Z983" s="472"/>
    </row>
    <row r="984" spans="1:26" ht="14.25" customHeight="1">
      <c r="A984" s="472"/>
      <c r="B984" s="472"/>
      <c r="C984" s="472"/>
      <c r="D984" s="472"/>
      <c r="E984" s="472"/>
      <c r="F984" s="472"/>
      <c r="G984" s="472"/>
      <c r="H984" s="472"/>
      <c r="I984" s="472"/>
      <c r="J984" s="472"/>
      <c r="K984" s="472"/>
      <c r="L984" s="472"/>
      <c r="M984" s="472"/>
      <c r="N984" s="472"/>
      <c r="O984" s="472"/>
      <c r="P984" s="472"/>
      <c r="Q984" s="472"/>
      <c r="R984" s="472"/>
      <c r="S984" s="472"/>
      <c r="T984" s="472"/>
      <c r="U984" s="472"/>
      <c r="V984" s="472"/>
      <c r="W984" s="472"/>
      <c r="X984" s="472"/>
      <c r="Y984" s="472"/>
      <c r="Z984" s="472"/>
    </row>
    <row r="985" spans="1:26" ht="14.25" customHeight="1">
      <c r="A985" s="472"/>
      <c r="B985" s="472"/>
      <c r="C985" s="472"/>
      <c r="D985" s="472"/>
      <c r="E985" s="472"/>
      <c r="F985" s="472"/>
      <c r="G985" s="472"/>
      <c r="H985" s="472"/>
      <c r="I985" s="472"/>
      <c r="J985" s="472"/>
      <c r="K985" s="472"/>
      <c r="L985" s="472"/>
      <c r="M985" s="472"/>
      <c r="N985" s="472"/>
      <c r="O985" s="472"/>
      <c r="P985" s="472"/>
      <c r="Q985" s="472"/>
      <c r="R985" s="472"/>
      <c r="S985" s="472"/>
      <c r="T985" s="472"/>
      <c r="U985" s="472"/>
      <c r="V985" s="472"/>
      <c r="W985" s="472"/>
      <c r="X985" s="472"/>
      <c r="Y985" s="472"/>
      <c r="Z985" s="472"/>
    </row>
    <row r="986" spans="1:26" ht="14.25" customHeight="1">
      <c r="A986" s="472"/>
      <c r="B986" s="472"/>
      <c r="C986" s="472"/>
      <c r="D986" s="472"/>
      <c r="E986" s="472"/>
      <c r="F986" s="472"/>
      <c r="G986" s="472"/>
      <c r="H986" s="472"/>
      <c r="I986" s="472"/>
      <c r="J986" s="472"/>
      <c r="K986" s="472"/>
      <c r="L986" s="472"/>
      <c r="M986" s="472"/>
      <c r="N986" s="472"/>
      <c r="O986" s="472"/>
      <c r="P986" s="472"/>
      <c r="Q986" s="472"/>
      <c r="R986" s="472"/>
      <c r="S986" s="472"/>
      <c r="T986" s="472"/>
      <c r="U986" s="472"/>
      <c r="V986" s="472"/>
      <c r="W986" s="472"/>
      <c r="X986" s="472"/>
      <c r="Y986" s="472"/>
      <c r="Z986" s="472"/>
    </row>
    <row r="987" spans="1:26" ht="14.25" customHeight="1">
      <c r="A987" s="472"/>
      <c r="B987" s="472"/>
      <c r="C987" s="472"/>
      <c r="D987" s="472"/>
      <c r="E987" s="472"/>
      <c r="F987" s="472"/>
      <c r="G987" s="472"/>
      <c r="H987" s="472"/>
      <c r="I987" s="472"/>
      <c r="J987" s="472"/>
      <c r="K987" s="472"/>
      <c r="L987" s="472"/>
      <c r="M987" s="472"/>
      <c r="N987" s="472"/>
      <c r="O987" s="472"/>
      <c r="P987" s="472"/>
      <c r="Q987" s="472"/>
      <c r="R987" s="472"/>
      <c r="S987" s="472"/>
      <c r="T987" s="472"/>
      <c r="U987" s="472"/>
      <c r="V987" s="472"/>
      <c r="W987" s="472"/>
      <c r="X987" s="472"/>
      <c r="Y987" s="472"/>
      <c r="Z987" s="472"/>
    </row>
    <row r="988" spans="1:26" ht="14.25" customHeight="1">
      <c r="A988" s="472"/>
      <c r="B988" s="472"/>
      <c r="C988" s="472"/>
      <c r="D988" s="472"/>
      <c r="E988" s="472"/>
      <c r="F988" s="472"/>
      <c r="G988" s="472"/>
      <c r="H988" s="472"/>
      <c r="I988" s="472"/>
      <c r="J988" s="472"/>
      <c r="K988" s="472"/>
      <c r="L988" s="472"/>
      <c r="M988" s="472"/>
      <c r="N988" s="472"/>
      <c r="O988" s="472"/>
      <c r="P988" s="472"/>
      <c r="Q988" s="472"/>
      <c r="R988" s="472"/>
      <c r="S988" s="472"/>
      <c r="T988" s="472"/>
      <c r="U988" s="472"/>
      <c r="V988" s="472"/>
      <c r="W988" s="472"/>
      <c r="X988" s="472"/>
      <c r="Y988" s="472"/>
      <c r="Z988" s="472"/>
    </row>
    <row r="989" spans="1:26" ht="14.25" customHeight="1">
      <c r="A989" s="472"/>
      <c r="B989" s="472"/>
      <c r="C989" s="472"/>
      <c r="D989" s="472"/>
      <c r="E989" s="472"/>
      <c r="F989" s="472"/>
      <c r="G989" s="472"/>
      <c r="H989" s="472"/>
      <c r="I989" s="472"/>
      <c r="J989" s="472"/>
      <c r="K989" s="472"/>
      <c r="L989" s="472"/>
      <c r="M989" s="472"/>
      <c r="N989" s="472"/>
      <c r="O989" s="472"/>
      <c r="P989" s="472"/>
      <c r="Q989" s="472"/>
      <c r="R989" s="472"/>
      <c r="S989" s="472"/>
      <c r="T989" s="472"/>
      <c r="U989" s="472"/>
      <c r="V989" s="472"/>
      <c r="W989" s="472"/>
      <c r="X989" s="472"/>
      <c r="Y989" s="472"/>
      <c r="Z989" s="472"/>
    </row>
    <row r="990" spans="1:26" ht="14.25" customHeight="1">
      <c r="A990" s="472"/>
      <c r="B990" s="472"/>
      <c r="C990" s="472"/>
      <c r="D990" s="472"/>
      <c r="E990" s="472"/>
      <c r="F990" s="472"/>
      <c r="G990" s="472"/>
      <c r="H990" s="472"/>
      <c r="I990" s="472"/>
      <c r="J990" s="472"/>
      <c r="K990" s="472"/>
      <c r="L990" s="472"/>
      <c r="M990" s="472"/>
      <c r="N990" s="472"/>
      <c r="O990" s="472"/>
      <c r="P990" s="472"/>
      <c r="Q990" s="472"/>
      <c r="R990" s="472"/>
      <c r="S990" s="472"/>
      <c r="T990" s="472"/>
      <c r="U990" s="472"/>
      <c r="V990" s="472"/>
      <c r="W990" s="472"/>
      <c r="X990" s="472"/>
      <c r="Y990" s="472"/>
      <c r="Z990" s="472"/>
    </row>
    <row r="991" spans="1:26" ht="14.25" customHeight="1">
      <c r="A991" s="472"/>
      <c r="B991" s="472"/>
      <c r="C991" s="472"/>
      <c r="D991" s="472"/>
      <c r="E991" s="472"/>
      <c r="F991" s="472"/>
      <c r="G991" s="472"/>
      <c r="H991" s="472"/>
      <c r="I991" s="472"/>
      <c r="J991" s="472"/>
      <c r="K991" s="472"/>
      <c r="L991" s="472"/>
      <c r="M991" s="472"/>
      <c r="N991" s="472"/>
      <c r="O991" s="472"/>
      <c r="P991" s="472"/>
      <c r="Q991" s="472"/>
      <c r="R991" s="472"/>
      <c r="S991" s="472"/>
      <c r="T991" s="472"/>
      <c r="U991" s="472"/>
      <c r="V991" s="472"/>
      <c r="W991" s="472"/>
      <c r="X991" s="472"/>
      <c r="Y991" s="472"/>
      <c r="Z991" s="472"/>
    </row>
    <row r="992" spans="1:26" ht="14.25" customHeight="1">
      <c r="A992" s="472"/>
      <c r="B992" s="472"/>
      <c r="C992" s="472"/>
      <c r="D992" s="472"/>
      <c r="E992" s="472"/>
      <c r="F992" s="472"/>
      <c r="G992" s="472"/>
      <c r="H992" s="472"/>
      <c r="I992" s="472"/>
      <c r="J992" s="472"/>
      <c r="K992" s="472"/>
      <c r="L992" s="472"/>
      <c r="M992" s="472"/>
      <c r="N992" s="472"/>
      <c r="O992" s="472"/>
      <c r="P992" s="472"/>
      <c r="Q992" s="472"/>
      <c r="R992" s="472"/>
      <c r="S992" s="472"/>
      <c r="T992" s="472"/>
      <c r="U992" s="472"/>
      <c r="V992" s="472"/>
      <c r="W992" s="472"/>
      <c r="X992" s="472"/>
      <c r="Y992" s="472"/>
      <c r="Z992" s="472"/>
    </row>
    <row r="993" spans="1:26" ht="14.25" customHeight="1">
      <c r="A993" s="472"/>
      <c r="B993" s="472"/>
      <c r="C993" s="472"/>
      <c r="D993" s="472"/>
      <c r="E993" s="472"/>
      <c r="F993" s="472"/>
      <c r="G993" s="472"/>
      <c r="H993" s="472"/>
      <c r="I993" s="472"/>
      <c r="J993" s="472"/>
      <c r="K993" s="472"/>
      <c r="L993" s="472"/>
      <c r="M993" s="472"/>
      <c r="N993" s="472"/>
      <c r="O993" s="472"/>
      <c r="P993" s="472"/>
      <c r="Q993" s="472"/>
      <c r="R993" s="472"/>
      <c r="S993" s="472"/>
      <c r="T993" s="472"/>
      <c r="U993" s="472"/>
      <c r="V993" s="472"/>
      <c r="W993" s="472"/>
      <c r="X993" s="472"/>
      <c r="Y993" s="472"/>
      <c r="Z993" s="472"/>
    </row>
    <row r="994" spans="1:26" ht="14.25" customHeight="1">
      <c r="A994" s="472"/>
      <c r="B994" s="472"/>
      <c r="C994" s="472"/>
      <c r="D994" s="472"/>
      <c r="E994" s="472"/>
      <c r="F994" s="472"/>
      <c r="G994" s="472"/>
      <c r="H994" s="472"/>
      <c r="I994" s="472"/>
      <c r="J994" s="472"/>
      <c r="K994" s="472"/>
      <c r="L994" s="472"/>
      <c r="M994" s="472"/>
      <c r="N994" s="472"/>
      <c r="O994" s="472"/>
      <c r="P994" s="472"/>
      <c r="Q994" s="472"/>
      <c r="R994" s="472"/>
      <c r="S994" s="472"/>
      <c r="T994" s="472"/>
      <c r="U994" s="472"/>
      <c r="V994" s="472"/>
      <c r="W994" s="472"/>
      <c r="X994" s="472"/>
      <c r="Y994" s="472"/>
      <c r="Z994" s="472"/>
    </row>
    <row r="995" spans="1:26" ht="14.25" customHeight="1">
      <c r="A995" s="472"/>
      <c r="B995" s="472"/>
      <c r="C995" s="472"/>
      <c r="D995" s="472"/>
      <c r="E995" s="472"/>
      <c r="F995" s="472"/>
      <c r="G995" s="472"/>
      <c r="H995" s="472"/>
      <c r="I995" s="472"/>
      <c r="J995" s="472"/>
      <c r="K995" s="472"/>
      <c r="L995" s="472"/>
      <c r="M995" s="472"/>
      <c r="N995" s="472"/>
      <c r="O995" s="472"/>
      <c r="P995" s="472"/>
      <c r="Q995" s="472"/>
      <c r="R995" s="472"/>
      <c r="S995" s="472"/>
      <c r="T995" s="472"/>
      <c r="U995" s="472"/>
      <c r="V995" s="472"/>
      <c r="W995" s="472"/>
      <c r="X995" s="472"/>
      <c r="Y995" s="472"/>
      <c r="Z995" s="472"/>
    </row>
    <row r="996" spans="1:26" ht="14.25" customHeight="1">
      <c r="A996" s="472"/>
      <c r="B996" s="472"/>
      <c r="C996" s="472"/>
      <c r="D996" s="472"/>
      <c r="E996" s="472"/>
      <c r="F996" s="472"/>
      <c r="G996" s="472"/>
      <c r="H996" s="472"/>
      <c r="I996" s="472"/>
      <c r="J996" s="472"/>
      <c r="K996" s="472"/>
      <c r="L996" s="472"/>
      <c r="M996" s="472"/>
      <c r="N996" s="472"/>
      <c r="O996" s="472"/>
      <c r="P996" s="472"/>
      <c r="Q996" s="472"/>
      <c r="R996" s="472"/>
      <c r="S996" s="472"/>
      <c r="T996" s="472"/>
      <c r="U996" s="472"/>
      <c r="V996" s="472"/>
      <c r="W996" s="472"/>
      <c r="X996" s="472"/>
      <c r="Y996" s="472"/>
      <c r="Z996" s="472"/>
    </row>
    <row r="997" spans="1:26" ht="14.25" customHeight="1">
      <c r="A997" s="472"/>
      <c r="B997" s="472"/>
      <c r="C997" s="472"/>
      <c r="D997" s="472"/>
      <c r="E997" s="472"/>
      <c r="F997" s="472"/>
      <c r="G997" s="472"/>
      <c r="H997" s="472"/>
      <c r="I997" s="472"/>
      <c r="J997" s="472"/>
      <c r="K997" s="472"/>
      <c r="L997" s="472"/>
      <c r="M997" s="472"/>
      <c r="N997" s="472"/>
      <c r="O997" s="472"/>
      <c r="P997" s="472"/>
      <c r="Q997" s="472"/>
      <c r="R997" s="472"/>
      <c r="S997" s="472"/>
      <c r="T997" s="472"/>
      <c r="U997" s="472"/>
      <c r="V997" s="472"/>
      <c r="W997" s="472"/>
      <c r="X997" s="472"/>
      <c r="Y997" s="472"/>
      <c r="Z997" s="472"/>
    </row>
    <row r="998" spans="1:26" ht="14.25" customHeight="1">
      <c r="A998" s="472"/>
      <c r="B998" s="472"/>
      <c r="C998" s="472"/>
      <c r="D998" s="472"/>
      <c r="E998" s="472"/>
      <c r="F998" s="472"/>
      <c r="G998" s="472"/>
      <c r="H998" s="472"/>
      <c r="I998" s="472"/>
      <c r="J998" s="472"/>
      <c r="K998" s="472"/>
      <c r="L998" s="472"/>
      <c r="M998" s="472"/>
      <c r="N998" s="472"/>
      <c r="O998" s="472"/>
      <c r="P998" s="472"/>
      <c r="Q998" s="472"/>
      <c r="R998" s="472"/>
      <c r="S998" s="472"/>
      <c r="T998" s="472"/>
      <c r="U998" s="472"/>
      <c r="V998" s="472"/>
      <c r="W998" s="472"/>
      <c r="X998" s="472"/>
      <c r="Y998" s="472"/>
      <c r="Z998" s="472"/>
    </row>
    <row r="999" spans="1:26" ht="14.25" customHeight="1">
      <c r="A999" s="472"/>
      <c r="B999" s="472"/>
      <c r="C999" s="472"/>
      <c r="D999" s="472"/>
      <c r="E999" s="472"/>
      <c r="F999" s="472"/>
      <c r="G999" s="472"/>
      <c r="H999" s="472"/>
      <c r="I999" s="472"/>
      <c r="J999" s="472"/>
      <c r="K999" s="472"/>
      <c r="L999" s="472"/>
      <c r="M999" s="472"/>
      <c r="N999" s="472"/>
      <c r="O999" s="472"/>
      <c r="P999" s="472"/>
      <c r="Q999" s="472"/>
      <c r="R999" s="472"/>
      <c r="S999" s="472"/>
      <c r="T999" s="472"/>
      <c r="U999" s="472"/>
      <c r="V999" s="472"/>
      <c r="W999" s="472"/>
      <c r="X999" s="472"/>
      <c r="Y999" s="472"/>
      <c r="Z999" s="472"/>
    </row>
    <row r="1000" spans="1:26" ht="14.25" customHeight="1">
      <c r="A1000" s="472"/>
      <c r="B1000" s="472"/>
      <c r="C1000" s="472"/>
      <c r="D1000" s="472"/>
      <c r="E1000" s="472"/>
      <c r="F1000" s="472"/>
      <c r="G1000" s="472"/>
      <c r="H1000" s="472"/>
      <c r="I1000" s="472"/>
      <c r="J1000" s="472"/>
      <c r="K1000" s="472"/>
      <c r="L1000" s="472"/>
      <c r="M1000" s="472"/>
      <c r="N1000" s="472"/>
      <c r="O1000" s="472"/>
      <c r="P1000" s="472"/>
      <c r="Q1000" s="472"/>
      <c r="R1000" s="472"/>
      <c r="S1000" s="472"/>
      <c r="T1000" s="472"/>
      <c r="U1000" s="472"/>
      <c r="V1000" s="472"/>
      <c r="W1000" s="472"/>
      <c r="X1000" s="472"/>
      <c r="Y1000" s="472"/>
      <c r="Z1000" s="472"/>
    </row>
  </sheetData>
  <mergeCells count="3">
    <mergeCell ref="A1:J1"/>
    <mergeCell ref="A43:J44"/>
    <mergeCell ref="A45:J46"/>
  </mergeCells>
  <dataValidations count="1">
    <dataValidation type="list" allowBlank="1" showErrorMessage="1" sqref="C4:C38" xr:uid="{00000000-0002-0000-0A00-000000000000}">
      <formula1>"Federal,Local - Approved by ED,Other"</formula1>
    </dataValidation>
  </dataValidations>
  <printOptions horizontalCentered="1"/>
  <pageMargins left="0.7" right="0.7" top="0.75" bottom="0.75" header="0" footer="0"/>
  <pageSetup orientation="landscape"/>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1000"/>
  <sheetViews>
    <sheetView topLeftCell="L5" workbookViewId="0">
      <selection activeCell="Y29" sqref="Y29"/>
    </sheetView>
  </sheetViews>
  <sheetFormatPr defaultColWidth="12.6328125" defaultRowHeight="15" customHeight="1"/>
  <cols>
    <col min="1" max="1" width="3.7265625" customWidth="1"/>
    <col min="2" max="2" width="30.6328125" customWidth="1"/>
    <col min="3" max="3" width="9.08984375"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s>
  <sheetData>
    <row r="1" spans="1:34" ht="12.75" customHeight="1">
      <c r="A1" s="747" t="s">
        <v>2466</v>
      </c>
      <c r="B1" s="747"/>
      <c r="C1" s="748"/>
    </row>
    <row r="2" spans="1:34" ht="12.75" customHeight="1">
      <c r="C2" s="748"/>
    </row>
    <row r="3" spans="1:34" ht="12.75" customHeight="1">
      <c r="A3" s="749" t="s">
        <v>2467</v>
      </c>
      <c r="B3" s="749"/>
      <c r="C3" s="750" t="s">
        <v>2468</v>
      </c>
      <c r="D3" s="10"/>
      <c r="E3" s="751" t="s">
        <v>2469</v>
      </c>
      <c r="F3" s="752"/>
      <c r="G3" s="751" t="s">
        <v>2470</v>
      </c>
      <c r="H3" s="752"/>
      <c r="I3" s="751" t="s">
        <v>2471</v>
      </c>
      <c r="J3" s="752"/>
      <c r="K3" s="751" t="s">
        <v>2472</v>
      </c>
      <c r="L3" s="752"/>
      <c r="M3" s="751" t="s">
        <v>2473</v>
      </c>
      <c r="N3" s="752"/>
      <c r="O3" s="751" t="s">
        <v>2474</v>
      </c>
      <c r="P3" s="752"/>
      <c r="Q3" s="751" t="s">
        <v>2475</v>
      </c>
      <c r="R3" s="752"/>
      <c r="S3" s="751" t="s">
        <v>2476</v>
      </c>
      <c r="T3" s="752"/>
      <c r="U3" s="751" t="s">
        <v>2477</v>
      </c>
      <c r="V3" s="752"/>
      <c r="W3" s="751" t="s">
        <v>2478</v>
      </c>
      <c r="X3" s="752"/>
      <c r="Y3" s="751" t="s">
        <v>2479</v>
      </c>
      <c r="Z3" s="752"/>
      <c r="AA3" s="751" t="s">
        <v>2480</v>
      </c>
      <c r="AB3" s="752"/>
      <c r="AC3" s="751" t="s">
        <v>2481</v>
      </c>
      <c r="AD3" s="752"/>
      <c r="AE3" s="751" t="s">
        <v>2482</v>
      </c>
      <c r="AF3" s="752"/>
      <c r="AG3" s="751" t="s">
        <v>2483</v>
      </c>
      <c r="AH3" s="10"/>
    </row>
    <row r="4" spans="1:34" ht="12.75" customHeight="1">
      <c r="A4" s="753" t="s">
        <v>2484</v>
      </c>
      <c r="B4" s="753"/>
      <c r="C4" s="754">
        <v>1.0249999999999999</v>
      </c>
      <c r="D4" s="753"/>
      <c r="E4" s="753">
        <f>Application!Y807</f>
        <v>5457816</v>
      </c>
      <c r="F4" s="753"/>
      <c r="G4" s="753">
        <f>E4*$C$4</f>
        <v>5594261.3999999994</v>
      </c>
      <c r="H4" s="753"/>
      <c r="I4" s="753">
        <f>G4*$C$4</f>
        <v>5734117.9349999987</v>
      </c>
      <c r="J4" s="753"/>
      <c r="K4" s="753">
        <f>I4*$C$4</f>
        <v>5877470.8833749983</v>
      </c>
      <c r="L4" s="753"/>
      <c r="M4" s="753">
        <f>K4*$C$4</f>
        <v>6024407.6554593723</v>
      </c>
      <c r="N4" s="753"/>
      <c r="O4" s="753">
        <f>M4*$C$4</f>
        <v>6175017.8468458559</v>
      </c>
      <c r="P4" s="753"/>
      <c r="Q4" s="753">
        <f>O4*$C$4</f>
        <v>6329393.2930170018</v>
      </c>
      <c r="R4" s="753"/>
      <c r="S4" s="753">
        <f>Q4*$C$4</f>
        <v>6487628.1253424259</v>
      </c>
      <c r="T4" s="753"/>
      <c r="U4" s="753">
        <f>S4*$C$4</f>
        <v>6649818.8284759857</v>
      </c>
      <c r="V4" s="753"/>
      <c r="W4" s="753">
        <f>U4*$C$4</f>
        <v>6816064.2991878847</v>
      </c>
      <c r="X4" s="753"/>
      <c r="Y4" s="753">
        <f>W4*$C$4</f>
        <v>6986465.9066675808</v>
      </c>
      <c r="Z4" s="753"/>
      <c r="AA4" s="753">
        <f>Y4*$C$4</f>
        <v>7161127.5543342698</v>
      </c>
      <c r="AB4" s="753"/>
      <c r="AC4" s="753">
        <f>AA4*$C$4</f>
        <v>7340155.7431926262</v>
      </c>
      <c r="AD4" s="753"/>
      <c r="AE4" s="753">
        <f>AC4*$C$4</f>
        <v>7523659.6367724407</v>
      </c>
      <c r="AF4" s="753"/>
      <c r="AG4" s="753">
        <f>AE4*$C$4</f>
        <v>7711751.1276917513</v>
      </c>
      <c r="AH4" s="753"/>
    </row>
    <row r="5" spans="1:34" ht="12.75" customHeight="1">
      <c r="A5" s="472"/>
      <c r="B5" s="472" t="s">
        <v>2039</v>
      </c>
      <c r="C5" s="755">
        <f>IF(Application!$D$211="Special Needs",(((0.1*Application!$T$212)+(0.05*(1-Application!$T$212)))),0.05)</f>
        <v>0.05</v>
      </c>
      <c r="D5" s="472"/>
      <c r="E5" s="756">
        <f>-E4*$C$5</f>
        <v>-272890.8</v>
      </c>
      <c r="F5" s="756"/>
      <c r="G5" s="756">
        <f>-G4*$C$5</f>
        <v>-279713.07</v>
      </c>
      <c r="H5" s="756"/>
      <c r="I5" s="756">
        <f>-I4*$C$5</f>
        <v>-286705.89674999996</v>
      </c>
      <c r="J5" s="756"/>
      <c r="K5" s="756">
        <f>-K4*$C$5</f>
        <v>-293873.54416874994</v>
      </c>
      <c r="L5" s="756"/>
      <c r="M5" s="756">
        <f>-M4*$C$5</f>
        <v>-301220.38277296862</v>
      </c>
      <c r="N5" s="756"/>
      <c r="O5" s="756">
        <f>-O4*$C$5</f>
        <v>-308750.89234229282</v>
      </c>
      <c r="P5" s="756"/>
      <c r="Q5" s="756">
        <f>-Q4*$C$5</f>
        <v>-316469.66465085011</v>
      </c>
      <c r="R5" s="756"/>
      <c r="S5" s="756">
        <f>-S4*$C$5</f>
        <v>-324381.40626712132</v>
      </c>
      <c r="T5" s="756"/>
      <c r="U5" s="756">
        <f>-U4*$C$5</f>
        <v>-332490.94142379932</v>
      </c>
      <c r="V5" s="756"/>
      <c r="W5" s="756">
        <f>-W4*$C$5</f>
        <v>-340803.21495939424</v>
      </c>
      <c r="X5" s="756"/>
      <c r="Y5" s="756">
        <f>-Y4*$C$5</f>
        <v>-349323.29533337906</v>
      </c>
      <c r="Z5" s="756"/>
      <c r="AA5" s="756">
        <f>-AA4*$C$5</f>
        <v>-358056.37771671353</v>
      </c>
      <c r="AB5" s="756"/>
      <c r="AC5" s="756">
        <f>-AC4*$C$5</f>
        <v>-367007.78715963132</v>
      </c>
      <c r="AD5" s="756"/>
      <c r="AE5" s="756">
        <f>-AE4*$C$5</f>
        <v>-376182.98183862207</v>
      </c>
      <c r="AF5" s="756"/>
      <c r="AG5" s="756">
        <f>-AG4*$C$5</f>
        <v>-385587.5563845876</v>
      </c>
      <c r="AH5" s="472"/>
    </row>
    <row r="6" spans="1:34" ht="12.75" customHeight="1">
      <c r="A6" s="472" t="s">
        <v>2488</v>
      </c>
      <c r="B6" s="472"/>
      <c r="C6" s="754">
        <v>1.0249999999999999</v>
      </c>
      <c r="D6" s="472"/>
      <c r="E6" s="744">
        <f>Application!Z815</f>
        <v>0</v>
      </c>
      <c r="F6" s="744"/>
      <c r="G6" s="744">
        <f>E6*$C$6</f>
        <v>0</v>
      </c>
      <c r="H6" s="744"/>
      <c r="I6" s="744">
        <f>G6*$C$6</f>
        <v>0</v>
      </c>
      <c r="J6" s="744"/>
      <c r="K6" s="744">
        <f>I6*$C$6</f>
        <v>0</v>
      </c>
      <c r="L6" s="744"/>
      <c r="M6" s="744">
        <f>K6*$C$6</f>
        <v>0</v>
      </c>
      <c r="N6" s="744"/>
      <c r="O6" s="744">
        <f>M6*$C$6</f>
        <v>0</v>
      </c>
      <c r="P6" s="744"/>
      <c r="Q6" s="744">
        <f>O6*$C$6</f>
        <v>0</v>
      </c>
      <c r="R6" s="744"/>
      <c r="S6" s="744">
        <f>Q6*$C$6</f>
        <v>0</v>
      </c>
      <c r="T6" s="744"/>
      <c r="U6" s="744">
        <f>S6*$C$6</f>
        <v>0</v>
      </c>
      <c r="V6" s="744"/>
      <c r="W6" s="744">
        <f>U6*$C$6</f>
        <v>0</v>
      </c>
      <c r="X6" s="744"/>
      <c r="Y6" s="744">
        <f>W6*$C$6</f>
        <v>0</v>
      </c>
      <c r="Z6" s="744"/>
      <c r="AA6" s="744">
        <f>Y6*$C$6</f>
        <v>0</v>
      </c>
      <c r="AB6" s="744"/>
      <c r="AC6" s="744">
        <f>AA6*$C$6</f>
        <v>0</v>
      </c>
      <c r="AD6" s="744"/>
      <c r="AE6" s="744">
        <f>AC6*$C$6</f>
        <v>0</v>
      </c>
      <c r="AF6" s="744"/>
      <c r="AG6" s="744">
        <f>AE6*$C$6</f>
        <v>0</v>
      </c>
      <c r="AH6" s="472"/>
    </row>
    <row r="7" spans="1:34" ht="12.75" customHeight="1">
      <c r="A7" s="472"/>
      <c r="B7" s="472" t="s">
        <v>2039</v>
      </c>
      <c r="C7" s="755">
        <f>IF(Application!$D$211="Special Needs",(((0.1*Application!$T$212)+(0.05*(1-Application!$T$212)))),0.05)</f>
        <v>0.05</v>
      </c>
      <c r="D7" s="472"/>
      <c r="E7" s="756">
        <f>-E6*$C$7</f>
        <v>0</v>
      </c>
      <c r="F7" s="756"/>
      <c r="G7" s="756">
        <f>-G6*$C$7</f>
        <v>0</v>
      </c>
      <c r="H7" s="756"/>
      <c r="I7" s="756">
        <f>-I6*$C$7</f>
        <v>0</v>
      </c>
      <c r="J7" s="756"/>
      <c r="K7" s="756">
        <f>-K6*$C$7</f>
        <v>0</v>
      </c>
      <c r="L7" s="756"/>
      <c r="M7" s="756">
        <f>-M6*$C$7</f>
        <v>0</v>
      </c>
      <c r="N7" s="756"/>
      <c r="O7" s="756">
        <f>-O6*$C$7</f>
        <v>0</v>
      </c>
      <c r="P7" s="756"/>
      <c r="Q7" s="756">
        <f>-Q6*$C$7</f>
        <v>0</v>
      </c>
      <c r="R7" s="756"/>
      <c r="S7" s="756">
        <f>-S6*$C$7</f>
        <v>0</v>
      </c>
      <c r="T7" s="756"/>
      <c r="U7" s="756">
        <f>-U6*$C$7</f>
        <v>0</v>
      </c>
      <c r="V7" s="756"/>
      <c r="W7" s="756">
        <f>-W6*$C$7</f>
        <v>0</v>
      </c>
      <c r="X7" s="756"/>
      <c r="Y7" s="756">
        <f>-Y6*$C$7</f>
        <v>0</v>
      </c>
      <c r="Z7" s="756"/>
      <c r="AA7" s="756">
        <f>-AA6*$C$7</f>
        <v>0</v>
      </c>
      <c r="AB7" s="756"/>
      <c r="AC7" s="756">
        <f>-AC6*$C$7</f>
        <v>0</v>
      </c>
      <c r="AD7" s="756"/>
      <c r="AE7" s="756">
        <f>-AE6*$C$7</f>
        <v>0</v>
      </c>
      <c r="AF7" s="756"/>
      <c r="AG7" s="756">
        <f>-AG6*$C$7</f>
        <v>0</v>
      </c>
      <c r="AH7" s="472"/>
    </row>
    <row r="8" spans="1:34" ht="12.75" customHeight="1">
      <c r="A8" s="472" t="s">
        <v>268</v>
      </c>
      <c r="B8" s="472"/>
      <c r="C8" s="754">
        <v>1.0249999999999999</v>
      </c>
      <c r="D8" s="472"/>
      <c r="E8" s="744">
        <f>Application!Z823</f>
        <v>315621</v>
      </c>
      <c r="F8" s="744"/>
      <c r="G8" s="744">
        <f>E8*$C$8</f>
        <v>323511.52499999997</v>
      </c>
      <c r="H8" s="744"/>
      <c r="I8" s="744">
        <f>G8*$C$8</f>
        <v>331599.31312499993</v>
      </c>
      <c r="J8" s="744"/>
      <c r="K8" s="744">
        <f>I8*$C$8</f>
        <v>339889.29595312488</v>
      </c>
      <c r="L8" s="744"/>
      <c r="M8" s="744">
        <f>K8*$C$8</f>
        <v>348386.52835195296</v>
      </c>
      <c r="N8" s="744"/>
      <c r="O8" s="744">
        <f>M8*$C$8</f>
        <v>357096.19156075176</v>
      </c>
      <c r="P8" s="744"/>
      <c r="Q8" s="744">
        <f>O8*$C$8</f>
        <v>366023.59634977049</v>
      </c>
      <c r="R8" s="744"/>
      <c r="S8" s="744">
        <f>Q8*$C$8</f>
        <v>375174.1862585147</v>
      </c>
      <c r="T8" s="744"/>
      <c r="U8" s="744">
        <f>S8*$C$8</f>
        <v>384553.54091497755</v>
      </c>
      <c r="V8" s="744"/>
      <c r="W8" s="744">
        <f>U8*$C$8</f>
        <v>394167.37943785195</v>
      </c>
      <c r="X8" s="744"/>
      <c r="Y8" s="744">
        <f>W8*$C$8</f>
        <v>404021.56392379821</v>
      </c>
      <c r="Z8" s="744"/>
      <c r="AA8" s="744">
        <f>Y8*$C$8</f>
        <v>414122.10302189313</v>
      </c>
      <c r="AB8" s="744"/>
      <c r="AC8" s="744">
        <f>AA8*$C$8</f>
        <v>424475.15559744043</v>
      </c>
      <c r="AD8" s="744"/>
      <c r="AE8" s="744">
        <f>AC8*$C$8</f>
        <v>435087.0344873764</v>
      </c>
      <c r="AF8" s="744"/>
      <c r="AG8" s="744">
        <f>AE8*$C$8</f>
        <v>445964.21034956077</v>
      </c>
      <c r="AH8" s="472"/>
    </row>
    <row r="9" spans="1:34" ht="12.75" customHeight="1">
      <c r="A9" s="472"/>
      <c r="B9" s="472" t="s">
        <v>2039</v>
      </c>
      <c r="C9" s="755">
        <f>IF(Application!$D$211="Special Needs",(((0.1*Application!$T$212)+(0.05*(1-Application!$T$212)))),0.05)</f>
        <v>0.05</v>
      </c>
      <c r="D9" s="472"/>
      <c r="E9" s="756">
        <f>-E8*$C$9</f>
        <v>-15781.050000000001</v>
      </c>
      <c r="F9" s="756"/>
      <c r="G9" s="756">
        <f>-G8*$C$9</f>
        <v>-16175.576249999998</v>
      </c>
      <c r="H9" s="756"/>
      <c r="I9" s="756">
        <f>-I8*$C$9</f>
        <v>-16579.965656249999</v>
      </c>
      <c r="J9" s="756"/>
      <c r="K9" s="756">
        <f>-K8*$C$9</f>
        <v>-16994.464797656245</v>
      </c>
      <c r="L9" s="756"/>
      <c r="M9" s="756">
        <f>-M8*$C$9</f>
        <v>-17419.326417597647</v>
      </c>
      <c r="N9" s="756"/>
      <c r="O9" s="756">
        <f>-O8*$C$9</f>
        <v>-17854.809578037588</v>
      </c>
      <c r="P9" s="756"/>
      <c r="Q9" s="756">
        <f>-Q8*$C$9</f>
        <v>-18301.179817488526</v>
      </c>
      <c r="R9" s="756"/>
      <c r="S9" s="756">
        <f>-S8*$C$9</f>
        <v>-18758.709312925737</v>
      </c>
      <c r="T9" s="756"/>
      <c r="U9" s="756">
        <f>-U8*$C$9</f>
        <v>-19227.677045748878</v>
      </c>
      <c r="V9" s="756"/>
      <c r="W9" s="756">
        <f>-W8*$C$9</f>
        <v>-19708.3689718926</v>
      </c>
      <c r="X9" s="756"/>
      <c r="Y9" s="756">
        <f>-Y8*$C$9</f>
        <v>-20201.078196189912</v>
      </c>
      <c r="Z9" s="756"/>
      <c r="AA9" s="756">
        <f>-AA8*$C$9</f>
        <v>-20706.105151094656</v>
      </c>
      <c r="AB9" s="756"/>
      <c r="AC9" s="756">
        <f>-AC8*$C$9</f>
        <v>-21223.757779872023</v>
      </c>
      <c r="AD9" s="756"/>
      <c r="AE9" s="756">
        <f>-AE8*$C$9</f>
        <v>-21754.351724368822</v>
      </c>
      <c r="AF9" s="756"/>
      <c r="AG9" s="756">
        <f>-AG8*$C$9</f>
        <v>-22298.210517478041</v>
      </c>
      <c r="AH9" s="472"/>
    </row>
    <row r="10" spans="1:34" ht="12.75" customHeight="1">
      <c r="A10" s="763" t="s">
        <v>2499</v>
      </c>
      <c r="B10" s="763"/>
      <c r="C10" s="755"/>
      <c r="D10" s="472"/>
      <c r="E10" s="764"/>
      <c r="F10" s="744"/>
      <c r="G10" s="764"/>
      <c r="H10" s="744"/>
      <c r="I10" s="764"/>
      <c r="J10" s="744"/>
      <c r="K10" s="764"/>
      <c r="L10" s="744"/>
      <c r="M10" s="764"/>
      <c r="N10" s="744"/>
      <c r="O10" s="764"/>
      <c r="P10" s="744"/>
      <c r="Q10" s="764"/>
      <c r="R10" s="744"/>
      <c r="S10" s="764"/>
      <c r="T10" s="744"/>
      <c r="U10" s="764"/>
      <c r="V10" s="744"/>
      <c r="W10" s="764"/>
      <c r="X10" s="744"/>
      <c r="Y10" s="764"/>
      <c r="Z10" s="744"/>
      <c r="AA10" s="764"/>
      <c r="AB10" s="744"/>
      <c r="AC10" s="764"/>
      <c r="AD10" s="744"/>
      <c r="AE10" s="764"/>
      <c r="AF10" s="744"/>
      <c r="AG10" s="764"/>
      <c r="AH10" s="472"/>
    </row>
    <row r="11" spans="1:34" ht="12.75" customHeight="1">
      <c r="A11" s="765" t="s">
        <v>2503</v>
      </c>
      <c r="B11" s="765"/>
      <c r="C11" s="766"/>
      <c r="D11" s="765"/>
      <c r="E11" s="765">
        <f>SUM(E4:E10)</f>
        <v>5484765.1500000004</v>
      </c>
      <c r="F11" s="765"/>
      <c r="G11" s="765">
        <f>SUM(G4:G10)</f>
        <v>5621884.2787499996</v>
      </c>
      <c r="H11" s="765"/>
      <c r="I11" s="765">
        <f>SUM(I4:I10)</f>
        <v>5762431.3857187489</v>
      </c>
      <c r="J11" s="765"/>
      <c r="K11" s="765">
        <f>SUM(K4:K10)</f>
        <v>5906492.1703617172</v>
      </c>
      <c r="L11" s="765"/>
      <c r="M11" s="765">
        <f>SUM(M4:M10)</f>
        <v>6054154.4746207586</v>
      </c>
      <c r="N11" s="765"/>
      <c r="O11" s="765">
        <f>SUM(O4:O10)</f>
        <v>6205508.3364862772</v>
      </c>
      <c r="P11" s="765"/>
      <c r="Q11" s="765">
        <f>SUM(Q4:Q10)</f>
        <v>6360646.0448984336</v>
      </c>
      <c r="R11" s="765"/>
      <c r="S11" s="765">
        <f>SUM(S4:S10)</f>
        <v>6519662.1960208928</v>
      </c>
      <c r="T11" s="765"/>
      <c r="U11" s="765">
        <f>SUM(U4:U10)</f>
        <v>6682653.7509214161</v>
      </c>
      <c r="V11" s="765"/>
      <c r="W11" s="765">
        <f>SUM(W4:W10)</f>
        <v>6849720.0946944496</v>
      </c>
      <c r="X11" s="765"/>
      <c r="Y11" s="765">
        <f>SUM(Y4:Y10)</f>
        <v>7020963.0970618101</v>
      </c>
      <c r="Z11" s="765"/>
      <c r="AA11" s="765">
        <f>SUM(AA4:AA10)</f>
        <v>7196487.1744883545</v>
      </c>
      <c r="AB11" s="765"/>
      <c r="AC11" s="765">
        <f>SUM(AC4:AC10)</f>
        <v>7376399.353850564</v>
      </c>
      <c r="AD11" s="765"/>
      <c r="AE11" s="765">
        <f>SUM(AE4:AE10)</f>
        <v>7560809.3376968261</v>
      </c>
      <c r="AF11" s="765"/>
      <c r="AG11" s="765">
        <f>SUM(AG4:AG10)</f>
        <v>7749829.5711392462</v>
      </c>
      <c r="AH11" s="765"/>
    </row>
    <row r="12" spans="1:34" ht="12.75" customHeight="1">
      <c r="C12" s="748"/>
      <c r="E12" s="767"/>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7"/>
      <c r="AE12" s="767"/>
      <c r="AF12" s="767"/>
      <c r="AG12" s="767"/>
    </row>
    <row r="13" spans="1:34" ht="12.75" customHeight="1">
      <c r="A13" s="749" t="s">
        <v>2506</v>
      </c>
      <c r="C13" s="748"/>
      <c r="E13" s="767"/>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7"/>
      <c r="AE13" s="767"/>
      <c r="AF13" s="767"/>
      <c r="AG13" s="767"/>
    </row>
    <row r="14" spans="1:34" ht="12.75" customHeight="1">
      <c r="A14" s="472" t="s">
        <v>2507</v>
      </c>
      <c r="B14" s="472"/>
      <c r="C14" s="754">
        <v>1.0349999999999999</v>
      </c>
      <c r="D14" s="472"/>
      <c r="E14" s="744"/>
      <c r="F14" s="744"/>
      <c r="G14" s="744"/>
      <c r="H14" s="744"/>
      <c r="I14" s="744"/>
      <c r="J14" s="744"/>
      <c r="K14" s="744"/>
      <c r="L14" s="744"/>
      <c r="M14" s="744"/>
      <c r="N14" s="744"/>
      <c r="O14" s="744"/>
      <c r="P14" s="744"/>
      <c r="Q14" s="744"/>
      <c r="R14" s="744"/>
      <c r="S14" s="744"/>
      <c r="T14" s="744"/>
      <c r="U14" s="744"/>
      <c r="V14" s="744"/>
      <c r="W14" s="744"/>
      <c r="X14" s="744"/>
      <c r="Y14" s="744"/>
      <c r="Z14" s="744"/>
      <c r="AA14" s="744"/>
      <c r="AB14" s="744"/>
      <c r="AC14" s="744"/>
      <c r="AD14" s="744"/>
      <c r="AE14" s="744"/>
      <c r="AF14" s="744"/>
      <c r="AG14" s="744"/>
      <c r="AH14" s="472"/>
    </row>
    <row r="15" spans="1:34" ht="12.75" customHeight="1">
      <c r="A15" s="753" t="s">
        <v>2509</v>
      </c>
      <c r="B15" s="753"/>
      <c r="C15" s="226"/>
      <c r="D15" s="753"/>
      <c r="E15" s="753">
        <f>Application!W853</f>
        <v>81125</v>
      </c>
      <c r="F15" s="753"/>
      <c r="G15" s="753">
        <f t="shared" ref="G15:G21" si="0">E15*$C$14</f>
        <v>83964.375</v>
      </c>
      <c r="H15" s="753"/>
      <c r="I15" s="753">
        <f t="shared" ref="I15:I21" si="1">G15*$C$14</f>
        <v>86903.128124999988</v>
      </c>
      <c r="J15" s="753"/>
      <c r="K15" s="753">
        <f t="shared" ref="K15:K21" si="2">I15*$C$14</f>
        <v>89944.737609374977</v>
      </c>
      <c r="L15" s="753"/>
      <c r="M15" s="753">
        <f t="shared" ref="M15:M21" si="3">K15*$C$14</f>
        <v>93092.803425703096</v>
      </c>
      <c r="N15" s="753"/>
      <c r="O15" s="753">
        <f t="shared" ref="O15:O21" si="4">M15*$C$14</f>
        <v>96351.051545602691</v>
      </c>
      <c r="P15" s="753"/>
      <c r="Q15" s="753">
        <f t="shared" ref="Q15:Q21" si="5">O15*$C$14</f>
        <v>99723.338349698781</v>
      </c>
      <c r="R15" s="753"/>
      <c r="S15" s="753">
        <f t="shared" ref="S15:S21" si="6">Q15*$C$14</f>
        <v>103213.65519193823</v>
      </c>
      <c r="T15" s="753"/>
      <c r="U15" s="753">
        <f t="shared" ref="U15:U21" si="7">S15*$C$14</f>
        <v>106826.13312365607</v>
      </c>
      <c r="V15" s="753"/>
      <c r="W15" s="753">
        <f t="shared" ref="W15:W21" si="8">U15*$C$14</f>
        <v>110565.04778298402</v>
      </c>
      <c r="X15" s="753"/>
      <c r="Y15" s="753">
        <f t="shared" ref="Y15:Y21" si="9">W15*$C$14</f>
        <v>114434.82445538846</v>
      </c>
      <c r="Z15" s="753"/>
      <c r="AA15" s="753">
        <f t="shared" ref="AA15:AA21" si="10">Y15*$C$14</f>
        <v>118440.04331132704</v>
      </c>
      <c r="AB15" s="753"/>
      <c r="AC15" s="753">
        <f t="shared" ref="AC15:AC21" si="11">AA15*$C$14</f>
        <v>122585.44482722347</v>
      </c>
      <c r="AD15" s="753"/>
      <c r="AE15" s="753">
        <f t="shared" ref="AE15:AE21" si="12">AC15*$C$14</f>
        <v>126875.93539617628</v>
      </c>
      <c r="AF15" s="753"/>
      <c r="AG15" s="753">
        <f t="shared" ref="AG15:AG21" si="13">AE15*$C$14</f>
        <v>131316.59313504244</v>
      </c>
      <c r="AH15" s="753"/>
    </row>
    <row r="16" spans="1:34" ht="12.75" customHeight="1">
      <c r="A16" s="472" t="s">
        <v>2510</v>
      </c>
      <c r="B16" s="472"/>
      <c r="C16" s="748"/>
      <c r="D16" s="472"/>
      <c r="E16" s="744">
        <f>Application!W855</f>
        <v>115876</v>
      </c>
      <c r="F16" s="744"/>
      <c r="G16" s="744">
        <f t="shared" si="0"/>
        <v>119931.65999999999</v>
      </c>
      <c r="H16" s="744"/>
      <c r="I16" s="744">
        <f t="shared" si="1"/>
        <v>124129.26809999997</v>
      </c>
      <c r="J16" s="744"/>
      <c r="K16" s="744">
        <f t="shared" si="2"/>
        <v>128473.79248349996</v>
      </c>
      <c r="L16" s="744"/>
      <c r="M16" s="744">
        <f t="shared" si="3"/>
        <v>132970.37522042246</v>
      </c>
      <c r="N16" s="744"/>
      <c r="O16" s="744">
        <f t="shared" si="4"/>
        <v>137624.33835313722</v>
      </c>
      <c r="P16" s="744"/>
      <c r="Q16" s="744">
        <f t="shared" si="5"/>
        <v>142441.19019549701</v>
      </c>
      <c r="R16" s="744"/>
      <c r="S16" s="744">
        <f t="shared" si="6"/>
        <v>147426.6318523394</v>
      </c>
      <c r="T16" s="744"/>
      <c r="U16" s="744">
        <f t="shared" si="7"/>
        <v>152586.56396717127</v>
      </c>
      <c r="V16" s="744"/>
      <c r="W16" s="744">
        <f t="shared" si="8"/>
        <v>157927.09370602225</v>
      </c>
      <c r="X16" s="744"/>
      <c r="Y16" s="744">
        <f t="shared" si="9"/>
        <v>163454.54198573303</v>
      </c>
      <c r="Z16" s="744"/>
      <c r="AA16" s="744">
        <f t="shared" si="10"/>
        <v>169175.45095523368</v>
      </c>
      <c r="AB16" s="744"/>
      <c r="AC16" s="744">
        <f t="shared" si="11"/>
        <v>175096.59173866684</v>
      </c>
      <c r="AD16" s="744"/>
      <c r="AE16" s="744">
        <f t="shared" si="12"/>
        <v>181224.97244952017</v>
      </c>
      <c r="AF16" s="744"/>
      <c r="AG16" s="744">
        <f t="shared" si="13"/>
        <v>187567.84648525337</v>
      </c>
      <c r="AH16" s="472"/>
    </row>
    <row r="17" spans="1:34" ht="12.75" customHeight="1">
      <c r="A17" s="472" t="s">
        <v>286</v>
      </c>
      <c r="B17" s="472"/>
      <c r="C17" s="748"/>
      <c r="D17" s="472"/>
      <c r="E17" s="744">
        <f>Application!W861</f>
        <v>291891</v>
      </c>
      <c r="F17" s="744"/>
      <c r="G17" s="744">
        <f t="shared" si="0"/>
        <v>302107.185</v>
      </c>
      <c r="H17" s="744"/>
      <c r="I17" s="744">
        <f t="shared" si="1"/>
        <v>312680.93647499999</v>
      </c>
      <c r="J17" s="744"/>
      <c r="K17" s="744">
        <f t="shared" si="2"/>
        <v>323624.769251625</v>
      </c>
      <c r="L17" s="744"/>
      <c r="M17" s="744">
        <f t="shared" si="3"/>
        <v>334951.63617543183</v>
      </c>
      <c r="N17" s="744"/>
      <c r="O17" s="744">
        <f t="shared" si="4"/>
        <v>346674.9434415719</v>
      </c>
      <c r="P17" s="744"/>
      <c r="Q17" s="744">
        <f t="shared" si="5"/>
        <v>358808.56646202691</v>
      </c>
      <c r="R17" s="744"/>
      <c r="S17" s="744">
        <f t="shared" si="6"/>
        <v>371366.86628819781</v>
      </c>
      <c r="T17" s="744"/>
      <c r="U17" s="744">
        <f t="shared" si="7"/>
        <v>384364.70660828473</v>
      </c>
      <c r="V17" s="744"/>
      <c r="W17" s="744">
        <f t="shared" si="8"/>
        <v>397817.47133957467</v>
      </c>
      <c r="X17" s="744"/>
      <c r="Y17" s="744">
        <f t="shared" si="9"/>
        <v>411741.08283645974</v>
      </c>
      <c r="Z17" s="744"/>
      <c r="AA17" s="744">
        <f t="shared" si="10"/>
        <v>426152.02073573577</v>
      </c>
      <c r="AB17" s="744"/>
      <c r="AC17" s="744">
        <f t="shared" si="11"/>
        <v>441067.34146148647</v>
      </c>
      <c r="AD17" s="744"/>
      <c r="AE17" s="744">
        <f t="shared" si="12"/>
        <v>456504.69841263845</v>
      </c>
      <c r="AF17" s="744"/>
      <c r="AG17" s="744">
        <f t="shared" si="13"/>
        <v>472482.36285708076</v>
      </c>
      <c r="AH17" s="472"/>
    </row>
    <row r="18" spans="1:34" ht="12.75" customHeight="1">
      <c r="A18" s="472" t="s">
        <v>2513</v>
      </c>
      <c r="B18" s="472"/>
      <c r="C18" s="748"/>
      <c r="D18" s="472"/>
      <c r="E18" s="744">
        <f>Application!W868</f>
        <v>281745</v>
      </c>
      <c r="F18" s="744"/>
      <c r="G18" s="744">
        <f t="shared" si="0"/>
        <v>291606.07499999995</v>
      </c>
      <c r="H18" s="744"/>
      <c r="I18" s="744">
        <f t="shared" si="1"/>
        <v>301812.28762499994</v>
      </c>
      <c r="J18" s="744"/>
      <c r="K18" s="744">
        <f t="shared" si="2"/>
        <v>312375.71769187489</v>
      </c>
      <c r="L18" s="744"/>
      <c r="M18" s="744">
        <f t="shared" si="3"/>
        <v>323308.86781109049</v>
      </c>
      <c r="N18" s="744"/>
      <c r="O18" s="744">
        <f t="shared" si="4"/>
        <v>334624.6781844786</v>
      </c>
      <c r="P18" s="744"/>
      <c r="Q18" s="744">
        <f t="shared" si="5"/>
        <v>346336.54192093533</v>
      </c>
      <c r="R18" s="744"/>
      <c r="S18" s="744">
        <f t="shared" si="6"/>
        <v>358458.32088816806</v>
      </c>
      <c r="T18" s="744"/>
      <c r="U18" s="744">
        <f t="shared" si="7"/>
        <v>371004.3621192539</v>
      </c>
      <c r="V18" s="744"/>
      <c r="W18" s="744">
        <f t="shared" si="8"/>
        <v>383989.51479342778</v>
      </c>
      <c r="X18" s="744"/>
      <c r="Y18" s="744">
        <f t="shared" si="9"/>
        <v>397429.14781119773</v>
      </c>
      <c r="Z18" s="744"/>
      <c r="AA18" s="744">
        <f t="shared" si="10"/>
        <v>411339.16798458964</v>
      </c>
      <c r="AB18" s="744"/>
      <c r="AC18" s="744">
        <f t="shared" si="11"/>
        <v>425736.03886405024</v>
      </c>
      <c r="AD18" s="744"/>
      <c r="AE18" s="744">
        <f t="shared" si="12"/>
        <v>440636.80022429198</v>
      </c>
      <c r="AF18" s="744"/>
      <c r="AG18" s="744">
        <f t="shared" si="13"/>
        <v>456059.08823214215</v>
      </c>
      <c r="AH18" s="472"/>
    </row>
    <row r="19" spans="1:34" ht="12.75" customHeight="1">
      <c r="A19" s="472" t="s">
        <v>587</v>
      </c>
      <c r="B19" s="472"/>
      <c r="C19" s="748"/>
      <c r="D19" s="472"/>
      <c r="E19" s="744">
        <f>Application!W870</f>
        <v>141000</v>
      </c>
      <c r="F19" s="744"/>
      <c r="G19" s="744">
        <f t="shared" si="0"/>
        <v>145935</v>
      </c>
      <c r="H19" s="744"/>
      <c r="I19" s="744">
        <f t="shared" si="1"/>
        <v>151042.72499999998</v>
      </c>
      <c r="J19" s="744"/>
      <c r="K19" s="744">
        <f t="shared" si="2"/>
        <v>156329.22037499998</v>
      </c>
      <c r="L19" s="744"/>
      <c r="M19" s="744">
        <f t="shared" si="3"/>
        <v>161800.74308812496</v>
      </c>
      <c r="N19" s="744"/>
      <c r="O19" s="744">
        <f t="shared" si="4"/>
        <v>167463.76909620932</v>
      </c>
      <c r="P19" s="744"/>
      <c r="Q19" s="744">
        <f t="shared" si="5"/>
        <v>173325.00101457664</v>
      </c>
      <c r="R19" s="744"/>
      <c r="S19" s="744">
        <f t="shared" si="6"/>
        <v>179391.37605008681</v>
      </c>
      <c r="T19" s="744"/>
      <c r="U19" s="744">
        <f t="shared" si="7"/>
        <v>185670.07421183982</v>
      </c>
      <c r="V19" s="744"/>
      <c r="W19" s="744">
        <f t="shared" si="8"/>
        <v>192168.5268092542</v>
      </c>
      <c r="X19" s="744"/>
      <c r="Y19" s="744">
        <f t="shared" si="9"/>
        <v>198894.42524757807</v>
      </c>
      <c r="Z19" s="744"/>
      <c r="AA19" s="744">
        <f t="shared" si="10"/>
        <v>205855.7301312433</v>
      </c>
      <c r="AB19" s="744"/>
      <c r="AC19" s="744">
        <f t="shared" si="11"/>
        <v>213060.68068583679</v>
      </c>
      <c r="AD19" s="744"/>
      <c r="AE19" s="744">
        <f t="shared" si="12"/>
        <v>220517.80450984105</v>
      </c>
      <c r="AF19" s="744"/>
      <c r="AG19" s="744">
        <f t="shared" si="13"/>
        <v>228235.92766768546</v>
      </c>
      <c r="AH19" s="472"/>
    </row>
    <row r="20" spans="1:34" ht="12.75" customHeight="1">
      <c r="A20" s="472" t="s">
        <v>288</v>
      </c>
      <c r="B20" s="472"/>
      <c r="C20" s="748"/>
      <c r="D20" s="472"/>
      <c r="E20" s="744">
        <f>Application!W879</f>
        <v>274882</v>
      </c>
      <c r="F20" s="744"/>
      <c r="G20" s="744">
        <f t="shared" si="0"/>
        <v>284502.87</v>
      </c>
      <c r="H20" s="744"/>
      <c r="I20" s="744">
        <f t="shared" si="1"/>
        <v>294460.47044999996</v>
      </c>
      <c r="J20" s="744"/>
      <c r="K20" s="744">
        <f t="shared" si="2"/>
        <v>304766.58691574994</v>
      </c>
      <c r="L20" s="744"/>
      <c r="M20" s="744">
        <f t="shared" si="3"/>
        <v>315433.41745780117</v>
      </c>
      <c r="N20" s="744"/>
      <c r="O20" s="744">
        <f t="shared" si="4"/>
        <v>326473.58706882421</v>
      </c>
      <c r="P20" s="744"/>
      <c r="Q20" s="744">
        <f t="shared" si="5"/>
        <v>337900.16261623305</v>
      </c>
      <c r="R20" s="744"/>
      <c r="S20" s="744">
        <f t="shared" si="6"/>
        <v>349726.66830780118</v>
      </c>
      <c r="T20" s="744"/>
      <c r="U20" s="744">
        <f t="shared" si="7"/>
        <v>361967.1016985742</v>
      </c>
      <c r="V20" s="744"/>
      <c r="W20" s="744">
        <f t="shared" si="8"/>
        <v>374635.95025802427</v>
      </c>
      <c r="X20" s="744"/>
      <c r="Y20" s="744">
        <f t="shared" si="9"/>
        <v>387748.20851705509</v>
      </c>
      <c r="Z20" s="744"/>
      <c r="AA20" s="744">
        <f t="shared" si="10"/>
        <v>401319.39581515198</v>
      </c>
      <c r="AB20" s="744"/>
      <c r="AC20" s="744">
        <f t="shared" si="11"/>
        <v>415365.57466868224</v>
      </c>
      <c r="AD20" s="744"/>
      <c r="AE20" s="744">
        <f t="shared" si="12"/>
        <v>429903.36978208611</v>
      </c>
      <c r="AF20" s="744"/>
      <c r="AG20" s="744">
        <f t="shared" si="13"/>
        <v>444949.98772445909</v>
      </c>
      <c r="AH20" s="472"/>
    </row>
    <row r="21" spans="1:34" ht="12.75" customHeight="1">
      <c r="A21" s="763" t="s">
        <v>2517</v>
      </c>
      <c r="B21" s="763"/>
      <c r="C21" s="748"/>
      <c r="D21" s="472"/>
      <c r="E21" s="769">
        <f>Application!W886</f>
        <v>0</v>
      </c>
      <c r="F21" s="744"/>
      <c r="G21" s="769">
        <f t="shared" si="0"/>
        <v>0</v>
      </c>
      <c r="H21" s="744"/>
      <c r="I21" s="769">
        <f t="shared" si="1"/>
        <v>0</v>
      </c>
      <c r="J21" s="744"/>
      <c r="K21" s="769">
        <f t="shared" si="2"/>
        <v>0</v>
      </c>
      <c r="L21" s="744"/>
      <c r="M21" s="769">
        <f t="shared" si="3"/>
        <v>0</v>
      </c>
      <c r="N21" s="744"/>
      <c r="O21" s="769">
        <f t="shared" si="4"/>
        <v>0</v>
      </c>
      <c r="P21" s="744"/>
      <c r="Q21" s="769">
        <f t="shared" si="5"/>
        <v>0</v>
      </c>
      <c r="R21" s="744"/>
      <c r="S21" s="769">
        <f t="shared" si="6"/>
        <v>0</v>
      </c>
      <c r="T21" s="744"/>
      <c r="U21" s="769">
        <f t="shared" si="7"/>
        <v>0</v>
      </c>
      <c r="V21" s="744"/>
      <c r="W21" s="769">
        <f t="shared" si="8"/>
        <v>0</v>
      </c>
      <c r="X21" s="744"/>
      <c r="Y21" s="769">
        <f t="shared" si="9"/>
        <v>0</v>
      </c>
      <c r="Z21" s="744"/>
      <c r="AA21" s="769">
        <f t="shared" si="10"/>
        <v>0</v>
      </c>
      <c r="AB21" s="744"/>
      <c r="AC21" s="769">
        <f t="shared" si="11"/>
        <v>0</v>
      </c>
      <c r="AD21" s="744"/>
      <c r="AE21" s="769">
        <f t="shared" si="12"/>
        <v>0</v>
      </c>
      <c r="AF21" s="744"/>
      <c r="AG21" s="769">
        <f t="shared" si="13"/>
        <v>0</v>
      </c>
      <c r="AH21" s="472"/>
    </row>
    <row r="22" spans="1:34" ht="12.75" customHeight="1">
      <c r="A22" s="765" t="s">
        <v>2518</v>
      </c>
      <c r="B22" s="765"/>
      <c r="C22" s="748"/>
      <c r="D22" s="765"/>
      <c r="E22" s="765">
        <f>SUM(E15:E21)</f>
        <v>1186519</v>
      </c>
      <c r="F22" s="765"/>
      <c r="G22" s="765">
        <f>SUM(G15:G21)</f>
        <v>1228047.165</v>
      </c>
      <c r="H22" s="765"/>
      <c r="I22" s="765">
        <f>SUM(I15:I21)</f>
        <v>1271028.8157749998</v>
      </c>
      <c r="J22" s="765"/>
      <c r="K22" s="765">
        <f>SUM(K15:K21)</f>
        <v>1315514.8243271247</v>
      </c>
      <c r="L22" s="765"/>
      <c r="M22" s="765">
        <f>SUM(M15:M21)</f>
        <v>1361557.843178574</v>
      </c>
      <c r="N22" s="765"/>
      <c r="O22" s="765">
        <f>SUM(O15:O21)</f>
        <v>1409212.3676898237</v>
      </c>
      <c r="P22" s="765"/>
      <c r="Q22" s="765">
        <f>SUM(Q15:Q21)</f>
        <v>1458534.8005589677</v>
      </c>
      <c r="R22" s="765"/>
      <c r="S22" s="765">
        <f>SUM(S15:S21)</f>
        <v>1509583.5185785317</v>
      </c>
      <c r="T22" s="765"/>
      <c r="U22" s="765">
        <f>SUM(U15:U21)</f>
        <v>1562418.94172878</v>
      </c>
      <c r="V22" s="765"/>
      <c r="W22" s="765">
        <f>SUM(W15:W21)</f>
        <v>1617103.6046892873</v>
      </c>
      <c r="X22" s="765"/>
      <c r="Y22" s="765">
        <f>SUM(Y15:Y21)</f>
        <v>1673702.2308534118</v>
      </c>
      <c r="Z22" s="765"/>
      <c r="AA22" s="765">
        <f>SUM(AA15:AA21)</f>
        <v>1732281.8089332816</v>
      </c>
      <c r="AB22" s="765"/>
      <c r="AC22" s="765">
        <f>SUM(AC15:AC21)</f>
        <v>1792911.672245946</v>
      </c>
      <c r="AD22" s="765"/>
      <c r="AE22" s="765">
        <f>SUM(AE15:AE21)</f>
        <v>1855663.5807745541</v>
      </c>
      <c r="AF22" s="765"/>
      <c r="AG22" s="765">
        <f>SUM(AG15:AG21)</f>
        <v>1920611.8061016633</v>
      </c>
      <c r="AH22" s="765"/>
    </row>
    <row r="23" spans="1:34" ht="12.75" customHeight="1">
      <c r="A23" s="472"/>
      <c r="B23" s="472"/>
      <c r="C23" s="748"/>
      <c r="D23" s="472"/>
      <c r="E23" s="744"/>
      <c r="F23" s="744"/>
      <c r="G23" s="744"/>
      <c r="H23" s="744"/>
      <c r="I23" s="744"/>
      <c r="J23" s="744"/>
      <c r="K23" s="744"/>
      <c r="L23" s="744"/>
      <c r="M23" s="744"/>
      <c r="N23" s="744"/>
      <c r="O23" s="744"/>
      <c r="P23" s="744"/>
      <c r="Q23" s="744"/>
      <c r="R23" s="744"/>
      <c r="S23" s="744"/>
      <c r="T23" s="744"/>
      <c r="U23" s="744"/>
      <c r="V23" s="744"/>
      <c r="W23" s="744"/>
      <c r="X23" s="744"/>
      <c r="Y23" s="744"/>
      <c r="Z23" s="744"/>
      <c r="AA23" s="744"/>
      <c r="AB23" s="744"/>
      <c r="AC23" s="744"/>
      <c r="AD23" s="744"/>
      <c r="AE23" s="744"/>
      <c r="AF23" s="744"/>
      <c r="AG23" s="744"/>
      <c r="AH23" s="472"/>
    </row>
    <row r="24" spans="1:34" ht="12.75" customHeight="1">
      <c r="A24" s="472" t="s">
        <v>2521</v>
      </c>
      <c r="B24" s="472"/>
      <c r="C24" s="748"/>
      <c r="D24" s="472"/>
      <c r="E24" s="770"/>
      <c r="F24" s="744"/>
      <c r="G24" s="744">
        <f>E24*$C$24</f>
        <v>0</v>
      </c>
      <c r="H24" s="744"/>
      <c r="I24" s="744">
        <f>G24*$C$24</f>
        <v>0</v>
      </c>
      <c r="J24" s="744"/>
      <c r="K24" s="744">
        <f>I24*$C$24</f>
        <v>0</v>
      </c>
      <c r="L24" s="744"/>
      <c r="M24" s="744">
        <f>K24*$C$24</f>
        <v>0</v>
      </c>
      <c r="N24" s="744"/>
      <c r="O24" s="744">
        <f>M24*$C$24</f>
        <v>0</v>
      </c>
      <c r="P24" s="744"/>
      <c r="Q24" s="744">
        <f>O24*$C$24</f>
        <v>0</v>
      </c>
      <c r="R24" s="744"/>
      <c r="S24" s="744">
        <f>Q24*$C$24</f>
        <v>0</v>
      </c>
      <c r="T24" s="744"/>
      <c r="U24" s="744">
        <f>S24*$C$24</f>
        <v>0</v>
      </c>
      <c r="V24" s="744"/>
      <c r="W24" s="744">
        <f>U24*$C$24</f>
        <v>0</v>
      </c>
      <c r="X24" s="744"/>
      <c r="Y24" s="744">
        <f>W24*$C$24</f>
        <v>0</v>
      </c>
      <c r="Z24" s="744"/>
      <c r="AA24" s="744">
        <f>Y24*$C$24</f>
        <v>0</v>
      </c>
      <c r="AB24" s="744"/>
      <c r="AC24" s="744">
        <f>AA24*$C$24</f>
        <v>0</v>
      </c>
      <c r="AD24" s="744"/>
      <c r="AE24" s="744">
        <f>AC24*$C$24</f>
        <v>0</v>
      </c>
      <c r="AF24" s="744"/>
      <c r="AG24" s="744">
        <f>AE24*$C$24</f>
        <v>0</v>
      </c>
      <c r="AH24" s="472"/>
    </row>
    <row r="25" spans="1:34" ht="12.75" customHeight="1">
      <c r="A25" s="472"/>
      <c r="B25" s="472"/>
      <c r="C25" s="748"/>
      <c r="D25" s="472"/>
      <c r="E25" s="744"/>
      <c r="F25" s="744"/>
      <c r="G25" s="744"/>
      <c r="H25" s="744"/>
      <c r="I25" s="744"/>
      <c r="J25" s="744"/>
      <c r="K25" s="744"/>
      <c r="L25" s="744"/>
      <c r="M25" s="744"/>
      <c r="N25" s="744"/>
      <c r="O25" s="744"/>
      <c r="P25" s="744"/>
      <c r="Q25" s="744"/>
      <c r="R25" s="744"/>
      <c r="S25" s="744"/>
      <c r="T25" s="744"/>
      <c r="U25" s="744"/>
      <c r="V25" s="744"/>
      <c r="W25" s="744"/>
      <c r="X25" s="744"/>
      <c r="Y25" s="744"/>
      <c r="Z25" s="744"/>
      <c r="AA25" s="744"/>
      <c r="AB25" s="744"/>
      <c r="AC25" s="744"/>
      <c r="AD25" s="744"/>
      <c r="AE25" s="744"/>
      <c r="AF25" s="744"/>
      <c r="AG25" s="744"/>
      <c r="AH25" s="472"/>
    </row>
    <row r="26" spans="1:34" ht="12.75" customHeight="1">
      <c r="A26" s="472" t="s">
        <v>2522</v>
      </c>
      <c r="B26" s="472"/>
      <c r="C26" s="754">
        <v>1.0349999999999999</v>
      </c>
      <c r="D26" s="472"/>
      <c r="E26" s="744">
        <f>Application!AC894</f>
        <v>0</v>
      </c>
      <c r="F26" s="744"/>
      <c r="G26" s="744">
        <f>E26*$C$26</f>
        <v>0</v>
      </c>
      <c r="H26" s="744"/>
      <c r="I26" s="744">
        <f>G26*$C$26</f>
        <v>0</v>
      </c>
      <c r="J26" s="744"/>
      <c r="K26" s="744">
        <f>I26*$C$26</f>
        <v>0</v>
      </c>
      <c r="L26" s="744"/>
      <c r="M26" s="744">
        <f>K26*$C$26</f>
        <v>0</v>
      </c>
      <c r="N26" s="744"/>
      <c r="O26" s="744">
        <f>M26*$C$26</f>
        <v>0</v>
      </c>
      <c r="P26" s="744"/>
      <c r="Q26" s="744">
        <f>O26*$C$26</f>
        <v>0</v>
      </c>
      <c r="R26" s="744"/>
      <c r="S26" s="744">
        <f>Q26*$C$26</f>
        <v>0</v>
      </c>
      <c r="T26" s="744"/>
      <c r="U26" s="744">
        <f>S26*$C$26</f>
        <v>0</v>
      </c>
      <c r="V26" s="744"/>
      <c r="W26" s="744">
        <f>U26*$C$26</f>
        <v>0</v>
      </c>
      <c r="X26" s="744"/>
      <c r="Y26" s="744">
        <f>W26*$C$26</f>
        <v>0</v>
      </c>
      <c r="Z26" s="744"/>
      <c r="AA26" s="744">
        <f>Y26*$C$26</f>
        <v>0</v>
      </c>
      <c r="AB26" s="744"/>
      <c r="AC26" s="744">
        <f>AA26*$C$26</f>
        <v>0</v>
      </c>
      <c r="AD26" s="744"/>
      <c r="AE26" s="744">
        <f>AC26*$C$26</f>
        <v>0</v>
      </c>
      <c r="AF26" s="744"/>
      <c r="AG26" s="744">
        <f>AE26*$C$26</f>
        <v>0</v>
      </c>
      <c r="AH26" s="472"/>
    </row>
    <row r="27" spans="1:34" ht="12.75" customHeight="1">
      <c r="A27" s="472" t="s">
        <v>2142</v>
      </c>
      <c r="B27" s="472"/>
      <c r="C27" s="754">
        <v>1.0349999999999999</v>
      </c>
      <c r="D27" s="472"/>
      <c r="E27" s="744">
        <f>Application!AC895</f>
        <v>0</v>
      </c>
      <c r="F27" s="744"/>
      <c r="G27" s="744">
        <f>E27*$C$27</f>
        <v>0</v>
      </c>
      <c r="H27" s="744"/>
      <c r="I27" s="744">
        <f>G27*$C$27</f>
        <v>0</v>
      </c>
      <c r="J27" s="744"/>
      <c r="K27" s="744">
        <f>I27*$C$27</f>
        <v>0</v>
      </c>
      <c r="L27" s="744"/>
      <c r="M27" s="744">
        <f>K27*$C$27</f>
        <v>0</v>
      </c>
      <c r="N27" s="744"/>
      <c r="O27" s="744">
        <f>M27*$C$27</f>
        <v>0</v>
      </c>
      <c r="P27" s="744"/>
      <c r="Q27" s="744">
        <f>O27*$C$27</f>
        <v>0</v>
      </c>
      <c r="R27" s="744"/>
      <c r="S27" s="744">
        <f>Q27*$C$27</f>
        <v>0</v>
      </c>
      <c r="T27" s="744"/>
      <c r="U27" s="744">
        <f>S27*$C$27</f>
        <v>0</v>
      </c>
      <c r="V27" s="744"/>
      <c r="W27" s="744">
        <f>U27*$C$27</f>
        <v>0</v>
      </c>
      <c r="X27" s="744"/>
      <c r="Y27" s="744">
        <f>84000*1.035^10</f>
        <v>118490.29589217417</v>
      </c>
      <c r="Z27" s="744"/>
      <c r="AA27" s="744">
        <f>Y27*$C$27</f>
        <v>122637.45624840025</v>
      </c>
      <c r="AB27" s="744"/>
      <c r="AC27" s="744">
        <f>AA27*$C$27</f>
        <v>126929.76721709425</v>
      </c>
      <c r="AD27" s="744"/>
      <c r="AE27" s="744">
        <f>AC27*$C$27</f>
        <v>131372.30906969254</v>
      </c>
      <c r="AF27" s="744"/>
      <c r="AG27" s="744">
        <f>AE27*$C$27</f>
        <v>135970.33988713176</v>
      </c>
      <c r="AH27" s="472"/>
    </row>
    <row r="28" spans="1:34" ht="12.75" customHeight="1">
      <c r="A28" s="472" t="s">
        <v>2528</v>
      </c>
      <c r="B28" s="472"/>
      <c r="C28" s="754"/>
      <c r="D28" s="472"/>
      <c r="E28" s="744">
        <f>Application!AC896</f>
        <v>57600</v>
      </c>
      <c r="F28" s="744"/>
      <c r="G28" s="744">
        <f>$E$28</f>
        <v>57600</v>
      </c>
      <c r="H28" s="744"/>
      <c r="I28" s="744">
        <f>$E$28</f>
        <v>57600</v>
      </c>
      <c r="J28" s="744"/>
      <c r="K28" s="744">
        <f>$E$28</f>
        <v>57600</v>
      </c>
      <c r="L28" s="744"/>
      <c r="M28" s="744">
        <f>$E$28</f>
        <v>57600</v>
      </c>
      <c r="N28" s="744"/>
      <c r="O28" s="744">
        <f>$E$28</f>
        <v>57600</v>
      </c>
      <c r="P28" s="744"/>
      <c r="Q28" s="744">
        <f>$E$28</f>
        <v>57600</v>
      </c>
      <c r="R28" s="744"/>
      <c r="S28" s="744">
        <f>$E$28</f>
        <v>57600</v>
      </c>
      <c r="T28" s="744"/>
      <c r="U28" s="744">
        <f>$E$28</f>
        <v>57600</v>
      </c>
      <c r="V28" s="744"/>
      <c r="W28" s="744">
        <f>$E$28</f>
        <v>57600</v>
      </c>
      <c r="X28" s="744"/>
      <c r="Y28" s="744">
        <f>$E$28</f>
        <v>57600</v>
      </c>
      <c r="Z28" s="744"/>
      <c r="AA28" s="744">
        <f>$E$28</f>
        <v>57600</v>
      </c>
      <c r="AB28" s="744"/>
      <c r="AC28" s="744">
        <f>$E$28</f>
        <v>57600</v>
      </c>
      <c r="AD28" s="744"/>
      <c r="AE28" s="744">
        <f>$E$28</f>
        <v>57600</v>
      </c>
      <c r="AF28" s="744"/>
      <c r="AG28" s="744">
        <f>$E$28</f>
        <v>57600</v>
      </c>
      <c r="AH28" s="472"/>
    </row>
    <row r="29" spans="1:34" ht="12.75" customHeight="1">
      <c r="A29" s="472" t="s">
        <v>2531</v>
      </c>
      <c r="B29" s="472"/>
      <c r="C29" s="754"/>
      <c r="D29" s="472"/>
      <c r="E29" s="744">
        <f>Application!AC897</f>
        <v>0</v>
      </c>
      <c r="F29" s="744"/>
      <c r="G29" s="744">
        <f>$E$29</f>
        <v>0</v>
      </c>
      <c r="H29" s="744"/>
      <c r="I29" s="744">
        <f>$E$29</f>
        <v>0</v>
      </c>
      <c r="J29" s="744"/>
      <c r="K29" s="744">
        <f>$E$29</f>
        <v>0</v>
      </c>
      <c r="L29" s="744"/>
      <c r="M29" s="744">
        <f>$E$29</f>
        <v>0</v>
      </c>
      <c r="N29" s="744"/>
      <c r="O29" s="744">
        <f>$E$29</f>
        <v>0</v>
      </c>
      <c r="P29" s="744"/>
      <c r="Q29" s="744">
        <f>$E$29</f>
        <v>0</v>
      </c>
      <c r="R29" s="744"/>
      <c r="S29" s="744">
        <f>$E$29</f>
        <v>0</v>
      </c>
      <c r="T29" s="744"/>
      <c r="U29" s="744">
        <f>$E$29</f>
        <v>0</v>
      </c>
      <c r="V29" s="744"/>
      <c r="W29" s="744">
        <f>$E$29</f>
        <v>0</v>
      </c>
      <c r="X29" s="744"/>
      <c r="Y29" s="744">
        <f>$E$29</f>
        <v>0</v>
      </c>
      <c r="Z29" s="744"/>
      <c r="AA29" s="744">
        <f>$E$29</f>
        <v>0</v>
      </c>
      <c r="AB29" s="744"/>
      <c r="AC29" s="744">
        <f>$E$29</f>
        <v>0</v>
      </c>
      <c r="AD29" s="744"/>
      <c r="AE29" s="744">
        <f>$E$29</f>
        <v>0</v>
      </c>
      <c r="AF29" s="744"/>
      <c r="AG29" s="744">
        <f>$E$29</f>
        <v>0</v>
      </c>
      <c r="AH29" s="472"/>
    </row>
    <row r="30" spans="1:34" ht="12.75" customHeight="1">
      <c r="A30" s="472" t="s">
        <v>2533</v>
      </c>
      <c r="B30" s="472"/>
      <c r="C30" s="754">
        <v>1.02</v>
      </c>
      <c r="D30" s="472"/>
      <c r="E30" s="744">
        <f>Application!AC898</f>
        <v>2445</v>
      </c>
      <c r="F30" s="744"/>
      <c r="G30" s="744">
        <f>E30*$C$30</f>
        <v>2493.9</v>
      </c>
      <c r="H30" s="744"/>
      <c r="I30" s="744">
        <f>G30*$C$30</f>
        <v>2543.7780000000002</v>
      </c>
      <c r="J30" s="744"/>
      <c r="K30" s="744">
        <f>I30*$C$30</f>
        <v>2594.6535600000002</v>
      </c>
      <c r="L30" s="744"/>
      <c r="M30" s="744">
        <f>K30*$C$30</f>
        <v>2646.5466312000003</v>
      </c>
      <c r="N30" s="744"/>
      <c r="O30" s="744">
        <f>M30*$C$30</f>
        <v>2699.4775638240003</v>
      </c>
      <c r="P30" s="744"/>
      <c r="Q30" s="744">
        <f>O30*$C$30</f>
        <v>2753.4671151004804</v>
      </c>
      <c r="R30" s="744"/>
      <c r="S30" s="744">
        <f>Q30*$C$30</f>
        <v>2808.5364574024902</v>
      </c>
      <c r="T30" s="744"/>
      <c r="U30" s="744">
        <f>S30*$C$30</f>
        <v>2864.70718655054</v>
      </c>
      <c r="V30" s="744"/>
      <c r="W30" s="744">
        <f>U30*$C$30</f>
        <v>2922.001330281551</v>
      </c>
      <c r="X30" s="744"/>
      <c r="Y30" s="744">
        <f>W30*$C$30</f>
        <v>2980.4413568871819</v>
      </c>
      <c r="Z30" s="744"/>
      <c r="AA30" s="744">
        <f>Y30*$C$30</f>
        <v>3040.0501840249258</v>
      </c>
      <c r="AB30" s="744"/>
      <c r="AC30" s="744">
        <f>AA30*$C$30</f>
        <v>3100.8511877054243</v>
      </c>
      <c r="AD30" s="744"/>
      <c r="AE30" s="744">
        <f>AC30*$C$30</f>
        <v>3162.8682114595326</v>
      </c>
      <c r="AF30" s="744"/>
      <c r="AG30" s="744">
        <f>AE30*$C$30</f>
        <v>3226.1255756887235</v>
      </c>
      <c r="AH30" s="472"/>
    </row>
    <row r="31" spans="1:34" ht="12.75" customHeight="1">
      <c r="A31" s="472" t="s">
        <v>2536</v>
      </c>
      <c r="B31" s="472"/>
      <c r="C31" s="754">
        <v>1.02</v>
      </c>
      <c r="D31" s="472"/>
      <c r="E31" s="744">
        <f>Application!AC900</f>
        <v>0</v>
      </c>
      <c r="F31" s="744"/>
      <c r="G31" s="744">
        <f>E31*$C$31</f>
        <v>0</v>
      </c>
      <c r="H31" s="744"/>
      <c r="I31" s="744">
        <f>G31*$C$31</f>
        <v>0</v>
      </c>
      <c r="J31" s="744"/>
      <c r="K31" s="744">
        <f>I31*$C$31</f>
        <v>0</v>
      </c>
      <c r="L31" s="744"/>
      <c r="M31" s="744">
        <f>K31*$C$31</f>
        <v>0</v>
      </c>
      <c r="N31" s="744"/>
      <c r="O31" s="744">
        <f>M31*$C$31</f>
        <v>0</v>
      </c>
      <c r="P31" s="744"/>
      <c r="Q31" s="744">
        <f>O31*$C$31</f>
        <v>0</v>
      </c>
      <c r="R31" s="744"/>
      <c r="S31" s="744">
        <f>Q31*$C$31</f>
        <v>0</v>
      </c>
      <c r="T31" s="744"/>
      <c r="U31" s="744">
        <f>S31*$C$31</f>
        <v>0</v>
      </c>
      <c r="V31" s="744"/>
      <c r="W31" s="744">
        <f>U31*$C$31</f>
        <v>0</v>
      </c>
      <c r="X31" s="744"/>
      <c r="Y31" s="744">
        <f>W31*$C$31</f>
        <v>0</v>
      </c>
      <c r="Z31" s="744"/>
      <c r="AA31" s="744">
        <f>Y31*$C$31</f>
        <v>0</v>
      </c>
      <c r="AB31" s="744"/>
      <c r="AC31" s="744">
        <f>AA31*$C$31</f>
        <v>0</v>
      </c>
      <c r="AD31" s="744"/>
      <c r="AE31" s="744">
        <f>AC31*$C$31</f>
        <v>0</v>
      </c>
      <c r="AF31" s="744"/>
      <c r="AG31" s="744">
        <f>AE31*$C$31</f>
        <v>0</v>
      </c>
      <c r="AH31" s="472"/>
    </row>
    <row r="32" spans="1:34" ht="12.75" customHeight="1">
      <c r="A32" s="472" t="str">
        <f>Application!C901</f>
        <v>Other (Specify):</v>
      </c>
      <c r="B32" s="472"/>
      <c r="C32" s="773">
        <v>1.0349999999999999</v>
      </c>
      <c r="D32" s="472"/>
      <c r="E32" s="744">
        <f>Application!AC901</f>
        <v>0</v>
      </c>
      <c r="F32" s="744"/>
      <c r="G32" s="744">
        <f>E32*$C$32</f>
        <v>0</v>
      </c>
      <c r="H32" s="744"/>
      <c r="I32" s="744">
        <f>G32*$C$32</f>
        <v>0</v>
      </c>
      <c r="J32" s="744"/>
      <c r="K32" s="744">
        <f>I32*$C$32</f>
        <v>0</v>
      </c>
      <c r="L32" s="744"/>
      <c r="M32" s="744">
        <f>K32*$C$32</f>
        <v>0</v>
      </c>
      <c r="N32" s="744"/>
      <c r="O32" s="744">
        <f>M32*$C$32</f>
        <v>0</v>
      </c>
      <c r="P32" s="744"/>
      <c r="Q32" s="744">
        <f>O32*$C$32</f>
        <v>0</v>
      </c>
      <c r="R32" s="744"/>
      <c r="S32" s="744">
        <f>Q32*$C$32</f>
        <v>0</v>
      </c>
      <c r="T32" s="744"/>
      <c r="U32" s="744">
        <f>S32*$C$32</f>
        <v>0</v>
      </c>
      <c r="V32" s="744"/>
      <c r="W32" s="744">
        <f>U32*$C$32</f>
        <v>0</v>
      </c>
      <c r="X32" s="744"/>
      <c r="Y32" s="744">
        <f>W32*$C$32</f>
        <v>0</v>
      </c>
      <c r="Z32" s="744"/>
      <c r="AA32" s="744">
        <f>Y32*$C$32</f>
        <v>0</v>
      </c>
      <c r="AB32" s="744"/>
      <c r="AC32" s="744">
        <f>AA32*$C$32</f>
        <v>0</v>
      </c>
      <c r="AD32" s="744"/>
      <c r="AE32" s="744">
        <f>AC32*$C$32</f>
        <v>0</v>
      </c>
      <c r="AF32" s="744"/>
      <c r="AG32" s="744">
        <f>AE32*$C$32</f>
        <v>0</v>
      </c>
      <c r="AH32" s="472"/>
    </row>
    <row r="33" spans="1:34" ht="12.75" customHeight="1">
      <c r="A33" s="472" t="str">
        <f>Application!C902</f>
        <v>Other (Specify):</v>
      </c>
      <c r="B33" s="472"/>
      <c r="C33" s="773">
        <v>1.0349999999999999</v>
      </c>
      <c r="D33" s="472"/>
      <c r="E33" s="744">
        <f>Application!AC902</f>
        <v>0</v>
      </c>
      <c r="F33" s="744"/>
      <c r="G33" s="744">
        <f>E33*$C$33</f>
        <v>0</v>
      </c>
      <c r="H33" s="744"/>
      <c r="I33" s="744">
        <f>G33*$C$33</f>
        <v>0</v>
      </c>
      <c r="J33" s="744"/>
      <c r="K33" s="744">
        <f>I33*$C$33</f>
        <v>0</v>
      </c>
      <c r="L33" s="744"/>
      <c r="M33" s="744">
        <f>K33*$C$33</f>
        <v>0</v>
      </c>
      <c r="N33" s="744"/>
      <c r="O33" s="744">
        <f>M33*$C$33</f>
        <v>0</v>
      </c>
      <c r="P33" s="744"/>
      <c r="Q33" s="744">
        <f>O33*$C$33</f>
        <v>0</v>
      </c>
      <c r="R33" s="744"/>
      <c r="S33" s="744">
        <f>Q33*$C$33</f>
        <v>0</v>
      </c>
      <c r="T33" s="744"/>
      <c r="U33" s="744">
        <f>S33*$C$33</f>
        <v>0</v>
      </c>
      <c r="V33" s="744"/>
      <c r="W33" s="744">
        <f>U33*$C$33</f>
        <v>0</v>
      </c>
      <c r="X33" s="744"/>
      <c r="Y33" s="744">
        <f>W33*$C$33</f>
        <v>0</v>
      </c>
      <c r="Z33" s="744"/>
      <c r="AA33" s="744">
        <f>Y33*$C$33</f>
        <v>0</v>
      </c>
      <c r="AB33" s="744"/>
      <c r="AC33" s="744">
        <f>AA33*$C$33</f>
        <v>0</v>
      </c>
      <c r="AD33" s="744"/>
      <c r="AE33" s="744">
        <f>AC33*$C$33</f>
        <v>0</v>
      </c>
      <c r="AF33" s="744"/>
      <c r="AG33" s="744">
        <f>AE33*$C$33</f>
        <v>0</v>
      </c>
      <c r="AH33" s="472"/>
    </row>
    <row r="34" spans="1:34" ht="12.75" customHeight="1">
      <c r="A34" s="472"/>
      <c r="B34" s="472"/>
      <c r="C34" s="628"/>
      <c r="D34" s="472"/>
      <c r="E34" s="744"/>
      <c r="F34" s="744"/>
      <c r="G34" s="744"/>
      <c r="H34" s="744"/>
      <c r="I34" s="744"/>
      <c r="J34" s="744"/>
      <c r="K34" s="744"/>
      <c r="L34" s="744"/>
      <c r="M34" s="744"/>
      <c r="N34" s="744"/>
      <c r="O34" s="744"/>
      <c r="P34" s="744"/>
      <c r="Q34" s="744"/>
      <c r="R34" s="744"/>
      <c r="S34" s="744"/>
      <c r="T34" s="744"/>
      <c r="U34" s="744"/>
      <c r="V34" s="744"/>
      <c r="W34" s="744"/>
      <c r="X34" s="744"/>
      <c r="Y34" s="744"/>
      <c r="Z34" s="744"/>
      <c r="AA34" s="744"/>
      <c r="AB34" s="744"/>
      <c r="AC34" s="744"/>
      <c r="AD34" s="744"/>
      <c r="AE34" s="744"/>
      <c r="AF34" s="744"/>
      <c r="AG34" s="744"/>
      <c r="AH34" s="472"/>
    </row>
    <row r="35" spans="1:34" ht="12.75" customHeight="1">
      <c r="A35" s="765" t="s">
        <v>2541</v>
      </c>
      <c r="B35" s="765"/>
      <c r="C35" s="774"/>
      <c r="D35" s="765"/>
      <c r="E35" s="765">
        <f>SUM(E22:E33)</f>
        <v>1246564</v>
      </c>
      <c r="F35" s="765"/>
      <c r="G35" s="765">
        <f>SUM(G22:G33)</f>
        <v>1288141.0649999999</v>
      </c>
      <c r="H35" s="765"/>
      <c r="I35" s="765">
        <f>SUM(I22:I33)</f>
        <v>1331172.5937749997</v>
      </c>
      <c r="J35" s="765"/>
      <c r="K35" s="765">
        <f>SUM(K22:K33)</f>
        <v>1375709.4778871248</v>
      </c>
      <c r="L35" s="765"/>
      <c r="M35" s="765">
        <f>SUM(M22:M33)</f>
        <v>1421804.389809774</v>
      </c>
      <c r="N35" s="765"/>
      <c r="O35" s="765">
        <f>SUM(O22:O33)</f>
        <v>1469511.8452536478</v>
      </c>
      <c r="P35" s="765"/>
      <c r="Q35" s="765">
        <f>SUM(Q22:Q33)</f>
        <v>1518888.2676740682</v>
      </c>
      <c r="R35" s="765"/>
      <c r="S35" s="765">
        <f>SUM(S22:S33)</f>
        <v>1569992.0550359341</v>
      </c>
      <c r="T35" s="765"/>
      <c r="U35" s="765">
        <f>SUM(U22:U33)</f>
        <v>1622883.6489153306</v>
      </c>
      <c r="V35" s="765"/>
      <c r="W35" s="765">
        <f>SUM(W22:W33)</f>
        <v>1677625.6060195689</v>
      </c>
      <c r="X35" s="765"/>
      <c r="Y35" s="765">
        <f>SUM(Y22:Y33)</f>
        <v>1852772.9681024731</v>
      </c>
      <c r="Z35" s="765"/>
      <c r="AA35" s="765">
        <f>SUM(AA22:AA33)</f>
        <v>1915559.3153657068</v>
      </c>
      <c r="AB35" s="765"/>
      <c r="AC35" s="765">
        <f>SUM(AC22:AC33)</f>
        <v>1980542.2906507459</v>
      </c>
      <c r="AD35" s="765"/>
      <c r="AE35" s="765">
        <f>SUM(AE22:AE33)</f>
        <v>2047798.7580557063</v>
      </c>
      <c r="AF35" s="765"/>
      <c r="AG35" s="765">
        <f>SUM(AG22:AG33)</f>
        <v>2117408.2715644836</v>
      </c>
      <c r="AH35" s="765"/>
    </row>
    <row r="36" spans="1:34" ht="12.75" customHeight="1">
      <c r="A36" s="472"/>
      <c r="B36" s="472"/>
      <c r="C36" s="628"/>
      <c r="D36" s="472"/>
      <c r="E36" s="744"/>
      <c r="F36" s="744"/>
      <c r="G36" s="744"/>
      <c r="H36" s="744"/>
      <c r="I36" s="744"/>
      <c r="J36" s="744"/>
      <c r="K36" s="744"/>
      <c r="L36" s="744"/>
      <c r="M36" s="744"/>
      <c r="N36" s="744"/>
      <c r="O36" s="744"/>
      <c r="P36" s="744"/>
      <c r="Q36" s="744"/>
      <c r="R36" s="744"/>
      <c r="S36" s="744"/>
      <c r="T36" s="744"/>
      <c r="U36" s="744"/>
      <c r="V36" s="744"/>
      <c r="W36" s="744"/>
      <c r="X36" s="744"/>
      <c r="Y36" s="744"/>
      <c r="Z36" s="744"/>
      <c r="AA36" s="744"/>
      <c r="AB36" s="744"/>
      <c r="AC36" s="744"/>
      <c r="AD36" s="744"/>
      <c r="AE36" s="744"/>
      <c r="AF36" s="744"/>
      <c r="AG36" s="744"/>
      <c r="AH36" s="472"/>
    </row>
    <row r="37" spans="1:34" ht="12.75" customHeight="1">
      <c r="A37" s="765" t="s">
        <v>2543</v>
      </c>
      <c r="B37" s="765"/>
      <c r="C37" s="774"/>
      <c r="D37" s="765"/>
      <c r="E37" s="765">
        <f>E11-E35</f>
        <v>4238201.1500000004</v>
      </c>
      <c r="F37" s="765"/>
      <c r="G37" s="765">
        <f>G11-G35</f>
        <v>4333743.2137499992</v>
      </c>
      <c r="H37" s="765"/>
      <c r="I37" s="765">
        <f>I11-I35</f>
        <v>4431258.7919437494</v>
      </c>
      <c r="J37" s="765"/>
      <c r="K37" s="765">
        <f>K11-K35</f>
        <v>4530782.6924745925</v>
      </c>
      <c r="L37" s="765"/>
      <c r="M37" s="765">
        <f>M11-M35</f>
        <v>4632350.0848109843</v>
      </c>
      <c r="N37" s="765"/>
      <c r="O37" s="765">
        <f>O11-O35</f>
        <v>4735996.4912326299</v>
      </c>
      <c r="P37" s="765"/>
      <c r="Q37" s="765">
        <f>Q11-Q35</f>
        <v>4841757.7772243656</v>
      </c>
      <c r="R37" s="765"/>
      <c r="S37" s="765">
        <f>S11-S35</f>
        <v>4949670.140984959</v>
      </c>
      <c r="T37" s="765"/>
      <c r="U37" s="765">
        <f>U11-U35</f>
        <v>5059770.1020060852</v>
      </c>
      <c r="V37" s="765"/>
      <c r="W37" s="765">
        <f>W11-W35</f>
        <v>5172094.4886748809</v>
      </c>
      <c r="X37" s="765"/>
      <c r="Y37" s="765">
        <f>Y11-Y35</f>
        <v>5168190.1289593372</v>
      </c>
      <c r="Z37" s="765"/>
      <c r="AA37" s="765">
        <f>AA11-AA35</f>
        <v>5280927.8591226479</v>
      </c>
      <c r="AB37" s="765"/>
      <c r="AC37" s="765">
        <f>AC11-AC35</f>
        <v>5395857.0631998181</v>
      </c>
      <c r="AD37" s="765"/>
      <c r="AE37" s="765">
        <f>AE11-AE35</f>
        <v>5513010.5796411196</v>
      </c>
      <c r="AF37" s="765"/>
      <c r="AG37" s="765">
        <f>AG11-AG35</f>
        <v>5632421.2995747626</v>
      </c>
      <c r="AH37" s="765"/>
    </row>
    <row r="38" spans="1:34" ht="12.75" customHeight="1">
      <c r="A38" s="472"/>
      <c r="B38" s="472"/>
      <c r="C38" s="628"/>
      <c r="D38" s="472"/>
      <c r="E38" s="744"/>
      <c r="F38" s="744"/>
      <c r="G38" s="744"/>
      <c r="H38" s="744"/>
      <c r="I38" s="744"/>
      <c r="J38" s="744"/>
      <c r="K38" s="744"/>
      <c r="L38" s="744"/>
      <c r="M38" s="744"/>
      <c r="N38" s="744"/>
      <c r="O38" s="744"/>
      <c r="P38" s="744"/>
      <c r="Q38" s="744"/>
      <c r="R38" s="744"/>
      <c r="S38" s="744"/>
      <c r="T38" s="744"/>
      <c r="U38" s="744"/>
      <c r="V38" s="744"/>
      <c r="W38" s="744"/>
      <c r="X38" s="744"/>
      <c r="Y38" s="744"/>
      <c r="Z38" s="744"/>
      <c r="AA38" s="744"/>
      <c r="AB38" s="744"/>
      <c r="AC38" s="744"/>
      <c r="AD38" s="744"/>
      <c r="AE38" s="744"/>
      <c r="AF38" s="744"/>
      <c r="AG38" s="744"/>
      <c r="AH38" s="472"/>
    </row>
    <row r="39" spans="1:34" ht="12.75" customHeight="1">
      <c r="A39" s="474" t="s">
        <v>2551</v>
      </c>
      <c r="B39" s="472"/>
      <c r="C39" s="628"/>
      <c r="D39" s="472"/>
      <c r="E39" s="744"/>
      <c r="F39" s="744"/>
      <c r="G39" s="744"/>
      <c r="H39" s="744"/>
      <c r="I39" s="744"/>
      <c r="J39" s="744"/>
      <c r="K39" s="744"/>
      <c r="L39" s="744"/>
      <c r="M39" s="744"/>
      <c r="N39" s="744"/>
      <c r="O39" s="744"/>
      <c r="P39" s="744"/>
      <c r="Q39" s="744"/>
      <c r="R39" s="744"/>
      <c r="S39" s="744"/>
      <c r="T39" s="744"/>
      <c r="U39" s="744"/>
      <c r="V39" s="744"/>
      <c r="W39" s="744"/>
      <c r="X39" s="744"/>
      <c r="Y39" s="744"/>
      <c r="Z39" s="744"/>
      <c r="AA39" s="744"/>
      <c r="AB39" s="744"/>
      <c r="AC39" s="744"/>
      <c r="AD39" s="744"/>
      <c r="AE39" s="744"/>
      <c r="AF39" s="744"/>
      <c r="AG39" s="744"/>
      <c r="AH39" s="472"/>
    </row>
    <row r="40" spans="1:34" ht="12.75" customHeight="1">
      <c r="A40" s="781" t="str">
        <f>Application!C635</f>
        <v xml:space="preserve">Citibank N.A. </v>
      </c>
      <c r="B40" s="763"/>
      <c r="C40" s="628"/>
      <c r="D40" s="472"/>
      <c r="E40" s="744">
        <f>Application!AF635+Application!AF636</f>
        <v>3680249.9274561992</v>
      </c>
      <c r="F40" s="744"/>
      <c r="G40" s="744">
        <f>$E$40</f>
        <v>3680249.9274561992</v>
      </c>
      <c r="H40" s="744"/>
      <c r="I40" s="744">
        <f>$E$40</f>
        <v>3680249.9274561992</v>
      </c>
      <c r="J40" s="744"/>
      <c r="K40" s="744">
        <f>$E$40</f>
        <v>3680249.9274561992</v>
      </c>
      <c r="L40" s="744"/>
      <c r="M40" s="744">
        <f>$E$40</f>
        <v>3680249.9274561992</v>
      </c>
      <c r="N40" s="744"/>
      <c r="O40" s="744">
        <f>$E$40</f>
        <v>3680249.9274561992</v>
      </c>
      <c r="P40" s="744"/>
      <c r="Q40" s="744">
        <f>$E$40</f>
        <v>3680249.9274561992</v>
      </c>
      <c r="R40" s="744"/>
      <c r="S40" s="744">
        <f>$E$40</f>
        <v>3680249.9274561992</v>
      </c>
      <c r="T40" s="744"/>
      <c r="U40" s="744">
        <f>$E$40</f>
        <v>3680249.9274561992</v>
      </c>
      <c r="V40" s="744"/>
      <c r="W40" s="744">
        <f>$E$40</f>
        <v>3680249.9274561992</v>
      </c>
      <c r="X40" s="744"/>
      <c r="Y40" s="744">
        <f>$E$40</f>
        <v>3680249.9274561992</v>
      </c>
      <c r="Z40" s="744"/>
      <c r="AA40" s="744">
        <f>$E$40</f>
        <v>3680249.9274561992</v>
      </c>
      <c r="AB40" s="744"/>
      <c r="AC40" s="744">
        <f>$E$40</f>
        <v>3680249.9274561992</v>
      </c>
      <c r="AD40" s="744"/>
      <c r="AE40" s="744">
        <f>$E$40</f>
        <v>3680249.9274561992</v>
      </c>
      <c r="AF40" s="744"/>
      <c r="AG40" s="744">
        <f>$E$40</f>
        <v>3680249.9274561992</v>
      </c>
      <c r="AH40" s="472"/>
    </row>
    <row r="41" spans="1:34" ht="12.75" customHeight="1">
      <c r="A41" s="781"/>
      <c r="B41" s="763"/>
      <c r="C41" s="628"/>
      <c r="D41" s="472"/>
      <c r="E41" s="744"/>
      <c r="F41" s="744"/>
      <c r="G41" s="744">
        <f>$E$41</f>
        <v>0</v>
      </c>
      <c r="H41" s="744"/>
      <c r="I41" s="744">
        <f>$E$41</f>
        <v>0</v>
      </c>
      <c r="J41" s="744"/>
      <c r="K41" s="744">
        <f>$E$41</f>
        <v>0</v>
      </c>
      <c r="L41" s="744"/>
      <c r="M41" s="744">
        <f>$E$41</f>
        <v>0</v>
      </c>
      <c r="N41" s="744"/>
      <c r="O41" s="744">
        <f>$E$41</f>
        <v>0</v>
      </c>
      <c r="P41" s="744"/>
      <c r="Q41" s="744">
        <f>$E$41</f>
        <v>0</v>
      </c>
      <c r="R41" s="744"/>
      <c r="S41" s="744">
        <f>$E$41</f>
        <v>0</v>
      </c>
      <c r="T41" s="744"/>
      <c r="U41" s="744">
        <f>$E$41</f>
        <v>0</v>
      </c>
      <c r="V41" s="744"/>
      <c r="W41" s="744">
        <f>$E$41</f>
        <v>0</v>
      </c>
      <c r="X41" s="744"/>
      <c r="Y41" s="744">
        <f>$E$41</f>
        <v>0</v>
      </c>
      <c r="Z41" s="744"/>
      <c r="AA41" s="744">
        <f>$E$41</f>
        <v>0</v>
      </c>
      <c r="AB41" s="744"/>
      <c r="AC41" s="744">
        <f>$E$41</f>
        <v>0</v>
      </c>
      <c r="AD41" s="744"/>
      <c r="AE41" s="744">
        <f>$E$41</f>
        <v>0</v>
      </c>
      <c r="AF41" s="744"/>
      <c r="AG41" s="744">
        <f>$E$41</f>
        <v>0</v>
      </c>
      <c r="AH41" s="472"/>
    </row>
    <row r="42" spans="1:34" ht="12.75" customHeight="1">
      <c r="A42" s="781"/>
      <c r="B42" s="763"/>
      <c r="C42" s="628"/>
      <c r="D42" s="472"/>
      <c r="E42" s="769"/>
      <c r="F42" s="744"/>
      <c r="G42" s="769">
        <f>$E$42</f>
        <v>0</v>
      </c>
      <c r="H42" s="744"/>
      <c r="I42" s="769">
        <f>$E$42</f>
        <v>0</v>
      </c>
      <c r="J42" s="744"/>
      <c r="K42" s="769">
        <f>$E$42</f>
        <v>0</v>
      </c>
      <c r="L42" s="744"/>
      <c r="M42" s="769">
        <f>$E$42</f>
        <v>0</v>
      </c>
      <c r="N42" s="744"/>
      <c r="O42" s="769">
        <f>$E$42</f>
        <v>0</v>
      </c>
      <c r="P42" s="744"/>
      <c r="Q42" s="769">
        <f>$E$42</f>
        <v>0</v>
      </c>
      <c r="R42" s="744"/>
      <c r="S42" s="769">
        <f>$E$42</f>
        <v>0</v>
      </c>
      <c r="T42" s="744"/>
      <c r="U42" s="769">
        <f>$E$42</f>
        <v>0</v>
      </c>
      <c r="V42" s="744"/>
      <c r="W42" s="769">
        <f>$E$42</f>
        <v>0</v>
      </c>
      <c r="X42" s="744"/>
      <c r="Y42" s="769">
        <f>$E$42</f>
        <v>0</v>
      </c>
      <c r="Z42" s="744"/>
      <c r="AA42" s="769">
        <f>$E$42</f>
        <v>0</v>
      </c>
      <c r="AB42" s="744"/>
      <c r="AC42" s="769">
        <f>$E$42</f>
        <v>0</v>
      </c>
      <c r="AD42" s="744"/>
      <c r="AE42" s="769">
        <f>$E$42</f>
        <v>0</v>
      </c>
      <c r="AF42" s="744"/>
      <c r="AG42" s="769">
        <f>$E$42</f>
        <v>0</v>
      </c>
      <c r="AH42" s="472"/>
    </row>
    <row r="43" spans="1:34" ht="12.75" customHeight="1">
      <c r="A43" s="765" t="s">
        <v>2554</v>
      </c>
      <c r="B43" s="765"/>
      <c r="C43" s="774"/>
      <c r="D43" s="765"/>
      <c r="E43" s="765">
        <f>SUM(E40:E42)</f>
        <v>3680249.9274561992</v>
      </c>
      <c r="F43" s="765"/>
      <c r="G43" s="765">
        <f>SUM(G40:G42)</f>
        <v>3680249.9274561992</v>
      </c>
      <c r="H43" s="765"/>
      <c r="I43" s="765">
        <f>SUM(I40:I42)</f>
        <v>3680249.9274561992</v>
      </c>
      <c r="J43" s="765"/>
      <c r="K43" s="765">
        <f>SUM(K40:K42)</f>
        <v>3680249.9274561992</v>
      </c>
      <c r="L43" s="765"/>
      <c r="M43" s="765">
        <f>SUM(M40:M42)</f>
        <v>3680249.9274561992</v>
      </c>
      <c r="N43" s="765"/>
      <c r="O43" s="765">
        <f>SUM(O40:O42)</f>
        <v>3680249.9274561992</v>
      </c>
      <c r="P43" s="765"/>
      <c r="Q43" s="765">
        <f>SUM(Q40:Q42)</f>
        <v>3680249.9274561992</v>
      </c>
      <c r="R43" s="765"/>
      <c r="S43" s="765">
        <f>SUM(S40:S42)</f>
        <v>3680249.9274561992</v>
      </c>
      <c r="T43" s="765"/>
      <c r="U43" s="765">
        <f>SUM(U40:U42)</f>
        <v>3680249.9274561992</v>
      </c>
      <c r="V43" s="765"/>
      <c r="W43" s="765">
        <f>SUM(W40:W42)</f>
        <v>3680249.9274561992</v>
      </c>
      <c r="X43" s="765"/>
      <c r="Y43" s="765">
        <f>SUM(Y40:Y42)</f>
        <v>3680249.9274561992</v>
      </c>
      <c r="Z43" s="765"/>
      <c r="AA43" s="765">
        <f>SUM(AA40:AA42)</f>
        <v>3680249.9274561992</v>
      </c>
      <c r="AB43" s="765"/>
      <c r="AC43" s="765">
        <f>SUM(AC40:AC42)</f>
        <v>3680249.9274561992</v>
      </c>
      <c r="AD43" s="765"/>
      <c r="AE43" s="765">
        <f>SUM(AE40:AE42)</f>
        <v>3680249.9274561992</v>
      </c>
      <c r="AF43" s="765"/>
      <c r="AG43" s="765">
        <f>SUM(AG40:AG42)</f>
        <v>3680249.9274561992</v>
      </c>
      <c r="AH43" s="765"/>
    </row>
    <row r="44" spans="1:34" ht="12.75" customHeight="1">
      <c r="A44" s="472"/>
      <c r="B44" s="472"/>
      <c r="C44" s="628"/>
      <c r="D44" s="472"/>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472"/>
    </row>
    <row r="45" spans="1:34" ht="12.75" customHeight="1">
      <c r="A45" s="765" t="s">
        <v>2559</v>
      </c>
      <c r="B45" s="765"/>
      <c r="C45" s="774"/>
      <c r="D45" s="765"/>
      <c r="E45" s="765">
        <f>E37-E43</f>
        <v>557951.22254380118</v>
      </c>
      <c r="F45" s="765"/>
      <c r="G45" s="765">
        <f>G37-G43</f>
        <v>653493.28629379999</v>
      </c>
      <c r="H45" s="765"/>
      <c r="I45" s="765">
        <f>I37-I43</f>
        <v>751008.86448755022</v>
      </c>
      <c r="J45" s="765"/>
      <c r="K45" s="765">
        <f>K37-K43</f>
        <v>850532.76501839329</v>
      </c>
      <c r="L45" s="765"/>
      <c r="M45" s="765">
        <f>M37-M43</f>
        <v>952100.15735478513</v>
      </c>
      <c r="N45" s="765"/>
      <c r="O45" s="765">
        <f>O37-O43</f>
        <v>1055746.5637764307</v>
      </c>
      <c r="P45" s="765"/>
      <c r="Q45" s="765">
        <f>Q37-Q43</f>
        <v>1161507.8497681664</v>
      </c>
      <c r="R45" s="765"/>
      <c r="S45" s="765">
        <f>S37-S43</f>
        <v>1269420.2135287598</v>
      </c>
      <c r="T45" s="765"/>
      <c r="U45" s="765">
        <f>U37-U43</f>
        <v>1379520.174549886</v>
      </c>
      <c r="V45" s="765"/>
      <c r="W45" s="765">
        <f>W37-W43</f>
        <v>1491844.5612186817</v>
      </c>
      <c r="X45" s="765"/>
      <c r="Y45" s="765">
        <f>Y37-Y43</f>
        <v>1487940.2015031381</v>
      </c>
      <c r="Z45" s="765"/>
      <c r="AA45" s="765">
        <f>AA37-AA43</f>
        <v>1600677.9316664487</v>
      </c>
      <c r="AB45" s="765"/>
      <c r="AC45" s="765">
        <f>AC37-AC43</f>
        <v>1715607.1357436189</v>
      </c>
      <c r="AD45" s="765"/>
      <c r="AE45" s="765">
        <f>AE37-AE43</f>
        <v>1832760.6521849204</v>
      </c>
      <c r="AF45" s="765"/>
      <c r="AG45" s="765">
        <f>AG37-AG43</f>
        <v>1952171.3721185634</v>
      </c>
      <c r="AH45" s="765"/>
    </row>
    <row r="46" spans="1:34" ht="12.75" customHeight="1">
      <c r="A46" s="472"/>
      <c r="B46" s="472"/>
      <c r="C46" s="628"/>
      <c r="D46" s="472"/>
      <c r="E46" s="744"/>
      <c r="F46" s="744"/>
      <c r="G46" s="744"/>
      <c r="H46" s="744"/>
      <c r="I46" s="744"/>
      <c r="J46" s="744"/>
      <c r="K46" s="744"/>
      <c r="L46" s="744"/>
      <c r="M46" s="744"/>
      <c r="N46" s="744"/>
      <c r="O46" s="744"/>
      <c r="P46" s="744"/>
      <c r="Q46" s="744"/>
      <c r="R46" s="744"/>
      <c r="S46" s="744"/>
      <c r="T46" s="744"/>
      <c r="U46" s="744"/>
      <c r="V46" s="744"/>
      <c r="W46" s="744"/>
      <c r="X46" s="744"/>
      <c r="Y46" s="744"/>
      <c r="Z46" s="744"/>
      <c r="AA46" s="744"/>
      <c r="AB46" s="744"/>
      <c r="AC46" s="744"/>
      <c r="AD46" s="744"/>
      <c r="AE46" s="744"/>
      <c r="AF46" s="744"/>
      <c r="AG46" s="744"/>
      <c r="AH46" s="472"/>
    </row>
    <row r="47" spans="1:34" ht="12.75" customHeight="1">
      <c r="A47" s="784" t="s">
        <v>2562</v>
      </c>
      <c r="B47" s="784"/>
      <c r="C47" s="628"/>
      <c r="D47" s="784"/>
      <c r="E47" s="784">
        <f>E45/(E4+E6+E8)</f>
        <v>9.6641086157829584E-2</v>
      </c>
      <c r="F47" s="784"/>
      <c r="G47" s="784">
        <f>G45/(G4+G6+G8)</f>
        <v>0.11042892226112241</v>
      </c>
      <c r="H47" s="784"/>
      <c r="I47" s="784">
        <f>I45/(I4+I6+I8)</f>
        <v>0.12381204625383715</v>
      </c>
      <c r="J47" s="784"/>
      <c r="K47" s="784">
        <f>K45/(K4+K6+K8)</f>
        <v>0.13679966102756907</v>
      </c>
      <c r="L47" s="784"/>
      <c r="M47" s="784">
        <f>M45/(M4+M6+M8)</f>
        <v>0.14940073849762558</v>
      </c>
      <c r="N47" s="784"/>
      <c r="O47" s="784">
        <f>O45/(O4+O6+O8)</f>
        <v>0.16162402517301447</v>
      </c>
      <c r="P47" s="784"/>
      <c r="Q47" s="784">
        <f>Q45/(Q4+Q6+Q8)</f>
        <v>0.17347804758995636</v>
      </c>
      <c r="R47" s="784"/>
      <c r="S47" s="784">
        <f>S45/(S4+S6+S8)</f>
        <v>0.18497111761225016</v>
      </c>
      <c r="T47" s="784"/>
      <c r="U47" s="784">
        <f>U45/(U4+U6+U8)</f>
        <v>0.19611133760172622</v>
      </c>
      <c r="V47" s="784"/>
      <c r="W47" s="784">
        <f>W45/(W4+W6+W8)</f>
        <v>0.2069066054619518</v>
      </c>
      <c r="X47" s="784"/>
      <c r="Y47" s="784">
        <f>Y45/(Y4+Y6+Y8)</f>
        <v>0.20133180760051739</v>
      </c>
      <c r="Z47" s="784"/>
      <c r="AA47" s="784">
        <f>AA45/(AA4+AA6+AA8)</f>
        <v>0.21130365388183142</v>
      </c>
      <c r="AB47" s="784"/>
      <c r="AC47" s="784">
        <f>AC45/(AC4+AC6+AC8)</f>
        <v>0.22095153756902411</v>
      </c>
      <c r="AD47" s="784"/>
      <c r="AE47" s="784">
        <f>AE45/(AE4+AE6+AE8)</f>
        <v>0.23028257185308884</v>
      </c>
      <c r="AF47" s="784"/>
      <c r="AG47" s="784">
        <f>AG45/(AG4+AG6+AG8)</f>
        <v>0.23930368874421704</v>
      </c>
      <c r="AH47" s="784"/>
    </row>
    <row r="48" spans="1:34" ht="12.75" customHeight="1">
      <c r="A48" s="784" t="s">
        <v>2564</v>
      </c>
      <c r="B48" s="784"/>
      <c r="C48" s="628"/>
      <c r="D48" s="784"/>
      <c r="E48" s="784">
        <f>E45/E43</f>
        <v>0.15160688364701874</v>
      </c>
      <c r="F48" s="784"/>
      <c r="G48" s="784">
        <f>G45/G43</f>
        <v>0.17756763784395935</v>
      </c>
      <c r="H48" s="784"/>
      <c r="I48" s="784">
        <f>I45/I43</f>
        <v>0.20406463672065064</v>
      </c>
      <c r="J48" s="784"/>
      <c r="K48" s="784">
        <f>K45/K43</f>
        <v>0.23110733830141919</v>
      </c>
      <c r="L48" s="784"/>
      <c r="M48" s="784">
        <f>M45/M43</f>
        <v>0.25870529885802618</v>
      </c>
      <c r="N48" s="784"/>
      <c r="O48" s="784">
        <f>O45/O43</f>
        <v>0.28686817052834401</v>
      </c>
      <c r="P48" s="784"/>
      <c r="Q48" s="784">
        <f>Q45/Q43</f>
        <v>0.31560569870617577</v>
      </c>
      <c r="R48" s="784"/>
      <c r="S48" s="784">
        <f>S45/S43</f>
        <v>0.3449277191905788</v>
      </c>
      <c r="T48" s="784"/>
      <c r="U48" s="784">
        <f>U45/U43</f>
        <v>0.37484415508253671</v>
      </c>
      <c r="V48" s="784"/>
      <c r="W48" s="784">
        <f>W45/W43</f>
        <v>0.40536501341631698</v>
      </c>
      <c r="X48" s="784"/>
      <c r="Y48" s="784">
        <f>Y45/Y43</f>
        <v>0.4043041181530862</v>
      </c>
      <c r="Z48" s="784"/>
      <c r="AA48" s="784">
        <f>AA45/AA43</f>
        <v>0.43493729046082547</v>
      </c>
      <c r="AB48" s="784"/>
      <c r="AC48" s="784">
        <f>AC45/AC43</f>
        <v>0.46616593154298414</v>
      </c>
      <c r="AD48" s="784"/>
      <c r="AE48" s="784">
        <f>AE45/AE43</f>
        <v>0.49799896428548551</v>
      </c>
      <c r="AF48" s="784"/>
      <c r="AG48" s="784">
        <f>AG45/AG43</f>
        <v>0.53044532588793791</v>
      </c>
      <c r="AH48" s="784"/>
    </row>
    <row r="49" spans="1:34" ht="12.75" customHeight="1">
      <c r="A49" s="787" t="s">
        <v>2050</v>
      </c>
      <c r="B49" s="787"/>
      <c r="C49" s="788"/>
      <c r="D49" s="787"/>
      <c r="E49" s="787">
        <f>E37/E43</f>
        <v>1.1516068836470188</v>
      </c>
      <c r="F49" s="787"/>
      <c r="G49" s="787">
        <f>G37/G43</f>
        <v>1.1775676378439592</v>
      </c>
      <c r="H49" s="787"/>
      <c r="I49" s="787">
        <f>I37/I43</f>
        <v>1.2040646367206507</v>
      </c>
      <c r="J49" s="787"/>
      <c r="K49" s="787">
        <f>K37/K43</f>
        <v>1.2311073383014193</v>
      </c>
      <c r="L49" s="787"/>
      <c r="M49" s="787">
        <f>M37/M43</f>
        <v>1.2587052988580261</v>
      </c>
      <c r="N49" s="787"/>
      <c r="O49" s="787">
        <f>O37/O43</f>
        <v>1.286868170528344</v>
      </c>
      <c r="P49" s="787"/>
      <c r="Q49" s="787">
        <f>Q37/Q43</f>
        <v>1.3156056987061757</v>
      </c>
      <c r="R49" s="787"/>
      <c r="S49" s="787">
        <f>S37/S43</f>
        <v>1.3449277191905789</v>
      </c>
      <c r="T49" s="787"/>
      <c r="U49" s="787">
        <f>U37/U43</f>
        <v>1.3748441550825368</v>
      </c>
      <c r="V49" s="787"/>
      <c r="W49" s="787">
        <f>W37/W43</f>
        <v>1.4053650134163169</v>
      </c>
      <c r="X49" s="787"/>
      <c r="Y49" s="787">
        <f>Y37/Y43</f>
        <v>1.4043041181530862</v>
      </c>
      <c r="Z49" s="787"/>
      <c r="AA49" s="787">
        <f>AA37/AA43</f>
        <v>1.4349372904608255</v>
      </c>
      <c r="AB49" s="787"/>
      <c r="AC49" s="787">
        <f>AC37/AC43</f>
        <v>1.4661659315429842</v>
      </c>
      <c r="AD49" s="787"/>
      <c r="AE49" s="787">
        <f>AE37/AE43</f>
        <v>1.4979989642854854</v>
      </c>
      <c r="AF49" s="787"/>
      <c r="AG49" s="787">
        <f>AG37/AG43</f>
        <v>1.5304453258879378</v>
      </c>
      <c r="AH49" s="787"/>
    </row>
    <row r="50" spans="1:34" ht="12.75" customHeight="1">
      <c r="A50" s="789"/>
      <c r="B50" s="789"/>
      <c r="C50" s="790"/>
      <c r="D50" s="789"/>
      <c r="E50" s="769"/>
      <c r="F50" s="769"/>
      <c r="G50" s="769"/>
      <c r="H50" s="769"/>
      <c r="I50" s="769"/>
      <c r="J50" s="769"/>
      <c r="K50" s="769"/>
      <c r="L50" s="769"/>
      <c r="M50" s="769"/>
      <c r="N50" s="769"/>
      <c r="O50" s="769"/>
      <c r="P50" s="769"/>
      <c r="Q50" s="769"/>
      <c r="R50" s="769"/>
      <c r="S50" s="769"/>
      <c r="T50" s="769"/>
      <c r="U50" s="769"/>
      <c r="V50" s="769"/>
      <c r="W50" s="769"/>
      <c r="X50" s="769"/>
      <c r="Y50" s="769"/>
      <c r="Z50" s="769"/>
      <c r="AA50" s="769"/>
      <c r="AB50" s="769"/>
      <c r="AC50" s="769"/>
      <c r="AD50" s="769"/>
      <c r="AE50" s="769"/>
      <c r="AF50" s="769"/>
      <c r="AG50" s="769"/>
      <c r="AH50" s="472"/>
    </row>
    <row r="51" spans="1:34" ht="12.75" customHeight="1">
      <c r="A51" s="1" t="s">
        <v>2567</v>
      </c>
      <c r="B51" s="1"/>
      <c r="C51" s="748"/>
      <c r="D51" s="1"/>
      <c r="E51" s="767"/>
      <c r="F51" s="767"/>
      <c r="G51" s="767"/>
      <c r="H51" s="767"/>
      <c r="I51" s="767"/>
      <c r="J51" s="767"/>
      <c r="K51" s="767"/>
      <c r="L51" s="767"/>
      <c r="M51" s="767"/>
      <c r="N51" s="767"/>
      <c r="O51" s="767"/>
      <c r="P51" s="767"/>
      <c r="Q51" s="767"/>
      <c r="R51" s="767"/>
      <c r="S51" s="767"/>
      <c r="T51" s="767"/>
      <c r="U51" s="767"/>
      <c r="V51" s="767"/>
      <c r="W51" s="767"/>
      <c r="X51" s="767"/>
      <c r="Y51" s="767"/>
      <c r="Z51" s="767"/>
      <c r="AA51" s="767"/>
      <c r="AB51" s="767"/>
      <c r="AC51" s="767"/>
      <c r="AD51" s="767"/>
      <c r="AE51" s="767"/>
      <c r="AF51" s="767"/>
      <c r="AG51" s="767"/>
      <c r="AH51" s="1"/>
    </row>
    <row r="52" spans="1:34" ht="12.75" customHeight="1">
      <c r="A52" s="1117" t="s">
        <v>1137</v>
      </c>
      <c r="B52" s="1118"/>
      <c r="C52" s="1119"/>
      <c r="D52" s="767"/>
      <c r="E52" s="767"/>
      <c r="F52" s="767"/>
      <c r="G52" s="767"/>
      <c r="H52" s="767"/>
      <c r="I52" s="767"/>
      <c r="J52" s="767"/>
      <c r="K52" s="767"/>
      <c r="L52" s="767"/>
      <c r="M52" s="767"/>
      <c r="N52" s="767"/>
      <c r="O52" s="767"/>
      <c r="P52" s="767"/>
      <c r="Q52" s="767"/>
      <c r="R52" s="767"/>
      <c r="S52" s="767"/>
      <c r="T52" s="767"/>
      <c r="U52" s="767"/>
      <c r="V52" s="767"/>
      <c r="W52" s="767"/>
      <c r="X52" s="767"/>
      <c r="Y52" s="767"/>
      <c r="Z52" s="767"/>
      <c r="AA52" s="767"/>
      <c r="AB52" s="767"/>
      <c r="AC52" s="767"/>
      <c r="AD52" s="767"/>
      <c r="AE52" s="767"/>
      <c r="AF52" s="767"/>
      <c r="AG52" s="767"/>
      <c r="AH52" s="1"/>
    </row>
    <row r="53" spans="1:34" ht="12.75" customHeight="1">
      <c r="A53" s="126" t="s">
        <v>1822</v>
      </c>
      <c r="B53" s="126"/>
      <c r="C53" s="791"/>
      <c r="D53" s="126"/>
      <c r="E53" s="792"/>
      <c r="F53" s="126"/>
      <c r="G53" s="767">
        <f t="shared" ref="G53:G57" si="14">E53*$C$53</f>
        <v>0</v>
      </c>
      <c r="H53" s="126"/>
      <c r="I53" s="767">
        <f t="shared" ref="I53:I57" si="15">G53*$C$53</f>
        <v>0</v>
      </c>
      <c r="J53" s="126"/>
      <c r="K53" s="767">
        <f t="shared" ref="K53:K57" si="16">I53*$C$53</f>
        <v>0</v>
      </c>
      <c r="L53" s="126"/>
      <c r="M53" s="767">
        <f t="shared" ref="M53:M57" si="17">K53*$C$53</f>
        <v>0</v>
      </c>
      <c r="N53" s="126"/>
      <c r="O53" s="767">
        <f t="shared" ref="O53:O57" si="18">M53*$C$53</f>
        <v>0</v>
      </c>
      <c r="P53" s="126"/>
      <c r="Q53" s="767">
        <f t="shared" ref="Q53:Q57" si="19">O53*$C$53</f>
        <v>0</v>
      </c>
      <c r="R53" s="126"/>
      <c r="S53" s="767">
        <f t="shared" ref="S53:S57" si="20">Q53*$C$53</f>
        <v>0</v>
      </c>
      <c r="T53" s="126"/>
      <c r="U53" s="767">
        <f t="shared" ref="U53:U57" si="21">S53*$C$53</f>
        <v>0</v>
      </c>
      <c r="V53" s="126"/>
      <c r="W53" s="767">
        <f t="shared" ref="W53:W57" si="22">U53*$C$53</f>
        <v>0</v>
      </c>
      <c r="X53" s="126"/>
      <c r="Y53" s="767">
        <f t="shared" ref="Y53:Y57" si="23">W53*$C$53</f>
        <v>0</v>
      </c>
      <c r="Z53" s="126"/>
      <c r="AA53" s="767">
        <f t="shared" ref="AA53:AA57" si="24">Y53*$C$53</f>
        <v>0</v>
      </c>
      <c r="AB53" s="126"/>
      <c r="AC53" s="767">
        <f t="shared" ref="AC53:AC57" si="25">AA53*$C$53</f>
        <v>0</v>
      </c>
      <c r="AD53" s="126"/>
      <c r="AE53" s="767">
        <f t="shared" ref="AE53:AE57" si="26">AC53*$C$53</f>
        <v>0</v>
      </c>
      <c r="AF53" s="126"/>
      <c r="AG53" s="767">
        <f t="shared" ref="AG53:AG57" si="27">AE53*$C$53</f>
        <v>0</v>
      </c>
      <c r="AH53" s="126"/>
    </row>
    <row r="54" spans="1:34" ht="12.75" customHeight="1">
      <c r="A54" s="1" t="s">
        <v>2570</v>
      </c>
      <c r="B54" s="1"/>
      <c r="C54" s="793"/>
      <c r="D54" s="1"/>
      <c r="E54" s="794"/>
      <c r="F54" s="767"/>
      <c r="G54" s="767">
        <f t="shared" si="14"/>
        <v>0</v>
      </c>
      <c r="H54" s="767"/>
      <c r="I54" s="767">
        <f t="shared" si="15"/>
        <v>0</v>
      </c>
      <c r="J54" s="767"/>
      <c r="K54" s="767">
        <f t="shared" si="16"/>
        <v>0</v>
      </c>
      <c r="L54" s="767"/>
      <c r="M54" s="767">
        <f t="shared" si="17"/>
        <v>0</v>
      </c>
      <c r="N54" s="767"/>
      <c r="O54" s="767">
        <f t="shared" si="18"/>
        <v>0</v>
      </c>
      <c r="P54" s="767"/>
      <c r="Q54" s="767">
        <f t="shared" si="19"/>
        <v>0</v>
      </c>
      <c r="R54" s="767"/>
      <c r="S54" s="767">
        <f t="shared" si="20"/>
        <v>0</v>
      </c>
      <c r="T54" s="767"/>
      <c r="U54" s="767">
        <f t="shared" si="21"/>
        <v>0</v>
      </c>
      <c r="V54" s="767"/>
      <c r="W54" s="767">
        <f t="shared" si="22"/>
        <v>0</v>
      </c>
      <c r="X54" s="767"/>
      <c r="Y54" s="767">
        <f t="shared" si="23"/>
        <v>0</v>
      </c>
      <c r="Z54" s="767"/>
      <c r="AA54" s="767">
        <f t="shared" si="24"/>
        <v>0</v>
      </c>
      <c r="AB54" s="767"/>
      <c r="AC54" s="767">
        <f t="shared" si="25"/>
        <v>0</v>
      </c>
      <c r="AD54" s="767"/>
      <c r="AE54" s="767">
        <f t="shared" si="26"/>
        <v>0</v>
      </c>
      <c r="AF54" s="767"/>
      <c r="AG54" s="767">
        <f t="shared" si="27"/>
        <v>0</v>
      </c>
      <c r="AH54" s="767"/>
    </row>
    <row r="55" spans="1:34" ht="12.75" customHeight="1">
      <c r="A55" s="1" t="s">
        <v>2571</v>
      </c>
      <c r="B55" s="1"/>
      <c r="C55" s="793"/>
      <c r="D55" s="1"/>
      <c r="E55" s="794"/>
      <c r="F55" s="767"/>
      <c r="G55" s="767">
        <f t="shared" si="14"/>
        <v>0</v>
      </c>
      <c r="H55" s="767"/>
      <c r="I55" s="767">
        <f t="shared" si="15"/>
        <v>0</v>
      </c>
      <c r="J55" s="767"/>
      <c r="K55" s="767">
        <f t="shared" si="16"/>
        <v>0</v>
      </c>
      <c r="L55" s="767"/>
      <c r="M55" s="767">
        <f t="shared" si="17"/>
        <v>0</v>
      </c>
      <c r="N55" s="767"/>
      <c r="O55" s="767">
        <f t="shared" si="18"/>
        <v>0</v>
      </c>
      <c r="P55" s="767"/>
      <c r="Q55" s="767">
        <f t="shared" si="19"/>
        <v>0</v>
      </c>
      <c r="R55" s="767"/>
      <c r="S55" s="767">
        <f t="shared" si="20"/>
        <v>0</v>
      </c>
      <c r="T55" s="767"/>
      <c r="U55" s="767">
        <f t="shared" si="21"/>
        <v>0</v>
      </c>
      <c r="V55" s="767"/>
      <c r="W55" s="767">
        <f t="shared" si="22"/>
        <v>0</v>
      </c>
      <c r="X55" s="767"/>
      <c r="Y55" s="767">
        <f t="shared" si="23"/>
        <v>0</v>
      </c>
      <c r="Z55" s="767"/>
      <c r="AA55" s="767">
        <f t="shared" si="24"/>
        <v>0</v>
      </c>
      <c r="AB55" s="767"/>
      <c r="AC55" s="767">
        <f t="shared" si="25"/>
        <v>0</v>
      </c>
      <c r="AD55" s="767"/>
      <c r="AE55" s="767">
        <f t="shared" si="26"/>
        <v>0</v>
      </c>
      <c r="AF55" s="767"/>
      <c r="AG55" s="767">
        <f t="shared" si="27"/>
        <v>0</v>
      </c>
      <c r="AH55" s="767"/>
    </row>
    <row r="56" spans="1:34" ht="12.75" customHeight="1">
      <c r="A56" s="795"/>
      <c r="B56" s="795"/>
      <c r="C56" s="793"/>
      <c r="D56" s="1"/>
      <c r="E56" s="794"/>
      <c r="F56" s="767"/>
      <c r="G56" s="767">
        <f t="shared" si="14"/>
        <v>0</v>
      </c>
      <c r="H56" s="767"/>
      <c r="I56" s="767">
        <f t="shared" si="15"/>
        <v>0</v>
      </c>
      <c r="J56" s="767"/>
      <c r="K56" s="767">
        <f t="shared" si="16"/>
        <v>0</v>
      </c>
      <c r="L56" s="767"/>
      <c r="M56" s="767">
        <f t="shared" si="17"/>
        <v>0</v>
      </c>
      <c r="N56" s="767"/>
      <c r="O56" s="767">
        <f t="shared" si="18"/>
        <v>0</v>
      </c>
      <c r="P56" s="767"/>
      <c r="Q56" s="767">
        <f t="shared" si="19"/>
        <v>0</v>
      </c>
      <c r="R56" s="767"/>
      <c r="S56" s="767">
        <f t="shared" si="20"/>
        <v>0</v>
      </c>
      <c r="T56" s="767"/>
      <c r="U56" s="767">
        <f t="shared" si="21"/>
        <v>0</v>
      </c>
      <c r="V56" s="767"/>
      <c r="W56" s="767">
        <f t="shared" si="22"/>
        <v>0</v>
      </c>
      <c r="X56" s="767"/>
      <c r="Y56" s="767">
        <f t="shared" si="23"/>
        <v>0</v>
      </c>
      <c r="Z56" s="767"/>
      <c r="AA56" s="767">
        <f t="shared" si="24"/>
        <v>0</v>
      </c>
      <c r="AB56" s="767"/>
      <c r="AC56" s="767">
        <f t="shared" si="25"/>
        <v>0</v>
      </c>
      <c r="AD56" s="767"/>
      <c r="AE56" s="767">
        <f t="shared" si="26"/>
        <v>0</v>
      </c>
      <c r="AF56" s="767"/>
      <c r="AG56" s="767">
        <f t="shared" si="27"/>
        <v>0</v>
      </c>
      <c r="AH56" s="767"/>
    </row>
    <row r="57" spans="1:34" ht="12.75" customHeight="1">
      <c r="A57" s="795"/>
      <c r="B57" s="795"/>
      <c r="C57" s="793"/>
      <c r="D57" s="1"/>
      <c r="E57" s="796"/>
      <c r="F57" s="767"/>
      <c r="G57" s="797">
        <f t="shared" si="14"/>
        <v>0</v>
      </c>
      <c r="H57" s="767"/>
      <c r="I57" s="797">
        <f t="shared" si="15"/>
        <v>0</v>
      </c>
      <c r="J57" s="767"/>
      <c r="K57" s="797">
        <f t="shared" si="16"/>
        <v>0</v>
      </c>
      <c r="L57" s="767"/>
      <c r="M57" s="797">
        <f t="shared" si="17"/>
        <v>0</v>
      </c>
      <c r="N57" s="767"/>
      <c r="O57" s="797">
        <f t="shared" si="18"/>
        <v>0</v>
      </c>
      <c r="P57" s="767"/>
      <c r="Q57" s="797">
        <f t="shared" si="19"/>
        <v>0</v>
      </c>
      <c r="R57" s="767"/>
      <c r="S57" s="797">
        <f t="shared" si="20"/>
        <v>0</v>
      </c>
      <c r="T57" s="767"/>
      <c r="U57" s="797">
        <f t="shared" si="21"/>
        <v>0</v>
      </c>
      <c r="V57" s="767"/>
      <c r="W57" s="797">
        <f t="shared" si="22"/>
        <v>0</v>
      </c>
      <c r="X57" s="767"/>
      <c r="Y57" s="797">
        <f t="shared" si="23"/>
        <v>0</v>
      </c>
      <c r="Z57" s="767"/>
      <c r="AA57" s="797">
        <f t="shared" si="24"/>
        <v>0</v>
      </c>
      <c r="AB57" s="767"/>
      <c r="AC57" s="797">
        <f t="shared" si="25"/>
        <v>0</v>
      </c>
      <c r="AD57" s="767"/>
      <c r="AE57" s="797">
        <f t="shared" si="26"/>
        <v>0</v>
      </c>
      <c r="AF57" s="767"/>
      <c r="AG57" s="797">
        <f t="shared" si="27"/>
        <v>0</v>
      </c>
      <c r="AH57" s="767"/>
    </row>
    <row r="58" spans="1:34" ht="12.75" customHeight="1">
      <c r="A58" s="126" t="s">
        <v>2572</v>
      </c>
      <c r="B58" s="1"/>
      <c r="C58" s="748"/>
      <c r="D58" s="1"/>
      <c r="E58" s="767">
        <f>SUM(E53:E57)</f>
        <v>0</v>
      </c>
      <c r="F58" s="767"/>
      <c r="G58" s="767">
        <f>SUM(G53:G57)</f>
        <v>0</v>
      </c>
      <c r="H58" s="767"/>
      <c r="I58" s="767">
        <f>SUM(I53:I57)</f>
        <v>0</v>
      </c>
      <c r="J58" s="767"/>
      <c r="K58" s="767">
        <f>SUM(K53:K57)</f>
        <v>0</v>
      </c>
      <c r="L58" s="767"/>
      <c r="M58" s="767">
        <f>SUM(M53:M57)</f>
        <v>0</v>
      </c>
      <c r="N58" s="767"/>
      <c r="O58" s="767">
        <f>SUM(O53:O57)</f>
        <v>0</v>
      </c>
      <c r="P58" s="767"/>
      <c r="Q58" s="767">
        <f>SUM(Q53:Q57)</f>
        <v>0</v>
      </c>
      <c r="R58" s="767"/>
      <c r="S58" s="767">
        <f>SUM(S53:S57)</f>
        <v>0</v>
      </c>
      <c r="T58" s="767"/>
      <c r="U58" s="767">
        <f>SUM(U53:U57)</f>
        <v>0</v>
      </c>
      <c r="V58" s="767"/>
      <c r="W58" s="767">
        <f>SUM(W53:W57)</f>
        <v>0</v>
      </c>
      <c r="X58" s="767"/>
      <c r="Y58" s="767">
        <f>SUM(Y53:Y57)</f>
        <v>0</v>
      </c>
      <c r="Z58" s="767"/>
      <c r="AA58" s="767">
        <f>SUM(AA53:AA57)</f>
        <v>0</v>
      </c>
      <c r="AB58" s="767"/>
      <c r="AC58" s="767">
        <f>SUM(AC53:AC57)</f>
        <v>0</v>
      </c>
      <c r="AD58" s="767"/>
      <c r="AE58" s="767">
        <f>SUM(AE53:AE57)</f>
        <v>0</v>
      </c>
      <c r="AF58" s="767"/>
      <c r="AG58" s="767">
        <f>SUM(AG53:AG57)</f>
        <v>0</v>
      </c>
      <c r="AH58" s="767"/>
    </row>
    <row r="59" spans="1:34" ht="12.75" customHeight="1">
      <c r="A59" s="126"/>
      <c r="B59" s="1"/>
      <c r="C59" s="748"/>
      <c r="D59" s="1"/>
      <c r="E59" s="767"/>
      <c r="F59" s="767"/>
      <c r="G59" s="767"/>
      <c r="H59" s="767"/>
      <c r="I59" s="767"/>
      <c r="J59" s="767"/>
      <c r="K59" s="767"/>
      <c r="L59" s="767"/>
      <c r="M59" s="767"/>
      <c r="N59" s="767"/>
      <c r="O59" s="767"/>
      <c r="P59" s="767"/>
      <c r="Q59" s="767"/>
      <c r="R59" s="767"/>
      <c r="S59" s="767"/>
      <c r="T59" s="767"/>
      <c r="U59" s="767"/>
      <c r="V59" s="767"/>
      <c r="W59" s="767"/>
      <c r="X59" s="767"/>
      <c r="Y59" s="767"/>
      <c r="Z59" s="767"/>
      <c r="AA59" s="767"/>
      <c r="AB59" s="767"/>
      <c r="AC59" s="767"/>
      <c r="AD59" s="767"/>
      <c r="AE59" s="767"/>
      <c r="AF59" s="767"/>
      <c r="AG59" s="767"/>
      <c r="AH59" s="767"/>
    </row>
    <row r="60" spans="1:34" ht="12.75" customHeight="1">
      <c r="A60" s="126" t="s">
        <v>2574</v>
      </c>
      <c r="B60" s="126"/>
      <c r="C60" s="226"/>
      <c r="D60" s="126"/>
      <c r="E60" s="126">
        <f>E45-E58</f>
        <v>557951.22254380118</v>
      </c>
      <c r="F60" s="126"/>
      <c r="G60" s="126">
        <f>G45-G58</f>
        <v>653493.28629379999</v>
      </c>
      <c r="H60" s="126"/>
      <c r="I60" s="126">
        <f>I45-I58</f>
        <v>751008.86448755022</v>
      </c>
      <c r="J60" s="126"/>
      <c r="K60" s="126">
        <f>K45-K58</f>
        <v>850532.76501839329</v>
      </c>
      <c r="L60" s="126"/>
      <c r="M60" s="126">
        <f>M45-M58</f>
        <v>952100.15735478513</v>
      </c>
      <c r="N60" s="126"/>
      <c r="O60" s="126">
        <f>O45-O58</f>
        <v>1055746.5637764307</v>
      </c>
      <c r="P60" s="126"/>
      <c r="Q60" s="126">
        <f>Q45-Q58</f>
        <v>1161507.8497681664</v>
      </c>
      <c r="R60" s="126"/>
      <c r="S60" s="126">
        <f>S45-S58</f>
        <v>1269420.2135287598</v>
      </c>
      <c r="T60" s="126"/>
      <c r="U60" s="126">
        <f>U45-U58</f>
        <v>1379520.174549886</v>
      </c>
      <c r="V60" s="126"/>
      <c r="W60" s="126">
        <f>W45-W58</f>
        <v>1491844.5612186817</v>
      </c>
      <c r="X60" s="126"/>
      <c r="Y60" s="126">
        <f>Y45-Y58</f>
        <v>1487940.2015031381</v>
      </c>
      <c r="Z60" s="126"/>
      <c r="AA60" s="126">
        <f>AA45-AA58</f>
        <v>1600677.9316664487</v>
      </c>
      <c r="AB60" s="126"/>
      <c r="AC60" s="126">
        <f>AC45-AC58</f>
        <v>1715607.1357436189</v>
      </c>
      <c r="AD60" s="126"/>
      <c r="AE60" s="126">
        <f>AE45-AE58</f>
        <v>1832760.6521849204</v>
      </c>
      <c r="AF60" s="126"/>
      <c r="AG60" s="126">
        <f>AG45-AG58</f>
        <v>1952171.3721185634</v>
      </c>
      <c r="AH60" s="126"/>
    </row>
    <row r="61" spans="1:34" ht="8.25" customHeight="1">
      <c r="A61" s="1"/>
      <c r="B61" s="1"/>
      <c r="C61" s="748"/>
      <c r="D61" s="1"/>
      <c r="E61" s="767"/>
      <c r="F61" s="767"/>
      <c r="G61" s="767"/>
      <c r="H61" s="767"/>
      <c r="I61" s="767"/>
      <c r="J61" s="767"/>
      <c r="K61" s="767"/>
      <c r="L61" s="767"/>
      <c r="M61" s="767"/>
      <c r="N61" s="767"/>
      <c r="O61" s="767"/>
      <c r="P61" s="767"/>
      <c r="Q61" s="767"/>
      <c r="R61" s="767"/>
      <c r="S61" s="767"/>
      <c r="T61" s="767"/>
      <c r="U61" s="767"/>
      <c r="V61" s="767"/>
      <c r="W61" s="767"/>
      <c r="X61" s="767"/>
      <c r="Y61" s="767"/>
      <c r="Z61" s="767"/>
      <c r="AA61" s="767"/>
      <c r="AB61" s="767"/>
      <c r="AC61" s="767"/>
      <c r="AD61" s="767"/>
      <c r="AE61" s="767"/>
      <c r="AF61" s="767"/>
      <c r="AG61" s="767"/>
      <c r="AH61" s="767"/>
    </row>
    <row r="62" spans="1:34" ht="12.75" customHeight="1">
      <c r="A62" s="126" t="s">
        <v>2576</v>
      </c>
      <c r="B62" s="126"/>
      <c r="C62" s="459">
        <v>0.5</v>
      </c>
      <c r="D62" s="126"/>
      <c r="E62" s="792">
        <f>E60*$C$62</f>
        <v>278975.61127190059</v>
      </c>
      <c r="F62" s="126"/>
      <c r="G62" s="126">
        <f>G60*$C$62</f>
        <v>326746.64314689999</v>
      </c>
      <c r="H62" s="126"/>
      <c r="I62" s="126">
        <f>I60*$C$62</f>
        <v>375504.43224377511</v>
      </c>
      <c r="J62" s="126"/>
      <c r="K62" s="126">
        <f>K60*$C$62</f>
        <v>425266.38250919664</v>
      </c>
      <c r="L62" s="126"/>
      <c r="M62" s="126">
        <f>M60*$C$62</f>
        <v>476050.07867739256</v>
      </c>
      <c r="N62" s="126"/>
      <c r="O62" s="126">
        <f>O60*$C$62</f>
        <v>527873.28188821534</v>
      </c>
      <c r="P62" s="126"/>
      <c r="Q62" s="126">
        <f>Q60*$C$62</f>
        <v>580753.92488408322</v>
      </c>
      <c r="R62" s="126"/>
      <c r="S62" s="126">
        <f>S60*$C$62</f>
        <v>634710.10676437989</v>
      </c>
      <c r="T62" s="126"/>
      <c r="U62" s="126">
        <f>U60*$C$62</f>
        <v>689760.08727494301</v>
      </c>
      <c r="V62" s="126"/>
      <c r="W62" s="126">
        <f>W60*$C$62</f>
        <v>745922.28060934087</v>
      </c>
      <c r="X62" s="126"/>
      <c r="Y62" s="126">
        <f>Y60*$C$62</f>
        <v>743970.10075156903</v>
      </c>
      <c r="Z62" s="126"/>
      <c r="AA62" s="126">
        <f>AA60*$C$62</f>
        <v>800338.96583322436</v>
      </c>
      <c r="AB62" s="126"/>
      <c r="AC62" s="126">
        <f>AC60*$C$62</f>
        <v>857803.56787180947</v>
      </c>
      <c r="AD62" s="126"/>
      <c r="AE62" s="126">
        <f>AE60*$C$62</f>
        <v>916380.32609246019</v>
      </c>
      <c r="AF62" s="126"/>
      <c r="AG62" s="126">
        <f>AG60*$C$62</f>
        <v>976085.6860592817</v>
      </c>
      <c r="AH62" s="126"/>
    </row>
    <row r="63" spans="1:34" ht="12.75" customHeight="1">
      <c r="A63" s="1117" t="s">
        <v>1137</v>
      </c>
      <c r="B63" s="1118"/>
      <c r="C63" s="1119"/>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row>
    <row r="64" spans="1:34" ht="8.25" customHeight="1">
      <c r="A64" s="1"/>
      <c r="B64" s="1"/>
      <c r="C64" s="748"/>
      <c r="D64" s="1"/>
      <c r="E64" s="767"/>
      <c r="F64" s="767"/>
      <c r="G64" s="767"/>
      <c r="H64" s="767"/>
      <c r="I64" s="767"/>
      <c r="J64" s="767"/>
      <c r="K64" s="767"/>
      <c r="L64" s="767"/>
      <c r="M64" s="767"/>
      <c r="N64" s="767"/>
      <c r="O64" s="767"/>
      <c r="P64" s="767"/>
      <c r="Q64" s="767"/>
      <c r="R64" s="767"/>
      <c r="S64" s="767"/>
      <c r="T64" s="767"/>
      <c r="U64" s="767"/>
      <c r="V64" s="767"/>
      <c r="W64" s="767"/>
      <c r="X64" s="767"/>
      <c r="Y64" s="767"/>
      <c r="Z64" s="767"/>
      <c r="AA64" s="767"/>
      <c r="AB64" s="767"/>
      <c r="AC64" s="767"/>
      <c r="AD64" s="767"/>
      <c r="AE64" s="767"/>
      <c r="AF64" s="767"/>
      <c r="AG64" s="767"/>
      <c r="AH64" s="767"/>
    </row>
    <row r="65" spans="1:34" ht="12.75" customHeight="1">
      <c r="A65" s="1" t="s">
        <v>2578</v>
      </c>
      <c r="B65" s="1"/>
      <c r="C65" s="459">
        <v>0.25</v>
      </c>
      <c r="D65" s="1"/>
      <c r="E65" s="767"/>
      <c r="F65" s="767"/>
      <c r="G65" s="767"/>
      <c r="H65" s="767"/>
      <c r="I65" s="767"/>
      <c r="J65" s="767"/>
      <c r="K65" s="767"/>
      <c r="L65" s="767"/>
      <c r="M65" s="767"/>
      <c r="N65" s="767"/>
      <c r="O65" s="767"/>
      <c r="P65" s="767"/>
      <c r="Q65" s="767"/>
      <c r="R65" s="767"/>
      <c r="S65" s="767"/>
      <c r="T65" s="767"/>
      <c r="U65" s="767"/>
      <c r="V65" s="767"/>
      <c r="W65" s="767"/>
      <c r="X65" s="767"/>
      <c r="Y65" s="767"/>
      <c r="Z65" s="767"/>
      <c r="AA65" s="767"/>
      <c r="AB65" s="767"/>
      <c r="AC65" s="767"/>
      <c r="AD65" s="767"/>
      <c r="AE65" s="767"/>
      <c r="AF65" s="767"/>
      <c r="AG65" s="767"/>
      <c r="AH65" s="767"/>
    </row>
    <row r="66" spans="1:34" ht="12.75" customHeight="1">
      <c r="A66" s="792"/>
      <c r="B66" s="792"/>
      <c r="C66" s="791"/>
      <c r="D66" s="126"/>
      <c r="E66" s="792">
        <f>$E60*$C$65</f>
        <v>139487.8056359503</v>
      </c>
      <c r="F66" s="126"/>
      <c r="G66" s="767">
        <f>G60*$C$65</f>
        <v>163373.32157345</v>
      </c>
      <c r="H66" s="126"/>
      <c r="I66" s="767">
        <f>I60*$C$65</f>
        <v>187752.21612188756</v>
      </c>
      <c r="J66" s="126"/>
      <c r="K66" s="767">
        <f>K60*$C$65</f>
        <v>212633.19125459832</v>
      </c>
      <c r="L66" s="126"/>
      <c r="M66" s="767">
        <f>M60*$C$65</f>
        <v>238025.03933869628</v>
      </c>
      <c r="N66" s="126"/>
      <c r="O66" s="767">
        <f>O60*$C$65</f>
        <v>263936.64094410767</v>
      </c>
      <c r="P66" s="126"/>
      <c r="Q66" s="767">
        <f>Q60*$C$65</f>
        <v>290376.96244204161</v>
      </c>
      <c r="R66" s="126"/>
      <c r="S66" s="767">
        <f>S60*$C$65</f>
        <v>317355.05338218994</v>
      </c>
      <c r="T66" s="126"/>
      <c r="U66" s="767">
        <f>U60*$C$65</f>
        <v>344880.04363747151</v>
      </c>
      <c r="V66" s="126"/>
      <c r="W66" s="767">
        <f>W60*$C$65</f>
        <v>372961.14030467044</v>
      </c>
      <c r="X66" s="126"/>
      <c r="Y66" s="767">
        <f>Y60*$C$65</f>
        <v>371985.05037578451</v>
      </c>
      <c r="Z66" s="126"/>
      <c r="AA66" s="767">
        <f>AA60*$C$65</f>
        <v>400169.48291661218</v>
      </c>
      <c r="AB66" s="126"/>
      <c r="AC66" s="767">
        <f>AC60*$C$65</f>
        <v>428901.78393590474</v>
      </c>
      <c r="AD66" s="126"/>
      <c r="AE66" s="767">
        <f>AE60*$C$65</f>
        <v>458190.1630462301</v>
      </c>
      <c r="AF66" s="126"/>
      <c r="AG66" s="767">
        <f>AG60*$C$65</f>
        <v>488042.84302964085</v>
      </c>
      <c r="AH66" s="126"/>
    </row>
    <row r="67" spans="1:34" ht="12.75" customHeight="1">
      <c r="A67" s="794"/>
      <c r="B67" s="794"/>
      <c r="C67" s="286"/>
      <c r="D67" s="767"/>
      <c r="E67" s="792">
        <f>$E60*$C$65</f>
        <v>139487.8056359503</v>
      </c>
      <c r="F67" s="767"/>
      <c r="G67" s="767">
        <f>G60*$C$65</f>
        <v>163373.32157345</v>
      </c>
      <c r="H67" s="767"/>
      <c r="I67" s="767">
        <f>I60*$C$65</f>
        <v>187752.21612188756</v>
      </c>
      <c r="J67" s="767"/>
      <c r="K67" s="767">
        <f>K60*$C$65</f>
        <v>212633.19125459832</v>
      </c>
      <c r="L67" s="767"/>
      <c r="M67" s="767">
        <f>M60*$C$65</f>
        <v>238025.03933869628</v>
      </c>
      <c r="N67" s="767"/>
      <c r="O67" s="767">
        <f>O60*$C$65</f>
        <v>263936.64094410767</v>
      </c>
      <c r="P67" s="767"/>
      <c r="Q67" s="767">
        <f>Q60*$C$65</f>
        <v>290376.96244204161</v>
      </c>
      <c r="R67" s="767"/>
      <c r="S67" s="767">
        <f>S60*$C$65</f>
        <v>317355.05338218994</v>
      </c>
      <c r="T67" s="767"/>
      <c r="U67" s="767">
        <f>U60*$C$65</f>
        <v>344880.04363747151</v>
      </c>
      <c r="V67" s="767"/>
      <c r="W67" s="767">
        <f>W60*$C$65</f>
        <v>372961.14030467044</v>
      </c>
      <c r="X67" s="767"/>
      <c r="Y67" s="767">
        <f>Y60*$C$65</f>
        <v>371985.05037578451</v>
      </c>
      <c r="Z67" s="767"/>
      <c r="AA67" s="767">
        <f>AA60*$C$65</f>
        <v>400169.48291661218</v>
      </c>
      <c r="AB67" s="767"/>
      <c r="AC67" s="767">
        <f>AC60*$C$65</f>
        <v>428901.78393590474</v>
      </c>
      <c r="AD67" s="767"/>
      <c r="AE67" s="767">
        <f>AE60*$C$65</f>
        <v>458190.1630462301</v>
      </c>
      <c r="AF67" s="767"/>
      <c r="AG67" s="767">
        <f>AG60*$C$65</f>
        <v>488042.84302964085</v>
      </c>
      <c r="AH67" s="767"/>
    </row>
    <row r="68" spans="1:34" ht="12.75" customHeight="1">
      <c r="A68" s="794"/>
      <c r="B68" s="794"/>
      <c r="C68" s="286"/>
      <c r="D68" s="767"/>
      <c r="E68" s="794"/>
      <c r="F68" s="767"/>
      <c r="G68" s="767">
        <f t="shared" ref="G68:G69" si="28">E68*$C$66</f>
        <v>0</v>
      </c>
      <c r="H68" s="767"/>
      <c r="I68" s="767">
        <f t="shared" ref="I68:I69" si="29">G68*$C$66</f>
        <v>0</v>
      </c>
      <c r="J68" s="767"/>
      <c r="K68" s="767">
        <f t="shared" ref="K68:K69" si="30">I68*$C$66</f>
        <v>0</v>
      </c>
      <c r="L68" s="767"/>
      <c r="M68" s="767">
        <f t="shared" ref="M68:M69" si="31">K68*$C$66</f>
        <v>0</v>
      </c>
      <c r="N68" s="767"/>
      <c r="O68" s="767">
        <f t="shared" ref="O68:O69" si="32">M68*$C$66</f>
        <v>0</v>
      </c>
      <c r="P68" s="767"/>
      <c r="Q68" s="767">
        <f t="shared" ref="Q68:Q69" si="33">O68*$C$66</f>
        <v>0</v>
      </c>
      <c r="R68" s="767"/>
      <c r="S68" s="767">
        <f t="shared" ref="S68:S69" si="34">Q68*$C$66</f>
        <v>0</v>
      </c>
      <c r="T68" s="767"/>
      <c r="U68" s="767">
        <f t="shared" ref="U68:U69" si="35">S68*$C$66</f>
        <v>0</v>
      </c>
      <c r="V68" s="767"/>
      <c r="W68" s="767">
        <f t="shared" ref="W68:W69" si="36">U68*$C$66</f>
        <v>0</v>
      </c>
      <c r="X68" s="767"/>
      <c r="Y68" s="767">
        <f t="shared" ref="Y68:Y69" si="37">W68*$C$66</f>
        <v>0</v>
      </c>
      <c r="Z68" s="767"/>
      <c r="AA68" s="767">
        <f t="shared" ref="AA68:AA69" si="38">Y68*$C$66</f>
        <v>0</v>
      </c>
      <c r="AB68" s="767"/>
      <c r="AC68" s="767">
        <f t="shared" ref="AC68:AC69" si="39">AA68*$C$66</f>
        <v>0</v>
      </c>
      <c r="AD68" s="767"/>
      <c r="AE68" s="767">
        <f t="shared" ref="AE68:AE69" si="40">AC68*$C$66</f>
        <v>0</v>
      </c>
      <c r="AF68" s="767"/>
      <c r="AG68" s="767">
        <f t="shared" ref="AG68:AG69" si="41">AE68*$C$66</f>
        <v>0</v>
      </c>
      <c r="AH68" s="767"/>
    </row>
    <row r="69" spans="1:34" ht="12.75" customHeight="1">
      <c r="A69" s="794"/>
      <c r="B69" s="794"/>
      <c r="C69" s="286"/>
      <c r="D69" s="767"/>
      <c r="E69" s="796"/>
      <c r="F69" s="767"/>
      <c r="G69" s="797">
        <f t="shared" si="28"/>
        <v>0</v>
      </c>
      <c r="H69" s="767"/>
      <c r="I69" s="797">
        <f t="shared" si="29"/>
        <v>0</v>
      </c>
      <c r="J69" s="767"/>
      <c r="K69" s="797">
        <f t="shared" si="30"/>
        <v>0</v>
      </c>
      <c r="L69" s="767"/>
      <c r="M69" s="797">
        <f t="shared" si="31"/>
        <v>0</v>
      </c>
      <c r="N69" s="767"/>
      <c r="O69" s="797">
        <f t="shared" si="32"/>
        <v>0</v>
      </c>
      <c r="P69" s="767"/>
      <c r="Q69" s="797">
        <f t="shared" si="33"/>
        <v>0</v>
      </c>
      <c r="R69" s="767"/>
      <c r="S69" s="797">
        <f t="shared" si="34"/>
        <v>0</v>
      </c>
      <c r="T69" s="767"/>
      <c r="U69" s="797">
        <f t="shared" si="35"/>
        <v>0</v>
      </c>
      <c r="V69" s="767"/>
      <c r="W69" s="797">
        <f t="shared" si="36"/>
        <v>0</v>
      </c>
      <c r="X69" s="767"/>
      <c r="Y69" s="797">
        <f t="shared" si="37"/>
        <v>0</v>
      </c>
      <c r="Z69" s="767"/>
      <c r="AA69" s="797">
        <f t="shared" si="38"/>
        <v>0</v>
      </c>
      <c r="AB69" s="767"/>
      <c r="AC69" s="797">
        <f t="shared" si="39"/>
        <v>0</v>
      </c>
      <c r="AD69" s="767"/>
      <c r="AE69" s="797">
        <f t="shared" si="40"/>
        <v>0</v>
      </c>
      <c r="AF69" s="767"/>
      <c r="AG69" s="797">
        <f t="shared" si="41"/>
        <v>0</v>
      </c>
      <c r="AH69" s="767"/>
    </row>
    <row r="70" spans="1:34" ht="12.75" customHeight="1">
      <c r="A70" s="126" t="s">
        <v>2572</v>
      </c>
      <c r="B70" s="767"/>
      <c r="C70" s="286"/>
      <c r="D70" s="767"/>
      <c r="E70" s="767">
        <f>SUM(E66:E69)</f>
        <v>278975.61127190059</v>
      </c>
      <c r="F70" s="767"/>
      <c r="G70" s="767">
        <f>SUM(G66:G69)</f>
        <v>326746.64314689999</v>
      </c>
      <c r="H70" s="767"/>
      <c r="I70" s="767">
        <f>SUM(I66:I69)</f>
        <v>375504.43224377511</v>
      </c>
      <c r="J70" s="767"/>
      <c r="K70" s="767">
        <f>SUM(K66:K69)</f>
        <v>425266.38250919664</v>
      </c>
      <c r="L70" s="767"/>
      <c r="M70" s="767">
        <f>SUM(M66:M69)</f>
        <v>476050.07867739256</v>
      </c>
      <c r="N70" s="767"/>
      <c r="O70" s="767">
        <f>SUM(O66:O69)</f>
        <v>527873.28188821534</v>
      </c>
      <c r="P70" s="767"/>
      <c r="Q70" s="767">
        <f>SUM(Q66:Q69)</f>
        <v>580753.92488408322</v>
      </c>
      <c r="R70" s="767"/>
      <c r="S70" s="767">
        <f>SUM(S66:S69)</f>
        <v>634710.10676437989</v>
      </c>
      <c r="T70" s="767"/>
      <c r="U70" s="767">
        <f>SUM(U66:U69)</f>
        <v>689760.08727494301</v>
      </c>
      <c r="V70" s="767"/>
      <c r="W70" s="767">
        <f>SUM(W66:W69)</f>
        <v>745922.28060934087</v>
      </c>
      <c r="X70" s="767"/>
      <c r="Y70" s="767">
        <f>SUM(Y66:Y69)</f>
        <v>743970.10075156903</v>
      </c>
      <c r="Z70" s="767"/>
      <c r="AA70" s="767">
        <f>SUM(AA66:AA69)</f>
        <v>800338.96583322436</v>
      </c>
      <c r="AB70" s="767"/>
      <c r="AC70" s="767">
        <f>SUM(AC66:AC69)</f>
        <v>857803.56787180947</v>
      </c>
      <c r="AD70" s="767"/>
      <c r="AE70" s="767">
        <f>SUM(AE66:AE69)</f>
        <v>916380.32609246019</v>
      </c>
      <c r="AF70" s="767"/>
      <c r="AG70" s="767">
        <f>SUM(AG66:AG69)</f>
        <v>976085.6860592817</v>
      </c>
      <c r="AH70" s="767"/>
    </row>
    <row r="71" spans="1:34" ht="12.75" customHeight="1">
      <c r="A71" s="126"/>
      <c r="B71" s="767"/>
      <c r="C71" s="286"/>
      <c r="D71" s="767"/>
      <c r="E71" s="767"/>
      <c r="F71" s="767"/>
      <c r="G71" s="767"/>
      <c r="H71" s="767"/>
      <c r="I71" s="767"/>
      <c r="J71" s="767"/>
      <c r="K71" s="767"/>
      <c r="L71" s="767"/>
      <c r="M71" s="767"/>
      <c r="N71" s="767"/>
      <c r="O71" s="767"/>
      <c r="P71" s="767"/>
      <c r="Q71" s="767"/>
      <c r="R71" s="767"/>
      <c r="S71" s="767"/>
      <c r="T71" s="767"/>
      <c r="U71" s="767"/>
      <c r="V71" s="767"/>
      <c r="W71" s="767"/>
      <c r="X71" s="767"/>
      <c r="Y71" s="767"/>
      <c r="Z71" s="767"/>
      <c r="AA71" s="767"/>
      <c r="AB71" s="767"/>
      <c r="AC71" s="767"/>
      <c r="AD71" s="767"/>
      <c r="AE71" s="767"/>
      <c r="AF71" s="767"/>
      <c r="AG71" s="767"/>
      <c r="AH71" s="767"/>
    </row>
    <row r="72" spans="1:34" ht="12.75" customHeight="1">
      <c r="A72" s="126" t="s">
        <v>2581</v>
      </c>
      <c r="B72" s="767"/>
      <c r="C72" s="286"/>
      <c r="D72" s="767"/>
      <c r="E72" s="126">
        <f>E60-E62-E70</f>
        <v>0</v>
      </c>
      <c r="F72" s="767"/>
      <c r="G72" s="126">
        <f>G60-G62-G70</f>
        <v>0</v>
      </c>
      <c r="H72" s="767"/>
      <c r="I72" s="126">
        <f>I60-I62-I70</f>
        <v>0</v>
      </c>
      <c r="J72" s="767"/>
      <c r="K72" s="126">
        <f>K60-K62-K70</f>
        <v>0</v>
      </c>
      <c r="L72" s="767"/>
      <c r="M72" s="126">
        <f>M60-M62-M70</f>
        <v>0</v>
      </c>
      <c r="N72" s="767"/>
      <c r="O72" s="126">
        <f>O60-O62-O70</f>
        <v>0</v>
      </c>
      <c r="P72" s="767"/>
      <c r="Q72" s="126">
        <f>Q60-Q62-Q70</f>
        <v>0</v>
      </c>
      <c r="R72" s="767"/>
      <c r="S72" s="126">
        <f>S60-S62-S70</f>
        <v>0</v>
      </c>
      <c r="T72" s="767"/>
      <c r="U72" s="126">
        <f>U60-U62-U70</f>
        <v>0</v>
      </c>
      <c r="V72" s="767"/>
      <c r="W72" s="126">
        <f>W60-W62-W70</f>
        <v>0</v>
      </c>
      <c r="X72" s="767"/>
      <c r="Y72" s="126">
        <f>Y60-Y62-Y70</f>
        <v>0</v>
      </c>
      <c r="Z72" s="767"/>
      <c r="AA72" s="126">
        <f>AA60-AA62-AA70</f>
        <v>0</v>
      </c>
      <c r="AB72" s="767"/>
      <c r="AC72" s="126">
        <f>AC60-AC62-AC70</f>
        <v>0</v>
      </c>
      <c r="AD72" s="767"/>
      <c r="AE72" s="126">
        <f>AE60-AE62-AE70</f>
        <v>0</v>
      </c>
      <c r="AF72" s="767"/>
      <c r="AG72" s="126">
        <f>AG60-AG62-AG70</f>
        <v>0</v>
      </c>
      <c r="AH72" s="767"/>
    </row>
    <row r="73" spans="1:34" ht="12.75" customHeight="1">
      <c r="A73" s="800"/>
      <c r="B73" s="767"/>
      <c r="C73" s="286"/>
      <c r="D73" s="767"/>
      <c r="E73" s="767"/>
      <c r="F73" s="767"/>
      <c r="G73" s="767"/>
      <c r="H73" s="767"/>
      <c r="I73" s="767"/>
      <c r="J73" s="767"/>
      <c r="K73" s="767"/>
      <c r="L73" s="767"/>
      <c r="M73" s="767"/>
      <c r="N73" s="767"/>
      <c r="O73" s="767"/>
      <c r="P73" s="767"/>
      <c r="Q73" s="767"/>
      <c r="R73" s="767"/>
      <c r="S73" s="767"/>
      <c r="T73" s="767"/>
      <c r="U73" s="767"/>
      <c r="V73" s="767"/>
      <c r="W73" s="767"/>
      <c r="X73" s="767"/>
      <c r="Y73" s="767"/>
      <c r="Z73" s="767"/>
      <c r="AA73" s="767"/>
      <c r="AB73" s="767"/>
      <c r="AC73" s="767"/>
      <c r="AD73" s="767"/>
      <c r="AE73" s="767"/>
      <c r="AF73" s="767"/>
      <c r="AG73" s="767"/>
      <c r="AH73" s="767"/>
    </row>
    <row r="74" spans="1:34" ht="12.75" customHeight="1">
      <c r="A74" s="800"/>
      <c r="B74" s="767"/>
      <c r="C74" s="286"/>
      <c r="D74" s="767"/>
      <c r="E74" s="767"/>
      <c r="F74" s="767"/>
      <c r="G74" s="767"/>
      <c r="H74" s="767"/>
      <c r="I74" s="767"/>
      <c r="J74" s="767"/>
      <c r="K74" s="767"/>
      <c r="L74" s="767"/>
      <c r="M74" s="767"/>
      <c r="N74" s="767"/>
      <c r="O74" s="767"/>
      <c r="P74" s="767"/>
      <c r="Q74" s="767"/>
      <c r="R74" s="767"/>
      <c r="S74" s="767"/>
      <c r="T74" s="767"/>
      <c r="U74" s="767"/>
      <c r="V74" s="767"/>
      <c r="W74" s="767"/>
      <c r="X74" s="767"/>
      <c r="Y74" s="767"/>
      <c r="Z74" s="767"/>
      <c r="AA74" s="767"/>
      <c r="AB74" s="767"/>
      <c r="AC74" s="767"/>
      <c r="AD74" s="767"/>
      <c r="AE74" s="767"/>
      <c r="AF74" s="767"/>
      <c r="AG74" s="767"/>
      <c r="AH74" s="767"/>
    </row>
    <row r="75" spans="1:34" ht="12.75" customHeight="1">
      <c r="A75" s="767" t="s">
        <v>2585</v>
      </c>
      <c r="B75" s="767"/>
      <c r="C75" s="286"/>
      <c r="D75" s="767"/>
      <c r="E75" s="767"/>
      <c r="F75" s="767"/>
      <c r="G75" s="767"/>
      <c r="H75" s="767"/>
      <c r="I75" s="767"/>
      <c r="J75" s="767"/>
      <c r="K75" s="767"/>
      <c r="L75" s="767"/>
      <c r="M75" s="767"/>
      <c r="N75" s="767"/>
      <c r="O75" s="767"/>
      <c r="P75" s="767"/>
      <c r="Q75" s="767"/>
      <c r="R75" s="767"/>
      <c r="S75" s="767"/>
      <c r="T75" s="767"/>
      <c r="U75" s="767"/>
      <c r="V75" s="767"/>
      <c r="W75" s="767"/>
      <c r="X75" s="767"/>
      <c r="Y75" s="767"/>
      <c r="Z75" s="767"/>
      <c r="AA75" s="767"/>
      <c r="AB75" s="767"/>
      <c r="AC75" s="767"/>
      <c r="AD75" s="767"/>
      <c r="AE75" s="767"/>
      <c r="AF75" s="767"/>
      <c r="AG75" s="767"/>
      <c r="AH75" s="767"/>
    </row>
    <row r="76" spans="1:34" ht="12.75" customHeight="1">
      <c r="A76" s="767"/>
      <c r="B76" s="767"/>
      <c r="C76" s="286"/>
      <c r="D76" s="767"/>
      <c r="E76" s="767"/>
      <c r="F76" s="767"/>
      <c r="G76" s="767"/>
      <c r="H76" s="767"/>
      <c r="I76" s="767"/>
      <c r="J76" s="767"/>
      <c r="K76" s="767"/>
      <c r="L76" s="767"/>
      <c r="M76" s="767"/>
      <c r="N76" s="767"/>
      <c r="O76" s="767"/>
      <c r="P76" s="767"/>
      <c r="Q76" s="767"/>
      <c r="R76" s="767"/>
      <c r="S76" s="767"/>
      <c r="T76" s="767"/>
      <c r="U76" s="767"/>
      <c r="V76" s="767"/>
      <c r="W76" s="767"/>
      <c r="X76" s="767"/>
      <c r="Y76" s="767"/>
      <c r="Z76" s="767"/>
      <c r="AA76" s="767"/>
      <c r="AB76" s="767"/>
      <c r="AC76" s="767"/>
      <c r="AD76" s="767"/>
      <c r="AE76" s="767"/>
      <c r="AF76" s="767"/>
      <c r="AG76" s="767"/>
      <c r="AH76" s="767"/>
    </row>
    <row r="77" spans="1:34" ht="30" customHeight="1">
      <c r="A77" s="1503" t="s">
        <v>2586</v>
      </c>
      <c r="B77" s="893"/>
      <c r="C77" s="893"/>
      <c r="D77" s="893"/>
      <c r="E77" s="893"/>
      <c r="F77" s="893"/>
      <c r="G77" s="893"/>
      <c r="H77" s="893"/>
      <c r="I77" s="893"/>
      <c r="J77" s="893"/>
      <c r="K77" s="893"/>
      <c r="L77" s="893"/>
      <c r="M77" s="893"/>
      <c r="N77" s="893"/>
      <c r="O77" s="893"/>
      <c r="P77" s="893"/>
      <c r="Q77" s="893"/>
      <c r="R77" s="893"/>
      <c r="S77" s="893"/>
      <c r="T77" s="893"/>
      <c r="U77" s="893"/>
      <c r="V77" s="893"/>
      <c r="W77" s="893"/>
      <c r="X77" s="893"/>
      <c r="Y77" s="893"/>
      <c r="Z77" s="893"/>
      <c r="AA77" s="893"/>
      <c r="AB77" s="893"/>
      <c r="AC77" s="893"/>
      <c r="AD77" s="893"/>
      <c r="AE77" s="893"/>
      <c r="AF77" s="893"/>
      <c r="AG77" s="893"/>
      <c r="AH77" s="801"/>
    </row>
    <row r="78" spans="1:34" ht="12.75" customHeight="1">
      <c r="C78" s="748"/>
    </row>
    <row r="79" spans="1:34" ht="12.75" customHeight="1">
      <c r="C79" s="748"/>
    </row>
    <row r="80" spans="1:34" ht="12.75" customHeight="1">
      <c r="C80" s="748"/>
    </row>
    <row r="81" spans="3:3" ht="12.75" customHeight="1">
      <c r="C81" s="748"/>
    </row>
    <row r="82" spans="3:3" ht="12.75" customHeight="1">
      <c r="C82" s="748"/>
    </row>
    <row r="83" spans="3:3" ht="12.75" customHeight="1">
      <c r="C83" s="748"/>
    </row>
    <row r="84" spans="3:3" ht="12.75" customHeight="1">
      <c r="C84" s="748"/>
    </row>
    <row r="85" spans="3:3" ht="12.75" customHeight="1">
      <c r="C85" s="748"/>
    </row>
    <row r="86" spans="3:3" ht="12.75" customHeight="1">
      <c r="C86" s="748"/>
    </row>
    <row r="87" spans="3:3" ht="12.75" customHeight="1">
      <c r="C87" s="748"/>
    </row>
    <row r="88" spans="3:3" ht="12.75" customHeight="1">
      <c r="C88" s="748"/>
    </row>
    <row r="89" spans="3:3" ht="12.75" customHeight="1">
      <c r="C89" s="748"/>
    </row>
    <row r="90" spans="3:3" ht="12.75" customHeight="1">
      <c r="C90" s="748"/>
    </row>
    <row r="91" spans="3:3" ht="12.75" customHeight="1">
      <c r="C91" s="748"/>
    </row>
    <row r="92" spans="3:3" ht="12.75" customHeight="1">
      <c r="C92" s="748"/>
    </row>
    <row r="93" spans="3:3" ht="12.75" customHeight="1">
      <c r="C93" s="748"/>
    </row>
    <row r="94" spans="3:3" ht="12.75" customHeight="1">
      <c r="C94" s="748"/>
    </row>
    <row r="95" spans="3:3" ht="12.75" customHeight="1">
      <c r="C95" s="748"/>
    </row>
    <row r="96" spans="3:3" ht="12.75" customHeight="1">
      <c r="C96" s="748"/>
    </row>
    <row r="97" spans="3:3" ht="12.75" customHeight="1">
      <c r="C97" s="748"/>
    </row>
    <row r="98" spans="3:3" ht="12.75" customHeight="1">
      <c r="C98" s="748"/>
    </row>
    <row r="99" spans="3:3" ht="12.75" customHeight="1">
      <c r="C99" s="748"/>
    </row>
    <row r="100" spans="3:3" ht="12.75" customHeight="1">
      <c r="C100" s="748"/>
    </row>
    <row r="101" spans="3:3" ht="12.75" customHeight="1">
      <c r="C101" s="748"/>
    </row>
    <row r="102" spans="3:3" ht="12.75" customHeight="1">
      <c r="C102" s="748"/>
    </row>
    <row r="103" spans="3:3" ht="12.75" customHeight="1">
      <c r="C103" s="748"/>
    </row>
    <row r="104" spans="3:3" ht="12.75" customHeight="1">
      <c r="C104" s="748"/>
    </row>
    <row r="105" spans="3:3" ht="12.75" customHeight="1">
      <c r="C105" s="748"/>
    </row>
    <row r="106" spans="3:3" ht="12.75" customHeight="1">
      <c r="C106" s="748"/>
    </row>
    <row r="107" spans="3:3" ht="12.75" customHeight="1">
      <c r="C107" s="748"/>
    </row>
    <row r="108" spans="3:3" ht="12.75" customHeight="1">
      <c r="C108" s="748"/>
    </row>
    <row r="109" spans="3:3" ht="12.75" customHeight="1">
      <c r="C109" s="748"/>
    </row>
    <row r="110" spans="3:3" ht="12.75" customHeight="1">
      <c r="C110" s="748"/>
    </row>
    <row r="111" spans="3:3" ht="12.75" customHeight="1">
      <c r="C111" s="748"/>
    </row>
    <row r="112" spans="3:3" ht="12.75" customHeight="1">
      <c r="C112" s="748"/>
    </row>
    <row r="113" spans="3:3" ht="12.75" customHeight="1">
      <c r="C113" s="748"/>
    </row>
    <row r="114" spans="3:3" ht="12.75" customHeight="1">
      <c r="C114" s="748"/>
    </row>
    <row r="115" spans="3:3" ht="12.75" customHeight="1">
      <c r="C115" s="748"/>
    </row>
    <row r="116" spans="3:3" ht="12.75" customHeight="1">
      <c r="C116" s="748"/>
    </row>
    <row r="117" spans="3:3" ht="12.75" customHeight="1">
      <c r="C117" s="748"/>
    </row>
    <row r="118" spans="3:3" ht="12.75" customHeight="1">
      <c r="C118" s="748"/>
    </row>
    <row r="119" spans="3:3" ht="12.75" customHeight="1">
      <c r="C119" s="748"/>
    </row>
    <row r="120" spans="3:3" ht="12.75" customHeight="1">
      <c r="C120" s="748"/>
    </row>
    <row r="121" spans="3:3" ht="12.75" customHeight="1">
      <c r="C121" s="748"/>
    </row>
    <row r="122" spans="3:3" ht="12.75" customHeight="1">
      <c r="C122" s="748"/>
    </row>
    <row r="123" spans="3:3" ht="12.75" customHeight="1">
      <c r="C123" s="748"/>
    </row>
    <row r="124" spans="3:3" ht="12.75" customHeight="1">
      <c r="C124" s="748"/>
    </row>
    <row r="125" spans="3:3" ht="12.75" customHeight="1">
      <c r="C125" s="748"/>
    </row>
    <row r="126" spans="3:3" ht="12.75" customHeight="1">
      <c r="C126" s="748"/>
    </row>
    <row r="127" spans="3:3" ht="12.75" customHeight="1">
      <c r="C127" s="748"/>
    </row>
    <row r="128" spans="3:3" ht="12.75" customHeight="1">
      <c r="C128" s="748"/>
    </row>
    <row r="129" spans="3:3" ht="12.75" customHeight="1">
      <c r="C129" s="748"/>
    </row>
    <row r="130" spans="3:3" ht="12.75" customHeight="1">
      <c r="C130" s="748"/>
    </row>
    <row r="131" spans="3:3" ht="12.75" customHeight="1">
      <c r="C131" s="748"/>
    </row>
    <row r="132" spans="3:3" ht="12.75" customHeight="1">
      <c r="C132" s="748"/>
    </row>
    <row r="133" spans="3:3" ht="12.75" customHeight="1">
      <c r="C133" s="748"/>
    </row>
    <row r="134" spans="3:3" ht="12.75" customHeight="1">
      <c r="C134" s="748"/>
    </row>
    <row r="135" spans="3:3" ht="12.75" customHeight="1">
      <c r="C135" s="748"/>
    </row>
    <row r="136" spans="3:3" ht="12.75" customHeight="1">
      <c r="C136" s="748"/>
    </row>
    <row r="137" spans="3:3" ht="12.75" customHeight="1">
      <c r="C137" s="748"/>
    </row>
    <row r="138" spans="3:3" ht="12.75" customHeight="1">
      <c r="C138" s="748"/>
    </row>
    <row r="139" spans="3:3" ht="12.75" customHeight="1">
      <c r="C139" s="748"/>
    </row>
    <row r="140" spans="3:3" ht="12.75" customHeight="1">
      <c r="C140" s="748"/>
    </row>
    <row r="141" spans="3:3" ht="12.75" customHeight="1">
      <c r="C141" s="748"/>
    </row>
    <row r="142" spans="3:3" ht="12.75" customHeight="1">
      <c r="C142" s="748"/>
    </row>
    <row r="143" spans="3:3" ht="12.75" customHeight="1">
      <c r="C143" s="748"/>
    </row>
    <row r="144" spans="3:3" ht="12.75" customHeight="1">
      <c r="C144" s="748"/>
    </row>
    <row r="145" spans="3:3" ht="12.75" customHeight="1">
      <c r="C145" s="748"/>
    </row>
    <row r="146" spans="3:3" ht="12.75" customHeight="1">
      <c r="C146" s="748"/>
    </row>
    <row r="147" spans="3:3" ht="12.75" customHeight="1">
      <c r="C147" s="748"/>
    </row>
    <row r="148" spans="3:3" ht="12.75" customHeight="1">
      <c r="C148" s="748"/>
    </row>
    <row r="149" spans="3:3" ht="12.75" customHeight="1">
      <c r="C149" s="748"/>
    </row>
    <row r="150" spans="3:3" ht="12.75" customHeight="1">
      <c r="C150" s="748"/>
    </row>
    <row r="151" spans="3:3" ht="12.75" customHeight="1">
      <c r="C151" s="748"/>
    </row>
    <row r="152" spans="3:3" ht="12.75" customHeight="1">
      <c r="C152" s="748"/>
    </row>
    <row r="153" spans="3:3" ht="12.75" customHeight="1">
      <c r="C153" s="748"/>
    </row>
    <row r="154" spans="3:3" ht="12.75" customHeight="1">
      <c r="C154" s="748"/>
    </row>
    <row r="155" spans="3:3" ht="12.75" customHeight="1">
      <c r="C155" s="748"/>
    </row>
    <row r="156" spans="3:3" ht="12.75" customHeight="1">
      <c r="C156" s="748"/>
    </row>
    <row r="157" spans="3:3" ht="12.75" customHeight="1">
      <c r="C157" s="748"/>
    </row>
    <row r="158" spans="3:3" ht="12.75" customHeight="1">
      <c r="C158" s="748"/>
    </row>
    <row r="159" spans="3:3" ht="12.75" customHeight="1">
      <c r="C159" s="748"/>
    </row>
    <row r="160" spans="3:3" ht="12.75" customHeight="1">
      <c r="C160" s="748"/>
    </row>
    <row r="161" spans="3:3" ht="12.75" customHeight="1">
      <c r="C161" s="748"/>
    </row>
    <row r="162" spans="3:3" ht="12.75" customHeight="1">
      <c r="C162" s="748"/>
    </row>
    <row r="163" spans="3:3" ht="12.75" customHeight="1">
      <c r="C163" s="748"/>
    </row>
    <row r="164" spans="3:3" ht="12.75" customHeight="1">
      <c r="C164" s="748"/>
    </row>
    <row r="165" spans="3:3" ht="12.75" customHeight="1">
      <c r="C165" s="748"/>
    </row>
    <row r="166" spans="3:3" ht="12.75" customHeight="1">
      <c r="C166" s="748"/>
    </row>
    <row r="167" spans="3:3" ht="12.75" customHeight="1">
      <c r="C167" s="748"/>
    </row>
    <row r="168" spans="3:3" ht="12.75" customHeight="1">
      <c r="C168" s="748"/>
    </row>
    <row r="169" spans="3:3" ht="12.75" customHeight="1">
      <c r="C169" s="748"/>
    </row>
    <row r="170" spans="3:3" ht="12.75" customHeight="1">
      <c r="C170" s="748"/>
    </row>
    <row r="171" spans="3:3" ht="12.75" customHeight="1">
      <c r="C171" s="748"/>
    </row>
    <row r="172" spans="3:3" ht="12.75" customHeight="1">
      <c r="C172" s="748"/>
    </row>
    <row r="173" spans="3:3" ht="12.75" customHeight="1">
      <c r="C173" s="748"/>
    </row>
    <row r="174" spans="3:3" ht="12.75" customHeight="1">
      <c r="C174" s="748"/>
    </row>
    <row r="175" spans="3:3" ht="12.75" customHeight="1">
      <c r="C175" s="748"/>
    </row>
    <row r="176" spans="3:3" ht="12.75" customHeight="1">
      <c r="C176" s="748"/>
    </row>
    <row r="177" spans="3:3" ht="12.75" customHeight="1">
      <c r="C177" s="748"/>
    </row>
    <row r="178" spans="3:3" ht="12.75" customHeight="1">
      <c r="C178" s="748"/>
    </row>
    <row r="179" spans="3:3" ht="12.75" customHeight="1">
      <c r="C179" s="748"/>
    </row>
    <row r="180" spans="3:3" ht="12.75" customHeight="1">
      <c r="C180" s="748"/>
    </row>
    <row r="181" spans="3:3" ht="12.75" customHeight="1">
      <c r="C181" s="748"/>
    </row>
    <row r="182" spans="3:3" ht="12.75" customHeight="1">
      <c r="C182" s="748"/>
    </row>
    <row r="183" spans="3:3" ht="12.75" customHeight="1">
      <c r="C183" s="748"/>
    </row>
    <row r="184" spans="3:3" ht="12.75" customHeight="1">
      <c r="C184" s="748"/>
    </row>
    <row r="185" spans="3:3" ht="12.75" customHeight="1">
      <c r="C185" s="748"/>
    </row>
    <row r="186" spans="3:3" ht="12.75" customHeight="1">
      <c r="C186" s="748"/>
    </row>
    <row r="187" spans="3:3" ht="12.75" customHeight="1">
      <c r="C187" s="748"/>
    </row>
    <row r="188" spans="3:3" ht="12.75" customHeight="1">
      <c r="C188" s="748"/>
    </row>
    <row r="189" spans="3:3" ht="12.75" customHeight="1">
      <c r="C189" s="748"/>
    </row>
    <row r="190" spans="3:3" ht="12.75" customHeight="1">
      <c r="C190" s="748"/>
    </row>
    <row r="191" spans="3:3" ht="12.75" customHeight="1">
      <c r="C191" s="748"/>
    </row>
    <row r="192" spans="3:3" ht="12.75" customHeight="1">
      <c r="C192" s="748"/>
    </row>
    <row r="193" spans="3:3" ht="12.75" customHeight="1">
      <c r="C193" s="748"/>
    </row>
    <row r="194" spans="3:3" ht="12.75" customHeight="1">
      <c r="C194" s="748"/>
    </row>
    <row r="195" spans="3:3" ht="12.75" customHeight="1">
      <c r="C195" s="748"/>
    </row>
    <row r="196" spans="3:3" ht="12.75" customHeight="1">
      <c r="C196" s="748"/>
    </row>
    <row r="197" spans="3:3" ht="12.75" customHeight="1">
      <c r="C197" s="748"/>
    </row>
    <row r="198" spans="3:3" ht="12.75" customHeight="1">
      <c r="C198" s="748"/>
    </row>
    <row r="199" spans="3:3" ht="12.75" customHeight="1">
      <c r="C199" s="748"/>
    </row>
    <row r="200" spans="3:3" ht="12.75" customHeight="1">
      <c r="C200" s="748"/>
    </row>
    <row r="201" spans="3:3" ht="12.75" customHeight="1">
      <c r="C201" s="748"/>
    </row>
    <row r="202" spans="3:3" ht="12.75" customHeight="1">
      <c r="C202" s="748"/>
    </row>
    <row r="203" spans="3:3" ht="12.75" customHeight="1">
      <c r="C203" s="748"/>
    </row>
    <row r="204" spans="3:3" ht="12.75" customHeight="1">
      <c r="C204" s="748"/>
    </row>
    <row r="205" spans="3:3" ht="12.75" customHeight="1">
      <c r="C205" s="748"/>
    </row>
    <row r="206" spans="3:3" ht="12.75" customHeight="1">
      <c r="C206" s="748"/>
    </row>
    <row r="207" spans="3:3" ht="12.75" customHeight="1">
      <c r="C207" s="748"/>
    </row>
    <row r="208" spans="3:3" ht="12.75" customHeight="1">
      <c r="C208" s="748"/>
    </row>
    <row r="209" spans="3:3" ht="12.75" customHeight="1">
      <c r="C209" s="748"/>
    </row>
    <row r="210" spans="3:3" ht="12.75" customHeight="1">
      <c r="C210" s="748"/>
    </row>
    <row r="211" spans="3:3" ht="12.75" customHeight="1">
      <c r="C211" s="748"/>
    </row>
    <row r="212" spans="3:3" ht="12.75" customHeight="1">
      <c r="C212" s="748"/>
    </row>
    <row r="213" spans="3:3" ht="12.75" customHeight="1">
      <c r="C213" s="748"/>
    </row>
    <row r="214" spans="3:3" ht="12.75" customHeight="1">
      <c r="C214" s="748"/>
    </row>
    <row r="215" spans="3:3" ht="12.75" customHeight="1">
      <c r="C215" s="748"/>
    </row>
    <row r="216" spans="3:3" ht="12.75" customHeight="1">
      <c r="C216" s="748"/>
    </row>
    <row r="217" spans="3:3" ht="12.75" customHeight="1">
      <c r="C217" s="748"/>
    </row>
    <row r="218" spans="3:3" ht="12.75" customHeight="1">
      <c r="C218" s="748"/>
    </row>
    <row r="219" spans="3:3" ht="12.75" customHeight="1">
      <c r="C219" s="748"/>
    </row>
    <row r="220" spans="3:3" ht="12.75" customHeight="1">
      <c r="C220" s="748"/>
    </row>
    <row r="221" spans="3:3" ht="12.75" customHeight="1">
      <c r="C221" s="748"/>
    </row>
    <row r="222" spans="3:3" ht="12.75" customHeight="1">
      <c r="C222" s="748"/>
    </row>
    <row r="223" spans="3:3" ht="12.75" customHeight="1">
      <c r="C223" s="748"/>
    </row>
    <row r="224" spans="3:3" ht="12.75" customHeight="1">
      <c r="C224" s="748"/>
    </row>
    <row r="225" spans="3:3" ht="12.75" customHeight="1">
      <c r="C225" s="748"/>
    </row>
    <row r="226" spans="3:3" ht="12.75" customHeight="1">
      <c r="C226" s="748"/>
    </row>
    <row r="227" spans="3:3" ht="12.75" customHeight="1">
      <c r="C227" s="748"/>
    </row>
    <row r="228" spans="3:3" ht="12.75" customHeight="1">
      <c r="C228" s="748"/>
    </row>
    <row r="229" spans="3:3" ht="12.75" customHeight="1">
      <c r="C229" s="748"/>
    </row>
    <row r="230" spans="3:3" ht="12.75" customHeight="1">
      <c r="C230" s="748"/>
    </row>
    <row r="231" spans="3:3" ht="12.75" customHeight="1">
      <c r="C231" s="748"/>
    </row>
    <row r="232" spans="3:3" ht="12.75" customHeight="1">
      <c r="C232" s="748"/>
    </row>
    <row r="233" spans="3:3" ht="12.75" customHeight="1">
      <c r="C233" s="748"/>
    </row>
    <row r="234" spans="3:3" ht="12.75" customHeight="1">
      <c r="C234" s="748"/>
    </row>
    <row r="235" spans="3:3" ht="12.75" customHeight="1">
      <c r="C235" s="748"/>
    </row>
    <row r="236" spans="3:3" ht="12.75" customHeight="1">
      <c r="C236" s="748"/>
    </row>
    <row r="237" spans="3:3" ht="12.75" customHeight="1">
      <c r="C237" s="748"/>
    </row>
    <row r="238" spans="3:3" ht="12.75" customHeight="1">
      <c r="C238" s="748"/>
    </row>
    <row r="239" spans="3:3" ht="12.75" customHeight="1">
      <c r="C239" s="748"/>
    </row>
    <row r="240" spans="3:3" ht="12.75" customHeight="1">
      <c r="C240" s="748"/>
    </row>
    <row r="241" spans="3:3" ht="12.75" customHeight="1">
      <c r="C241" s="748"/>
    </row>
    <row r="242" spans="3:3" ht="12.75" customHeight="1">
      <c r="C242" s="748"/>
    </row>
    <row r="243" spans="3:3" ht="12.75" customHeight="1">
      <c r="C243" s="748"/>
    </row>
    <row r="244" spans="3:3" ht="12.75" customHeight="1">
      <c r="C244" s="748"/>
    </row>
    <row r="245" spans="3:3" ht="12.75" customHeight="1">
      <c r="C245" s="748"/>
    </row>
    <row r="246" spans="3:3" ht="12.75" customHeight="1">
      <c r="C246" s="748"/>
    </row>
    <row r="247" spans="3:3" ht="12.75" customHeight="1">
      <c r="C247" s="748"/>
    </row>
    <row r="248" spans="3:3" ht="12.75" customHeight="1">
      <c r="C248" s="748"/>
    </row>
    <row r="249" spans="3:3" ht="12.75" customHeight="1">
      <c r="C249" s="748"/>
    </row>
    <row r="250" spans="3:3" ht="12.75" customHeight="1">
      <c r="C250" s="748"/>
    </row>
    <row r="251" spans="3:3" ht="12.75" customHeight="1">
      <c r="C251" s="748"/>
    </row>
    <row r="252" spans="3:3" ht="12.75" customHeight="1">
      <c r="C252" s="748"/>
    </row>
    <row r="253" spans="3:3" ht="12.75" customHeight="1">
      <c r="C253" s="748"/>
    </row>
    <row r="254" spans="3:3" ht="12.75" customHeight="1">
      <c r="C254" s="748"/>
    </row>
    <row r="255" spans="3:3" ht="12.75" customHeight="1">
      <c r="C255" s="748"/>
    </row>
    <row r="256" spans="3:3" ht="12.75" customHeight="1">
      <c r="C256" s="748"/>
    </row>
    <row r="257" spans="3:3" ht="12.75" customHeight="1">
      <c r="C257" s="748"/>
    </row>
    <row r="258" spans="3:3" ht="12.75" customHeight="1">
      <c r="C258" s="748"/>
    </row>
    <row r="259" spans="3:3" ht="12.75" customHeight="1">
      <c r="C259" s="748"/>
    </row>
    <row r="260" spans="3:3" ht="12.75" customHeight="1">
      <c r="C260" s="748"/>
    </row>
    <row r="261" spans="3:3" ht="12.75" customHeight="1">
      <c r="C261" s="748"/>
    </row>
    <row r="262" spans="3:3" ht="12.75" customHeight="1">
      <c r="C262" s="748"/>
    </row>
    <row r="263" spans="3:3" ht="12.75" customHeight="1">
      <c r="C263" s="748"/>
    </row>
    <row r="264" spans="3:3" ht="12.75" customHeight="1">
      <c r="C264" s="748"/>
    </row>
    <row r="265" spans="3:3" ht="12.75" customHeight="1">
      <c r="C265" s="748"/>
    </row>
    <row r="266" spans="3:3" ht="12.75" customHeight="1">
      <c r="C266" s="748"/>
    </row>
    <row r="267" spans="3:3" ht="12.75" customHeight="1">
      <c r="C267" s="748"/>
    </row>
    <row r="268" spans="3:3" ht="12.75" customHeight="1">
      <c r="C268" s="748"/>
    </row>
    <row r="269" spans="3:3" ht="12.75" customHeight="1">
      <c r="C269" s="748"/>
    </row>
    <row r="270" spans="3:3" ht="12.75" customHeight="1">
      <c r="C270" s="748"/>
    </row>
    <row r="271" spans="3:3" ht="12.75" customHeight="1">
      <c r="C271" s="748"/>
    </row>
    <row r="272" spans="3:3" ht="12.75" customHeight="1">
      <c r="C272" s="748"/>
    </row>
    <row r="273" spans="3:3" ht="12.75" customHeight="1">
      <c r="C273" s="748"/>
    </row>
    <row r="274" spans="3:3" ht="12.75" customHeight="1">
      <c r="C274" s="748"/>
    </row>
    <row r="275" spans="3:3" ht="12.75" customHeight="1">
      <c r="C275" s="748"/>
    </row>
    <row r="276" spans="3:3" ht="12.75" customHeight="1">
      <c r="C276" s="748"/>
    </row>
    <row r="277" spans="3:3" ht="12.75" customHeight="1">
      <c r="C277" s="748"/>
    </row>
    <row r="278" spans="3:3" ht="12.75" customHeight="1">
      <c r="C278" s="748"/>
    </row>
    <row r="279" spans="3:3" ht="12.75" customHeight="1">
      <c r="C279" s="748"/>
    </row>
    <row r="280" spans="3:3" ht="12.75" customHeight="1">
      <c r="C280" s="748"/>
    </row>
    <row r="281" spans="3:3" ht="12.75" customHeight="1">
      <c r="C281" s="748"/>
    </row>
    <row r="282" spans="3:3" ht="12.75" customHeight="1">
      <c r="C282" s="748"/>
    </row>
    <row r="283" spans="3:3" ht="12.75" customHeight="1">
      <c r="C283" s="748"/>
    </row>
    <row r="284" spans="3:3" ht="12.75" customHeight="1">
      <c r="C284" s="748"/>
    </row>
    <row r="285" spans="3:3" ht="12.75" customHeight="1">
      <c r="C285" s="748"/>
    </row>
    <row r="286" spans="3:3" ht="12.75" customHeight="1">
      <c r="C286" s="748"/>
    </row>
    <row r="287" spans="3:3" ht="12.75" customHeight="1">
      <c r="C287" s="748"/>
    </row>
    <row r="288" spans="3:3" ht="12.75" customHeight="1">
      <c r="C288" s="748"/>
    </row>
    <row r="289" spans="3:3" ht="12.75" customHeight="1">
      <c r="C289" s="748"/>
    </row>
    <row r="290" spans="3:3" ht="12.75" customHeight="1">
      <c r="C290" s="748"/>
    </row>
    <row r="291" spans="3:3" ht="12.75" customHeight="1">
      <c r="C291" s="748"/>
    </row>
    <row r="292" spans="3:3" ht="12.75" customHeight="1">
      <c r="C292" s="748"/>
    </row>
    <row r="293" spans="3:3" ht="12.75" customHeight="1">
      <c r="C293" s="748"/>
    </row>
    <row r="294" spans="3:3" ht="12.75" customHeight="1">
      <c r="C294" s="748"/>
    </row>
    <row r="295" spans="3:3" ht="12.75" customHeight="1">
      <c r="C295" s="748"/>
    </row>
    <row r="296" spans="3:3" ht="12.75" customHeight="1">
      <c r="C296" s="748"/>
    </row>
    <row r="297" spans="3:3" ht="12.75" customHeight="1">
      <c r="C297" s="748"/>
    </row>
    <row r="298" spans="3:3" ht="12.75" customHeight="1">
      <c r="C298" s="748"/>
    </row>
    <row r="299" spans="3:3" ht="12.75" customHeight="1">
      <c r="C299" s="748"/>
    </row>
    <row r="300" spans="3:3" ht="12.75" customHeight="1">
      <c r="C300" s="748"/>
    </row>
    <row r="301" spans="3:3" ht="12.75" customHeight="1">
      <c r="C301" s="748"/>
    </row>
    <row r="302" spans="3:3" ht="12.75" customHeight="1">
      <c r="C302" s="748"/>
    </row>
    <row r="303" spans="3:3" ht="12.75" customHeight="1">
      <c r="C303" s="748"/>
    </row>
    <row r="304" spans="3:3" ht="12.75" customHeight="1">
      <c r="C304" s="748"/>
    </row>
    <row r="305" spans="3:3" ht="12.75" customHeight="1">
      <c r="C305" s="748"/>
    </row>
    <row r="306" spans="3:3" ht="12.75" customHeight="1">
      <c r="C306" s="748"/>
    </row>
    <row r="307" spans="3:3" ht="12.75" customHeight="1">
      <c r="C307" s="748"/>
    </row>
    <row r="308" spans="3:3" ht="12.75" customHeight="1">
      <c r="C308" s="748"/>
    </row>
    <row r="309" spans="3:3" ht="12.75" customHeight="1">
      <c r="C309" s="748"/>
    </row>
    <row r="310" spans="3:3" ht="12.75" customHeight="1">
      <c r="C310" s="748"/>
    </row>
    <row r="311" spans="3:3" ht="12.75" customHeight="1">
      <c r="C311" s="748"/>
    </row>
    <row r="312" spans="3:3" ht="12.75" customHeight="1">
      <c r="C312" s="748"/>
    </row>
    <row r="313" spans="3:3" ht="12.75" customHeight="1">
      <c r="C313" s="748"/>
    </row>
    <row r="314" spans="3:3" ht="12.75" customHeight="1">
      <c r="C314" s="748"/>
    </row>
    <row r="315" spans="3:3" ht="12.75" customHeight="1">
      <c r="C315" s="748"/>
    </row>
    <row r="316" spans="3:3" ht="12.75" customHeight="1">
      <c r="C316" s="748"/>
    </row>
    <row r="317" spans="3:3" ht="12.75" customHeight="1">
      <c r="C317" s="748"/>
    </row>
    <row r="318" spans="3:3" ht="12.75" customHeight="1">
      <c r="C318" s="748"/>
    </row>
    <row r="319" spans="3:3" ht="12.75" customHeight="1">
      <c r="C319" s="748"/>
    </row>
    <row r="320" spans="3:3" ht="12.75" customHeight="1">
      <c r="C320" s="748"/>
    </row>
    <row r="321" spans="3:3" ht="12.75" customHeight="1">
      <c r="C321" s="748"/>
    </row>
    <row r="322" spans="3:3" ht="12.75" customHeight="1">
      <c r="C322" s="748"/>
    </row>
    <row r="323" spans="3:3" ht="12.75" customHeight="1">
      <c r="C323" s="748"/>
    </row>
    <row r="324" spans="3:3" ht="12.75" customHeight="1">
      <c r="C324" s="748"/>
    </row>
    <row r="325" spans="3:3" ht="12.75" customHeight="1">
      <c r="C325" s="748"/>
    </row>
    <row r="326" spans="3:3" ht="12.75" customHeight="1">
      <c r="C326" s="748"/>
    </row>
    <row r="327" spans="3:3" ht="12.75" customHeight="1">
      <c r="C327" s="748"/>
    </row>
    <row r="328" spans="3:3" ht="12.75" customHeight="1">
      <c r="C328" s="748"/>
    </row>
    <row r="329" spans="3:3" ht="12.75" customHeight="1">
      <c r="C329" s="748"/>
    </row>
    <row r="330" spans="3:3" ht="12.75" customHeight="1">
      <c r="C330" s="748"/>
    </row>
    <row r="331" spans="3:3" ht="12.75" customHeight="1">
      <c r="C331" s="748"/>
    </row>
    <row r="332" spans="3:3" ht="12.75" customHeight="1">
      <c r="C332" s="748"/>
    </row>
    <row r="333" spans="3:3" ht="12.75" customHeight="1">
      <c r="C333" s="748"/>
    </row>
    <row r="334" spans="3:3" ht="12.75" customHeight="1">
      <c r="C334" s="748"/>
    </row>
    <row r="335" spans="3:3" ht="12.75" customHeight="1">
      <c r="C335" s="748"/>
    </row>
    <row r="336" spans="3:3" ht="12.75" customHeight="1">
      <c r="C336" s="748"/>
    </row>
    <row r="337" spans="3:3" ht="12.75" customHeight="1">
      <c r="C337" s="748"/>
    </row>
    <row r="338" spans="3:3" ht="12.75" customHeight="1">
      <c r="C338" s="748"/>
    </row>
    <row r="339" spans="3:3" ht="12.75" customHeight="1">
      <c r="C339" s="748"/>
    </row>
    <row r="340" spans="3:3" ht="12.75" customHeight="1">
      <c r="C340" s="748"/>
    </row>
    <row r="341" spans="3:3" ht="12.75" customHeight="1">
      <c r="C341" s="748"/>
    </row>
    <row r="342" spans="3:3" ht="12.75" customHeight="1">
      <c r="C342" s="748"/>
    </row>
    <row r="343" spans="3:3" ht="12.75" customHeight="1">
      <c r="C343" s="748"/>
    </row>
    <row r="344" spans="3:3" ht="12.75" customHeight="1">
      <c r="C344" s="748"/>
    </row>
    <row r="345" spans="3:3" ht="12.75" customHeight="1">
      <c r="C345" s="748"/>
    </row>
    <row r="346" spans="3:3" ht="12.75" customHeight="1">
      <c r="C346" s="748"/>
    </row>
    <row r="347" spans="3:3" ht="12.75" customHeight="1">
      <c r="C347" s="748"/>
    </row>
    <row r="348" spans="3:3" ht="12.75" customHeight="1">
      <c r="C348" s="748"/>
    </row>
    <row r="349" spans="3:3" ht="12.75" customHeight="1">
      <c r="C349" s="748"/>
    </row>
    <row r="350" spans="3:3" ht="12.75" customHeight="1">
      <c r="C350" s="748"/>
    </row>
    <row r="351" spans="3:3" ht="12.75" customHeight="1">
      <c r="C351" s="748"/>
    </row>
    <row r="352" spans="3:3" ht="12.75" customHeight="1">
      <c r="C352" s="748"/>
    </row>
    <row r="353" spans="3:3" ht="12.75" customHeight="1">
      <c r="C353" s="748"/>
    </row>
    <row r="354" spans="3:3" ht="12.75" customHeight="1">
      <c r="C354" s="748"/>
    </row>
    <row r="355" spans="3:3" ht="12.75" customHeight="1">
      <c r="C355" s="748"/>
    </row>
    <row r="356" spans="3:3" ht="12.75" customHeight="1">
      <c r="C356" s="748"/>
    </row>
    <row r="357" spans="3:3" ht="12.75" customHeight="1">
      <c r="C357" s="748"/>
    </row>
    <row r="358" spans="3:3" ht="12.75" customHeight="1">
      <c r="C358" s="748"/>
    </row>
    <row r="359" spans="3:3" ht="12.75" customHeight="1">
      <c r="C359" s="748"/>
    </row>
    <row r="360" spans="3:3" ht="12.75" customHeight="1">
      <c r="C360" s="748"/>
    </row>
    <row r="361" spans="3:3" ht="12.75" customHeight="1">
      <c r="C361" s="748"/>
    </row>
    <row r="362" spans="3:3" ht="12.75" customHeight="1">
      <c r="C362" s="748"/>
    </row>
    <row r="363" spans="3:3" ht="12.75" customHeight="1">
      <c r="C363" s="748"/>
    </row>
    <row r="364" spans="3:3" ht="12.75" customHeight="1">
      <c r="C364" s="748"/>
    </row>
    <row r="365" spans="3:3" ht="12.75" customHeight="1">
      <c r="C365" s="748"/>
    </row>
    <row r="366" spans="3:3" ht="12.75" customHeight="1">
      <c r="C366" s="748"/>
    </row>
    <row r="367" spans="3:3" ht="12.75" customHeight="1">
      <c r="C367" s="748"/>
    </row>
    <row r="368" spans="3:3" ht="12.75" customHeight="1">
      <c r="C368" s="748"/>
    </row>
    <row r="369" spans="3:3" ht="12.75" customHeight="1">
      <c r="C369" s="748"/>
    </row>
    <row r="370" spans="3:3" ht="12.75" customHeight="1">
      <c r="C370" s="748"/>
    </row>
    <row r="371" spans="3:3" ht="12.75" customHeight="1">
      <c r="C371" s="748"/>
    </row>
    <row r="372" spans="3:3" ht="12.75" customHeight="1">
      <c r="C372" s="748"/>
    </row>
    <row r="373" spans="3:3" ht="12.75" customHeight="1">
      <c r="C373" s="748"/>
    </row>
    <row r="374" spans="3:3" ht="12.75" customHeight="1">
      <c r="C374" s="748"/>
    </row>
    <row r="375" spans="3:3" ht="12.75" customHeight="1">
      <c r="C375" s="748"/>
    </row>
    <row r="376" spans="3:3" ht="12.75" customHeight="1">
      <c r="C376" s="748"/>
    </row>
    <row r="377" spans="3:3" ht="12.75" customHeight="1">
      <c r="C377" s="748"/>
    </row>
    <row r="378" spans="3:3" ht="12.75" customHeight="1">
      <c r="C378" s="748"/>
    </row>
    <row r="379" spans="3:3" ht="12.75" customHeight="1">
      <c r="C379" s="748"/>
    </row>
    <row r="380" spans="3:3" ht="12.75" customHeight="1">
      <c r="C380" s="748"/>
    </row>
    <row r="381" spans="3:3" ht="12.75" customHeight="1">
      <c r="C381" s="748"/>
    </row>
    <row r="382" spans="3:3" ht="12.75" customHeight="1">
      <c r="C382" s="748"/>
    </row>
    <row r="383" spans="3:3" ht="12.75" customHeight="1">
      <c r="C383" s="748"/>
    </row>
    <row r="384" spans="3:3" ht="12.75" customHeight="1">
      <c r="C384" s="748"/>
    </row>
    <row r="385" spans="3:3" ht="12.75" customHeight="1">
      <c r="C385" s="748"/>
    </row>
    <row r="386" spans="3:3" ht="12.75" customHeight="1">
      <c r="C386" s="748"/>
    </row>
    <row r="387" spans="3:3" ht="12.75" customHeight="1">
      <c r="C387" s="748"/>
    </row>
    <row r="388" spans="3:3" ht="12.75" customHeight="1">
      <c r="C388" s="748"/>
    </row>
    <row r="389" spans="3:3" ht="12.75" customHeight="1">
      <c r="C389" s="748"/>
    </row>
    <row r="390" spans="3:3" ht="12.75" customHeight="1">
      <c r="C390" s="748"/>
    </row>
    <row r="391" spans="3:3" ht="12.75" customHeight="1">
      <c r="C391" s="748"/>
    </row>
    <row r="392" spans="3:3" ht="12.75" customHeight="1">
      <c r="C392" s="748"/>
    </row>
    <row r="393" spans="3:3" ht="12.75" customHeight="1">
      <c r="C393" s="748"/>
    </row>
    <row r="394" spans="3:3" ht="12.75" customHeight="1">
      <c r="C394" s="748"/>
    </row>
    <row r="395" spans="3:3" ht="12.75" customHeight="1">
      <c r="C395" s="748"/>
    </row>
    <row r="396" spans="3:3" ht="12.75" customHeight="1">
      <c r="C396" s="748"/>
    </row>
    <row r="397" spans="3:3" ht="12.75" customHeight="1">
      <c r="C397" s="748"/>
    </row>
    <row r="398" spans="3:3" ht="12.75" customHeight="1">
      <c r="C398" s="748"/>
    </row>
    <row r="399" spans="3:3" ht="12.75" customHeight="1">
      <c r="C399" s="748"/>
    </row>
    <row r="400" spans="3:3" ht="12.75" customHeight="1">
      <c r="C400" s="748"/>
    </row>
    <row r="401" spans="3:3" ht="12.75" customHeight="1">
      <c r="C401" s="748"/>
    </row>
    <row r="402" spans="3:3" ht="12.75" customHeight="1">
      <c r="C402" s="748"/>
    </row>
    <row r="403" spans="3:3" ht="12.75" customHeight="1">
      <c r="C403" s="748"/>
    </row>
    <row r="404" spans="3:3" ht="12.75" customHeight="1">
      <c r="C404" s="748"/>
    </row>
    <row r="405" spans="3:3" ht="12.75" customHeight="1">
      <c r="C405" s="748"/>
    </row>
    <row r="406" spans="3:3" ht="12.75" customHeight="1">
      <c r="C406" s="748"/>
    </row>
    <row r="407" spans="3:3" ht="12.75" customHeight="1">
      <c r="C407" s="748"/>
    </row>
    <row r="408" spans="3:3" ht="12.75" customHeight="1">
      <c r="C408" s="748"/>
    </row>
    <row r="409" spans="3:3" ht="12.75" customHeight="1">
      <c r="C409" s="748"/>
    </row>
    <row r="410" spans="3:3" ht="12.75" customHeight="1">
      <c r="C410" s="748"/>
    </row>
    <row r="411" spans="3:3" ht="12.75" customHeight="1">
      <c r="C411" s="748"/>
    </row>
    <row r="412" spans="3:3" ht="12.75" customHeight="1">
      <c r="C412" s="748"/>
    </row>
    <row r="413" spans="3:3" ht="12.75" customHeight="1">
      <c r="C413" s="748"/>
    </row>
    <row r="414" spans="3:3" ht="12.75" customHeight="1">
      <c r="C414" s="748"/>
    </row>
    <row r="415" spans="3:3" ht="12.75" customHeight="1">
      <c r="C415" s="748"/>
    </row>
    <row r="416" spans="3:3" ht="12.75" customHeight="1">
      <c r="C416" s="748"/>
    </row>
    <row r="417" spans="3:3" ht="12.75" customHeight="1">
      <c r="C417" s="748"/>
    </row>
    <row r="418" spans="3:3" ht="12.75" customHeight="1">
      <c r="C418" s="748"/>
    </row>
    <row r="419" spans="3:3" ht="12.75" customHeight="1">
      <c r="C419" s="748"/>
    </row>
    <row r="420" spans="3:3" ht="12.75" customHeight="1">
      <c r="C420" s="748"/>
    </row>
    <row r="421" spans="3:3" ht="12.75" customHeight="1">
      <c r="C421" s="748"/>
    </row>
    <row r="422" spans="3:3" ht="12.75" customHeight="1">
      <c r="C422" s="748"/>
    </row>
    <row r="423" spans="3:3" ht="12.75" customHeight="1">
      <c r="C423" s="748"/>
    </row>
    <row r="424" spans="3:3" ht="12.75" customHeight="1">
      <c r="C424" s="748"/>
    </row>
    <row r="425" spans="3:3" ht="12.75" customHeight="1">
      <c r="C425" s="748"/>
    </row>
    <row r="426" spans="3:3" ht="12.75" customHeight="1">
      <c r="C426" s="748"/>
    </row>
    <row r="427" spans="3:3" ht="12.75" customHeight="1">
      <c r="C427" s="748"/>
    </row>
    <row r="428" spans="3:3" ht="12.75" customHeight="1">
      <c r="C428" s="748"/>
    </row>
    <row r="429" spans="3:3" ht="12.75" customHeight="1">
      <c r="C429" s="748"/>
    </row>
    <row r="430" spans="3:3" ht="12.75" customHeight="1">
      <c r="C430" s="748"/>
    </row>
    <row r="431" spans="3:3" ht="12.75" customHeight="1">
      <c r="C431" s="748"/>
    </row>
    <row r="432" spans="3:3" ht="12.75" customHeight="1">
      <c r="C432" s="748"/>
    </row>
    <row r="433" spans="3:3" ht="12.75" customHeight="1">
      <c r="C433" s="748"/>
    </row>
    <row r="434" spans="3:3" ht="12.75" customHeight="1">
      <c r="C434" s="748"/>
    </row>
    <row r="435" spans="3:3" ht="12.75" customHeight="1">
      <c r="C435" s="748"/>
    </row>
    <row r="436" spans="3:3" ht="12.75" customHeight="1">
      <c r="C436" s="748"/>
    </row>
    <row r="437" spans="3:3" ht="12.75" customHeight="1">
      <c r="C437" s="748"/>
    </row>
    <row r="438" spans="3:3" ht="12.75" customHeight="1">
      <c r="C438" s="748"/>
    </row>
    <row r="439" spans="3:3" ht="12.75" customHeight="1">
      <c r="C439" s="748"/>
    </row>
    <row r="440" spans="3:3" ht="12.75" customHeight="1">
      <c r="C440" s="748"/>
    </row>
    <row r="441" spans="3:3" ht="12.75" customHeight="1">
      <c r="C441" s="748"/>
    </row>
    <row r="442" spans="3:3" ht="12.75" customHeight="1">
      <c r="C442" s="748"/>
    </row>
    <row r="443" spans="3:3" ht="12.75" customHeight="1">
      <c r="C443" s="748"/>
    </row>
    <row r="444" spans="3:3" ht="12.75" customHeight="1">
      <c r="C444" s="748"/>
    </row>
    <row r="445" spans="3:3" ht="12.75" customHeight="1">
      <c r="C445" s="748"/>
    </row>
    <row r="446" spans="3:3" ht="12.75" customHeight="1">
      <c r="C446" s="748"/>
    </row>
    <row r="447" spans="3:3" ht="12.75" customHeight="1">
      <c r="C447" s="748"/>
    </row>
    <row r="448" spans="3:3" ht="12.75" customHeight="1">
      <c r="C448" s="748"/>
    </row>
    <row r="449" spans="3:3" ht="12.75" customHeight="1">
      <c r="C449" s="748"/>
    </row>
    <row r="450" spans="3:3" ht="12.75" customHeight="1">
      <c r="C450" s="748"/>
    </row>
    <row r="451" spans="3:3" ht="12.75" customHeight="1">
      <c r="C451" s="748"/>
    </row>
    <row r="452" spans="3:3" ht="12.75" customHeight="1">
      <c r="C452" s="748"/>
    </row>
    <row r="453" spans="3:3" ht="12.75" customHeight="1">
      <c r="C453" s="748"/>
    </row>
    <row r="454" spans="3:3" ht="12.75" customHeight="1">
      <c r="C454" s="748"/>
    </row>
    <row r="455" spans="3:3" ht="12.75" customHeight="1">
      <c r="C455" s="748"/>
    </row>
    <row r="456" spans="3:3" ht="12.75" customHeight="1">
      <c r="C456" s="748"/>
    </row>
    <row r="457" spans="3:3" ht="12.75" customHeight="1">
      <c r="C457" s="748"/>
    </row>
    <row r="458" spans="3:3" ht="12.75" customHeight="1">
      <c r="C458" s="748"/>
    </row>
    <row r="459" spans="3:3" ht="12.75" customHeight="1">
      <c r="C459" s="748"/>
    </row>
    <row r="460" spans="3:3" ht="12.75" customHeight="1">
      <c r="C460" s="748"/>
    </row>
    <row r="461" spans="3:3" ht="12.75" customHeight="1">
      <c r="C461" s="748"/>
    </row>
    <row r="462" spans="3:3" ht="12.75" customHeight="1">
      <c r="C462" s="748"/>
    </row>
    <row r="463" spans="3:3" ht="12.75" customHeight="1">
      <c r="C463" s="748"/>
    </row>
    <row r="464" spans="3:3" ht="12.75" customHeight="1">
      <c r="C464" s="748"/>
    </row>
    <row r="465" spans="3:3" ht="12.75" customHeight="1">
      <c r="C465" s="748"/>
    </row>
    <row r="466" spans="3:3" ht="12.75" customHeight="1">
      <c r="C466" s="748"/>
    </row>
    <row r="467" spans="3:3" ht="12.75" customHeight="1">
      <c r="C467" s="748"/>
    </row>
    <row r="468" spans="3:3" ht="12.75" customHeight="1">
      <c r="C468" s="748"/>
    </row>
    <row r="469" spans="3:3" ht="12.75" customHeight="1">
      <c r="C469" s="748"/>
    </row>
    <row r="470" spans="3:3" ht="12.75" customHeight="1">
      <c r="C470" s="748"/>
    </row>
    <row r="471" spans="3:3" ht="12.75" customHeight="1">
      <c r="C471" s="748"/>
    </row>
    <row r="472" spans="3:3" ht="12.75" customHeight="1">
      <c r="C472" s="748"/>
    </row>
    <row r="473" spans="3:3" ht="12.75" customHeight="1">
      <c r="C473" s="748"/>
    </row>
    <row r="474" spans="3:3" ht="12.75" customHeight="1">
      <c r="C474" s="748"/>
    </row>
    <row r="475" spans="3:3" ht="12.75" customHeight="1">
      <c r="C475" s="748"/>
    </row>
    <row r="476" spans="3:3" ht="12.75" customHeight="1">
      <c r="C476" s="748"/>
    </row>
    <row r="477" spans="3:3" ht="12.75" customHeight="1">
      <c r="C477" s="748"/>
    </row>
    <row r="478" spans="3:3" ht="12.75" customHeight="1">
      <c r="C478" s="748"/>
    </row>
    <row r="479" spans="3:3" ht="12.75" customHeight="1">
      <c r="C479" s="748"/>
    </row>
    <row r="480" spans="3:3" ht="12.75" customHeight="1">
      <c r="C480" s="748"/>
    </row>
    <row r="481" spans="3:3" ht="12.75" customHeight="1">
      <c r="C481" s="748"/>
    </row>
    <row r="482" spans="3:3" ht="12.75" customHeight="1">
      <c r="C482" s="748"/>
    </row>
    <row r="483" spans="3:3" ht="12.75" customHeight="1">
      <c r="C483" s="748"/>
    </row>
    <row r="484" spans="3:3" ht="12.75" customHeight="1">
      <c r="C484" s="748"/>
    </row>
    <row r="485" spans="3:3" ht="12.75" customHeight="1">
      <c r="C485" s="748"/>
    </row>
    <row r="486" spans="3:3" ht="12.75" customHeight="1">
      <c r="C486" s="748"/>
    </row>
    <row r="487" spans="3:3" ht="12.75" customHeight="1">
      <c r="C487" s="748"/>
    </row>
    <row r="488" spans="3:3" ht="12.75" customHeight="1">
      <c r="C488" s="748"/>
    </row>
    <row r="489" spans="3:3" ht="12.75" customHeight="1">
      <c r="C489" s="748"/>
    </row>
    <row r="490" spans="3:3" ht="12.75" customHeight="1">
      <c r="C490" s="748"/>
    </row>
    <row r="491" spans="3:3" ht="12.75" customHeight="1">
      <c r="C491" s="748"/>
    </row>
    <row r="492" spans="3:3" ht="12.75" customHeight="1">
      <c r="C492" s="748"/>
    </row>
    <row r="493" spans="3:3" ht="12.75" customHeight="1">
      <c r="C493" s="748"/>
    </row>
    <row r="494" spans="3:3" ht="12.75" customHeight="1">
      <c r="C494" s="748"/>
    </row>
    <row r="495" spans="3:3" ht="12.75" customHeight="1">
      <c r="C495" s="748"/>
    </row>
    <row r="496" spans="3:3" ht="12.75" customHeight="1">
      <c r="C496" s="748"/>
    </row>
    <row r="497" spans="3:3" ht="12.75" customHeight="1">
      <c r="C497" s="748"/>
    </row>
    <row r="498" spans="3:3" ht="12.75" customHeight="1">
      <c r="C498" s="748"/>
    </row>
    <row r="499" spans="3:3" ht="12.75" customHeight="1">
      <c r="C499" s="748"/>
    </row>
    <row r="500" spans="3:3" ht="12.75" customHeight="1">
      <c r="C500" s="748"/>
    </row>
    <row r="501" spans="3:3" ht="12.75" customHeight="1">
      <c r="C501" s="748"/>
    </row>
    <row r="502" spans="3:3" ht="12.75" customHeight="1">
      <c r="C502" s="748"/>
    </row>
    <row r="503" spans="3:3" ht="12.75" customHeight="1">
      <c r="C503" s="748"/>
    </row>
    <row r="504" spans="3:3" ht="12.75" customHeight="1">
      <c r="C504" s="748"/>
    </row>
    <row r="505" spans="3:3" ht="12.75" customHeight="1">
      <c r="C505" s="748"/>
    </row>
    <row r="506" spans="3:3" ht="12.75" customHeight="1">
      <c r="C506" s="748"/>
    </row>
    <row r="507" spans="3:3" ht="12.75" customHeight="1">
      <c r="C507" s="748"/>
    </row>
    <row r="508" spans="3:3" ht="12.75" customHeight="1">
      <c r="C508" s="748"/>
    </row>
    <row r="509" spans="3:3" ht="12.75" customHeight="1">
      <c r="C509" s="748"/>
    </row>
    <row r="510" spans="3:3" ht="12.75" customHeight="1">
      <c r="C510" s="748"/>
    </row>
    <row r="511" spans="3:3" ht="12.75" customHeight="1">
      <c r="C511" s="748"/>
    </row>
    <row r="512" spans="3:3" ht="12.75" customHeight="1">
      <c r="C512" s="748"/>
    </row>
    <row r="513" spans="3:3" ht="12.75" customHeight="1">
      <c r="C513" s="748"/>
    </row>
    <row r="514" spans="3:3" ht="12.75" customHeight="1">
      <c r="C514" s="748"/>
    </row>
    <row r="515" spans="3:3" ht="12.75" customHeight="1">
      <c r="C515" s="748"/>
    </row>
    <row r="516" spans="3:3" ht="12.75" customHeight="1">
      <c r="C516" s="748"/>
    </row>
    <row r="517" spans="3:3" ht="12.75" customHeight="1">
      <c r="C517" s="748"/>
    </row>
    <row r="518" spans="3:3" ht="12.75" customHeight="1">
      <c r="C518" s="748"/>
    </row>
    <row r="519" spans="3:3" ht="12.75" customHeight="1">
      <c r="C519" s="748"/>
    </row>
    <row r="520" spans="3:3" ht="12.75" customHeight="1">
      <c r="C520" s="748"/>
    </row>
    <row r="521" spans="3:3" ht="12.75" customHeight="1">
      <c r="C521" s="748"/>
    </row>
    <row r="522" spans="3:3" ht="12.75" customHeight="1">
      <c r="C522" s="748"/>
    </row>
    <row r="523" spans="3:3" ht="12.75" customHeight="1">
      <c r="C523" s="748"/>
    </row>
    <row r="524" spans="3:3" ht="12.75" customHeight="1">
      <c r="C524" s="748"/>
    </row>
    <row r="525" spans="3:3" ht="12.75" customHeight="1">
      <c r="C525" s="748"/>
    </row>
    <row r="526" spans="3:3" ht="12.75" customHeight="1">
      <c r="C526" s="748"/>
    </row>
    <row r="527" spans="3:3" ht="12.75" customHeight="1">
      <c r="C527" s="748"/>
    </row>
    <row r="528" spans="3:3" ht="12.75" customHeight="1">
      <c r="C528" s="748"/>
    </row>
    <row r="529" spans="3:3" ht="12.75" customHeight="1">
      <c r="C529" s="748"/>
    </row>
    <row r="530" spans="3:3" ht="12.75" customHeight="1">
      <c r="C530" s="748"/>
    </row>
    <row r="531" spans="3:3" ht="12.75" customHeight="1">
      <c r="C531" s="748"/>
    </row>
    <row r="532" spans="3:3" ht="12.75" customHeight="1">
      <c r="C532" s="748"/>
    </row>
    <row r="533" spans="3:3" ht="12.75" customHeight="1">
      <c r="C533" s="748"/>
    </row>
    <row r="534" spans="3:3" ht="12.75" customHeight="1">
      <c r="C534" s="748"/>
    </row>
    <row r="535" spans="3:3" ht="12.75" customHeight="1">
      <c r="C535" s="748"/>
    </row>
    <row r="536" spans="3:3" ht="12.75" customHeight="1">
      <c r="C536" s="748"/>
    </row>
    <row r="537" spans="3:3" ht="12.75" customHeight="1">
      <c r="C537" s="748"/>
    </row>
    <row r="538" spans="3:3" ht="12.75" customHeight="1">
      <c r="C538" s="748"/>
    </row>
    <row r="539" spans="3:3" ht="12.75" customHeight="1">
      <c r="C539" s="748"/>
    </row>
    <row r="540" spans="3:3" ht="12.75" customHeight="1">
      <c r="C540" s="748"/>
    </row>
    <row r="541" spans="3:3" ht="12.75" customHeight="1">
      <c r="C541" s="748"/>
    </row>
    <row r="542" spans="3:3" ht="12.75" customHeight="1">
      <c r="C542" s="748"/>
    </row>
    <row r="543" spans="3:3" ht="12.75" customHeight="1">
      <c r="C543" s="748"/>
    </row>
    <row r="544" spans="3:3" ht="12.75" customHeight="1">
      <c r="C544" s="748"/>
    </row>
    <row r="545" spans="3:3" ht="12.75" customHeight="1">
      <c r="C545" s="748"/>
    </row>
    <row r="546" spans="3:3" ht="12.75" customHeight="1">
      <c r="C546" s="748"/>
    </row>
    <row r="547" spans="3:3" ht="12.75" customHeight="1">
      <c r="C547" s="748"/>
    </row>
    <row r="548" spans="3:3" ht="12.75" customHeight="1">
      <c r="C548" s="748"/>
    </row>
    <row r="549" spans="3:3" ht="12.75" customHeight="1">
      <c r="C549" s="748"/>
    </row>
    <row r="550" spans="3:3" ht="12.75" customHeight="1">
      <c r="C550" s="748"/>
    </row>
    <row r="551" spans="3:3" ht="12.75" customHeight="1">
      <c r="C551" s="748"/>
    </row>
    <row r="552" spans="3:3" ht="12.75" customHeight="1">
      <c r="C552" s="748"/>
    </row>
    <row r="553" spans="3:3" ht="12.75" customHeight="1">
      <c r="C553" s="748"/>
    </row>
    <row r="554" spans="3:3" ht="12.75" customHeight="1">
      <c r="C554" s="748"/>
    </row>
    <row r="555" spans="3:3" ht="12.75" customHeight="1">
      <c r="C555" s="748"/>
    </row>
    <row r="556" spans="3:3" ht="12.75" customHeight="1">
      <c r="C556" s="748"/>
    </row>
    <row r="557" spans="3:3" ht="12.75" customHeight="1">
      <c r="C557" s="748"/>
    </row>
    <row r="558" spans="3:3" ht="12.75" customHeight="1">
      <c r="C558" s="748"/>
    </row>
    <row r="559" spans="3:3" ht="12.75" customHeight="1">
      <c r="C559" s="748"/>
    </row>
    <row r="560" spans="3:3" ht="12.75" customHeight="1">
      <c r="C560" s="748"/>
    </row>
    <row r="561" spans="3:3" ht="12.75" customHeight="1">
      <c r="C561" s="748"/>
    </row>
    <row r="562" spans="3:3" ht="12.75" customHeight="1">
      <c r="C562" s="748"/>
    </row>
    <row r="563" spans="3:3" ht="12.75" customHeight="1">
      <c r="C563" s="748"/>
    </row>
    <row r="564" spans="3:3" ht="12.75" customHeight="1">
      <c r="C564" s="748"/>
    </row>
    <row r="565" spans="3:3" ht="12.75" customHeight="1">
      <c r="C565" s="748"/>
    </row>
    <row r="566" spans="3:3" ht="12.75" customHeight="1">
      <c r="C566" s="748"/>
    </row>
    <row r="567" spans="3:3" ht="12.75" customHeight="1">
      <c r="C567" s="748"/>
    </row>
    <row r="568" spans="3:3" ht="12.75" customHeight="1">
      <c r="C568" s="748"/>
    </row>
    <row r="569" spans="3:3" ht="12.75" customHeight="1">
      <c r="C569" s="748"/>
    </row>
    <row r="570" spans="3:3" ht="12.75" customHeight="1">
      <c r="C570" s="748"/>
    </row>
    <row r="571" spans="3:3" ht="12.75" customHeight="1">
      <c r="C571" s="748"/>
    </row>
    <row r="572" spans="3:3" ht="12.75" customHeight="1">
      <c r="C572" s="748"/>
    </row>
    <row r="573" spans="3:3" ht="12.75" customHeight="1">
      <c r="C573" s="748"/>
    </row>
    <row r="574" spans="3:3" ht="12.75" customHeight="1">
      <c r="C574" s="748"/>
    </row>
    <row r="575" spans="3:3" ht="12.75" customHeight="1">
      <c r="C575" s="748"/>
    </row>
    <row r="576" spans="3:3" ht="12.75" customHeight="1">
      <c r="C576" s="748"/>
    </row>
    <row r="577" spans="3:3" ht="12.75" customHeight="1">
      <c r="C577" s="748"/>
    </row>
    <row r="578" spans="3:3" ht="12.75" customHeight="1">
      <c r="C578" s="748"/>
    </row>
    <row r="579" spans="3:3" ht="12.75" customHeight="1">
      <c r="C579" s="748"/>
    </row>
    <row r="580" spans="3:3" ht="12.75" customHeight="1">
      <c r="C580" s="748"/>
    </row>
    <row r="581" spans="3:3" ht="12.75" customHeight="1">
      <c r="C581" s="748"/>
    </row>
    <row r="582" spans="3:3" ht="12.75" customHeight="1">
      <c r="C582" s="748"/>
    </row>
    <row r="583" spans="3:3" ht="12.75" customHeight="1">
      <c r="C583" s="748"/>
    </row>
    <row r="584" spans="3:3" ht="12.75" customHeight="1">
      <c r="C584" s="748"/>
    </row>
    <row r="585" spans="3:3" ht="12.75" customHeight="1">
      <c r="C585" s="748"/>
    </row>
    <row r="586" spans="3:3" ht="12.75" customHeight="1">
      <c r="C586" s="748"/>
    </row>
    <row r="587" spans="3:3" ht="12.75" customHeight="1">
      <c r="C587" s="748"/>
    </row>
    <row r="588" spans="3:3" ht="12.75" customHeight="1">
      <c r="C588" s="748"/>
    </row>
    <row r="589" spans="3:3" ht="12.75" customHeight="1">
      <c r="C589" s="748"/>
    </row>
    <row r="590" spans="3:3" ht="12.75" customHeight="1">
      <c r="C590" s="748"/>
    </row>
    <row r="591" spans="3:3" ht="12.75" customHeight="1">
      <c r="C591" s="748"/>
    </row>
    <row r="592" spans="3:3" ht="12.75" customHeight="1">
      <c r="C592" s="748"/>
    </row>
    <row r="593" spans="3:3" ht="12.75" customHeight="1">
      <c r="C593" s="748"/>
    </row>
    <row r="594" spans="3:3" ht="12.75" customHeight="1">
      <c r="C594" s="748"/>
    </row>
    <row r="595" spans="3:3" ht="12.75" customHeight="1">
      <c r="C595" s="748"/>
    </row>
    <row r="596" spans="3:3" ht="12.75" customHeight="1">
      <c r="C596" s="748"/>
    </row>
    <row r="597" spans="3:3" ht="12.75" customHeight="1">
      <c r="C597" s="748"/>
    </row>
    <row r="598" spans="3:3" ht="12.75" customHeight="1">
      <c r="C598" s="748"/>
    </row>
    <row r="599" spans="3:3" ht="12.75" customHeight="1">
      <c r="C599" s="748"/>
    </row>
    <row r="600" spans="3:3" ht="12.75" customHeight="1">
      <c r="C600" s="748"/>
    </row>
    <row r="601" spans="3:3" ht="12.75" customHeight="1">
      <c r="C601" s="748"/>
    </row>
    <row r="602" spans="3:3" ht="12.75" customHeight="1">
      <c r="C602" s="748"/>
    </row>
    <row r="603" spans="3:3" ht="12.75" customHeight="1">
      <c r="C603" s="748"/>
    </row>
    <row r="604" spans="3:3" ht="12.75" customHeight="1">
      <c r="C604" s="748"/>
    </row>
    <row r="605" spans="3:3" ht="12.75" customHeight="1">
      <c r="C605" s="748"/>
    </row>
    <row r="606" spans="3:3" ht="12.75" customHeight="1">
      <c r="C606" s="748"/>
    </row>
    <row r="607" spans="3:3" ht="12.75" customHeight="1">
      <c r="C607" s="748"/>
    </row>
    <row r="608" spans="3:3" ht="12.75" customHeight="1">
      <c r="C608" s="748"/>
    </row>
    <row r="609" spans="3:3" ht="12.75" customHeight="1">
      <c r="C609" s="748"/>
    </row>
    <row r="610" spans="3:3" ht="12.75" customHeight="1">
      <c r="C610" s="748"/>
    </row>
    <row r="611" spans="3:3" ht="12.75" customHeight="1">
      <c r="C611" s="748"/>
    </row>
    <row r="612" spans="3:3" ht="12.75" customHeight="1">
      <c r="C612" s="748"/>
    </row>
    <row r="613" spans="3:3" ht="12.75" customHeight="1">
      <c r="C613" s="748"/>
    </row>
    <row r="614" spans="3:3" ht="12.75" customHeight="1">
      <c r="C614" s="748"/>
    </row>
    <row r="615" spans="3:3" ht="12.75" customHeight="1">
      <c r="C615" s="748"/>
    </row>
    <row r="616" spans="3:3" ht="12.75" customHeight="1">
      <c r="C616" s="748"/>
    </row>
    <row r="617" spans="3:3" ht="12.75" customHeight="1">
      <c r="C617" s="748"/>
    </row>
    <row r="618" spans="3:3" ht="12.75" customHeight="1">
      <c r="C618" s="748"/>
    </row>
    <row r="619" spans="3:3" ht="12.75" customHeight="1">
      <c r="C619" s="748"/>
    </row>
    <row r="620" spans="3:3" ht="12.75" customHeight="1">
      <c r="C620" s="748"/>
    </row>
    <row r="621" spans="3:3" ht="12.75" customHeight="1">
      <c r="C621" s="748"/>
    </row>
    <row r="622" spans="3:3" ht="12.75" customHeight="1">
      <c r="C622" s="748"/>
    </row>
    <row r="623" spans="3:3" ht="12.75" customHeight="1">
      <c r="C623" s="748"/>
    </row>
    <row r="624" spans="3:3" ht="12.75" customHeight="1">
      <c r="C624" s="748"/>
    </row>
    <row r="625" spans="3:3" ht="12.75" customHeight="1">
      <c r="C625" s="748"/>
    </row>
    <row r="626" spans="3:3" ht="12.75" customHeight="1">
      <c r="C626" s="748"/>
    </row>
    <row r="627" spans="3:3" ht="12.75" customHeight="1">
      <c r="C627" s="748"/>
    </row>
    <row r="628" spans="3:3" ht="12.75" customHeight="1">
      <c r="C628" s="748"/>
    </row>
    <row r="629" spans="3:3" ht="12.75" customHeight="1">
      <c r="C629" s="748"/>
    </row>
    <row r="630" spans="3:3" ht="12.75" customHeight="1">
      <c r="C630" s="748"/>
    </row>
    <row r="631" spans="3:3" ht="12.75" customHeight="1">
      <c r="C631" s="748"/>
    </row>
    <row r="632" spans="3:3" ht="12.75" customHeight="1">
      <c r="C632" s="748"/>
    </row>
    <row r="633" spans="3:3" ht="12.75" customHeight="1">
      <c r="C633" s="748"/>
    </row>
    <row r="634" spans="3:3" ht="12.75" customHeight="1">
      <c r="C634" s="748"/>
    </row>
    <row r="635" spans="3:3" ht="12.75" customHeight="1">
      <c r="C635" s="748"/>
    </row>
    <row r="636" spans="3:3" ht="12.75" customHeight="1">
      <c r="C636" s="748"/>
    </row>
    <row r="637" spans="3:3" ht="12.75" customHeight="1">
      <c r="C637" s="748"/>
    </row>
    <row r="638" spans="3:3" ht="12.75" customHeight="1">
      <c r="C638" s="748"/>
    </row>
    <row r="639" spans="3:3" ht="12.75" customHeight="1">
      <c r="C639" s="748"/>
    </row>
    <row r="640" spans="3:3" ht="12.75" customHeight="1">
      <c r="C640" s="748"/>
    </row>
    <row r="641" spans="3:3" ht="12.75" customHeight="1">
      <c r="C641" s="748"/>
    </row>
    <row r="642" spans="3:3" ht="12.75" customHeight="1">
      <c r="C642" s="748"/>
    </row>
    <row r="643" spans="3:3" ht="12.75" customHeight="1">
      <c r="C643" s="748"/>
    </row>
    <row r="644" spans="3:3" ht="12.75" customHeight="1">
      <c r="C644" s="748"/>
    </row>
    <row r="645" spans="3:3" ht="12.75" customHeight="1">
      <c r="C645" s="748"/>
    </row>
    <row r="646" spans="3:3" ht="12.75" customHeight="1">
      <c r="C646" s="748"/>
    </row>
    <row r="647" spans="3:3" ht="12.75" customHeight="1">
      <c r="C647" s="748"/>
    </row>
    <row r="648" spans="3:3" ht="12.75" customHeight="1">
      <c r="C648" s="748"/>
    </row>
    <row r="649" spans="3:3" ht="12.75" customHeight="1">
      <c r="C649" s="748"/>
    </row>
    <row r="650" spans="3:3" ht="12.75" customHeight="1">
      <c r="C650" s="748"/>
    </row>
    <row r="651" spans="3:3" ht="12.75" customHeight="1">
      <c r="C651" s="748"/>
    </row>
    <row r="652" spans="3:3" ht="12.75" customHeight="1">
      <c r="C652" s="748"/>
    </row>
    <row r="653" spans="3:3" ht="12.75" customHeight="1">
      <c r="C653" s="748"/>
    </row>
    <row r="654" spans="3:3" ht="12.75" customHeight="1">
      <c r="C654" s="748"/>
    </row>
    <row r="655" spans="3:3" ht="12.75" customHeight="1">
      <c r="C655" s="748"/>
    </row>
    <row r="656" spans="3:3" ht="12.75" customHeight="1">
      <c r="C656" s="748"/>
    </row>
    <row r="657" spans="3:3" ht="12.75" customHeight="1">
      <c r="C657" s="748"/>
    </row>
    <row r="658" spans="3:3" ht="12.75" customHeight="1">
      <c r="C658" s="748"/>
    </row>
    <row r="659" spans="3:3" ht="12.75" customHeight="1">
      <c r="C659" s="748"/>
    </row>
    <row r="660" spans="3:3" ht="12.75" customHeight="1">
      <c r="C660" s="748"/>
    </row>
    <row r="661" spans="3:3" ht="12.75" customHeight="1">
      <c r="C661" s="748"/>
    </row>
    <row r="662" spans="3:3" ht="12.75" customHeight="1">
      <c r="C662" s="748"/>
    </row>
    <row r="663" spans="3:3" ht="12.75" customHeight="1">
      <c r="C663" s="748"/>
    </row>
    <row r="664" spans="3:3" ht="12.75" customHeight="1">
      <c r="C664" s="748"/>
    </row>
    <row r="665" spans="3:3" ht="12.75" customHeight="1">
      <c r="C665" s="748"/>
    </row>
    <row r="666" spans="3:3" ht="12.75" customHeight="1">
      <c r="C666" s="748"/>
    </row>
    <row r="667" spans="3:3" ht="12.75" customHeight="1">
      <c r="C667" s="748"/>
    </row>
    <row r="668" spans="3:3" ht="12.75" customHeight="1">
      <c r="C668" s="748"/>
    </row>
    <row r="669" spans="3:3" ht="12.75" customHeight="1">
      <c r="C669" s="748"/>
    </row>
    <row r="670" spans="3:3" ht="12.75" customHeight="1">
      <c r="C670" s="748"/>
    </row>
    <row r="671" spans="3:3" ht="12.75" customHeight="1">
      <c r="C671" s="748"/>
    </row>
    <row r="672" spans="3:3" ht="12.75" customHeight="1">
      <c r="C672" s="748"/>
    </row>
    <row r="673" spans="3:3" ht="12.75" customHeight="1">
      <c r="C673" s="748"/>
    </row>
    <row r="674" spans="3:3" ht="12.75" customHeight="1">
      <c r="C674" s="748"/>
    </row>
    <row r="675" spans="3:3" ht="12.75" customHeight="1">
      <c r="C675" s="748"/>
    </row>
    <row r="676" spans="3:3" ht="12.75" customHeight="1">
      <c r="C676" s="748"/>
    </row>
    <row r="677" spans="3:3" ht="12.75" customHeight="1">
      <c r="C677" s="748"/>
    </row>
    <row r="678" spans="3:3" ht="12.75" customHeight="1">
      <c r="C678" s="748"/>
    </row>
    <row r="679" spans="3:3" ht="12.75" customHeight="1">
      <c r="C679" s="748"/>
    </row>
    <row r="680" spans="3:3" ht="12.75" customHeight="1">
      <c r="C680" s="748"/>
    </row>
    <row r="681" spans="3:3" ht="12.75" customHeight="1">
      <c r="C681" s="748"/>
    </row>
    <row r="682" spans="3:3" ht="12.75" customHeight="1">
      <c r="C682" s="748"/>
    </row>
    <row r="683" spans="3:3" ht="12.75" customHeight="1">
      <c r="C683" s="748"/>
    </row>
    <row r="684" spans="3:3" ht="12.75" customHeight="1">
      <c r="C684" s="748"/>
    </row>
    <row r="685" spans="3:3" ht="12.75" customHeight="1">
      <c r="C685" s="748"/>
    </row>
    <row r="686" spans="3:3" ht="12.75" customHeight="1">
      <c r="C686" s="748"/>
    </row>
    <row r="687" spans="3:3" ht="12.75" customHeight="1">
      <c r="C687" s="748"/>
    </row>
    <row r="688" spans="3:3" ht="12.75" customHeight="1">
      <c r="C688" s="748"/>
    </row>
    <row r="689" spans="3:3" ht="12.75" customHeight="1">
      <c r="C689" s="748"/>
    </row>
    <row r="690" spans="3:3" ht="12.75" customHeight="1">
      <c r="C690" s="748"/>
    </row>
    <row r="691" spans="3:3" ht="12.75" customHeight="1">
      <c r="C691" s="748"/>
    </row>
    <row r="692" spans="3:3" ht="12.75" customHeight="1">
      <c r="C692" s="748"/>
    </row>
    <row r="693" spans="3:3" ht="12.75" customHeight="1">
      <c r="C693" s="748"/>
    </row>
    <row r="694" spans="3:3" ht="12.75" customHeight="1">
      <c r="C694" s="748"/>
    </row>
    <row r="695" spans="3:3" ht="12.75" customHeight="1">
      <c r="C695" s="748"/>
    </row>
    <row r="696" spans="3:3" ht="12.75" customHeight="1">
      <c r="C696" s="748"/>
    </row>
    <row r="697" spans="3:3" ht="12.75" customHeight="1">
      <c r="C697" s="748"/>
    </row>
    <row r="698" spans="3:3" ht="12.75" customHeight="1">
      <c r="C698" s="748"/>
    </row>
    <row r="699" spans="3:3" ht="12.75" customHeight="1">
      <c r="C699" s="748"/>
    </row>
    <row r="700" spans="3:3" ht="12.75" customHeight="1">
      <c r="C700" s="748"/>
    </row>
    <row r="701" spans="3:3" ht="12.75" customHeight="1">
      <c r="C701" s="748"/>
    </row>
    <row r="702" spans="3:3" ht="12.75" customHeight="1">
      <c r="C702" s="748"/>
    </row>
    <row r="703" spans="3:3" ht="12.75" customHeight="1">
      <c r="C703" s="748"/>
    </row>
    <row r="704" spans="3:3" ht="12.75" customHeight="1">
      <c r="C704" s="748"/>
    </row>
    <row r="705" spans="3:3" ht="12.75" customHeight="1">
      <c r="C705" s="748"/>
    </row>
    <row r="706" spans="3:3" ht="12.75" customHeight="1">
      <c r="C706" s="748"/>
    </row>
    <row r="707" spans="3:3" ht="12.75" customHeight="1">
      <c r="C707" s="748"/>
    </row>
    <row r="708" spans="3:3" ht="12.75" customHeight="1">
      <c r="C708" s="748"/>
    </row>
    <row r="709" spans="3:3" ht="12.75" customHeight="1">
      <c r="C709" s="748"/>
    </row>
    <row r="710" spans="3:3" ht="12.75" customHeight="1">
      <c r="C710" s="748"/>
    </row>
    <row r="711" spans="3:3" ht="12.75" customHeight="1">
      <c r="C711" s="748"/>
    </row>
    <row r="712" spans="3:3" ht="12.75" customHeight="1">
      <c r="C712" s="748"/>
    </row>
    <row r="713" spans="3:3" ht="12.75" customHeight="1">
      <c r="C713" s="748"/>
    </row>
    <row r="714" spans="3:3" ht="12.75" customHeight="1">
      <c r="C714" s="748"/>
    </row>
    <row r="715" spans="3:3" ht="12.75" customHeight="1">
      <c r="C715" s="748"/>
    </row>
    <row r="716" spans="3:3" ht="12.75" customHeight="1">
      <c r="C716" s="748"/>
    </row>
    <row r="717" spans="3:3" ht="12.75" customHeight="1">
      <c r="C717" s="748"/>
    </row>
    <row r="718" spans="3:3" ht="12.75" customHeight="1">
      <c r="C718" s="748"/>
    </row>
    <row r="719" spans="3:3" ht="12.75" customHeight="1">
      <c r="C719" s="748"/>
    </row>
    <row r="720" spans="3:3" ht="12.75" customHeight="1">
      <c r="C720" s="748"/>
    </row>
    <row r="721" spans="3:3" ht="12.75" customHeight="1">
      <c r="C721" s="748"/>
    </row>
    <row r="722" spans="3:3" ht="12.75" customHeight="1">
      <c r="C722" s="748"/>
    </row>
    <row r="723" spans="3:3" ht="12.75" customHeight="1">
      <c r="C723" s="748"/>
    </row>
    <row r="724" spans="3:3" ht="12.75" customHeight="1">
      <c r="C724" s="748"/>
    </row>
    <row r="725" spans="3:3" ht="12.75" customHeight="1">
      <c r="C725" s="748"/>
    </row>
    <row r="726" spans="3:3" ht="12.75" customHeight="1">
      <c r="C726" s="748"/>
    </row>
    <row r="727" spans="3:3" ht="12.75" customHeight="1">
      <c r="C727" s="748"/>
    </row>
    <row r="728" spans="3:3" ht="12.75" customHeight="1">
      <c r="C728" s="748"/>
    </row>
    <row r="729" spans="3:3" ht="12.75" customHeight="1">
      <c r="C729" s="748"/>
    </row>
    <row r="730" spans="3:3" ht="12.75" customHeight="1">
      <c r="C730" s="748"/>
    </row>
    <row r="731" spans="3:3" ht="12.75" customHeight="1">
      <c r="C731" s="748"/>
    </row>
    <row r="732" spans="3:3" ht="12.75" customHeight="1">
      <c r="C732" s="748"/>
    </row>
    <row r="733" spans="3:3" ht="12.75" customHeight="1">
      <c r="C733" s="748"/>
    </row>
    <row r="734" spans="3:3" ht="12.75" customHeight="1">
      <c r="C734" s="748"/>
    </row>
    <row r="735" spans="3:3" ht="12.75" customHeight="1">
      <c r="C735" s="748"/>
    </row>
    <row r="736" spans="3:3" ht="12.75" customHeight="1">
      <c r="C736" s="748"/>
    </row>
    <row r="737" spans="3:3" ht="12.75" customHeight="1">
      <c r="C737" s="748"/>
    </row>
    <row r="738" spans="3:3" ht="12.75" customHeight="1">
      <c r="C738" s="748"/>
    </row>
    <row r="739" spans="3:3" ht="12.75" customHeight="1">
      <c r="C739" s="748"/>
    </row>
    <row r="740" spans="3:3" ht="12.75" customHeight="1">
      <c r="C740" s="748"/>
    </row>
    <row r="741" spans="3:3" ht="12.75" customHeight="1">
      <c r="C741" s="748"/>
    </row>
    <row r="742" spans="3:3" ht="12.75" customHeight="1">
      <c r="C742" s="748"/>
    </row>
    <row r="743" spans="3:3" ht="12.75" customHeight="1">
      <c r="C743" s="748"/>
    </row>
    <row r="744" spans="3:3" ht="12.75" customHeight="1">
      <c r="C744" s="748"/>
    </row>
    <row r="745" spans="3:3" ht="12.75" customHeight="1">
      <c r="C745" s="748"/>
    </row>
    <row r="746" spans="3:3" ht="12.75" customHeight="1">
      <c r="C746" s="748"/>
    </row>
    <row r="747" spans="3:3" ht="12.75" customHeight="1">
      <c r="C747" s="748"/>
    </row>
    <row r="748" spans="3:3" ht="12.75" customHeight="1">
      <c r="C748" s="748"/>
    </row>
    <row r="749" spans="3:3" ht="12.75" customHeight="1">
      <c r="C749" s="748"/>
    </row>
    <row r="750" spans="3:3" ht="12.75" customHeight="1">
      <c r="C750" s="748"/>
    </row>
    <row r="751" spans="3:3" ht="12.75" customHeight="1">
      <c r="C751" s="748"/>
    </row>
    <row r="752" spans="3:3" ht="12.75" customHeight="1">
      <c r="C752" s="748"/>
    </row>
    <row r="753" spans="3:3" ht="12.75" customHeight="1">
      <c r="C753" s="748"/>
    </row>
    <row r="754" spans="3:3" ht="12.75" customHeight="1">
      <c r="C754" s="748"/>
    </row>
    <row r="755" spans="3:3" ht="12.75" customHeight="1">
      <c r="C755" s="748"/>
    </row>
    <row r="756" spans="3:3" ht="12.75" customHeight="1">
      <c r="C756" s="748"/>
    </row>
    <row r="757" spans="3:3" ht="12.75" customHeight="1">
      <c r="C757" s="748"/>
    </row>
    <row r="758" spans="3:3" ht="12.75" customHeight="1">
      <c r="C758" s="748"/>
    </row>
    <row r="759" spans="3:3" ht="12.75" customHeight="1">
      <c r="C759" s="748"/>
    </row>
    <row r="760" spans="3:3" ht="12.75" customHeight="1">
      <c r="C760" s="748"/>
    </row>
    <row r="761" spans="3:3" ht="12.75" customHeight="1">
      <c r="C761" s="748"/>
    </row>
    <row r="762" spans="3:3" ht="12.75" customHeight="1">
      <c r="C762" s="748"/>
    </row>
    <row r="763" spans="3:3" ht="12.75" customHeight="1">
      <c r="C763" s="748"/>
    </row>
    <row r="764" spans="3:3" ht="12.75" customHeight="1">
      <c r="C764" s="748"/>
    </row>
    <row r="765" spans="3:3" ht="12.75" customHeight="1">
      <c r="C765" s="748"/>
    </row>
    <row r="766" spans="3:3" ht="12.75" customHeight="1">
      <c r="C766" s="748"/>
    </row>
    <row r="767" spans="3:3" ht="12.75" customHeight="1">
      <c r="C767" s="748"/>
    </row>
    <row r="768" spans="3:3" ht="12.75" customHeight="1">
      <c r="C768" s="748"/>
    </row>
    <row r="769" spans="3:3" ht="12.75" customHeight="1">
      <c r="C769" s="748"/>
    </row>
    <row r="770" spans="3:3" ht="12.75" customHeight="1">
      <c r="C770" s="748"/>
    </row>
    <row r="771" spans="3:3" ht="12.75" customHeight="1">
      <c r="C771" s="748"/>
    </row>
    <row r="772" spans="3:3" ht="12.75" customHeight="1">
      <c r="C772" s="748"/>
    </row>
    <row r="773" spans="3:3" ht="12.75" customHeight="1">
      <c r="C773" s="748"/>
    </row>
    <row r="774" spans="3:3" ht="12.75" customHeight="1">
      <c r="C774" s="748"/>
    </row>
    <row r="775" spans="3:3" ht="12.75" customHeight="1">
      <c r="C775" s="748"/>
    </row>
    <row r="776" spans="3:3" ht="12.75" customHeight="1">
      <c r="C776" s="748"/>
    </row>
    <row r="777" spans="3:3" ht="12.75" customHeight="1">
      <c r="C777" s="748"/>
    </row>
    <row r="778" spans="3:3" ht="12.75" customHeight="1">
      <c r="C778" s="748"/>
    </row>
    <row r="779" spans="3:3" ht="12.75" customHeight="1">
      <c r="C779" s="748"/>
    </row>
    <row r="780" spans="3:3" ht="12.75" customHeight="1">
      <c r="C780" s="748"/>
    </row>
    <row r="781" spans="3:3" ht="12.75" customHeight="1">
      <c r="C781" s="748"/>
    </row>
    <row r="782" spans="3:3" ht="12.75" customHeight="1">
      <c r="C782" s="748"/>
    </row>
    <row r="783" spans="3:3" ht="12.75" customHeight="1">
      <c r="C783" s="748"/>
    </row>
    <row r="784" spans="3:3" ht="12.75" customHeight="1">
      <c r="C784" s="748"/>
    </row>
    <row r="785" spans="3:3" ht="12.75" customHeight="1">
      <c r="C785" s="748"/>
    </row>
    <row r="786" spans="3:3" ht="12.75" customHeight="1">
      <c r="C786" s="748"/>
    </row>
    <row r="787" spans="3:3" ht="12.75" customHeight="1">
      <c r="C787" s="748"/>
    </row>
    <row r="788" spans="3:3" ht="12.75" customHeight="1">
      <c r="C788" s="748"/>
    </row>
    <row r="789" spans="3:3" ht="12.75" customHeight="1">
      <c r="C789" s="748"/>
    </row>
    <row r="790" spans="3:3" ht="12.75" customHeight="1">
      <c r="C790" s="748"/>
    </row>
    <row r="791" spans="3:3" ht="12.75" customHeight="1">
      <c r="C791" s="748"/>
    </row>
    <row r="792" spans="3:3" ht="12.75" customHeight="1">
      <c r="C792" s="748"/>
    </row>
    <row r="793" spans="3:3" ht="12.75" customHeight="1">
      <c r="C793" s="748"/>
    </row>
    <row r="794" spans="3:3" ht="12.75" customHeight="1">
      <c r="C794" s="748"/>
    </row>
    <row r="795" spans="3:3" ht="12.75" customHeight="1">
      <c r="C795" s="748"/>
    </row>
    <row r="796" spans="3:3" ht="12.75" customHeight="1">
      <c r="C796" s="748"/>
    </row>
    <row r="797" spans="3:3" ht="12.75" customHeight="1">
      <c r="C797" s="748"/>
    </row>
    <row r="798" spans="3:3" ht="12.75" customHeight="1">
      <c r="C798" s="748"/>
    </row>
    <row r="799" spans="3:3" ht="12.75" customHeight="1">
      <c r="C799" s="748"/>
    </row>
    <row r="800" spans="3:3" ht="12.75" customHeight="1">
      <c r="C800" s="748"/>
    </row>
    <row r="801" spans="3:3" ht="12.75" customHeight="1">
      <c r="C801" s="748"/>
    </row>
    <row r="802" spans="3:3" ht="12.75" customHeight="1">
      <c r="C802" s="748"/>
    </row>
    <row r="803" spans="3:3" ht="12.75" customHeight="1">
      <c r="C803" s="748"/>
    </row>
    <row r="804" spans="3:3" ht="12.75" customHeight="1">
      <c r="C804" s="748"/>
    </row>
    <row r="805" spans="3:3" ht="12.75" customHeight="1">
      <c r="C805" s="748"/>
    </row>
    <row r="806" spans="3:3" ht="12.75" customHeight="1">
      <c r="C806" s="748"/>
    </row>
    <row r="807" spans="3:3" ht="12.75" customHeight="1">
      <c r="C807" s="748"/>
    </row>
    <row r="808" spans="3:3" ht="12.75" customHeight="1">
      <c r="C808" s="748"/>
    </row>
    <row r="809" spans="3:3" ht="12.75" customHeight="1">
      <c r="C809" s="748"/>
    </row>
    <row r="810" spans="3:3" ht="12.75" customHeight="1">
      <c r="C810" s="748"/>
    </row>
    <row r="811" spans="3:3" ht="12.75" customHeight="1">
      <c r="C811" s="748"/>
    </row>
    <row r="812" spans="3:3" ht="12.75" customHeight="1">
      <c r="C812" s="748"/>
    </row>
    <row r="813" spans="3:3" ht="12.75" customHeight="1">
      <c r="C813" s="748"/>
    </row>
    <row r="814" spans="3:3" ht="12.75" customHeight="1">
      <c r="C814" s="748"/>
    </row>
    <row r="815" spans="3:3" ht="12.75" customHeight="1">
      <c r="C815" s="748"/>
    </row>
    <row r="816" spans="3:3" ht="12.75" customHeight="1">
      <c r="C816" s="748"/>
    </row>
    <row r="817" spans="3:3" ht="12.75" customHeight="1">
      <c r="C817" s="748"/>
    </row>
    <row r="818" spans="3:3" ht="12.75" customHeight="1">
      <c r="C818" s="748"/>
    </row>
    <row r="819" spans="3:3" ht="12.75" customHeight="1">
      <c r="C819" s="748"/>
    </row>
    <row r="820" spans="3:3" ht="12.75" customHeight="1">
      <c r="C820" s="748"/>
    </row>
    <row r="821" spans="3:3" ht="12.75" customHeight="1">
      <c r="C821" s="748"/>
    </row>
    <row r="822" spans="3:3" ht="12.75" customHeight="1">
      <c r="C822" s="748"/>
    </row>
    <row r="823" spans="3:3" ht="12.75" customHeight="1">
      <c r="C823" s="748"/>
    </row>
    <row r="824" spans="3:3" ht="12.75" customHeight="1">
      <c r="C824" s="748"/>
    </row>
    <row r="825" spans="3:3" ht="12.75" customHeight="1">
      <c r="C825" s="748"/>
    </row>
    <row r="826" spans="3:3" ht="12.75" customHeight="1">
      <c r="C826" s="748"/>
    </row>
    <row r="827" spans="3:3" ht="12.75" customHeight="1">
      <c r="C827" s="748"/>
    </row>
    <row r="828" spans="3:3" ht="12.75" customHeight="1">
      <c r="C828" s="748"/>
    </row>
    <row r="829" spans="3:3" ht="12.75" customHeight="1">
      <c r="C829" s="748"/>
    </row>
    <row r="830" spans="3:3" ht="12.75" customHeight="1">
      <c r="C830" s="748"/>
    </row>
    <row r="831" spans="3:3" ht="12.75" customHeight="1">
      <c r="C831" s="748"/>
    </row>
    <row r="832" spans="3:3" ht="12.75" customHeight="1">
      <c r="C832" s="748"/>
    </row>
    <row r="833" spans="3:3" ht="12.75" customHeight="1">
      <c r="C833" s="748"/>
    </row>
    <row r="834" spans="3:3" ht="12.75" customHeight="1">
      <c r="C834" s="748"/>
    </row>
    <row r="835" spans="3:3" ht="12.75" customHeight="1">
      <c r="C835" s="748"/>
    </row>
    <row r="836" spans="3:3" ht="12.75" customHeight="1">
      <c r="C836" s="748"/>
    </row>
    <row r="837" spans="3:3" ht="12.75" customHeight="1">
      <c r="C837" s="748"/>
    </row>
    <row r="838" spans="3:3" ht="12.75" customHeight="1">
      <c r="C838" s="748"/>
    </row>
    <row r="839" spans="3:3" ht="12.75" customHeight="1">
      <c r="C839" s="748"/>
    </row>
    <row r="840" spans="3:3" ht="12.75" customHeight="1">
      <c r="C840" s="748"/>
    </row>
    <row r="841" spans="3:3" ht="12.75" customHeight="1">
      <c r="C841" s="748"/>
    </row>
    <row r="842" spans="3:3" ht="12.75" customHeight="1">
      <c r="C842" s="748"/>
    </row>
    <row r="843" spans="3:3" ht="12.75" customHeight="1">
      <c r="C843" s="748"/>
    </row>
    <row r="844" spans="3:3" ht="12.75" customHeight="1">
      <c r="C844" s="748"/>
    </row>
    <row r="845" spans="3:3" ht="12.75" customHeight="1">
      <c r="C845" s="748"/>
    </row>
    <row r="846" spans="3:3" ht="12.75" customHeight="1">
      <c r="C846" s="748"/>
    </row>
    <row r="847" spans="3:3" ht="12.75" customHeight="1">
      <c r="C847" s="748"/>
    </row>
    <row r="848" spans="3:3" ht="12.75" customHeight="1">
      <c r="C848" s="748"/>
    </row>
    <row r="849" spans="3:3" ht="12.75" customHeight="1">
      <c r="C849" s="748"/>
    </row>
    <row r="850" spans="3:3" ht="12.75" customHeight="1">
      <c r="C850" s="748"/>
    </row>
    <row r="851" spans="3:3" ht="12.75" customHeight="1">
      <c r="C851" s="748"/>
    </row>
    <row r="852" spans="3:3" ht="12.75" customHeight="1">
      <c r="C852" s="748"/>
    </row>
    <row r="853" spans="3:3" ht="12.75" customHeight="1">
      <c r="C853" s="748"/>
    </row>
    <row r="854" spans="3:3" ht="12.75" customHeight="1">
      <c r="C854" s="748"/>
    </row>
    <row r="855" spans="3:3" ht="12.75" customHeight="1">
      <c r="C855" s="748"/>
    </row>
    <row r="856" spans="3:3" ht="12.75" customHeight="1">
      <c r="C856" s="748"/>
    </row>
    <row r="857" spans="3:3" ht="12.75" customHeight="1">
      <c r="C857" s="748"/>
    </row>
    <row r="858" spans="3:3" ht="12.75" customHeight="1">
      <c r="C858" s="748"/>
    </row>
    <row r="859" spans="3:3" ht="12.75" customHeight="1">
      <c r="C859" s="748"/>
    </row>
    <row r="860" spans="3:3" ht="12.75" customHeight="1">
      <c r="C860" s="748"/>
    </row>
    <row r="861" spans="3:3" ht="12.75" customHeight="1">
      <c r="C861" s="748"/>
    </row>
    <row r="862" spans="3:3" ht="12.75" customHeight="1">
      <c r="C862" s="748"/>
    </row>
    <row r="863" spans="3:3" ht="12.75" customHeight="1">
      <c r="C863" s="748"/>
    </row>
    <row r="864" spans="3:3" ht="12.75" customHeight="1">
      <c r="C864" s="748"/>
    </row>
    <row r="865" spans="3:3" ht="12.75" customHeight="1">
      <c r="C865" s="748"/>
    </row>
    <row r="866" spans="3:3" ht="12.75" customHeight="1">
      <c r="C866" s="748"/>
    </row>
    <row r="867" spans="3:3" ht="12.75" customHeight="1">
      <c r="C867" s="748"/>
    </row>
    <row r="868" spans="3:3" ht="12.75" customHeight="1">
      <c r="C868" s="748"/>
    </row>
    <row r="869" spans="3:3" ht="12.75" customHeight="1">
      <c r="C869" s="748"/>
    </row>
    <row r="870" spans="3:3" ht="12.75" customHeight="1">
      <c r="C870" s="748"/>
    </row>
    <row r="871" spans="3:3" ht="12.75" customHeight="1">
      <c r="C871" s="748"/>
    </row>
    <row r="872" spans="3:3" ht="12.75" customHeight="1">
      <c r="C872" s="748"/>
    </row>
    <row r="873" spans="3:3" ht="12.75" customHeight="1">
      <c r="C873" s="748"/>
    </row>
    <row r="874" spans="3:3" ht="12.75" customHeight="1">
      <c r="C874" s="748"/>
    </row>
    <row r="875" spans="3:3" ht="12.75" customHeight="1">
      <c r="C875" s="748"/>
    </row>
    <row r="876" spans="3:3" ht="12.75" customHeight="1">
      <c r="C876" s="748"/>
    </row>
    <row r="877" spans="3:3" ht="12.75" customHeight="1">
      <c r="C877" s="748"/>
    </row>
    <row r="878" spans="3:3" ht="12.75" customHeight="1">
      <c r="C878" s="748"/>
    </row>
    <row r="879" spans="3:3" ht="12.75" customHeight="1">
      <c r="C879" s="748"/>
    </row>
    <row r="880" spans="3:3" ht="12.75" customHeight="1">
      <c r="C880" s="748"/>
    </row>
    <row r="881" spans="3:3" ht="12.75" customHeight="1">
      <c r="C881" s="748"/>
    </row>
    <row r="882" spans="3:3" ht="12.75" customHeight="1">
      <c r="C882" s="748"/>
    </row>
    <row r="883" spans="3:3" ht="12.75" customHeight="1">
      <c r="C883" s="748"/>
    </row>
    <row r="884" spans="3:3" ht="12.75" customHeight="1">
      <c r="C884" s="748"/>
    </row>
    <row r="885" spans="3:3" ht="12.75" customHeight="1">
      <c r="C885" s="748"/>
    </row>
    <row r="886" spans="3:3" ht="12.75" customHeight="1">
      <c r="C886" s="748"/>
    </row>
    <row r="887" spans="3:3" ht="12.75" customHeight="1">
      <c r="C887" s="748"/>
    </row>
    <row r="888" spans="3:3" ht="12.75" customHeight="1">
      <c r="C888" s="748"/>
    </row>
    <row r="889" spans="3:3" ht="12.75" customHeight="1">
      <c r="C889" s="748"/>
    </row>
    <row r="890" spans="3:3" ht="12.75" customHeight="1">
      <c r="C890" s="748"/>
    </row>
    <row r="891" spans="3:3" ht="12.75" customHeight="1">
      <c r="C891" s="748"/>
    </row>
    <row r="892" spans="3:3" ht="12.75" customHeight="1">
      <c r="C892" s="748"/>
    </row>
    <row r="893" spans="3:3" ht="12.75" customHeight="1">
      <c r="C893" s="748"/>
    </row>
    <row r="894" spans="3:3" ht="12.75" customHeight="1">
      <c r="C894" s="748"/>
    </row>
    <row r="895" spans="3:3" ht="12.75" customHeight="1">
      <c r="C895" s="748"/>
    </row>
    <row r="896" spans="3:3" ht="12.75" customHeight="1">
      <c r="C896" s="748"/>
    </row>
    <row r="897" spans="3:3" ht="12.75" customHeight="1">
      <c r="C897" s="748"/>
    </row>
    <row r="898" spans="3:3" ht="12.75" customHeight="1">
      <c r="C898" s="748"/>
    </row>
    <row r="899" spans="3:3" ht="12.75" customHeight="1">
      <c r="C899" s="748"/>
    </row>
    <row r="900" spans="3:3" ht="12.75" customHeight="1">
      <c r="C900" s="748"/>
    </row>
    <row r="901" spans="3:3" ht="12.75" customHeight="1">
      <c r="C901" s="748"/>
    </row>
    <row r="902" spans="3:3" ht="12.75" customHeight="1">
      <c r="C902" s="748"/>
    </row>
    <row r="903" spans="3:3" ht="12.75" customHeight="1">
      <c r="C903" s="748"/>
    </row>
    <row r="904" spans="3:3" ht="12.75" customHeight="1">
      <c r="C904" s="748"/>
    </row>
    <row r="905" spans="3:3" ht="12.75" customHeight="1">
      <c r="C905" s="748"/>
    </row>
    <row r="906" spans="3:3" ht="12.75" customHeight="1">
      <c r="C906" s="748"/>
    </row>
    <row r="907" spans="3:3" ht="12.75" customHeight="1">
      <c r="C907" s="748"/>
    </row>
    <row r="908" spans="3:3" ht="12.75" customHeight="1">
      <c r="C908" s="748"/>
    </row>
    <row r="909" spans="3:3" ht="12.75" customHeight="1">
      <c r="C909" s="748"/>
    </row>
    <row r="910" spans="3:3" ht="12.75" customHeight="1">
      <c r="C910" s="748"/>
    </row>
    <row r="911" spans="3:3" ht="12.75" customHeight="1">
      <c r="C911" s="748"/>
    </row>
    <row r="912" spans="3:3" ht="12.75" customHeight="1">
      <c r="C912" s="748"/>
    </row>
    <row r="913" spans="3:3" ht="12.75" customHeight="1">
      <c r="C913" s="748"/>
    </row>
    <row r="914" spans="3:3" ht="12.75" customHeight="1">
      <c r="C914" s="748"/>
    </row>
    <row r="915" spans="3:3" ht="12.75" customHeight="1">
      <c r="C915" s="748"/>
    </row>
    <row r="916" spans="3:3" ht="12.75" customHeight="1">
      <c r="C916" s="748"/>
    </row>
    <row r="917" spans="3:3" ht="12.75" customHeight="1">
      <c r="C917" s="748"/>
    </row>
    <row r="918" spans="3:3" ht="12.75" customHeight="1">
      <c r="C918" s="748"/>
    </row>
    <row r="919" spans="3:3" ht="12.75" customHeight="1">
      <c r="C919" s="748"/>
    </row>
    <row r="920" spans="3:3" ht="12.75" customHeight="1">
      <c r="C920" s="748"/>
    </row>
    <row r="921" spans="3:3" ht="12.75" customHeight="1">
      <c r="C921" s="748"/>
    </row>
    <row r="922" spans="3:3" ht="12.75" customHeight="1">
      <c r="C922" s="748"/>
    </row>
    <row r="923" spans="3:3" ht="12.75" customHeight="1">
      <c r="C923" s="748"/>
    </row>
    <row r="924" spans="3:3" ht="12.75" customHeight="1">
      <c r="C924" s="748"/>
    </row>
    <row r="925" spans="3:3" ht="12.75" customHeight="1">
      <c r="C925" s="748"/>
    </row>
    <row r="926" spans="3:3" ht="12.75" customHeight="1">
      <c r="C926" s="748"/>
    </row>
    <row r="927" spans="3:3" ht="12.75" customHeight="1">
      <c r="C927" s="748"/>
    </row>
    <row r="928" spans="3:3" ht="12.75" customHeight="1">
      <c r="C928" s="748"/>
    </row>
    <row r="929" spans="3:3" ht="12.75" customHeight="1">
      <c r="C929" s="748"/>
    </row>
    <row r="930" spans="3:3" ht="12.75" customHeight="1">
      <c r="C930" s="748"/>
    </row>
    <row r="931" spans="3:3" ht="12.75" customHeight="1">
      <c r="C931" s="748"/>
    </row>
    <row r="932" spans="3:3" ht="12.75" customHeight="1">
      <c r="C932" s="748"/>
    </row>
    <row r="933" spans="3:3" ht="12.75" customHeight="1">
      <c r="C933" s="748"/>
    </row>
    <row r="934" spans="3:3" ht="12.75" customHeight="1">
      <c r="C934" s="748"/>
    </row>
    <row r="935" spans="3:3" ht="12.75" customHeight="1">
      <c r="C935" s="748"/>
    </row>
    <row r="936" spans="3:3" ht="12.75" customHeight="1">
      <c r="C936" s="748"/>
    </row>
    <row r="937" spans="3:3" ht="12.75" customHeight="1">
      <c r="C937" s="748"/>
    </row>
    <row r="938" spans="3:3" ht="12.75" customHeight="1">
      <c r="C938" s="748"/>
    </row>
    <row r="939" spans="3:3" ht="12.75" customHeight="1">
      <c r="C939" s="748"/>
    </row>
    <row r="940" spans="3:3" ht="12.75" customHeight="1">
      <c r="C940" s="748"/>
    </row>
    <row r="941" spans="3:3" ht="12.75" customHeight="1">
      <c r="C941" s="748"/>
    </row>
    <row r="942" spans="3:3" ht="12.75" customHeight="1">
      <c r="C942" s="748"/>
    </row>
    <row r="943" spans="3:3" ht="12.75" customHeight="1">
      <c r="C943" s="748"/>
    </row>
    <row r="944" spans="3:3" ht="12.75" customHeight="1">
      <c r="C944" s="748"/>
    </row>
    <row r="945" spans="3:3" ht="12.75" customHeight="1">
      <c r="C945" s="748"/>
    </row>
    <row r="946" spans="3:3" ht="12.75" customHeight="1">
      <c r="C946" s="748"/>
    </row>
    <row r="947" spans="3:3" ht="12.75" customHeight="1">
      <c r="C947" s="748"/>
    </row>
    <row r="948" spans="3:3" ht="12.75" customHeight="1">
      <c r="C948" s="748"/>
    </row>
    <row r="949" spans="3:3" ht="12.75" customHeight="1">
      <c r="C949" s="748"/>
    </row>
    <row r="950" spans="3:3" ht="12.75" customHeight="1">
      <c r="C950" s="748"/>
    </row>
    <row r="951" spans="3:3" ht="12.75" customHeight="1">
      <c r="C951" s="748"/>
    </row>
    <row r="952" spans="3:3" ht="12.75" customHeight="1">
      <c r="C952" s="748"/>
    </row>
    <row r="953" spans="3:3" ht="12.75" customHeight="1">
      <c r="C953" s="748"/>
    </row>
    <row r="954" spans="3:3" ht="12.75" customHeight="1">
      <c r="C954" s="748"/>
    </row>
    <row r="955" spans="3:3" ht="12.75" customHeight="1">
      <c r="C955" s="748"/>
    </row>
    <row r="956" spans="3:3" ht="12.75" customHeight="1">
      <c r="C956" s="748"/>
    </row>
    <row r="957" spans="3:3" ht="12.75" customHeight="1">
      <c r="C957" s="748"/>
    </row>
    <row r="958" spans="3:3" ht="12.75" customHeight="1">
      <c r="C958" s="748"/>
    </row>
    <row r="959" spans="3:3" ht="12.75" customHeight="1">
      <c r="C959" s="748"/>
    </row>
    <row r="960" spans="3:3" ht="12.75" customHeight="1">
      <c r="C960" s="748"/>
    </row>
    <row r="961" spans="3:3" ht="12.75" customHeight="1">
      <c r="C961" s="748"/>
    </row>
    <row r="962" spans="3:3" ht="12.75" customHeight="1">
      <c r="C962" s="748"/>
    </row>
    <row r="963" spans="3:3" ht="12.75" customHeight="1">
      <c r="C963" s="748"/>
    </row>
    <row r="964" spans="3:3" ht="12.75" customHeight="1">
      <c r="C964" s="748"/>
    </row>
    <row r="965" spans="3:3" ht="12.75" customHeight="1">
      <c r="C965" s="748"/>
    </row>
    <row r="966" spans="3:3" ht="12.75" customHeight="1">
      <c r="C966" s="748"/>
    </row>
    <row r="967" spans="3:3" ht="12.75" customHeight="1">
      <c r="C967" s="748"/>
    </row>
    <row r="968" spans="3:3" ht="12.75" customHeight="1">
      <c r="C968" s="748"/>
    </row>
    <row r="969" spans="3:3" ht="12.75" customHeight="1">
      <c r="C969" s="748"/>
    </row>
    <row r="970" spans="3:3" ht="12.75" customHeight="1">
      <c r="C970" s="748"/>
    </row>
    <row r="971" spans="3:3" ht="12.75" customHeight="1">
      <c r="C971" s="748"/>
    </row>
    <row r="972" spans="3:3" ht="12.75" customHeight="1">
      <c r="C972" s="748"/>
    </row>
    <row r="973" spans="3:3" ht="12.75" customHeight="1">
      <c r="C973" s="748"/>
    </row>
    <row r="974" spans="3:3" ht="12.75" customHeight="1">
      <c r="C974" s="748"/>
    </row>
    <row r="975" spans="3:3" ht="12.75" customHeight="1">
      <c r="C975" s="748"/>
    </row>
    <row r="976" spans="3:3" ht="12.75" customHeight="1">
      <c r="C976" s="748"/>
    </row>
    <row r="977" spans="3:3" ht="12.75" customHeight="1">
      <c r="C977" s="748"/>
    </row>
    <row r="978" spans="3:3" ht="12.75" customHeight="1">
      <c r="C978" s="748"/>
    </row>
    <row r="979" spans="3:3" ht="12.75" customHeight="1">
      <c r="C979" s="748"/>
    </row>
    <row r="980" spans="3:3" ht="12.75" customHeight="1">
      <c r="C980" s="748"/>
    </row>
    <row r="981" spans="3:3" ht="12.75" customHeight="1">
      <c r="C981" s="748"/>
    </row>
    <row r="982" spans="3:3" ht="12.75" customHeight="1">
      <c r="C982" s="748"/>
    </row>
    <row r="983" spans="3:3" ht="12.75" customHeight="1">
      <c r="C983" s="748"/>
    </row>
    <row r="984" spans="3:3" ht="12.75" customHeight="1">
      <c r="C984" s="748"/>
    </row>
    <row r="985" spans="3:3" ht="12.75" customHeight="1">
      <c r="C985" s="748"/>
    </row>
    <row r="986" spans="3:3" ht="12.75" customHeight="1">
      <c r="C986" s="748"/>
    </row>
    <row r="987" spans="3:3" ht="12.75" customHeight="1">
      <c r="C987" s="748"/>
    </row>
    <row r="988" spans="3:3" ht="12.75" customHeight="1">
      <c r="C988" s="748"/>
    </row>
    <row r="989" spans="3:3" ht="12.75" customHeight="1">
      <c r="C989" s="748"/>
    </row>
    <row r="990" spans="3:3" ht="12.75" customHeight="1">
      <c r="C990" s="748"/>
    </row>
    <row r="991" spans="3:3" ht="12.75" customHeight="1">
      <c r="C991" s="748"/>
    </row>
    <row r="992" spans="3:3" ht="12.75" customHeight="1">
      <c r="C992" s="748"/>
    </row>
    <row r="993" spans="3:3" ht="12.75" customHeight="1">
      <c r="C993" s="748"/>
    </row>
    <row r="994" spans="3:3" ht="12.75" customHeight="1">
      <c r="C994" s="748"/>
    </row>
    <row r="995" spans="3:3" ht="12.75" customHeight="1">
      <c r="C995" s="748"/>
    </row>
    <row r="996" spans="3:3" ht="12.75" customHeight="1">
      <c r="C996" s="748"/>
    </row>
    <row r="997" spans="3:3" ht="12.75" customHeight="1">
      <c r="C997" s="748"/>
    </row>
    <row r="998" spans="3:3" ht="12.75" customHeight="1">
      <c r="C998" s="748"/>
    </row>
    <row r="999" spans="3:3" ht="12.75" customHeight="1">
      <c r="C999" s="748"/>
    </row>
    <row r="1000" spans="3:3" ht="12.75" customHeight="1">
      <c r="C1000" s="748"/>
    </row>
  </sheetData>
  <mergeCells count="3">
    <mergeCell ref="A52:C52"/>
    <mergeCell ref="A63:C63"/>
    <mergeCell ref="A77:AG77"/>
  </mergeCells>
  <dataValidations count="1">
    <dataValidation type="list" allowBlank="1" showErrorMessage="1" sqref="A52 A63" xr:uid="{00000000-0002-0000-0B00-000000000000}">
      <formula1>"(select),Above residual receipts line for cash flow,Below residual receipts line for cash flow"</formula1>
    </dataValidation>
  </dataValidations>
  <printOptions verticalCentered="1"/>
  <pageMargins left="0.7" right="0.7" top="0.75" bottom="0.75" header="0" footer="0"/>
  <pageSetup paperSize="5" orientation="landscape"/>
  <headerFooter>
    <oddFooter>&amp;C&amp;P&amp;R&amp;A</oddFooter>
  </headerFooter>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showGridLines="0" workbookViewId="0"/>
  </sheetViews>
  <sheetFormatPr defaultColWidth="12.6328125" defaultRowHeight="15" customHeight="1"/>
  <cols>
    <col min="1" max="1" width="161.7265625" customWidth="1"/>
    <col min="2" max="6" width="8.90625" hidden="1" customWidth="1"/>
    <col min="7" max="26" width="8.6328125" customWidth="1"/>
  </cols>
  <sheetData>
    <row r="1" spans="1:26" ht="12.75" customHeight="1">
      <c r="A1" s="816" t="s">
        <v>2648</v>
      </c>
      <c r="B1" s="1"/>
      <c r="C1" s="1"/>
      <c r="D1" s="1"/>
      <c r="E1" s="1"/>
      <c r="F1" s="1"/>
      <c r="G1" s="1"/>
      <c r="H1" s="1"/>
      <c r="I1" s="1"/>
      <c r="J1" s="1"/>
      <c r="K1" s="1"/>
      <c r="L1" s="1"/>
      <c r="M1" s="1"/>
      <c r="N1" s="1"/>
      <c r="O1" s="1"/>
      <c r="P1" s="1"/>
      <c r="Q1" s="1"/>
      <c r="R1" s="1"/>
      <c r="S1" s="1"/>
      <c r="T1" s="1"/>
      <c r="U1" s="1"/>
      <c r="V1" s="1"/>
      <c r="W1" s="1"/>
      <c r="X1" s="1"/>
      <c r="Y1" s="1"/>
      <c r="Z1" s="1"/>
    </row>
    <row r="2" spans="1:26" ht="12.75" customHeight="1">
      <c r="A2" s="818"/>
      <c r="B2" s="1"/>
      <c r="C2" s="1"/>
      <c r="D2" s="1"/>
      <c r="E2" s="1"/>
      <c r="F2" s="1"/>
      <c r="G2" s="1"/>
      <c r="H2" s="1"/>
      <c r="I2" s="1"/>
      <c r="J2" s="1"/>
      <c r="K2" s="1"/>
      <c r="L2" s="1"/>
      <c r="M2" s="1"/>
      <c r="N2" s="1"/>
      <c r="O2" s="1"/>
      <c r="P2" s="1"/>
      <c r="Q2" s="1"/>
      <c r="R2" s="1"/>
      <c r="S2" s="1"/>
      <c r="T2" s="1"/>
      <c r="U2" s="1"/>
      <c r="V2" s="1"/>
      <c r="W2" s="1"/>
      <c r="X2" s="1"/>
      <c r="Y2" s="1"/>
      <c r="Z2" s="1"/>
    </row>
    <row r="3" spans="1:26" ht="12.75" customHeight="1">
      <c r="A3" s="820" t="s">
        <v>2651</v>
      </c>
      <c r="B3" s="1"/>
      <c r="C3" s="1"/>
      <c r="D3" s="1"/>
      <c r="E3" s="1"/>
      <c r="F3" s="1"/>
      <c r="G3" s="1"/>
      <c r="H3" s="1"/>
      <c r="I3" s="1"/>
      <c r="J3" s="1"/>
      <c r="K3" s="1"/>
      <c r="L3" s="1"/>
      <c r="M3" s="1"/>
      <c r="N3" s="1"/>
      <c r="O3" s="1"/>
      <c r="P3" s="1"/>
      <c r="Q3" s="1"/>
      <c r="R3" s="1"/>
      <c r="S3" s="1"/>
      <c r="T3" s="1"/>
      <c r="U3" s="1"/>
      <c r="V3" s="1"/>
      <c r="W3" s="1"/>
      <c r="X3" s="1"/>
      <c r="Y3" s="1"/>
      <c r="Z3" s="1"/>
    </row>
    <row r="4" spans="1:26" ht="12.75" customHeight="1">
      <c r="A4" s="820" t="s">
        <v>2653</v>
      </c>
      <c r="B4" s="1"/>
      <c r="C4" s="1"/>
      <c r="D4" s="1"/>
      <c r="E4" s="1"/>
      <c r="F4" s="1"/>
      <c r="G4" s="1"/>
      <c r="H4" s="1"/>
      <c r="I4" s="1"/>
      <c r="J4" s="1"/>
      <c r="K4" s="1"/>
      <c r="L4" s="1"/>
      <c r="M4" s="1"/>
      <c r="N4" s="1"/>
      <c r="O4" s="1"/>
      <c r="P4" s="1"/>
      <c r="Q4" s="1"/>
      <c r="R4" s="1"/>
      <c r="S4" s="1"/>
      <c r="T4" s="1"/>
      <c r="U4" s="1"/>
      <c r="V4" s="1"/>
      <c r="W4" s="1"/>
      <c r="X4" s="1"/>
      <c r="Y4" s="1"/>
      <c r="Z4" s="1"/>
    </row>
    <row r="5" spans="1:26" ht="12.75" customHeight="1">
      <c r="A5" s="820" t="s">
        <v>2654</v>
      </c>
      <c r="B5" s="1"/>
      <c r="C5" s="1"/>
      <c r="D5" s="1"/>
      <c r="E5" s="1"/>
      <c r="F5" s="1"/>
      <c r="G5" s="1"/>
      <c r="H5" s="1"/>
      <c r="I5" s="1"/>
      <c r="J5" s="1"/>
      <c r="K5" s="1"/>
      <c r="L5" s="1"/>
      <c r="M5" s="1"/>
      <c r="N5" s="1"/>
      <c r="O5" s="1"/>
      <c r="P5" s="1"/>
      <c r="Q5" s="1"/>
      <c r="R5" s="1"/>
      <c r="S5" s="1"/>
      <c r="T5" s="1"/>
      <c r="U5" s="1"/>
      <c r="V5" s="1"/>
      <c r="W5" s="1"/>
      <c r="X5" s="1"/>
      <c r="Y5" s="1"/>
      <c r="Z5" s="1"/>
    </row>
    <row r="6" spans="1:26" ht="12.75" customHeight="1">
      <c r="A6" s="820" t="s">
        <v>2656</v>
      </c>
      <c r="B6" s="1"/>
      <c r="C6" s="1"/>
      <c r="D6" s="1"/>
      <c r="E6" s="1"/>
      <c r="F6" s="1"/>
      <c r="G6" s="1"/>
      <c r="H6" s="1"/>
      <c r="I6" s="1"/>
      <c r="J6" s="1"/>
      <c r="K6" s="1"/>
      <c r="L6" s="1"/>
      <c r="M6" s="1"/>
      <c r="N6" s="1"/>
      <c r="O6" s="1"/>
      <c r="P6" s="1"/>
      <c r="Q6" s="1"/>
      <c r="R6" s="1"/>
      <c r="S6" s="1"/>
      <c r="T6" s="1"/>
      <c r="U6" s="1"/>
      <c r="V6" s="1"/>
      <c r="W6" s="1"/>
      <c r="X6" s="1"/>
      <c r="Y6" s="1"/>
      <c r="Z6" s="1"/>
    </row>
    <row r="7" spans="1:26" ht="12.75" customHeight="1">
      <c r="A7" s="820" t="s">
        <v>2657</v>
      </c>
      <c r="B7" s="1"/>
      <c r="C7" s="1"/>
      <c r="D7" s="1"/>
      <c r="E7" s="1"/>
      <c r="F7" s="1"/>
      <c r="G7" s="1"/>
      <c r="H7" s="1"/>
      <c r="I7" s="1"/>
      <c r="J7" s="1"/>
      <c r="K7" s="1"/>
      <c r="L7" s="1"/>
      <c r="M7" s="1"/>
      <c r="N7" s="1"/>
      <c r="O7" s="1"/>
      <c r="P7" s="1"/>
      <c r="Q7" s="1"/>
      <c r="R7" s="1"/>
      <c r="S7" s="1"/>
      <c r="T7" s="1"/>
      <c r="U7" s="1"/>
      <c r="V7" s="1"/>
      <c r="W7" s="1"/>
      <c r="X7" s="1"/>
      <c r="Y7" s="1"/>
      <c r="Z7" s="1"/>
    </row>
    <row r="8" spans="1:26" ht="12.75" customHeight="1">
      <c r="A8" s="64" t="s">
        <v>2659</v>
      </c>
      <c r="B8" s="1"/>
      <c r="C8" s="1"/>
      <c r="D8" s="1"/>
      <c r="E8" s="1"/>
      <c r="F8" s="1"/>
      <c r="G8" s="1"/>
      <c r="H8" s="1"/>
      <c r="I8" s="1"/>
      <c r="J8" s="1"/>
      <c r="K8" s="1"/>
      <c r="L8" s="1"/>
      <c r="M8" s="1"/>
      <c r="N8" s="1"/>
      <c r="O8" s="1"/>
      <c r="P8" s="1"/>
      <c r="Q8" s="1"/>
      <c r="R8" s="1"/>
      <c r="S8" s="1"/>
      <c r="T8" s="1"/>
      <c r="U8" s="1"/>
      <c r="V8" s="1"/>
      <c r="W8" s="1"/>
      <c r="X8" s="1"/>
      <c r="Y8" s="1"/>
      <c r="Z8" s="1"/>
    </row>
    <row r="9" spans="1:26" ht="12.75" customHeight="1">
      <c r="A9" s="820" t="s">
        <v>2661</v>
      </c>
      <c r="B9" s="1"/>
      <c r="C9" s="1"/>
      <c r="D9" s="1"/>
      <c r="E9" s="1"/>
      <c r="F9" s="1"/>
      <c r="G9" s="1"/>
      <c r="H9" s="1"/>
      <c r="I9" s="1"/>
      <c r="J9" s="1"/>
      <c r="K9" s="1"/>
      <c r="L9" s="1"/>
      <c r="M9" s="1"/>
      <c r="N9" s="1"/>
      <c r="O9" s="1"/>
      <c r="P9" s="1"/>
      <c r="Q9" s="1"/>
      <c r="R9" s="1"/>
      <c r="S9" s="1"/>
      <c r="T9" s="1"/>
      <c r="U9" s="1"/>
      <c r="V9" s="1"/>
      <c r="W9" s="1"/>
      <c r="X9" s="1"/>
      <c r="Y9" s="1"/>
      <c r="Z9" s="1"/>
    </row>
    <row r="10" spans="1:26"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fitToWidth="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000"/>
  <sheetViews>
    <sheetView showGridLines="0" workbookViewId="0"/>
  </sheetViews>
  <sheetFormatPr defaultColWidth="12.6328125" defaultRowHeight="15" customHeight="1"/>
  <cols>
    <col min="1" max="1" width="35.7265625" customWidth="1"/>
    <col min="2" max="4" width="14.7265625" customWidth="1"/>
    <col min="5" max="5" width="50.7265625" customWidth="1"/>
    <col min="6" max="26" width="9.08984375" customWidth="1"/>
  </cols>
  <sheetData>
    <row r="1" spans="1:26" ht="18" customHeight="1">
      <c r="A1" s="819" t="s">
        <v>2650</v>
      </c>
      <c r="B1" s="143"/>
      <c r="C1" s="143"/>
      <c r="D1" s="143"/>
      <c r="E1" s="143"/>
      <c r="F1" s="143"/>
      <c r="G1" s="143"/>
      <c r="H1" s="143"/>
      <c r="I1" s="143"/>
      <c r="J1" s="143"/>
      <c r="K1" s="143"/>
      <c r="L1" s="143"/>
      <c r="M1" s="143"/>
      <c r="N1" s="143"/>
      <c r="O1" s="143"/>
      <c r="P1" s="143"/>
      <c r="Q1" s="143"/>
      <c r="R1" s="143"/>
      <c r="S1" s="143"/>
      <c r="T1" s="143"/>
      <c r="U1" s="143"/>
      <c r="V1" s="143"/>
      <c r="W1" s="143"/>
      <c r="X1" s="143"/>
      <c r="Y1" s="143"/>
      <c r="Z1" s="143"/>
    </row>
    <row r="2" spans="1:26" ht="12.75" customHeight="1">
      <c r="A2" s="66" t="s">
        <v>2655</v>
      </c>
      <c r="B2" s="67"/>
      <c r="C2" s="67"/>
      <c r="D2" s="67"/>
      <c r="E2" s="68"/>
      <c r="F2" s="67"/>
      <c r="G2" s="143"/>
      <c r="H2" s="143"/>
      <c r="I2" s="143"/>
      <c r="J2" s="143"/>
      <c r="K2" s="143"/>
      <c r="L2" s="143"/>
      <c r="M2" s="143"/>
      <c r="N2" s="143"/>
      <c r="O2" s="143"/>
      <c r="P2" s="143"/>
      <c r="Q2" s="143"/>
      <c r="R2" s="143"/>
      <c r="S2" s="143"/>
      <c r="T2" s="143"/>
      <c r="U2" s="143"/>
      <c r="V2" s="143"/>
      <c r="W2" s="143"/>
      <c r="X2" s="143"/>
      <c r="Y2" s="143"/>
      <c r="Z2" s="143"/>
    </row>
    <row r="3" spans="1:26" ht="80.25" customHeight="1">
      <c r="A3" s="821"/>
      <c r="B3" s="822" t="s">
        <v>2660</v>
      </c>
      <c r="C3" s="822" t="s">
        <v>2662</v>
      </c>
      <c r="D3" s="822" t="s">
        <v>2663</v>
      </c>
      <c r="E3" s="823" t="s">
        <v>2664</v>
      </c>
      <c r="F3" s="823"/>
      <c r="G3" s="804"/>
      <c r="H3" s="804"/>
      <c r="I3" s="804"/>
      <c r="J3" s="804"/>
      <c r="K3" s="804"/>
      <c r="L3" s="804"/>
      <c r="M3" s="804"/>
      <c r="N3" s="804"/>
      <c r="O3" s="804"/>
      <c r="P3" s="804"/>
      <c r="Q3" s="804"/>
      <c r="R3" s="804"/>
      <c r="S3" s="804"/>
      <c r="T3" s="804"/>
      <c r="U3" s="804"/>
      <c r="V3" s="804"/>
      <c r="W3" s="804"/>
      <c r="X3" s="804"/>
      <c r="Y3" s="804"/>
      <c r="Z3" s="804"/>
    </row>
    <row r="4" spans="1:26" ht="12.75" customHeight="1">
      <c r="A4" s="824" t="s">
        <v>451</v>
      </c>
      <c r="B4" s="824"/>
      <c r="C4" s="824"/>
      <c r="D4" s="824"/>
      <c r="E4" s="824"/>
      <c r="F4" s="824"/>
      <c r="G4" s="4"/>
      <c r="H4" s="4"/>
      <c r="I4" s="4"/>
      <c r="J4" s="4"/>
      <c r="K4" s="4"/>
      <c r="L4" s="4"/>
      <c r="M4" s="4"/>
      <c r="N4" s="4"/>
      <c r="O4" s="4"/>
      <c r="P4" s="4"/>
      <c r="Q4" s="4"/>
      <c r="R4" s="4"/>
      <c r="S4" s="4"/>
      <c r="T4" s="4"/>
      <c r="U4" s="4"/>
      <c r="V4" s="4"/>
      <c r="W4" s="4"/>
      <c r="X4" s="4"/>
      <c r="Y4" s="4"/>
      <c r="Z4" s="4"/>
    </row>
    <row r="5" spans="1:26" ht="12.75" customHeight="1">
      <c r="A5" s="82" t="s">
        <v>457</v>
      </c>
      <c r="B5" s="825">
        <f>'Sources and Uses Budget'!$C4</f>
        <v>6195898</v>
      </c>
      <c r="C5" s="825">
        <f>'Sources and Uses Budget'!$C4</f>
        <v>6195898</v>
      </c>
      <c r="D5" s="826">
        <f t="shared" ref="D5:D16" si="0">C5-B5</f>
        <v>0</v>
      </c>
      <c r="E5" s="827"/>
      <c r="F5" s="828"/>
      <c r="G5" s="4"/>
      <c r="H5" s="4"/>
      <c r="I5" s="4"/>
      <c r="J5" s="4"/>
      <c r="K5" s="4"/>
      <c r="L5" s="4"/>
      <c r="M5" s="4"/>
      <c r="N5" s="4"/>
      <c r="O5" s="4"/>
      <c r="P5" s="4"/>
      <c r="Q5" s="4"/>
      <c r="R5" s="4"/>
      <c r="S5" s="4"/>
      <c r="T5" s="4"/>
      <c r="U5" s="4"/>
      <c r="V5" s="4"/>
      <c r="W5" s="4"/>
      <c r="X5" s="4"/>
      <c r="Y5" s="4"/>
      <c r="Z5" s="4"/>
    </row>
    <row r="6" spans="1:26" ht="12.75" customHeight="1">
      <c r="A6" s="82" t="s">
        <v>444</v>
      </c>
      <c r="B6" s="825">
        <f>'Sources and Uses Budget'!$C5</f>
        <v>0</v>
      </c>
      <c r="C6" s="825">
        <f>'Sources and Uses Budget'!$C5</f>
        <v>0</v>
      </c>
      <c r="D6" s="826">
        <f t="shared" si="0"/>
        <v>0</v>
      </c>
      <c r="E6" s="827"/>
      <c r="F6" s="828"/>
      <c r="G6" s="4"/>
      <c r="H6" s="4"/>
      <c r="I6" s="4"/>
      <c r="J6" s="4"/>
      <c r="K6" s="4"/>
      <c r="L6" s="4"/>
      <c r="M6" s="4"/>
      <c r="N6" s="4"/>
      <c r="O6" s="4"/>
      <c r="P6" s="4"/>
      <c r="Q6" s="4"/>
      <c r="R6" s="4"/>
      <c r="S6" s="4"/>
      <c r="T6" s="4"/>
      <c r="U6" s="4"/>
      <c r="V6" s="4"/>
      <c r="W6" s="4"/>
      <c r="X6" s="4"/>
      <c r="Y6" s="4"/>
      <c r="Z6" s="4"/>
    </row>
    <row r="7" spans="1:26" ht="12.75" customHeight="1">
      <c r="A7" s="82" t="s">
        <v>469</v>
      </c>
      <c r="B7" s="825">
        <f>'Sources and Uses Budget'!$C6</f>
        <v>0</v>
      </c>
      <c r="C7" s="825">
        <f>'Sources and Uses Budget'!$C6</f>
        <v>0</v>
      </c>
      <c r="D7" s="826">
        <f t="shared" si="0"/>
        <v>0</v>
      </c>
      <c r="E7" s="827"/>
      <c r="F7" s="828"/>
      <c r="G7" s="4"/>
      <c r="H7" s="4"/>
      <c r="I7" s="4"/>
      <c r="J7" s="4"/>
      <c r="K7" s="4"/>
      <c r="L7" s="4"/>
      <c r="M7" s="4"/>
      <c r="N7" s="4"/>
      <c r="O7" s="4"/>
      <c r="P7" s="4"/>
      <c r="Q7" s="4"/>
      <c r="R7" s="4"/>
      <c r="S7" s="4"/>
      <c r="T7" s="4"/>
      <c r="U7" s="4"/>
      <c r="V7" s="4"/>
      <c r="W7" s="4"/>
      <c r="X7" s="4"/>
      <c r="Y7" s="4"/>
      <c r="Z7" s="4"/>
    </row>
    <row r="8" spans="1:26" ht="12.75" customHeight="1">
      <c r="A8" s="82" t="s">
        <v>472</v>
      </c>
      <c r="B8" s="825">
        <f>'Sources and Uses Budget'!$C7</f>
        <v>0</v>
      </c>
      <c r="C8" s="825">
        <f>'Sources and Uses Budget'!$C7</f>
        <v>0</v>
      </c>
      <c r="D8" s="826">
        <f t="shared" si="0"/>
        <v>0</v>
      </c>
      <c r="E8" s="827"/>
      <c r="F8" s="828"/>
      <c r="G8" s="4"/>
      <c r="H8" s="4"/>
      <c r="I8" s="4"/>
      <c r="J8" s="4"/>
      <c r="K8" s="4"/>
      <c r="L8" s="4"/>
      <c r="M8" s="4"/>
      <c r="N8" s="4"/>
      <c r="O8" s="4"/>
      <c r="P8" s="4"/>
      <c r="Q8" s="4"/>
      <c r="R8" s="4"/>
      <c r="S8" s="4"/>
      <c r="T8" s="4"/>
      <c r="U8" s="4"/>
      <c r="V8" s="4"/>
      <c r="W8" s="4"/>
      <c r="X8" s="4"/>
      <c r="Y8" s="4"/>
      <c r="Z8" s="4"/>
    </row>
    <row r="9" spans="1:26" ht="12.75" customHeight="1">
      <c r="A9" s="87" t="s">
        <v>475</v>
      </c>
      <c r="B9" s="826">
        <f t="shared" ref="B9:C9" si="1">SUM(B5:B8)</f>
        <v>6195898</v>
      </c>
      <c r="C9" s="826">
        <f t="shared" si="1"/>
        <v>6195898</v>
      </c>
      <c r="D9" s="826">
        <f t="shared" si="0"/>
        <v>0</v>
      </c>
      <c r="E9" s="827"/>
      <c r="F9" s="828"/>
      <c r="G9" s="4"/>
      <c r="H9" s="4"/>
      <c r="I9" s="4"/>
      <c r="J9" s="4"/>
      <c r="K9" s="4"/>
      <c r="L9" s="4"/>
      <c r="M9" s="4"/>
      <c r="N9" s="4"/>
      <c r="O9" s="4"/>
      <c r="P9" s="4"/>
      <c r="Q9" s="4"/>
      <c r="R9" s="4"/>
      <c r="S9" s="4"/>
      <c r="T9" s="4"/>
      <c r="U9" s="4"/>
      <c r="V9" s="4"/>
      <c r="W9" s="4"/>
      <c r="X9" s="4"/>
      <c r="Y9" s="4"/>
      <c r="Z9" s="4"/>
    </row>
    <row r="10" spans="1:26" ht="12.75" customHeight="1">
      <c r="A10" s="82" t="s">
        <v>482</v>
      </c>
      <c r="B10" s="825">
        <f>'Sources and Uses Budget'!$C9</f>
        <v>54804102</v>
      </c>
      <c r="C10" s="825">
        <f>'Sources and Uses Budget'!$C9</f>
        <v>54804102</v>
      </c>
      <c r="D10" s="826">
        <f t="shared" si="0"/>
        <v>0</v>
      </c>
      <c r="E10" s="827"/>
      <c r="F10" s="828"/>
      <c r="G10" s="4"/>
      <c r="H10" s="4"/>
      <c r="I10" s="4"/>
      <c r="J10" s="4"/>
      <c r="K10" s="4"/>
      <c r="L10" s="4"/>
      <c r="M10" s="4"/>
      <c r="N10" s="4"/>
      <c r="O10" s="4"/>
      <c r="P10" s="4"/>
      <c r="Q10" s="4"/>
      <c r="R10" s="4"/>
      <c r="S10" s="4"/>
      <c r="T10" s="4"/>
      <c r="U10" s="4"/>
      <c r="V10" s="4"/>
      <c r="W10" s="4"/>
      <c r="X10" s="4"/>
      <c r="Y10" s="4"/>
      <c r="Z10" s="4"/>
    </row>
    <row r="11" spans="1:26" ht="12.75" customHeight="1">
      <c r="A11" s="82" t="s">
        <v>484</v>
      </c>
      <c r="B11" s="825">
        <f>'Sources and Uses Budget'!$C10</f>
        <v>0</v>
      </c>
      <c r="C11" s="825">
        <f>'Sources and Uses Budget'!$C10</f>
        <v>0</v>
      </c>
      <c r="D11" s="826">
        <f t="shared" si="0"/>
        <v>0</v>
      </c>
      <c r="E11" s="827"/>
      <c r="F11" s="828"/>
      <c r="G11" s="4"/>
      <c r="H11" s="4"/>
      <c r="I11" s="4"/>
      <c r="J11" s="4"/>
      <c r="K11" s="4"/>
      <c r="L11" s="4"/>
      <c r="M11" s="4"/>
      <c r="N11" s="4"/>
      <c r="O11" s="4"/>
      <c r="P11" s="4"/>
      <c r="Q11" s="4"/>
      <c r="R11" s="4"/>
      <c r="S11" s="4"/>
      <c r="T11" s="4"/>
      <c r="U11" s="4"/>
      <c r="V11" s="4"/>
      <c r="W11" s="4"/>
      <c r="X11" s="4"/>
      <c r="Y11" s="4"/>
      <c r="Z11" s="4"/>
    </row>
    <row r="12" spans="1:26" ht="12.75" customHeight="1">
      <c r="A12" s="87" t="s">
        <v>486</v>
      </c>
      <c r="B12" s="826">
        <f t="shared" ref="B12:C12" si="2">SUM(B10:B11)</f>
        <v>54804102</v>
      </c>
      <c r="C12" s="826">
        <f t="shared" si="2"/>
        <v>54804102</v>
      </c>
      <c r="D12" s="826">
        <f t="shared" si="0"/>
        <v>0</v>
      </c>
      <c r="E12" s="827"/>
      <c r="F12" s="828"/>
      <c r="G12" s="4"/>
      <c r="H12" s="4"/>
      <c r="I12" s="4"/>
      <c r="J12" s="4"/>
      <c r="K12" s="4"/>
      <c r="L12" s="4"/>
      <c r="M12" s="4"/>
      <c r="N12" s="4"/>
      <c r="O12" s="4"/>
      <c r="P12" s="4"/>
      <c r="Q12" s="4"/>
      <c r="R12" s="4"/>
      <c r="S12" s="4"/>
      <c r="T12" s="4"/>
      <c r="U12" s="4"/>
      <c r="V12" s="4"/>
      <c r="W12" s="4"/>
      <c r="X12" s="4"/>
      <c r="Y12" s="4"/>
      <c r="Z12" s="4"/>
    </row>
    <row r="13" spans="1:26" ht="12.75" customHeight="1">
      <c r="A13" s="87" t="s">
        <v>490</v>
      </c>
      <c r="B13" s="826">
        <f t="shared" ref="B13:C13" si="3">SUM(B9+B12)</f>
        <v>61000000</v>
      </c>
      <c r="C13" s="826">
        <f t="shared" si="3"/>
        <v>61000000</v>
      </c>
      <c r="D13" s="826">
        <f t="shared" si="0"/>
        <v>0</v>
      </c>
      <c r="E13" s="827"/>
      <c r="F13" s="828"/>
      <c r="G13" s="4"/>
      <c r="H13" s="4"/>
      <c r="I13" s="4"/>
      <c r="J13" s="4"/>
      <c r="K13" s="4"/>
      <c r="L13" s="4"/>
      <c r="M13" s="4"/>
      <c r="N13" s="4"/>
      <c r="O13" s="4"/>
      <c r="P13" s="4"/>
      <c r="Q13" s="4"/>
      <c r="R13" s="4"/>
      <c r="S13" s="4"/>
      <c r="T13" s="4"/>
      <c r="U13" s="4"/>
      <c r="V13" s="4"/>
      <c r="W13" s="4"/>
      <c r="X13" s="4"/>
      <c r="Y13" s="4"/>
      <c r="Z13" s="4"/>
    </row>
    <row r="14" spans="1:26" ht="12.75" customHeight="1">
      <c r="A14" s="90" t="s">
        <v>492</v>
      </c>
      <c r="B14" s="825">
        <f>'Sources and Uses Budget'!$C13</f>
        <v>0</v>
      </c>
      <c r="C14" s="825">
        <f>'Sources and Uses Budget'!$C13</f>
        <v>0</v>
      </c>
      <c r="D14" s="826">
        <f t="shared" si="0"/>
        <v>0</v>
      </c>
      <c r="E14" s="827"/>
      <c r="F14" s="828"/>
      <c r="G14" s="4"/>
      <c r="H14" s="4"/>
      <c r="I14" s="4"/>
      <c r="J14" s="4"/>
      <c r="K14" s="4"/>
      <c r="L14" s="4"/>
      <c r="M14" s="4"/>
      <c r="N14" s="4"/>
      <c r="O14" s="4"/>
      <c r="P14" s="4"/>
      <c r="Q14" s="4"/>
      <c r="R14" s="4"/>
      <c r="S14" s="4"/>
      <c r="T14" s="4"/>
      <c r="U14" s="4"/>
      <c r="V14" s="4"/>
      <c r="W14" s="4"/>
      <c r="X14" s="4"/>
      <c r="Y14" s="4"/>
      <c r="Z14" s="4"/>
    </row>
    <row r="15" spans="1:26" ht="12.75" customHeight="1">
      <c r="A15" s="82" t="s">
        <v>853</v>
      </c>
      <c r="B15" s="825">
        <f>'Sources and Uses Budget'!$C14</f>
        <v>0</v>
      </c>
      <c r="C15" s="825">
        <f>'Sources and Uses Budget'!$C14</f>
        <v>0</v>
      </c>
      <c r="D15" s="826">
        <f t="shared" si="0"/>
        <v>0</v>
      </c>
      <c r="E15" s="827"/>
      <c r="F15" s="828"/>
      <c r="G15" s="4"/>
      <c r="H15" s="4"/>
      <c r="I15" s="4"/>
      <c r="J15" s="4"/>
      <c r="K15" s="4"/>
      <c r="L15" s="4"/>
      <c r="M15" s="4"/>
      <c r="N15" s="4"/>
      <c r="O15" s="4"/>
      <c r="P15" s="4"/>
      <c r="Q15" s="4"/>
      <c r="R15" s="4"/>
      <c r="S15" s="4"/>
      <c r="T15" s="4"/>
      <c r="U15" s="4"/>
      <c r="V15" s="4"/>
      <c r="W15" s="4"/>
      <c r="X15" s="4"/>
      <c r="Y15" s="4"/>
      <c r="Z15" s="4"/>
    </row>
    <row r="16" spans="1:26" ht="12.75" customHeight="1">
      <c r="A16" s="82" t="s">
        <v>498</v>
      </c>
      <c r="B16" s="825">
        <f>'Sources and Uses Budget'!$C15</f>
        <v>0</v>
      </c>
      <c r="C16" s="825">
        <f>'Sources and Uses Budget'!$C15</f>
        <v>0</v>
      </c>
      <c r="D16" s="826">
        <f t="shared" si="0"/>
        <v>0</v>
      </c>
      <c r="E16" s="827"/>
      <c r="F16" s="828"/>
      <c r="G16" s="4"/>
      <c r="H16" s="4"/>
      <c r="I16" s="4"/>
      <c r="J16" s="4"/>
      <c r="K16" s="4"/>
      <c r="L16" s="4"/>
      <c r="M16" s="4"/>
      <c r="N16" s="4"/>
      <c r="O16" s="4"/>
      <c r="P16" s="4"/>
      <c r="Q16" s="4"/>
      <c r="R16" s="4"/>
      <c r="S16" s="4"/>
      <c r="T16" s="4"/>
      <c r="U16" s="4"/>
      <c r="V16" s="4"/>
      <c r="W16" s="4"/>
      <c r="X16" s="4"/>
      <c r="Y16" s="4"/>
      <c r="Z16" s="4"/>
    </row>
    <row r="17" spans="1:26" ht="12.75" customHeight="1">
      <c r="A17" s="824" t="s">
        <v>502</v>
      </c>
      <c r="B17" s="824"/>
      <c r="C17" s="824"/>
      <c r="D17" s="824"/>
      <c r="E17" s="824"/>
      <c r="F17" s="824"/>
      <c r="G17" s="4"/>
      <c r="H17" s="4"/>
      <c r="I17" s="4"/>
      <c r="J17" s="4"/>
      <c r="K17" s="4"/>
      <c r="L17" s="4"/>
      <c r="M17" s="4"/>
      <c r="N17" s="4"/>
      <c r="O17" s="4"/>
      <c r="P17" s="4"/>
      <c r="Q17" s="4"/>
      <c r="R17" s="4"/>
      <c r="S17" s="4"/>
      <c r="T17" s="4"/>
      <c r="U17" s="4"/>
      <c r="V17" s="4"/>
      <c r="W17" s="4"/>
      <c r="X17" s="4"/>
      <c r="Y17" s="4"/>
      <c r="Z17" s="4"/>
    </row>
    <row r="18" spans="1:26" ht="12.75" customHeight="1">
      <c r="A18" s="82" t="s">
        <v>503</v>
      </c>
      <c r="B18" s="825">
        <f>'Sources and Uses Budget'!$C17</f>
        <v>0</v>
      </c>
      <c r="C18" s="825">
        <f>'Sources and Uses Budget'!$C17</f>
        <v>0</v>
      </c>
      <c r="D18" s="826">
        <f t="shared" ref="D18:D26" si="4">C18-B18</f>
        <v>0</v>
      </c>
      <c r="E18" s="827"/>
      <c r="F18" s="828"/>
      <c r="G18" s="4"/>
      <c r="H18" s="4"/>
      <c r="I18" s="4"/>
      <c r="J18" s="4"/>
      <c r="K18" s="4"/>
      <c r="L18" s="4"/>
      <c r="M18" s="4"/>
      <c r="N18" s="4"/>
      <c r="O18" s="4"/>
      <c r="P18" s="4"/>
      <c r="Q18" s="4"/>
      <c r="R18" s="4"/>
      <c r="S18" s="4"/>
      <c r="T18" s="4"/>
      <c r="U18" s="4"/>
      <c r="V18" s="4"/>
      <c r="W18" s="4"/>
      <c r="X18" s="4"/>
      <c r="Y18" s="4"/>
      <c r="Z18" s="4"/>
    </row>
    <row r="19" spans="1:26" ht="12.75" customHeight="1">
      <c r="A19" s="82" t="s">
        <v>508</v>
      </c>
      <c r="B19" s="825">
        <f>'Sources and Uses Budget'!$C18</f>
        <v>14100000</v>
      </c>
      <c r="C19" s="825">
        <f>'Sources and Uses Budget'!$C18</f>
        <v>14100000</v>
      </c>
      <c r="D19" s="826">
        <f t="shared" si="4"/>
        <v>0</v>
      </c>
      <c r="E19" s="827"/>
      <c r="F19" s="828"/>
      <c r="G19" s="4"/>
      <c r="H19" s="4"/>
      <c r="I19" s="4"/>
      <c r="J19" s="4"/>
      <c r="K19" s="4"/>
      <c r="L19" s="4"/>
      <c r="M19" s="4"/>
      <c r="N19" s="4"/>
      <c r="O19" s="4"/>
      <c r="P19" s="4"/>
      <c r="Q19" s="4"/>
      <c r="R19" s="4"/>
      <c r="S19" s="4"/>
      <c r="T19" s="4"/>
      <c r="U19" s="4"/>
      <c r="V19" s="4"/>
      <c r="W19" s="4"/>
      <c r="X19" s="4"/>
      <c r="Y19" s="4"/>
      <c r="Z19" s="4"/>
    </row>
    <row r="20" spans="1:26" ht="12.75" customHeight="1">
      <c r="A20" s="82" t="s">
        <v>511</v>
      </c>
      <c r="B20" s="825">
        <f>'Sources and Uses Budget'!$C19</f>
        <v>846000</v>
      </c>
      <c r="C20" s="825">
        <f>'Sources and Uses Budget'!$C19</f>
        <v>846000</v>
      </c>
      <c r="D20" s="826">
        <f t="shared" si="4"/>
        <v>0</v>
      </c>
      <c r="E20" s="827"/>
      <c r="F20" s="828"/>
      <c r="G20" s="4"/>
      <c r="H20" s="4"/>
      <c r="I20" s="4"/>
      <c r="J20" s="4"/>
      <c r="K20" s="4"/>
      <c r="L20" s="4"/>
      <c r="M20" s="4"/>
      <c r="N20" s="4"/>
      <c r="O20" s="4"/>
      <c r="P20" s="4"/>
      <c r="Q20" s="4"/>
      <c r="R20" s="4"/>
      <c r="S20" s="4"/>
      <c r="T20" s="4"/>
      <c r="U20" s="4"/>
      <c r="V20" s="4"/>
      <c r="W20" s="4"/>
      <c r="X20" s="4"/>
      <c r="Y20" s="4"/>
      <c r="Z20" s="4"/>
    </row>
    <row r="21" spans="1:26" ht="12.75" customHeight="1">
      <c r="A21" s="82" t="s">
        <v>513</v>
      </c>
      <c r="B21" s="825">
        <f>'Sources and Uses Budget'!$C20</f>
        <v>282000</v>
      </c>
      <c r="C21" s="825">
        <f>'Sources and Uses Budget'!$C20</f>
        <v>282000</v>
      </c>
      <c r="D21" s="826">
        <f t="shared" si="4"/>
        <v>0</v>
      </c>
      <c r="E21" s="827"/>
      <c r="F21" s="828"/>
      <c r="G21" s="4"/>
      <c r="H21" s="4"/>
      <c r="I21" s="4"/>
      <c r="J21" s="4"/>
      <c r="K21" s="4"/>
      <c r="L21" s="4"/>
      <c r="M21" s="4"/>
      <c r="N21" s="4"/>
      <c r="O21" s="4"/>
      <c r="P21" s="4"/>
      <c r="Q21" s="4"/>
      <c r="R21" s="4"/>
      <c r="S21" s="4"/>
      <c r="T21" s="4"/>
      <c r="U21" s="4"/>
      <c r="V21" s="4"/>
      <c r="W21" s="4"/>
      <c r="X21" s="4"/>
      <c r="Y21" s="4"/>
      <c r="Z21" s="4"/>
    </row>
    <row r="22" spans="1:26" ht="12.75" customHeight="1">
      <c r="A22" s="82" t="s">
        <v>515</v>
      </c>
      <c r="B22" s="825">
        <f>'Sources and Uses Budget'!$C21</f>
        <v>846000</v>
      </c>
      <c r="C22" s="825">
        <f>'Sources and Uses Budget'!$C21</f>
        <v>846000</v>
      </c>
      <c r="D22" s="826">
        <f t="shared" si="4"/>
        <v>0</v>
      </c>
      <c r="E22" s="827"/>
      <c r="F22" s="828"/>
      <c r="G22" s="4"/>
      <c r="H22" s="4"/>
      <c r="I22" s="4"/>
      <c r="J22" s="4"/>
      <c r="K22" s="4"/>
      <c r="L22" s="4"/>
      <c r="M22" s="4"/>
      <c r="N22" s="4"/>
      <c r="O22" s="4"/>
      <c r="P22" s="4"/>
      <c r="Q22" s="4"/>
      <c r="R22" s="4"/>
      <c r="S22" s="4"/>
      <c r="T22" s="4"/>
      <c r="U22" s="4"/>
      <c r="V22" s="4"/>
      <c r="W22" s="4"/>
      <c r="X22" s="4"/>
      <c r="Y22" s="4"/>
      <c r="Z22" s="4"/>
    </row>
    <row r="23" spans="1:26" ht="12.75" customHeight="1">
      <c r="A23" s="82" t="s">
        <v>517</v>
      </c>
      <c r="B23" s="825">
        <f>'Sources and Uses Budget'!$C22</f>
        <v>0</v>
      </c>
      <c r="C23" s="825">
        <f>'Sources and Uses Budget'!$C22</f>
        <v>0</v>
      </c>
      <c r="D23" s="826">
        <f t="shared" si="4"/>
        <v>0</v>
      </c>
      <c r="E23" s="827"/>
      <c r="F23" s="828"/>
      <c r="G23" s="4"/>
      <c r="H23" s="4"/>
      <c r="I23" s="4"/>
      <c r="J23" s="4"/>
      <c r="K23" s="4"/>
      <c r="L23" s="4"/>
      <c r="M23" s="4"/>
      <c r="N23" s="4"/>
      <c r="O23" s="4"/>
      <c r="P23" s="4"/>
      <c r="Q23" s="4"/>
      <c r="R23" s="4"/>
      <c r="S23" s="4"/>
      <c r="T23" s="4"/>
      <c r="U23" s="4"/>
      <c r="V23" s="4"/>
      <c r="W23" s="4"/>
      <c r="X23" s="4"/>
      <c r="Y23" s="4"/>
      <c r="Z23" s="4"/>
    </row>
    <row r="24" spans="1:26" ht="12.75" customHeight="1">
      <c r="A24" s="82" t="s">
        <v>519</v>
      </c>
      <c r="B24" s="825">
        <f>'Sources and Uses Budget'!$C23</f>
        <v>162150</v>
      </c>
      <c r="C24" s="825">
        <f>'Sources and Uses Budget'!$C23</f>
        <v>162150</v>
      </c>
      <c r="D24" s="826">
        <f t="shared" si="4"/>
        <v>0</v>
      </c>
      <c r="E24" s="827"/>
      <c r="F24" s="828"/>
      <c r="G24" s="4"/>
      <c r="H24" s="4"/>
      <c r="I24" s="4"/>
      <c r="J24" s="4"/>
      <c r="K24" s="4"/>
      <c r="L24" s="4"/>
      <c r="M24" s="4"/>
      <c r="N24" s="4"/>
      <c r="O24" s="4"/>
      <c r="P24" s="4"/>
      <c r="Q24" s="4"/>
      <c r="R24" s="4"/>
      <c r="S24" s="4"/>
      <c r="T24" s="4"/>
      <c r="U24" s="4"/>
      <c r="V24" s="4"/>
      <c r="W24" s="4"/>
      <c r="X24" s="4"/>
      <c r="Y24" s="4"/>
      <c r="Z24" s="4"/>
    </row>
    <row r="25" spans="1:26" ht="12.75" customHeight="1">
      <c r="A25" s="82" t="s">
        <v>522</v>
      </c>
      <c r="B25" s="825">
        <f>'Sources and Uses Budget'!$C24</f>
        <v>0</v>
      </c>
      <c r="C25" s="825">
        <f>'Sources and Uses Budget'!$C24</f>
        <v>0</v>
      </c>
      <c r="D25" s="826">
        <f t="shared" si="4"/>
        <v>0</v>
      </c>
      <c r="E25" s="827"/>
      <c r="F25" s="828"/>
      <c r="G25" s="4"/>
      <c r="H25" s="4"/>
      <c r="I25" s="4"/>
      <c r="J25" s="4"/>
      <c r="K25" s="4"/>
      <c r="L25" s="4"/>
      <c r="M25" s="4"/>
      <c r="N25" s="4"/>
      <c r="O25" s="4"/>
      <c r="P25" s="4"/>
      <c r="Q25" s="4"/>
      <c r="R25" s="4"/>
      <c r="S25" s="4"/>
      <c r="T25" s="4"/>
      <c r="U25" s="4"/>
      <c r="V25" s="4"/>
      <c r="W25" s="4"/>
      <c r="X25" s="4"/>
      <c r="Y25" s="4"/>
      <c r="Z25" s="4"/>
    </row>
    <row r="26" spans="1:26" ht="12.75" customHeight="1">
      <c r="A26" s="82" t="str">
        <f>'Sources and Uses Budget'!A25</f>
        <v>Other: Payment and Performance Bond</v>
      </c>
      <c r="B26" s="825">
        <f>'Sources and Uses Budget'!$C25</f>
        <v>162150</v>
      </c>
      <c r="C26" s="825">
        <f>'Sources and Uses Budget'!$C25</f>
        <v>162150</v>
      </c>
      <c r="D26" s="826">
        <f t="shared" si="4"/>
        <v>0</v>
      </c>
      <c r="E26" s="827"/>
      <c r="F26" s="828"/>
      <c r="G26" s="4"/>
      <c r="H26" s="4"/>
      <c r="I26" s="4"/>
      <c r="J26" s="4"/>
      <c r="K26" s="4"/>
      <c r="L26" s="4"/>
      <c r="M26" s="4"/>
      <c r="N26" s="4"/>
      <c r="O26" s="4"/>
      <c r="P26" s="4"/>
      <c r="Q26" s="4"/>
      <c r="R26" s="4"/>
      <c r="S26" s="4"/>
      <c r="T26" s="4"/>
      <c r="U26" s="4"/>
      <c r="V26" s="4"/>
      <c r="W26" s="4"/>
      <c r="X26" s="4"/>
      <c r="Y26" s="4"/>
      <c r="Z26" s="4"/>
    </row>
    <row r="27" spans="1:26" ht="12.75" customHeight="1">
      <c r="A27" s="832" t="s">
        <v>525</v>
      </c>
      <c r="B27" s="826">
        <f t="shared" ref="B27:D27" si="5">SUM(B18:B26)</f>
        <v>16398300</v>
      </c>
      <c r="C27" s="826">
        <f t="shared" si="5"/>
        <v>16398300</v>
      </c>
      <c r="D27" s="826">
        <f t="shared" si="5"/>
        <v>0</v>
      </c>
      <c r="E27" s="827"/>
      <c r="F27" s="828"/>
      <c r="G27" s="4"/>
      <c r="H27" s="4"/>
      <c r="I27" s="4"/>
      <c r="J27" s="4"/>
      <c r="K27" s="4"/>
      <c r="L27" s="4"/>
      <c r="M27" s="4"/>
      <c r="N27" s="4"/>
      <c r="O27" s="4"/>
      <c r="P27" s="4"/>
      <c r="Q27" s="4"/>
      <c r="R27" s="4"/>
      <c r="S27" s="4"/>
      <c r="T27" s="4"/>
      <c r="U27" s="4"/>
      <c r="V27" s="4"/>
      <c r="W27" s="4"/>
      <c r="X27" s="4"/>
      <c r="Y27" s="4"/>
      <c r="Z27" s="4"/>
    </row>
    <row r="28" spans="1:26" ht="12.75" customHeight="1">
      <c r="A28" s="832" t="s">
        <v>534</v>
      </c>
      <c r="B28" s="825">
        <f>'Sources and Uses Budget'!$C$27</f>
        <v>470000</v>
      </c>
      <c r="C28" s="825">
        <f>'Sources and Uses Budget'!$C$27</f>
        <v>470000</v>
      </c>
      <c r="D28" s="826">
        <f>C28-B28</f>
        <v>0</v>
      </c>
      <c r="E28" s="827"/>
      <c r="F28" s="828"/>
      <c r="G28" s="4"/>
      <c r="H28" s="4"/>
      <c r="I28" s="4"/>
      <c r="J28" s="4"/>
      <c r="K28" s="4"/>
      <c r="L28" s="4"/>
      <c r="M28" s="4"/>
      <c r="N28" s="4"/>
      <c r="O28" s="4"/>
      <c r="P28" s="4"/>
      <c r="Q28" s="4"/>
      <c r="R28" s="4"/>
      <c r="S28" s="4"/>
      <c r="T28" s="4"/>
      <c r="U28" s="4"/>
      <c r="V28" s="4"/>
      <c r="W28" s="4"/>
      <c r="X28" s="4"/>
      <c r="Y28" s="4"/>
      <c r="Z28" s="4"/>
    </row>
    <row r="29" spans="1:26" ht="12.75" customHeight="1">
      <c r="A29" s="824" t="s">
        <v>539</v>
      </c>
      <c r="B29" s="824"/>
      <c r="C29" s="824"/>
      <c r="D29" s="824"/>
      <c r="E29" s="824"/>
      <c r="F29" s="824"/>
      <c r="G29" s="4"/>
      <c r="H29" s="4"/>
      <c r="I29" s="4"/>
      <c r="J29" s="4"/>
      <c r="K29" s="4"/>
      <c r="L29" s="4"/>
      <c r="M29" s="4"/>
      <c r="N29" s="4"/>
      <c r="O29" s="4"/>
      <c r="P29" s="4"/>
      <c r="Q29" s="4"/>
      <c r="R29" s="4"/>
      <c r="S29" s="4"/>
      <c r="T29" s="4"/>
      <c r="U29" s="4"/>
      <c r="V29" s="4"/>
      <c r="W29" s="4"/>
      <c r="X29" s="4"/>
      <c r="Y29" s="4"/>
      <c r="Z29" s="4"/>
    </row>
    <row r="30" spans="1:26" ht="12.75" customHeight="1">
      <c r="A30" s="82" t="s">
        <v>503</v>
      </c>
      <c r="B30" s="825">
        <f>'Sources and Uses Budget'!$C29</f>
        <v>0</v>
      </c>
      <c r="C30" s="825">
        <f>'Sources and Uses Budget'!$C29</f>
        <v>0</v>
      </c>
      <c r="D30" s="826">
        <f t="shared" ref="D30:D36" si="6">C30-B30</f>
        <v>0</v>
      </c>
      <c r="E30" s="827"/>
      <c r="F30" s="828"/>
      <c r="G30" s="4"/>
      <c r="H30" s="4"/>
      <c r="I30" s="4"/>
      <c r="J30" s="4"/>
      <c r="K30" s="4"/>
      <c r="L30" s="4"/>
      <c r="M30" s="4"/>
      <c r="N30" s="4"/>
      <c r="O30" s="4"/>
      <c r="P30" s="4"/>
      <c r="Q30" s="4"/>
      <c r="R30" s="4"/>
      <c r="S30" s="4"/>
      <c r="T30" s="4"/>
      <c r="U30" s="4"/>
      <c r="V30" s="4"/>
      <c r="W30" s="4"/>
      <c r="X30" s="4"/>
      <c r="Y30" s="4"/>
      <c r="Z30" s="4"/>
    </row>
    <row r="31" spans="1:26" ht="12.75" customHeight="1">
      <c r="A31" s="82" t="s">
        <v>508</v>
      </c>
      <c r="B31" s="825">
        <f>'Sources and Uses Budget'!$C30</f>
        <v>0</v>
      </c>
      <c r="C31" s="825">
        <f>'Sources and Uses Budget'!$C30</f>
        <v>0</v>
      </c>
      <c r="D31" s="826">
        <f t="shared" si="6"/>
        <v>0</v>
      </c>
      <c r="E31" s="827"/>
      <c r="F31" s="828"/>
      <c r="G31" s="4"/>
      <c r="H31" s="4"/>
      <c r="I31" s="4"/>
      <c r="J31" s="4"/>
      <c r="K31" s="4"/>
      <c r="L31" s="4"/>
      <c r="M31" s="4"/>
      <c r="N31" s="4"/>
      <c r="O31" s="4"/>
      <c r="P31" s="4"/>
      <c r="Q31" s="4"/>
      <c r="R31" s="4"/>
      <c r="S31" s="4"/>
      <c r="T31" s="4"/>
      <c r="U31" s="4"/>
      <c r="V31" s="4"/>
      <c r="W31" s="4"/>
      <c r="X31" s="4"/>
      <c r="Y31" s="4"/>
      <c r="Z31" s="4"/>
    </row>
    <row r="32" spans="1:26" ht="12.75" customHeight="1">
      <c r="A32" s="82" t="s">
        <v>511</v>
      </c>
      <c r="B32" s="825">
        <f>'Sources and Uses Budget'!$C31</f>
        <v>0</v>
      </c>
      <c r="C32" s="825">
        <f>'Sources and Uses Budget'!$C31</f>
        <v>0</v>
      </c>
      <c r="D32" s="826">
        <f t="shared" si="6"/>
        <v>0</v>
      </c>
      <c r="E32" s="827"/>
      <c r="F32" s="828"/>
      <c r="G32" s="4"/>
      <c r="H32" s="4"/>
      <c r="I32" s="4"/>
      <c r="J32" s="4"/>
      <c r="K32" s="4"/>
      <c r="L32" s="4"/>
      <c r="M32" s="4"/>
      <c r="N32" s="4"/>
      <c r="O32" s="4"/>
      <c r="P32" s="4"/>
      <c r="Q32" s="4"/>
      <c r="R32" s="4"/>
      <c r="S32" s="4"/>
      <c r="T32" s="4"/>
      <c r="U32" s="4"/>
      <c r="V32" s="4"/>
      <c r="W32" s="4"/>
      <c r="X32" s="4"/>
      <c r="Y32" s="4"/>
      <c r="Z32" s="4"/>
    </row>
    <row r="33" spans="1:26" ht="12.75" customHeight="1">
      <c r="A33" s="82" t="s">
        <v>513</v>
      </c>
      <c r="B33" s="825">
        <f>'Sources and Uses Budget'!$C32</f>
        <v>0</v>
      </c>
      <c r="C33" s="825">
        <f>'Sources and Uses Budget'!$C32</f>
        <v>0</v>
      </c>
      <c r="D33" s="826">
        <f t="shared" si="6"/>
        <v>0</v>
      </c>
      <c r="E33" s="827"/>
      <c r="F33" s="828"/>
      <c r="G33" s="4"/>
      <c r="H33" s="4"/>
      <c r="I33" s="4"/>
      <c r="J33" s="4"/>
      <c r="K33" s="4"/>
      <c r="L33" s="4"/>
      <c r="M33" s="4"/>
      <c r="N33" s="4"/>
      <c r="O33" s="4"/>
      <c r="P33" s="4"/>
      <c r="Q33" s="4"/>
      <c r="R33" s="4"/>
      <c r="S33" s="4"/>
      <c r="T33" s="4"/>
      <c r="U33" s="4"/>
      <c r="V33" s="4"/>
      <c r="W33" s="4"/>
      <c r="X33" s="4"/>
      <c r="Y33" s="4"/>
      <c r="Z33" s="4"/>
    </row>
    <row r="34" spans="1:26" ht="12.75" customHeight="1">
      <c r="A34" s="82" t="s">
        <v>515</v>
      </c>
      <c r="B34" s="825">
        <f>'Sources and Uses Budget'!$C33</f>
        <v>0</v>
      </c>
      <c r="C34" s="825">
        <f>'Sources and Uses Budget'!$C33</f>
        <v>0</v>
      </c>
      <c r="D34" s="826">
        <f t="shared" si="6"/>
        <v>0</v>
      </c>
      <c r="E34" s="827"/>
      <c r="F34" s="828"/>
      <c r="G34" s="4"/>
      <c r="H34" s="4"/>
      <c r="I34" s="4"/>
      <c r="J34" s="4"/>
      <c r="K34" s="4"/>
      <c r="L34" s="4"/>
      <c r="M34" s="4"/>
      <c r="N34" s="4"/>
      <c r="O34" s="4"/>
      <c r="P34" s="4"/>
      <c r="Q34" s="4"/>
      <c r="R34" s="4"/>
      <c r="S34" s="4"/>
      <c r="T34" s="4"/>
      <c r="U34" s="4"/>
      <c r="V34" s="4"/>
      <c r="W34" s="4"/>
      <c r="X34" s="4"/>
      <c r="Y34" s="4"/>
      <c r="Z34" s="4"/>
    </row>
    <row r="35" spans="1:26" ht="12.75" customHeight="1">
      <c r="A35" s="82" t="s">
        <v>517</v>
      </c>
      <c r="B35" s="825">
        <f>'Sources and Uses Budget'!$C34</f>
        <v>0</v>
      </c>
      <c r="C35" s="825">
        <f>'Sources and Uses Budget'!$C34</f>
        <v>0</v>
      </c>
      <c r="D35" s="826">
        <f t="shared" si="6"/>
        <v>0</v>
      </c>
      <c r="E35" s="827"/>
      <c r="F35" s="828"/>
      <c r="G35" s="4"/>
      <c r="H35" s="4"/>
      <c r="I35" s="4"/>
      <c r="J35" s="4"/>
      <c r="K35" s="4"/>
      <c r="L35" s="4"/>
      <c r="M35" s="4"/>
      <c r="N35" s="4"/>
      <c r="O35" s="4"/>
      <c r="P35" s="4"/>
      <c r="Q35" s="4"/>
      <c r="R35" s="4"/>
      <c r="S35" s="4"/>
      <c r="T35" s="4"/>
      <c r="U35" s="4"/>
      <c r="V35" s="4"/>
      <c r="W35" s="4"/>
      <c r="X35" s="4"/>
      <c r="Y35" s="4"/>
      <c r="Z35" s="4"/>
    </row>
    <row r="36" spans="1:26" ht="12.75" customHeight="1">
      <c r="A36" s="82" t="s">
        <v>519</v>
      </c>
      <c r="B36" s="825">
        <f>'Sources and Uses Budget'!$C35</f>
        <v>0</v>
      </c>
      <c r="C36" s="825">
        <f>'Sources and Uses Budget'!$C35</f>
        <v>0</v>
      </c>
      <c r="D36" s="826">
        <f t="shared" si="6"/>
        <v>0</v>
      </c>
      <c r="E36" s="827"/>
      <c r="F36" s="828"/>
      <c r="G36" s="4"/>
      <c r="H36" s="4"/>
      <c r="I36" s="4"/>
      <c r="J36" s="4"/>
      <c r="K36" s="4"/>
      <c r="L36" s="4"/>
      <c r="M36" s="4"/>
      <c r="N36" s="4"/>
      <c r="O36" s="4"/>
      <c r="P36" s="4"/>
      <c r="Q36" s="4"/>
      <c r="R36" s="4"/>
      <c r="S36" s="4"/>
      <c r="T36" s="4"/>
      <c r="U36" s="4"/>
      <c r="V36" s="4"/>
      <c r="W36" s="4"/>
      <c r="X36" s="4"/>
      <c r="Y36" s="4"/>
      <c r="Z36" s="4"/>
    </row>
    <row r="37" spans="1:26" ht="12.75" customHeight="1">
      <c r="A37" s="82" t="s">
        <v>522</v>
      </c>
      <c r="B37" s="825">
        <f>'Sources and Uses Budget'!$C36</f>
        <v>0</v>
      </c>
      <c r="C37" s="825">
        <f>'Sources and Uses Budget'!$C36</f>
        <v>0</v>
      </c>
      <c r="D37" s="826"/>
      <c r="E37" s="827"/>
      <c r="F37" s="828"/>
      <c r="G37" s="4"/>
      <c r="H37" s="4"/>
      <c r="I37" s="4"/>
      <c r="J37" s="4"/>
      <c r="K37" s="4"/>
      <c r="L37" s="4"/>
      <c r="M37" s="4"/>
      <c r="N37" s="4"/>
      <c r="O37" s="4"/>
      <c r="P37" s="4"/>
      <c r="Q37" s="4"/>
      <c r="R37" s="4"/>
      <c r="S37" s="4"/>
      <c r="T37" s="4"/>
      <c r="U37" s="4"/>
      <c r="V37" s="4"/>
      <c r="W37" s="4"/>
      <c r="X37" s="4"/>
      <c r="Y37" s="4"/>
      <c r="Z37" s="4"/>
    </row>
    <row r="38" spans="1:26" ht="12.75" customHeight="1">
      <c r="A38" s="82" t="str">
        <f>'Sources and Uses Budget'!A37</f>
        <v>Other: (Specify)</v>
      </c>
      <c r="B38" s="825">
        <f>'Sources and Uses Budget'!$C37</f>
        <v>0</v>
      </c>
      <c r="C38" s="825">
        <f>'Sources and Uses Budget'!$C37</f>
        <v>0</v>
      </c>
      <c r="D38" s="826">
        <f t="shared" ref="D38:D39" si="7">C38-B38</f>
        <v>0</v>
      </c>
      <c r="E38" s="827"/>
      <c r="F38" s="828"/>
      <c r="G38" s="4"/>
      <c r="H38" s="4"/>
      <c r="I38" s="4"/>
      <c r="J38" s="4"/>
      <c r="K38" s="4"/>
      <c r="L38" s="4"/>
      <c r="M38" s="4"/>
      <c r="N38" s="4"/>
      <c r="O38" s="4"/>
      <c r="P38" s="4"/>
      <c r="Q38" s="4"/>
      <c r="R38" s="4"/>
      <c r="S38" s="4"/>
      <c r="T38" s="4"/>
      <c r="U38" s="4"/>
      <c r="V38" s="4"/>
      <c r="W38" s="4"/>
      <c r="X38" s="4"/>
      <c r="Y38" s="4"/>
      <c r="Z38" s="4"/>
    </row>
    <row r="39" spans="1:26" ht="12.75" customHeight="1">
      <c r="A39" s="832" t="s">
        <v>554</v>
      </c>
      <c r="B39" s="826">
        <f t="shared" ref="B39:C39" si="8">SUM(B30:B38)</f>
        <v>0</v>
      </c>
      <c r="C39" s="826">
        <f t="shared" si="8"/>
        <v>0</v>
      </c>
      <c r="D39" s="826">
        <f t="shared" si="7"/>
        <v>0</v>
      </c>
      <c r="E39" s="827"/>
      <c r="F39" s="828"/>
      <c r="G39" s="4"/>
      <c r="H39" s="4"/>
      <c r="I39" s="4"/>
      <c r="J39" s="4"/>
      <c r="K39" s="4"/>
      <c r="L39" s="4"/>
      <c r="M39" s="4"/>
      <c r="N39" s="4"/>
      <c r="O39" s="4"/>
      <c r="P39" s="4"/>
      <c r="Q39" s="4"/>
      <c r="R39" s="4"/>
      <c r="S39" s="4"/>
      <c r="T39" s="4"/>
      <c r="U39" s="4"/>
      <c r="V39" s="4"/>
      <c r="W39" s="4"/>
      <c r="X39" s="4"/>
      <c r="Y39" s="4"/>
      <c r="Z39" s="4"/>
    </row>
    <row r="40" spans="1:26" ht="12.75" customHeight="1">
      <c r="A40" s="824" t="s">
        <v>557</v>
      </c>
      <c r="B40" s="824"/>
      <c r="C40" s="824"/>
      <c r="D40" s="824"/>
      <c r="E40" s="824"/>
      <c r="F40" s="824"/>
      <c r="G40" s="4"/>
      <c r="H40" s="4"/>
      <c r="I40" s="4"/>
      <c r="J40" s="4"/>
      <c r="K40" s="4"/>
      <c r="L40" s="4"/>
      <c r="M40" s="4"/>
      <c r="N40" s="4"/>
      <c r="O40" s="4"/>
      <c r="P40" s="4"/>
      <c r="Q40" s="4"/>
      <c r="R40" s="4"/>
      <c r="S40" s="4"/>
      <c r="T40" s="4"/>
      <c r="U40" s="4"/>
      <c r="V40" s="4"/>
      <c r="W40" s="4"/>
      <c r="X40" s="4"/>
      <c r="Y40" s="4"/>
      <c r="Z40" s="4"/>
    </row>
    <row r="41" spans="1:26" ht="12.75" customHeight="1">
      <c r="A41" s="833" t="s">
        <v>559</v>
      </c>
      <c r="B41" s="825">
        <f>'Sources and Uses Budget'!$C40</f>
        <v>150000</v>
      </c>
      <c r="C41" s="825">
        <f>'Sources and Uses Budget'!$C40</f>
        <v>150000</v>
      </c>
      <c r="D41" s="826">
        <f t="shared" ref="D41:D44" si="9">C41-B41</f>
        <v>0</v>
      </c>
      <c r="E41" s="827"/>
      <c r="F41" s="828"/>
      <c r="G41" s="4"/>
      <c r="H41" s="4"/>
      <c r="I41" s="4"/>
      <c r="J41" s="4"/>
      <c r="K41" s="4"/>
      <c r="L41" s="4"/>
      <c r="M41" s="4"/>
      <c r="N41" s="4"/>
      <c r="O41" s="4"/>
      <c r="P41" s="4"/>
      <c r="Q41" s="4"/>
      <c r="R41" s="4"/>
      <c r="S41" s="4"/>
      <c r="T41" s="4"/>
      <c r="U41" s="4"/>
      <c r="V41" s="4"/>
      <c r="W41" s="4"/>
      <c r="X41" s="4"/>
      <c r="Y41" s="4"/>
      <c r="Z41" s="4"/>
    </row>
    <row r="42" spans="1:26" ht="12.75" customHeight="1">
      <c r="A42" s="833" t="s">
        <v>562</v>
      </c>
      <c r="B42" s="825">
        <f>'Sources and Uses Budget'!$C41</f>
        <v>0</v>
      </c>
      <c r="C42" s="825">
        <f>'Sources and Uses Budget'!$C41</f>
        <v>0</v>
      </c>
      <c r="D42" s="826">
        <f t="shared" si="9"/>
        <v>0</v>
      </c>
      <c r="E42" s="827"/>
      <c r="F42" s="828"/>
      <c r="G42" s="4"/>
      <c r="H42" s="4"/>
      <c r="I42" s="4"/>
      <c r="J42" s="4"/>
      <c r="K42" s="4"/>
      <c r="L42" s="4"/>
      <c r="M42" s="4"/>
      <c r="N42" s="4"/>
      <c r="O42" s="4"/>
      <c r="P42" s="4"/>
      <c r="Q42" s="4"/>
      <c r="R42" s="4"/>
      <c r="S42" s="4"/>
      <c r="T42" s="4"/>
      <c r="U42" s="4"/>
      <c r="V42" s="4"/>
      <c r="W42" s="4"/>
      <c r="X42" s="4"/>
      <c r="Y42" s="4"/>
      <c r="Z42" s="4"/>
    </row>
    <row r="43" spans="1:26" ht="12.75" customHeight="1">
      <c r="A43" s="832" t="s">
        <v>564</v>
      </c>
      <c r="B43" s="826">
        <f t="shared" ref="B43:C43" si="10">SUM(B41:B42)</f>
        <v>150000</v>
      </c>
      <c r="C43" s="826">
        <f t="shared" si="10"/>
        <v>150000</v>
      </c>
      <c r="D43" s="826">
        <f t="shared" si="9"/>
        <v>0</v>
      </c>
      <c r="E43" s="827"/>
      <c r="F43" s="828"/>
      <c r="G43" s="4"/>
      <c r="H43" s="4"/>
      <c r="I43" s="4"/>
      <c r="J43" s="4"/>
      <c r="K43" s="4"/>
      <c r="L43" s="4"/>
      <c r="M43" s="4"/>
      <c r="N43" s="4"/>
      <c r="O43" s="4"/>
      <c r="P43" s="4"/>
      <c r="Q43" s="4"/>
      <c r="R43" s="4"/>
      <c r="S43" s="4"/>
      <c r="T43" s="4"/>
      <c r="U43" s="4"/>
      <c r="V43" s="4"/>
      <c r="W43" s="4"/>
      <c r="X43" s="4"/>
      <c r="Y43" s="4"/>
      <c r="Z43" s="4"/>
    </row>
    <row r="44" spans="1:26" ht="12.75" customHeight="1">
      <c r="A44" s="832" t="s">
        <v>566</v>
      </c>
      <c r="B44" s="825">
        <f>'Sources and Uses Budget'!$C43</f>
        <v>80000</v>
      </c>
      <c r="C44" s="825">
        <f>'Sources and Uses Budget'!$C43</f>
        <v>80000</v>
      </c>
      <c r="D44" s="826">
        <f t="shared" si="9"/>
        <v>0</v>
      </c>
      <c r="E44" s="827"/>
      <c r="F44" s="828"/>
      <c r="G44" s="4"/>
      <c r="H44" s="4"/>
      <c r="I44" s="4"/>
      <c r="J44" s="4"/>
      <c r="K44" s="4"/>
      <c r="L44" s="4"/>
      <c r="M44" s="4"/>
      <c r="N44" s="4"/>
      <c r="O44" s="4"/>
      <c r="P44" s="4"/>
      <c r="Q44" s="4"/>
      <c r="R44" s="4"/>
      <c r="S44" s="4"/>
      <c r="T44" s="4"/>
      <c r="U44" s="4"/>
      <c r="V44" s="4"/>
      <c r="W44" s="4"/>
      <c r="X44" s="4"/>
      <c r="Y44" s="4"/>
      <c r="Z44" s="4"/>
    </row>
    <row r="45" spans="1:26" ht="12" customHeight="1">
      <c r="A45" s="824" t="s">
        <v>568</v>
      </c>
      <c r="B45" s="824"/>
      <c r="C45" s="824"/>
      <c r="D45" s="824"/>
      <c r="E45" s="824"/>
      <c r="F45" s="824"/>
      <c r="G45" s="4"/>
      <c r="H45" s="4"/>
      <c r="I45" s="4"/>
      <c r="J45" s="4"/>
      <c r="K45" s="4"/>
      <c r="L45" s="4"/>
      <c r="M45" s="4"/>
      <c r="N45" s="4"/>
      <c r="O45" s="4"/>
      <c r="P45" s="4"/>
      <c r="Q45" s="4"/>
      <c r="R45" s="4"/>
      <c r="S45" s="4"/>
      <c r="T45" s="4"/>
      <c r="U45" s="4"/>
      <c r="V45" s="4"/>
      <c r="W45" s="4"/>
      <c r="X45" s="4"/>
      <c r="Y45" s="4"/>
      <c r="Z45" s="4"/>
    </row>
    <row r="46" spans="1:26" ht="12.75" customHeight="1">
      <c r="A46" s="82" t="s">
        <v>569</v>
      </c>
      <c r="B46" s="825">
        <f>'Sources and Uses Budget'!$C45</f>
        <v>8010412</v>
      </c>
      <c r="C46" s="825">
        <f>'Sources and Uses Budget'!$C45</f>
        <v>8010412</v>
      </c>
      <c r="D46" s="826">
        <f t="shared" ref="D46:D55" si="11">C46-B46</f>
        <v>0</v>
      </c>
      <c r="E46" s="827"/>
      <c r="F46" s="828"/>
      <c r="G46" s="4"/>
      <c r="H46" s="4"/>
      <c r="I46" s="4"/>
      <c r="J46" s="4"/>
      <c r="K46" s="4"/>
      <c r="L46" s="4"/>
      <c r="M46" s="4"/>
      <c r="N46" s="4"/>
      <c r="O46" s="4"/>
      <c r="P46" s="4"/>
      <c r="Q46" s="4"/>
      <c r="R46" s="4"/>
      <c r="S46" s="4"/>
      <c r="T46" s="4"/>
      <c r="U46" s="4"/>
      <c r="V46" s="4"/>
      <c r="W46" s="4"/>
      <c r="X46" s="4"/>
      <c r="Y46" s="4"/>
      <c r="Z46" s="4"/>
    </row>
    <row r="47" spans="1:26" ht="12.75" customHeight="1">
      <c r="A47" s="82" t="s">
        <v>573</v>
      </c>
      <c r="B47" s="825">
        <f>'Sources and Uses Budget'!$C46</f>
        <v>635520</v>
      </c>
      <c r="C47" s="825">
        <f>'Sources and Uses Budget'!$C46</f>
        <v>635520</v>
      </c>
      <c r="D47" s="826">
        <f t="shared" si="11"/>
        <v>0</v>
      </c>
      <c r="E47" s="827"/>
      <c r="F47" s="828"/>
      <c r="G47" s="4"/>
      <c r="H47" s="4"/>
      <c r="I47" s="4"/>
      <c r="J47" s="4"/>
      <c r="K47" s="4"/>
      <c r="L47" s="4"/>
      <c r="M47" s="4"/>
      <c r="N47" s="4"/>
      <c r="O47" s="4"/>
      <c r="P47" s="4"/>
      <c r="Q47" s="4"/>
      <c r="R47" s="4"/>
      <c r="S47" s="4"/>
      <c r="T47" s="4"/>
      <c r="U47" s="4"/>
      <c r="V47" s="4"/>
      <c r="W47" s="4"/>
      <c r="X47" s="4"/>
      <c r="Y47" s="4"/>
      <c r="Z47" s="4"/>
    </row>
    <row r="48" spans="1:26" ht="12" customHeight="1">
      <c r="A48" s="90" t="s">
        <v>574</v>
      </c>
      <c r="B48" s="825">
        <f>'Sources and Uses Budget'!$C47</f>
        <v>0</v>
      </c>
      <c r="C48" s="825">
        <f>'Sources and Uses Budget'!$C47</f>
        <v>0</v>
      </c>
      <c r="D48" s="826">
        <f t="shared" si="11"/>
        <v>0</v>
      </c>
      <c r="E48" s="827"/>
      <c r="F48" s="828"/>
      <c r="G48" s="4"/>
      <c r="H48" s="4"/>
      <c r="I48" s="4"/>
      <c r="J48" s="4"/>
      <c r="K48" s="4"/>
      <c r="L48" s="4"/>
      <c r="M48" s="4"/>
      <c r="N48" s="4"/>
      <c r="O48" s="4"/>
      <c r="P48" s="4"/>
      <c r="Q48" s="4"/>
      <c r="R48" s="4"/>
      <c r="S48" s="4"/>
      <c r="T48" s="4"/>
      <c r="U48" s="4"/>
      <c r="V48" s="4"/>
      <c r="W48" s="4"/>
      <c r="X48" s="4"/>
      <c r="Y48" s="4"/>
      <c r="Z48" s="4"/>
    </row>
    <row r="49" spans="1:26" ht="12.75" customHeight="1">
      <c r="A49" s="82" t="s">
        <v>576</v>
      </c>
      <c r="B49" s="825">
        <f>'Sources and Uses Budget'!$C48</f>
        <v>0</v>
      </c>
      <c r="C49" s="825">
        <f>'Sources and Uses Budget'!$C48</f>
        <v>0</v>
      </c>
      <c r="D49" s="826">
        <f t="shared" si="11"/>
        <v>0</v>
      </c>
      <c r="E49" s="827"/>
      <c r="F49" s="828"/>
      <c r="G49" s="4"/>
      <c r="H49" s="4"/>
      <c r="I49" s="4"/>
      <c r="J49" s="4"/>
      <c r="K49" s="4"/>
      <c r="L49" s="4"/>
      <c r="M49" s="4"/>
      <c r="N49" s="4"/>
      <c r="O49" s="4"/>
      <c r="P49" s="4"/>
      <c r="Q49" s="4"/>
      <c r="R49" s="4"/>
      <c r="S49" s="4"/>
      <c r="T49" s="4"/>
      <c r="U49" s="4"/>
      <c r="V49" s="4"/>
      <c r="W49" s="4"/>
      <c r="X49" s="4"/>
      <c r="Y49" s="4"/>
      <c r="Z49" s="4"/>
    </row>
    <row r="50" spans="1:26" ht="12.75" customHeight="1">
      <c r="A50" s="82" t="s">
        <v>580</v>
      </c>
      <c r="B50" s="825">
        <f>'Sources and Uses Budget'!$C49</f>
        <v>275776</v>
      </c>
      <c r="C50" s="825">
        <f>'Sources and Uses Budget'!$C49</f>
        <v>275776</v>
      </c>
      <c r="D50" s="826">
        <f t="shared" si="11"/>
        <v>0</v>
      </c>
      <c r="E50" s="827"/>
      <c r="F50" s="828"/>
      <c r="G50" s="4"/>
      <c r="H50" s="4"/>
      <c r="I50" s="4"/>
      <c r="J50" s="4"/>
      <c r="K50" s="4"/>
      <c r="L50" s="4"/>
      <c r="M50" s="4"/>
      <c r="N50" s="4"/>
      <c r="O50" s="4"/>
      <c r="P50" s="4"/>
      <c r="Q50" s="4"/>
      <c r="R50" s="4"/>
      <c r="S50" s="4"/>
      <c r="T50" s="4"/>
      <c r="U50" s="4"/>
      <c r="V50" s="4"/>
      <c r="W50" s="4"/>
      <c r="X50" s="4"/>
      <c r="Y50" s="4"/>
      <c r="Z50" s="4"/>
    </row>
    <row r="51" spans="1:26" ht="12.75" customHeight="1">
      <c r="A51" s="82" t="s">
        <v>584</v>
      </c>
      <c r="B51" s="825">
        <f>'Sources and Uses Budget'!$C50</f>
        <v>150000</v>
      </c>
      <c r="C51" s="825">
        <f>'Sources and Uses Budget'!$C50</f>
        <v>150000</v>
      </c>
      <c r="D51" s="826">
        <f t="shared" si="11"/>
        <v>0</v>
      </c>
      <c r="E51" s="827"/>
      <c r="F51" s="828"/>
      <c r="G51" s="4"/>
      <c r="H51" s="4"/>
      <c r="I51" s="4"/>
      <c r="J51" s="4"/>
      <c r="K51" s="4"/>
      <c r="L51" s="4"/>
      <c r="M51" s="4"/>
      <c r="N51" s="4"/>
      <c r="O51" s="4"/>
      <c r="P51" s="4"/>
      <c r="Q51" s="4"/>
      <c r="R51" s="4"/>
      <c r="S51" s="4"/>
      <c r="T51" s="4"/>
      <c r="U51" s="4"/>
      <c r="V51" s="4"/>
      <c r="W51" s="4"/>
      <c r="X51" s="4"/>
      <c r="Y51" s="4"/>
      <c r="Z51" s="4"/>
    </row>
    <row r="52" spans="1:26" ht="12.75" customHeight="1">
      <c r="A52" s="82" t="s">
        <v>585</v>
      </c>
      <c r="B52" s="825">
        <f>'Sources and Uses Budget'!$C51</f>
        <v>0</v>
      </c>
      <c r="C52" s="825">
        <f>'Sources and Uses Budget'!$C51</f>
        <v>0</v>
      </c>
      <c r="D52" s="826">
        <f t="shared" si="11"/>
        <v>0</v>
      </c>
      <c r="E52" s="827"/>
      <c r="F52" s="828"/>
      <c r="G52" s="4"/>
      <c r="H52" s="4"/>
      <c r="I52" s="4"/>
      <c r="J52" s="4"/>
      <c r="K52" s="4"/>
      <c r="L52" s="4"/>
      <c r="M52" s="4"/>
      <c r="N52" s="4"/>
      <c r="O52" s="4"/>
      <c r="P52" s="4"/>
      <c r="Q52" s="4"/>
      <c r="R52" s="4"/>
      <c r="S52" s="4"/>
      <c r="T52" s="4"/>
      <c r="U52" s="4"/>
      <c r="V52" s="4"/>
      <c r="W52" s="4"/>
      <c r="X52" s="4"/>
      <c r="Y52" s="4"/>
      <c r="Z52" s="4"/>
    </row>
    <row r="53" spans="1:26" ht="12.75" customHeight="1">
      <c r="A53" s="82" t="s">
        <v>587</v>
      </c>
      <c r="B53" s="825">
        <f>'Sources and Uses Budget'!$C52</f>
        <v>141000</v>
      </c>
      <c r="C53" s="825">
        <f>'Sources and Uses Budget'!$C52</f>
        <v>141000</v>
      </c>
      <c r="D53" s="826">
        <f t="shared" si="11"/>
        <v>0</v>
      </c>
      <c r="E53" s="827"/>
      <c r="F53" s="828"/>
      <c r="G53" s="4"/>
      <c r="H53" s="4"/>
      <c r="I53" s="4"/>
      <c r="J53" s="4"/>
      <c r="K53" s="4"/>
      <c r="L53" s="4"/>
      <c r="M53" s="4"/>
      <c r="N53" s="4"/>
      <c r="O53" s="4"/>
      <c r="P53" s="4"/>
      <c r="Q53" s="4"/>
      <c r="R53" s="4"/>
      <c r="S53" s="4"/>
      <c r="T53" s="4"/>
      <c r="U53" s="4"/>
      <c r="V53" s="4"/>
      <c r="W53" s="4"/>
      <c r="X53" s="4"/>
      <c r="Y53" s="4"/>
      <c r="Z53" s="4"/>
    </row>
    <row r="54" spans="1:26" ht="12.75" customHeight="1">
      <c r="A54" s="82" t="str">
        <f>'Sources and Uses Budget'!A53</f>
        <v>Other: Loan Closing Costs /Underwriting</v>
      </c>
      <c r="B54" s="825">
        <f>'Sources and Uses Budget'!$C53</f>
        <v>450000</v>
      </c>
      <c r="C54" s="825">
        <f>'Sources and Uses Budget'!$C53</f>
        <v>450000</v>
      </c>
      <c r="D54" s="826">
        <f t="shared" si="11"/>
        <v>0</v>
      </c>
      <c r="E54" s="827"/>
      <c r="F54" s="828"/>
      <c r="G54" s="4"/>
      <c r="H54" s="4"/>
      <c r="I54" s="4"/>
      <c r="J54" s="4"/>
      <c r="K54" s="4"/>
      <c r="L54" s="4"/>
      <c r="M54" s="4"/>
      <c r="N54" s="4"/>
      <c r="O54" s="4"/>
      <c r="P54" s="4"/>
      <c r="Q54" s="4"/>
      <c r="R54" s="4"/>
      <c r="S54" s="4"/>
      <c r="T54" s="4"/>
      <c r="U54" s="4"/>
      <c r="V54" s="4"/>
      <c r="W54" s="4"/>
      <c r="X54" s="4"/>
      <c r="Y54" s="4"/>
      <c r="Z54" s="4"/>
    </row>
    <row r="55" spans="1:26" ht="12.75" customHeight="1">
      <c r="A55" s="832" t="s">
        <v>593</v>
      </c>
      <c r="B55" s="834">
        <f t="shared" ref="B55:C55" si="12">SUM(B46:B54)</f>
        <v>9662708</v>
      </c>
      <c r="C55" s="834">
        <f t="shared" si="12"/>
        <v>9662708</v>
      </c>
      <c r="D55" s="826">
        <f t="shared" si="11"/>
        <v>0</v>
      </c>
      <c r="E55" s="827"/>
      <c r="F55" s="828"/>
      <c r="G55" s="132"/>
      <c r="H55" s="132"/>
      <c r="I55" s="132"/>
      <c r="J55" s="132"/>
      <c r="K55" s="132"/>
      <c r="L55" s="132"/>
      <c r="M55" s="132"/>
      <c r="N55" s="132"/>
      <c r="O55" s="132"/>
      <c r="P55" s="132"/>
      <c r="Q55" s="132"/>
      <c r="R55" s="132"/>
      <c r="S55" s="132"/>
      <c r="T55" s="132"/>
      <c r="U55" s="132"/>
      <c r="V55" s="132"/>
      <c r="W55" s="132"/>
      <c r="X55" s="132"/>
      <c r="Y55" s="132"/>
      <c r="Z55" s="132"/>
    </row>
    <row r="56" spans="1:26" ht="12.75" customHeight="1">
      <c r="A56" s="824" t="s">
        <v>598</v>
      </c>
      <c r="B56" s="824"/>
      <c r="C56" s="824"/>
      <c r="D56" s="824"/>
      <c r="E56" s="824"/>
      <c r="F56" s="824"/>
      <c r="G56" s="4"/>
      <c r="H56" s="4"/>
      <c r="I56" s="4"/>
      <c r="J56" s="4"/>
      <c r="K56" s="4"/>
      <c r="L56" s="4"/>
      <c r="M56" s="4"/>
      <c r="N56" s="4"/>
      <c r="O56" s="4"/>
      <c r="P56" s="4"/>
      <c r="Q56" s="4"/>
      <c r="R56" s="4"/>
      <c r="S56" s="4"/>
      <c r="T56" s="4"/>
      <c r="U56" s="4"/>
      <c r="V56" s="4"/>
      <c r="W56" s="4"/>
      <c r="X56" s="4"/>
      <c r="Y56" s="4"/>
      <c r="Z56" s="4"/>
    </row>
    <row r="57" spans="1:26" ht="12.75" customHeight="1">
      <c r="A57" s="833" t="s">
        <v>602</v>
      </c>
      <c r="B57" s="825">
        <f>'Sources and Uses Budget'!$C56</f>
        <v>0</v>
      </c>
      <c r="C57" s="825">
        <f>'Sources and Uses Budget'!$C56</f>
        <v>0</v>
      </c>
      <c r="D57" s="826">
        <f t="shared" ref="D57:D64" si="13">C57-B57</f>
        <v>0</v>
      </c>
      <c r="E57" s="827"/>
      <c r="F57" s="828"/>
      <c r="G57" s="4"/>
      <c r="H57" s="4"/>
      <c r="I57" s="4"/>
      <c r="J57" s="4"/>
      <c r="K57" s="4"/>
      <c r="L57" s="4"/>
      <c r="M57" s="4"/>
      <c r="N57" s="4"/>
      <c r="O57" s="4"/>
      <c r="P57" s="4"/>
      <c r="Q57" s="4"/>
      <c r="R57" s="4"/>
      <c r="S57" s="4"/>
      <c r="T57" s="4"/>
      <c r="U57" s="4"/>
      <c r="V57" s="4"/>
      <c r="W57" s="4"/>
      <c r="X57" s="4"/>
      <c r="Y57" s="4"/>
      <c r="Z57" s="4"/>
    </row>
    <row r="58" spans="1:26" ht="12" customHeight="1">
      <c r="A58" s="833" t="s">
        <v>574</v>
      </c>
      <c r="B58" s="825">
        <f>'Sources and Uses Budget'!$C57</f>
        <v>0</v>
      </c>
      <c r="C58" s="825">
        <f>'Sources and Uses Budget'!$C57</f>
        <v>0</v>
      </c>
      <c r="D58" s="826">
        <f t="shared" si="13"/>
        <v>0</v>
      </c>
      <c r="E58" s="827"/>
      <c r="F58" s="828"/>
      <c r="G58" s="4"/>
      <c r="H58" s="4"/>
      <c r="I58" s="4"/>
      <c r="J58" s="4"/>
      <c r="K58" s="4"/>
      <c r="L58" s="4"/>
      <c r="M58" s="4"/>
      <c r="N58" s="4"/>
      <c r="O58" s="4"/>
      <c r="P58" s="4"/>
      <c r="Q58" s="4"/>
      <c r="R58" s="4"/>
      <c r="S58" s="4"/>
      <c r="T58" s="4"/>
      <c r="U58" s="4"/>
      <c r="V58" s="4"/>
      <c r="W58" s="4"/>
      <c r="X58" s="4"/>
      <c r="Y58" s="4"/>
      <c r="Z58" s="4"/>
    </row>
    <row r="59" spans="1:26" ht="12.75" customHeight="1">
      <c r="A59" s="833" t="s">
        <v>584</v>
      </c>
      <c r="B59" s="825">
        <f>'Sources and Uses Budget'!$C58</f>
        <v>0</v>
      </c>
      <c r="C59" s="825">
        <f>'Sources and Uses Budget'!$C58</f>
        <v>0</v>
      </c>
      <c r="D59" s="826">
        <f t="shared" si="13"/>
        <v>0</v>
      </c>
      <c r="E59" s="827"/>
      <c r="F59" s="828"/>
      <c r="G59" s="4"/>
      <c r="H59" s="4"/>
      <c r="I59" s="4"/>
      <c r="J59" s="4"/>
      <c r="K59" s="4"/>
      <c r="L59" s="4"/>
      <c r="M59" s="4"/>
      <c r="N59" s="4"/>
      <c r="O59" s="4"/>
      <c r="P59" s="4"/>
      <c r="Q59" s="4"/>
      <c r="R59" s="4"/>
      <c r="S59" s="4"/>
      <c r="T59" s="4"/>
      <c r="U59" s="4"/>
      <c r="V59" s="4"/>
      <c r="W59" s="4"/>
      <c r="X59" s="4"/>
      <c r="Y59" s="4"/>
      <c r="Z59" s="4"/>
    </row>
    <row r="60" spans="1:26" ht="12.75" customHeight="1">
      <c r="A60" s="833" t="s">
        <v>585</v>
      </c>
      <c r="B60" s="825">
        <f>'Sources and Uses Budget'!$C59</f>
        <v>0</v>
      </c>
      <c r="C60" s="825">
        <f>'Sources and Uses Budget'!$C59</f>
        <v>0</v>
      </c>
      <c r="D60" s="826">
        <f t="shared" si="13"/>
        <v>0</v>
      </c>
      <c r="E60" s="827"/>
      <c r="F60" s="828"/>
      <c r="G60" s="4"/>
      <c r="H60" s="4"/>
      <c r="I60" s="4"/>
      <c r="J60" s="4"/>
      <c r="K60" s="4"/>
      <c r="L60" s="4"/>
      <c r="M60" s="4"/>
      <c r="N60" s="4"/>
      <c r="O60" s="4"/>
      <c r="P60" s="4"/>
      <c r="Q60" s="4"/>
      <c r="R60" s="4"/>
      <c r="S60" s="4"/>
      <c r="T60" s="4"/>
      <c r="U60" s="4"/>
      <c r="V60" s="4"/>
      <c r="W60" s="4"/>
      <c r="X60" s="4"/>
      <c r="Y60" s="4"/>
      <c r="Z60" s="4"/>
    </row>
    <row r="61" spans="1:26" ht="12.75" customHeight="1">
      <c r="A61" s="833" t="s">
        <v>587</v>
      </c>
      <c r="B61" s="825">
        <f>'Sources and Uses Budget'!$C60</f>
        <v>0</v>
      </c>
      <c r="C61" s="825">
        <f>'Sources and Uses Budget'!$C60</f>
        <v>0</v>
      </c>
      <c r="D61" s="826">
        <f t="shared" si="13"/>
        <v>0</v>
      </c>
      <c r="E61" s="827"/>
      <c r="F61" s="828"/>
      <c r="G61" s="4"/>
      <c r="H61" s="4"/>
      <c r="I61" s="4"/>
      <c r="J61" s="4"/>
      <c r="K61" s="4"/>
      <c r="L61" s="4"/>
      <c r="M61" s="4"/>
      <c r="N61" s="4"/>
      <c r="O61" s="4"/>
      <c r="P61" s="4"/>
      <c r="Q61" s="4"/>
      <c r="R61" s="4"/>
      <c r="S61" s="4"/>
      <c r="T61" s="4"/>
      <c r="U61" s="4"/>
      <c r="V61" s="4"/>
      <c r="W61" s="4"/>
      <c r="X61" s="4"/>
      <c r="Y61" s="4"/>
      <c r="Z61" s="4"/>
    </row>
    <row r="62" spans="1:26" ht="12.75" customHeight="1">
      <c r="A62" s="833" t="str">
        <f>'Sources and Uses Budget'!A61</f>
        <v>Other: (Specify)</v>
      </c>
      <c r="B62" s="825">
        <f>'Sources and Uses Budget'!$C61</f>
        <v>0</v>
      </c>
      <c r="C62" s="825">
        <f>'Sources and Uses Budget'!$C61</f>
        <v>0</v>
      </c>
      <c r="D62" s="826">
        <f t="shared" si="13"/>
        <v>0</v>
      </c>
      <c r="E62" s="827"/>
      <c r="F62" s="828"/>
      <c r="G62" s="4"/>
      <c r="H62" s="4"/>
      <c r="I62" s="4"/>
      <c r="J62" s="4"/>
      <c r="K62" s="4"/>
      <c r="L62" s="4"/>
      <c r="M62" s="4"/>
      <c r="N62" s="4"/>
      <c r="O62" s="4"/>
      <c r="P62" s="4"/>
      <c r="Q62" s="4"/>
      <c r="R62" s="4"/>
      <c r="S62" s="4"/>
      <c r="T62" s="4"/>
      <c r="U62" s="4"/>
      <c r="V62" s="4"/>
      <c r="W62" s="4"/>
      <c r="X62" s="4"/>
      <c r="Y62" s="4"/>
      <c r="Z62" s="4"/>
    </row>
    <row r="63" spans="1:26" ht="13.5" customHeight="1">
      <c r="A63" s="832" t="s">
        <v>611</v>
      </c>
      <c r="B63" s="826">
        <f t="shared" ref="B63:C63" si="14">SUM(B57:B62)</f>
        <v>0</v>
      </c>
      <c r="C63" s="826">
        <f t="shared" si="14"/>
        <v>0</v>
      </c>
      <c r="D63" s="826">
        <f t="shared" si="13"/>
        <v>0</v>
      </c>
      <c r="E63" s="827"/>
      <c r="F63" s="828"/>
      <c r="G63" s="4"/>
      <c r="H63" s="4"/>
      <c r="I63" s="4"/>
      <c r="J63" s="4"/>
      <c r="K63" s="4"/>
      <c r="L63" s="4"/>
      <c r="M63" s="4"/>
      <c r="N63" s="4"/>
      <c r="O63" s="4"/>
      <c r="P63" s="4"/>
      <c r="Q63" s="4"/>
      <c r="R63" s="4"/>
      <c r="S63" s="4"/>
      <c r="T63" s="4"/>
      <c r="U63" s="4"/>
      <c r="V63" s="4"/>
      <c r="W63" s="4"/>
      <c r="X63" s="4"/>
      <c r="Y63" s="4"/>
      <c r="Z63" s="4"/>
    </row>
    <row r="64" spans="1:26" ht="12.75" customHeight="1">
      <c r="A64" s="836" t="s">
        <v>616</v>
      </c>
      <c r="B64" s="826">
        <f t="shared" ref="B64:C64" si="15">SUM(B9+B12+B14+B15+B17+B26+B28+B39+B43+B44+B55+B63)</f>
        <v>71524858</v>
      </c>
      <c r="C64" s="826">
        <f t="shared" si="15"/>
        <v>71524858</v>
      </c>
      <c r="D64" s="826">
        <f t="shared" si="13"/>
        <v>0</v>
      </c>
      <c r="E64" s="827"/>
      <c r="F64" s="828"/>
      <c r="G64" s="4"/>
      <c r="H64" s="4"/>
      <c r="I64" s="4"/>
      <c r="J64" s="4"/>
      <c r="K64" s="4"/>
      <c r="L64" s="4"/>
      <c r="M64" s="4"/>
      <c r="N64" s="4"/>
      <c r="O64" s="4"/>
      <c r="P64" s="4"/>
      <c r="Q64" s="4"/>
      <c r="R64" s="4"/>
      <c r="S64" s="4"/>
      <c r="T64" s="4"/>
      <c r="U64" s="4"/>
      <c r="V64" s="4"/>
      <c r="W64" s="4"/>
      <c r="X64" s="4"/>
      <c r="Y64" s="4"/>
      <c r="Z64" s="4"/>
    </row>
    <row r="65" spans="1:26" ht="12.75" customHeight="1">
      <c r="A65" s="78" t="s">
        <v>626</v>
      </c>
      <c r="B65" s="824"/>
      <c r="C65" s="824"/>
      <c r="D65" s="824"/>
      <c r="E65" s="824"/>
      <c r="F65" s="824"/>
      <c r="G65" s="4"/>
      <c r="H65" s="4"/>
      <c r="I65" s="4"/>
      <c r="J65" s="4"/>
      <c r="K65" s="4"/>
      <c r="L65" s="4"/>
      <c r="M65" s="4"/>
      <c r="N65" s="4"/>
      <c r="O65" s="4"/>
      <c r="P65" s="4"/>
      <c r="Q65" s="4"/>
      <c r="R65" s="4"/>
      <c r="S65" s="4"/>
      <c r="T65" s="4"/>
      <c r="U65" s="4"/>
      <c r="V65" s="4"/>
      <c r="W65" s="4"/>
      <c r="X65" s="4"/>
      <c r="Y65" s="4"/>
      <c r="Z65" s="4"/>
    </row>
    <row r="66" spans="1:26" ht="12.75" customHeight="1">
      <c r="A66" s="82" t="s">
        <v>628</v>
      </c>
      <c r="B66" s="825">
        <f>'Sources and Uses Budget'!$C65</f>
        <v>100000</v>
      </c>
      <c r="C66" s="825">
        <f>'Sources and Uses Budget'!$C65</f>
        <v>100000</v>
      </c>
      <c r="D66" s="826">
        <f>C66-B66</f>
        <v>0</v>
      </c>
      <c r="E66" s="827"/>
      <c r="F66" s="828"/>
      <c r="G66" s="4"/>
      <c r="H66" s="4"/>
      <c r="I66" s="4"/>
      <c r="J66" s="4"/>
      <c r="K66" s="4"/>
      <c r="L66" s="4"/>
      <c r="M66" s="4"/>
      <c r="N66" s="4"/>
      <c r="O66" s="4"/>
      <c r="P66" s="4"/>
      <c r="Q66" s="4"/>
      <c r="R66" s="4"/>
      <c r="S66" s="4"/>
      <c r="T66" s="4"/>
      <c r="U66" s="4"/>
      <c r="V66" s="4"/>
      <c r="W66" s="4"/>
      <c r="X66" s="4"/>
      <c r="Y66" s="4"/>
      <c r="Z66" s="4"/>
    </row>
    <row r="67" spans="1:26" ht="12.75" customHeight="1">
      <c r="A67" s="82" t="s">
        <v>632</v>
      </c>
      <c r="B67" s="825">
        <f>'Sources and Uses Budget'!$C66</f>
        <v>0</v>
      </c>
      <c r="C67" s="825">
        <f>'Sources and Uses Budget'!$C66</f>
        <v>0</v>
      </c>
      <c r="D67" s="826"/>
      <c r="E67" s="827"/>
      <c r="F67" s="828"/>
      <c r="G67" s="4"/>
      <c r="H67" s="4"/>
      <c r="I67" s="4"/>
      <c r="J67" s="4"/>
      <c r="K67" s="4"/>
      <c r="L67" s="4"/>
      <c r="M67" s="4"/>
      <c r="N67" s="4"/>
      <c r="O67" s="4"/>
      <c r="P67" s="4"/>
      <c r="Q67" s="4"/>
      <c r="R67" s="4"/>
      <c r="S67" s="4"/>
      <c r="T67" s="4"/>
      <c r="U67" s="4"/>
      <c r="V67" s="4"/>
      <c r="W67" s="4"/>
      <c r="X67" s="4"/>
      <c r="Y67" s="4"/>
      <c r="Z67" s="4"/>
    </row>
    <row r="68" spans="1:26" ht="12.75" customHeight="1">
      <c r="A68" s="82" t="s">
        <v>635</v>
      </c>
      <c r="B68" s="825">
        <f>'Sources and Uses Budget'!$C67</f>
        <v>0</v>
      </c>
      <c r="C68" s="825">
        <f>'Sources and Uses Budget'!$C67</f>
        <v>0</v>
      </c>
      <c r="D68" s="826"/>
      <c r="E68" s="827"/>
      <c r="F68" s="828"/>
      <c r="G68" s="4"/>
      <c r="H68" s="4"/>
      <c r="I68" s="4"/>
      <c r="J68" s="4"/>
      <c r="K68" s="4"/>
      <c r="L68" s="4"/>
      <c r="M68" s="4"/>
      <c r="N68" s="4"/>
      <c r="O68" s="4"/>
      <c r="P68" s="4"/>
      <c r="Q68" s="4"/>
      <c r="R68" s="4"/>
      <c r="S68" s="4"/>
      <c r="T68" s="4"/>
      <c r="U68" s="4"/>
      <c r="V68" s="4"/>
      <c r="W68" s="4"/>
      <c r="X68" s="4"/>
      <c r="Y68" s="4"/>
      <c r="Z68" s="4"/>
    </row>
    <row r="69" spans="1:26" ht="12.75" customHeight="1">
      <c r="A69" s="82" t="s">
        <v>638</v>
      </c>
      <c r="B69" s="825">
        <f>'Sources and Uses Budget'!$C68</f>
        <v>0</v>
      </c>
      <c r="C69" s="825">
        <f>'Sources and Uses Budget'!$C68</f>
        <v>0</v>
      </c>
      <c r="D69" s="826"/>
      <c r="E69" s="827"/>
      <c r="F69" s="828"/>
      <c r="G69" s="4"/>
      <c r="H69" s="4"/>
      <c r="I69" s="4"/>
      <c r="J69" s="4"/>
      <c r="K69" s="4"/>
      <c r="L69" s="4"/>
      <c r="M69" s="4"/>
      <c r="N69" s="4"/>
      <c r="O69" s="4"/>
      <c r="P69" s="4"/>
      <c r="Q69" s="4"/>
      <c r="R69" s="4"/>
      <c r="S69" s="4"/>
      <c r="T69" s="4"/>
      <c r="U69" s="4"/>
      <c r="V69" s="4"/>
      <c r="W69" s="4"/>
      <c r="X69" s="4"/>
      <c r="Y69" s="4"/>
      <c r="Z69" s="4"/>
    </row>
    <row r="70" spans="1:26" ht="12.75" customHeight="1">
      <c r="A70" s="82" t="str">
        <f>'Sources and Uses Budget'!A69</f>
        <v>Borrower Legal</v>
      </c>
      <c r="B70" s="825">
        <f>'Sources and Uses Budget'!$C69</f>
        <v>150000</v>
      </c>
      <c r="C70" s="825">
        <f>'Sources and Uses Budget'!$C69</f>
        <v>150000</v>
      </c>
      <c r="D70" s="826">
        <f t="shared" ref="D70:D71" si="16">C70-B70</f>
        <v>0</v>
      </c>
      <c r="E70" s="827"/>
      <c r="F70" s="828"/>
      <c r="G70" s="4"/>
      <c r="H70" s="4"/>
      <c r="I70" s="4"/>
      <c r="J70" s="4"/>
      <c r="K70" s="4"/>
      <c r="L70" s="4"/>
      <c r="M70" s="4"/>
      <c r="N70" s="4"/>
      <c r="O70" s="4"/>
      <c r="P70" s="4"/>
      <c r="Q70" s="4"/>
      <c r="R70" s="4"/>
      <c r="S70" s="4"/>
      <c r="T70" s="4"/>
      <c r="U70" s="4"/>
      <c r="V70" s="4"/>
      <c r="W70" s="4"/>
      <c r="X70" s="4"/>
      <c r="Y70" s="4"/>
      <c r="Z70" s="4"/>
    </row>
    <row r="71" spans="1:26" ht="12.75" customHeight="1">
      <c r="A71" s="87" t="s">
        <v>645</v>
      </c>
      <c r="B71" s="826">
        <f t="shared" ref="B71:C71" si="17">SUM(B66:B70)</f>
        <v>250000</v>
      </c>
      <c r="C71" s="826">
        <f t="shared" si="17"/>
        <v>250000</v>
      </c>
      <c r="D71" s="826">
        <f t="shared" si="16"/>
        <v>0</v>
      </c>
      <c r="E71" s="827"/>
      <c r="F71" s="828"/>
      <c r="G71" s="4"/>
      <c r="H71" s="4"/>
      <c r="I71" s="4"/>
      <c r="J71" s="4"/>
      <c r="K71" s="4"/>
      <c r="L71" s="4"/>
      <c r="M71" s="4"/>
      <c r="N71" s="4"/>
      <c r="O71" s="4"/>
      <c r="P71" s="4"/>
      <c r="Q71" s="4"/>
      <c r="R71" s="4"/>
      <c r="S71" s="4"/>
      <c r="T71" s="4"/>
      <c r="U71" s="4"/>
      <c r="V71" s="4"/>
      <c r="W71" s="4"/>
      <c r="X71" s="4"/>
      <c r="Y71" s="4"/>
      <c r="Z71" s="4"/>
    </row>
    <row r="72" spans="1:26" ht="12.75" customHeight="1">
      <c r="A72" s="824" t="s">
        <v>652</v>
      </c>
      <c r="B72" s="824"/>
      <c r="C72" s="824"/>
      <c r="D72" s="824"/>
      <c r="E72" s="824"/>
      <c r="F72" s="824"/>
      <c r="G72" s="4"/>
      <c r="H72" s="4"/>
      <c r="I72" s="4"/>
      <c r="J72" s="4"/>
      <c r="K72" s="4"/>
      <c r="L72" s="4"/>
      <c r="M72" s="4"/>
      <c r="N72" s="4"/>
      <c r="O72" s="4"/>
      <c r="P72" s="4"/>
      <c r="Q72" s="4"/>
      <c r="R72" s="4"/>
      <c r="S72" s="4"/>
      <c r="T72" s="4"/>
      <c r="U72" s="4"/>
      <c r="V72" s="4"/>
      <c r="W72" s="4"/>
      <c r="X72" s="4"/>
      <c r="Y72" s="4"/>
      <c r="Z72" s="4"/>
    </row>
    <row r="73" spans="1:26" ht="12.75" customHeight="1">
      <c r="A73" s="833" t="s">
        <v>655</v>
      </c>
      <c r="B73" s="825">
        <f>'Sources and Uses Budget'!$C72</f>
        <v>0</v>
      </c>
      <c r="C73" s="825">
        <f>'Sources and Uses Budget'!$C72</f>
        <v>0</v>
      </c>
      <c r="D73" s="826">
        <f t="shared" ref="D73:D78" si="18">C73-B73</f>
        <v>0</v>
      </c>
      <c r="E73" s="827"/>
      <c r="F73" s="828"/>
      <c r="G73" s="4"/>
      <c r="H73" s="4"/>
      <c r="I73" s="4"/>
      <c r="J73" s="4"/>
      <c r="K73" s="4"/>
      <c r="L73" s="4"/>
      <c r="M73" s="4"/>
      <c r="N73" s="4"/>
      <c r="O73" s="4"/>
      <c r="P73" s="4"/>
      <c r="Q73" s="4"/>
      <c r="R73" s="4"/>
      <c r="S73" s="4"/>
      <c r="T73" s="4"/>
      <c r="U73" s="4"/>
      <c r="V73" s="4"/>
      <c r="W73" s="4"/>
      <c r="X73" s="4"/>
      <c r="Y73" s="4"/>
      <c r="Z73" s="4"/>
    </row>
    <row r="74" spans="1:26" ht="12.75" customHeight="1">
      <c r="A74" s="833" t="s">
        <v>658</v>
      </c>
      <c r="B74" s="825">
        <f>'Sources and Uses Budget'!$C73</f>
        <v>0</v>
      </c>
      <c r="C74" s="825">
        <f>'Sources and Uses Budget'!$C73</f>
        <v>0</v>
      </c>
      <c r="D74" s="826">
        <f t="shared" si="18"/>
        <v>0</v>
      </c>
      <c r="E74" s="827"/>
      <c r="F74" s="828"/>
      <c r="G74" s="4"/>
      <c r="H74" s="4"/>
      <c r="I74" s="4"/>
      <c r="J74" s="4"/>
      <c r="K74" s="4"/>
      <c r="L74" s="4"/>
      <c r="M74" s="4"/>
      <c r="N74" s="4"/>
      <c r="O74" s="4"/>
      <c r="P74" s="4"/>
      <c r="Q74" s="4"/>
      <c r="R74" s="4"/>
      <c r="S74" s="4"/>
      <c r="T74" s="4"/>
      <c r="U74" s="4"/>
      <c r="V74" s="4"/>
      <c r="W74" s="4"/>
      <c r="X74" s="4"/>
      <c r="Y74" s="4"/>
      <c r="Z74" s="4"/>
    </row>
    <row r="75" spans="1:26" ht="12.75" customHeight="1">
      <c r="A75" s="90" t="s">
        <v>660</v>
      </c>
      <c r="B75" s="825">
        <f>'Sources and Uses Budget'!$C74</f>
        <v>0</v>
      </c>
      <c r="C75" s="825">
        <f>'Sources and Uses Budget'!$C74</f>
        <v>0</v>
      </c>
      <c r="D75" s="826">
        <f t="shared" si="18"/>
        <v>0</v>
      </c>
      <c r="E75" s="827"/>
      <c r="F75" s="828"/>
      <c r="G75" s="4"/>
      <c r="H75" s="4"/>
      <c r="I75" s="4"/>
      <c r="J75" s="4"/>
      <c r="K75" s="4"/>
      <c r="L75" s="4"/>
      <c r="M75" s="4"/>
      <c r="N75" s="4"/>
      <c r="O75" s="4"/>
      <c r="P75" s="4"/>
      <c r="Q75" s="4"/>
      <c r="R75" s="4"/>
      <c r="S75" s="4"/>
      <c r="T75" s="4"/>
      <c r="U75" s="4"/>
      <c r="V75" s="4"/>
      <c r="W75" s="4"/>
      <c r="X75" s="4"/>
      <c r="Y75" s="4"/>
      <c r="Z75" s="4"/>
    </row>
    <row r="76" spans="1:26" ht="12.75" customHeight="1">
      <c r="A76" s="833" t="s">
        <v>663</v>
      </c>
      <c r="B76" s="825">
        <f>'Sources and Uses Budget'!$C75</f>
        <v>1306000</v>
      </c>
      <c r="C76" s="825">
        <f>'Sources and Uses Budget'!$C75</f>
        <v>1306000</v>
      </c>
      <c r="D76" s="826">
        <f t="shared" si="18"/>
        <v>0</v>
      </c>
      <c r="E76" s="827"/>
      <c r="F76" s="828"/>
      <c r="G76" s="4"/>
      <c r="H76" s="4"/>
      <c r="I76" s="4"/>
      <c r="J76" s="4"/>
      <c r="K76" s="4"/>
      <c r="L76" s="4"/>
      <c r="M76" s="4"/>
      <c r="N76" s="4"/>
      <c r="O76" s="4"/>
      <c r="P76" s="4"/>
      <c r="Q76" s="4"/>
      <c r="R76" s="4"/>
      <c r="S76" s="4"/>
      <c r="T76" s="4"/>
      <c r="U76" s="4"/>
      <c r="V76" s="4"/>
      <c r="W76" s="4"/>
      <c r="X76" s="4"/>
      <c r="Y76" s="4"/>
      <c r="Z76" s="4"/>
    </row>
    <row r="77" spans="1:26" ht="12.75" customHeight="1">
      <c r="A77" s="837" t="s">
        <v>551</v>
      </c>
      <c r="B77" s="825">
        <f>'Sources and Uses Budget'!$C76</f>
        <v>840000</v>
      </c>
      <c r="C77" s="825">
        <f>'Sources and Uses Budget'!$C76</f>
        <v>840000</v>
      </c>
      <c r="D77" s="826">
        <f t="shared" si="18"/>
        <v>0</v>
      </c>
      <c r="E77" s="827"/>
      <c r="F77" s="828"/>
      <c r="G77" s="4"/>
      <c r="H77" s="4"/>
      <c r="I77" s="4"/>
      <c r="J77" s="4"/>
      <c r="K77" s="4"/>
      <c r="L77" s="4"/>
      <c r="M77" s="4"/>
      <c r="N77" s="4"/>
      <c r="O77" s="4"/>
      <c r="P77" s="4"/>
      <c r="Q77" s="4"/>
      <c r="R77" s="4"/>
      <c r="S77" s="4"/>
      <c r="T77" s="4"/>
      <c r="U77" s="4"/>
      <c r="V77" s="4"/>
      <c r="W77" s="4"/>
      <c r="X77" s="4"/>
      <c r="Y77" s="4"/>
      <c r="Z77" s="4"/>
    </row>
    <row r="78" spans="1:26" ht="12.75" customHeight="1">
      <c r="A78" s="832" t="s">
        <v>670</v>
      </c>
      <c r="B78" s="826">
        <f t="shared" ref="B78:C78" si="19">SUM(B73:B77)</f>
        <v>2146000</v>
      </c>
      <c r="C78" s="826">
        <f t="shared" si="19"/>
        <v>2146000</v>
      </c>
      <c r="D78" s="826">
        <f t="shared" si="18"/>
        <v>0</v>
      </c>
      <c r="E78" s="827"/>
      <c r="F78" s="828"/>
      <c r="G78" s="4"/>
      <c r="H78" s="4"/>
      <c r="I78" s="4"/>
      <c r="J78" s="4"/>
      <c r="K78" s="4"/>
      <c r="L78" s="4"/>
      <c r="M78" s="4"/>
      <c r="N78" s="4"/>
      <c r="O78" s="4"/>
      <c r="P78" s="4"/>
      <c r="Q78" s="4"/>
      <c r="R78" s="4"/>
      <c r="S78" s="4"/>
      <c r="T78" s="4"/>
      <c r="U78" s="4"/>
      <c r="V78" s="4"/>
      <c r="W78" s="4"/>
      <c r="X78" s="4"/>
      <c r="Y78" s="4"/>
      <c r="Z78" s="4"/>
    </row>
    <row r="79" spans="1:26" ht="12.75" customHeight="1">
      <c r="A79" s="824" t="s">
        <v>674</v>
      </c>
      <c r="B79" s="824"/>
      <c r="C79" s="824"/>
      <c r="D79" s="824"/>
      <c r="E79" s="824"/>
      <c r="F79" s="824"/>
      <c r="G79" s="4"/>
      <c r="H79" s="4"/>
      <c r="I79" s="4"/>
      <c r="J79" s="4"/>
      <c r="K79" s="4"/>
      <c r="L79" s="4"/>
      <c r="M79" s="4"/>
      <c r="N79" s="4"/>
      <c r="O79" s="4"/>
      <c r="P79" s="4"/>
      <c r="Q79" s="4"/>
      <c r="R79" s="4"/>
      <c r="S79" s="4"/>
      <c r="T79" s="4"/>
      <c r="U79" s="4"/>
      <c r="V79" s="4"/>
      <c r="W79" s="4"/>
      <c r="X79" s="4"/>
      <c r="Y79" s="4"/>
      <c r="Z79" s="4"/>
    </row>
    <row r="80" spans="1:26" ht="12.75" customHeight="1">
      <c r="A80" s="833" t="s">
        <v>676</v>
      </c>
      <c r="B80" s="825">
        <f>'Sources and Uses Budget'!$C79</f>
        <v>1639830</v>
      </c>
      <c r="C80" s="825">
        <f>'Sources and Uses Budget'!$C79</f>
        <v>1639830</v>
      </c>
      <c r="D80" s="826">
        <f t="shared" ref="D80:D82" si="20">C80-B80</f>
        <v>0</v>
      </c>
      <c r="E80" s="827"/>
      <c r="F80" s="828"/>
      <c r="G80" s="4"/>
      <c r="H80" s="4"/>
      <c r="I80" s="4"/>
      <c r="J80" s="4"/>
      <c r="K80" s="4"/>
      <c r="L80" s="4"/>
      <c r="M80" s="4"/>
      <c r="N80" s="4"/>
      <c r="O80" s="4"/>
      <c r="P80" s="4"/>
      <c r="Q80" s="4"/>
      <c r="R80" s="4"/>
      <c r="S80" s="4"/>
      <c r="T80" s="4"/>
      <c r="U80" s="4"/>
      <c r="V80" s="4"/>
      <c r="W80" s="4"/>
      <c r="X80" s="4"/>
      <c r="Y80" s="4"/>
      <c r="Z80" s="4"/>
    </row>
    <row r="81" spans="1:26" ht="12.75" customHeight="1">
      <c r="A81" s="833" t="s">
        <v>681</v>
      </c>
      <c r="B81" s="825">
        <f>'Sources and Uses Budget'!$C80</f>
        <v>125000</v>
      </c>
      <c r="C81" s="825">
        <f>'Sources and Uses Budget'!$C80</f>
        <v>125000</v>
      </c>
      <c r="D81" s="826">
        <f t="shared" si="20"/>
        <v>0</v>
      </c>
      <c r="E81" s="827"/>
      <c r="F81" s="828"/>
      <c r="G81" s="4"/>
      <c r="H81" s="4"/>
      <c r="I81" s="4"/>
      <c r="J81" s="4"/>
      <c r="K81" s="4"/>
      <c r="L81" s="4"/>
      <c r="M81" s="4"/>
      <c r="N81" s="4"/>
      <c r="O81" s="4"/>
      <c r="P81" s="4"/>
      <c r="Q81" s="4"/>
      <c r="R81" s="4"/>
      <c r="S81" s="4"/>
      <c r="T81" s="4"/>
      <c r="U81" s="4"/>
      <c r="V81" s="4"/>
      <c r="W81" s="4"/>
      <c r="X81" s="4"/>
      <c r="Y81" s="4"/>
      <c r="Z81" s="4"/>
    </row>
    <row r="82" spans="1:26" ht="12.75" customHeight="1">
      <c r="A82" s="832" t="s">
        <v>685</v>
      </c>
      <c r="B82" s="826">
        <f t="shared" ref="B82:C82" si="21">SUM(B80:B81)</f>
        <v>1764830</v>
      </c>
      <c r="C82" s="826">
        <f t="shared" si="21"/>
        <v>1764830</v>
      </c>
      <c r="D82" s="826">
        <f t="shared" si="20"/>
        <v>0</v>
      </c>
      <c r="E82" s="827"/>
      <c r="F82" s="828"/>
      <c r="G82" s="4"/>
      <c r="H82" s="4"/>
      <c r="I82" s="4"/>
      <c r="J82" s="4"/>
      <c r="K82" s="4"/>
      <c r="L82" s="4"/>
      <c r="M82" s="4"/>
      <c r="N82" s="4"/>
      <c r="O82" s="4"/>
      <c r="P82" s="4"/>
      <c r="Q82" s="4"/>
      <c r="R82" s="4"/>
      <c r="S82" s="4"/>
      <c r="T82" s="4"/>
      <c r="U82" s="4"/>
      <c r="V82" s="4"/>
      <c r="W82" s="4"/>
      <c r="X82" s="4"/>
      <c r="Y82" s="4"/>
      <c r="Z82" s="4"/>
    </row>
    <row r="83" spans="1:26" ht="12.75" customHeight="1">
      <c r="A83" s="824" t="s">
        <v>690</v>
      </c>
      <c r="B83" s="824"/>
      <c r="C83" s="824"/>
      <c r="D83" s="824"/>
      <c r="E83" s="824"/>
      <c r="F83" s="824"/>
      <c r="G83" s="4"/>
      <c r="H83" s="4"/>
      <c r="I83" s="4"/>
      <c r="J83" s="4"/>
      <c r="K83" s="4"/>
      <c r="L83" s="4"/>
      <c r="M83" s="4"/>
      <c r="N83" s="4"/>
      <c r="O83" s="4"/>
      <c r="P83" s="4"/>
      <c r="Q83" s="4"/>
      <c r="R83" s="4"/>
      <c r="S83" s="4"/>
      <c r="T83" s="4"/>
      <c r="U83" s="4"/>
      <c r="V83" s="4"/>
      <c r="W83" s="4"/>
      <c r="X83" s="4"/>
      <c r="Y83" s="4"/>
      <c r="Z83" s="4"/>
    </row>
    <row r="84" spans="1:26" ht="13.5" customHeight="1">
      <c r="A84" s="833" t="s">
        <v>2700</v>
      </c>
      <c r="B84" s="825">
        <f>'Sources and Uses Budget'!$C83</f>
        <v>141756</v>
      </c>
      <c r="C84" s="825">
        <f>'Sources and Uses Budget'!$C83</f>
        <v>141756</v>
      </c>
      <c r="D84" s="826">
        <f t="shared" ref="D84:D98" si="22">C84-B84</f>
        <v>0</v>
      </c>
      <c r="E84" s="827"/>
      <c r="F84" s="828"/>
      <c r="G84" s="4"/>
      <c r="H84" s="4"/>
      <c r="I84" s="4"/>
      <c r="J84" s="4"/>
      <c r="K84" s="4"/>
      <c r="L84" s="4"/>
      <c r="M84" s="4"/>
      <c r="N84" s="4"/>
      <c r="O84" s="4"/>
      <c r="P84" s="4"/>
      <c r="Q84" s="4"/>
      <c r="R84" s="4"/>
      <c r="S84" s="4"/>
      <c r="T84" s="4"/>
      <c r="U84" s="4"/>
      <c r="V84" s="4"/>
      <c r="W84" s="4"/>
      <c r="X84" s="4"/>
      <c r="Y84" s="4"/>
      <c r="Z84" s="4"/>
    </row>
    <row r="85" spans="1:26" ht="12.75" customHeight="1">
      <c r="A85" s="833" t="s">
        <v>696</v>
      </c>
      <c r="B85" s="825">
        <f>'Sources and Uses Budget'!$C84</f>
        <v>55000</v>
      </c>
      <c r="C85" s="825">
        <f>'Sources and Uses Budget'!$C84</f>
        <v>55000</v>
      </c>
      <c r="D85" s="826">
        <f t="shared" si="22"/>
        <v>0</v>
      </c>
      <c r="E85" s="827"/>
      <c r="F85" s="828"/>
      <c r="G85" s="4"/>
      <c r="H85" s="4"/>
      <c r="I85" s="4"/>
      <c r="J85" s="4"/>
      <c r="K85" s="4"/>
      <c r="L85" s="4"/>
      <c r="M85" s="4"/>
      <c r="N85" s="4"/>
      <c r="O85" s="4"/>
      <c r="P85" s="4"/>
      <c r="Q85" s="4"/>
      <c r="R85" s="4"/>
      <c r="S85" s="4"/>
      <c r="T85" s="4"/>
      <c r="U85" s="4"/>
      <c r="V85" s="4"/>
      <c r="W85" s="4"/>
      <c r="X85" s="4"/>
      <c r="Y85" s="4"/>
      <c r="Z85" s="4"/>
    </row>
    <row r="86" spans="1:26" ht="12.75" customHeight="1">
      <c r="A86" s="833" t="s">
        <v>701</v>
      </c>
      <c r="B86" s="825">
        <f>'Sources and Uses Budget'!$C85</f>
        <v>0</v>
      </c>
      <c r="C86" s="825">
        <f>'Sources and Uses Budget'!$C85</f>
        <v>0</v>
      </c>
      <c r="D86" s="826">
        <f t="shared" si="22"/>
        <v>0</v>
      </c>
      <c r="E86" s="827"/>
      <c r="F86" s="828"/>
      <c r="G86" s="4"/>
      <c r="H86" s="4"/>
      <c r="I86" s="4"/>
      <c r="J86" s="4"/>
      <c r="K86" s="4"/>
      <c r="L86" s="4"/>
      <c r="M86" s="4"/>
      <c r="N86" s="4"/>
      <c r="O86" s="4"/>
      <c r="P86" s="4"/>
      <c r="Q86" s="4"/>
      <c r="R86" s="4"/>
      <c r="S86" s="4"/>
      <c r="T86" s="4"/>
      <c r="U86" s="4"/>
      <c r="V86" s="4"/>
      <c r="W86" s="4"/>
      <c r="X86" s="4"/>
      <c r="Y86" s="4"/>
      <c r="Z86" s="4"/>
    </row>
    <row r="87" spans="1:26" ht="12.75" customHeight="1">
      <c r="A87" s="833" t="s">
        <v>704</v>
      </c>
      <c r="B87" s="825">
        <f>'Sources and Uses Budget'!$C86</f>
        <v>200000</v>
      </c>
      <c r="C87" s="825">
        <f>'Sources and Uses Budget'!$C86</f>
        <v>200000</v>
      </c>
      <c r="D87" s="826">
        <f t="shared" si="22"/>
        <v>0</v>
      </c>
      <c r="E87" s="827"/>
      <c r="F87" s="828"/>
      <c r="G87" s="4"/>
      <c r="H87" s="4"/>
      <c r="I87" s="4"/>
      <c r="J87" s="4"/>
      <c r="K87" s="4"/>
      <c r="L87" s="4"/>
      <c r="M87" s="4"/>
      <c r="N87" s="4"/>
      <c r="O87" s="4"/>
      <c r="P87" s="4"/>
      <c r="Q87" s="4"/>
      <c r="R87" s="4"/>
      <c r="S87" s="4"/>
      <c r="T87" s="4"/>
      <c r="U87" s="4"/>
      <c r="V87" s="4"/>
      <c r="W87" s="4"/>
      <c r="X87" s="4"/>
      <c r="Y87" s="4"/>
      <c r="Z87" s="4"/>
    </row>
    <row r="88" spans="1:26" ht="12.75" customHeight="1">
      <c r="A88" s="833" t="s">
        <v>709</v>
      </c>
      <c r="B88" s="825">
        <f>'Sources and Uses Budget'!$C87</f>
        <v>0</v>
      </c>
      <c r="C88" s="825">
        <f>'Sources and Uses Budget'!$C87</f>
        <v>0</v>
      </c>
      <c r="D88" s="826">
        <f t="shared" si="22"/>
        <v>0</v>
      </c>
      <c r="E88" s="827"/>
      <c r="F88" s="828"/>
      <c r="G88" s="4"/>
      <c r="H88" s="4"/>
      <c r="I88" s="4"/>
      <c r="J88" s="4"/>
      <c r="K88" s="4"/>
      <c r="L88" s="4"/>
      <c r="M88" s="4"/>
      <c r="N88" s="4"/>
      <c r="O88" s="4"/>
      <c r="P88" s="4"/>
      <c r="Q88" s="4"/>
      <c r="R88" s="4"/>
      <c r="S88" s="4"/>
      <c r="T88" s="4"/>
      <c r="U88" s="4"/>
      <c r="V88" s="4"/>
      <c r="W88" s="4"/>
      <c r="X88" s="4"/>
      <c r="Y88" s="4"/>
      <c r="Z88" s="4"/>
    </row>
    <row r="89" spans="1:26" ht="12.75" customHeight="1">
      <c r="A89" s="833" t="s">
        <v>711</v>
      </c>
      <c r="B89" s="825">
        <f>'Sources and Uses Budget'!$C88</f>
        <v>0</v>
      </c>
      <c r="C89" s="825">
        <f>'Sources and Uses Budget'!$C88</f>
        <v>0</v>
      </c>
      <c r="D89" s="826">
        <f t="shared" si="22"/>
        <v>0</v>
      </c>
      <c r="E89" s="827"/>
      <c r="F89" s="828"/>
      <c r="G89" s="4"/>
      <c r="H89" s="4"/>
      <c r="I89" s="4"/>
      <c r="J89" s="4"/>
      <c r="K89" s="4"/>
      <c r="L89" s="4"/>
      <c r="M89" s="4"/>
      <c r="N89" s="4"/>
      <c r="O89" s="4"/>
      <c r="P89" s="4"/>
      <c r="Q89" s="4"/>
      <c r="R89" s="4"/>
      <c r="S89" s="4"/>
      <c r="T89" s="4"/>
      <c r="U89" s="4"/>
      <c r="V89" s="4"/>
      <c r="W89" s="4"/>
      <c r="X89" s="4"/>
      <c r="Y89" s="4"/>
      <c r="Z89" s="4"/>
    </row>
    <row r="90" spans="1:26" ht="12.75" customHeight="1">
      <c r="A90" s="833" t="s">
        <v>714</v>
      </c>
      <c r="B90" s="825">
        <f>'Sources and Uses Budget'!$C89</f>
        <v>0</v>
      </c>
      <c r="C90" s="825">
        <f>'Sources and Uses Budget'!$C89</f>
        <v>0</v>
      </c>
      <c r="D90" s="826">
        <f t="shared" si="22"/>
        <v>0</v>
      </c>
      <c r="E90" s="827"/>
      <c r="F90" s="828"/>
      <c r="G90" s="4"/>
      <c r="H90" s="4"/>
      <c r="I90" s="4"/>
      <c r="J90" s="4"/>
      <c r="K90" s="4"/>
      <c r="L90" s="4"/>
      <c r="M90" s="4"/>
      <c r="N90" s="4"/>
      <c r="O90" s="4"/>
      <c r="P90" s="4"/>
      <c r="Q90" s="4"/>
      <c r="R90" s="4"/>
      <c r="S90" s="4"/>
      <c r="T90" s="4"/>
      <c r="U90" s="4"/>
      <c r="V90" s="4"/>
      <c r="W90" s="4"/>
      <c r="X90" s="4"/>
      <c r="Y90" s="4"/>
      <c r="Z90" s="4"/>
    </row>
    <row r="91" spans="1:26" ht="12.75" customHeight="1">
      <c r="A91" s="833" t="s">
        <v>716</v>
      </c>
      <c r="B91" s="825">
        <f>'Sources and Uses Budget'!$C90</f>
        <v>30000</v>
      </c>
      <c r="C91" s="825">
        <f>'Sources and Uses Budget'!$C90</f>
        <v>30000</v>
      </c>
      <c r="D91" s="826">
        <f t="shared" si="22"/>
        <v>0</v>
      </c>
      <c r="E91" s="827"/>
      <c r="F91" s="828"/>
      <c r="G91" s="4"/>
      <c r="H91" s="4"/>
      <c r="I91" s="4"/>
      <c r="J91" s="4"/>
      <c r="K91" s="4"/>
      <c r="L91" s="4"/>
      <c r="M91" s="4"/>
      <c r="N91" s="4"/>
      <c r="O91" s="4"/>
      <c r="P91" s="4"/>
      <c r="Q91" s="4"/>
      <c r="R91" s="4"/>
      <c r="S91" s="4"/>
      <c r="T91" s="4"/>
      <c r="U91" s="4"/>
      <c r="V91" s="4"/>
      <c r="W91" s="4"/>
      <c r="X91" s="4"/>
      <c r="Y91" s="4"/>
      <c r="Z91" s="4"/>
    </row>
    <row r="92" spans="1:26" ht="12.75" customHeight="1">
      <c r="A92" s="833" t="s">
        <v>720</v>
      </c>
      <c r="B92" s="825">
        <f>'Sources and Uses Budget'!$C91</f>
        <v>25000</v>
      </c>
      <c r="C92" s="825">
        <f>'Sources and Uses Budget'!$C91</f>
        <v>25000</v>
      </c>
      <c r="D92" s="826">
        <f t="shared" si="22"/>
        <v>0</v>
      </c>
      <c r="E92" s="827"/>
      <c r="F92" s="828"/>
      <c r="G92" s="4"/>
      <c r="H92" s="4"/>
      <c r="I92" s="4"/>
      <c r="J92" s="4"/>
      <c r="K92" s="4"/>
      <c r="L92" s="4"/>
      <c r="M92" s="4"/>
      <c r="N92" s="4"/>
      <c r="O92" s="4"/>
      <c r="P92" s="4"/>
      <c r="Q92" s="4"/>
      <c r="R92" s="4"/>
      <c r="S92" s="4"/>
      <c r="T92" s="4"/>
      <c r="U92" s="4"/>
      <c r="V92" s="4"/>
      <c r="W92" s="4"/>
      <c r="X92" s="4"/>
      <c r="Y92" s="4"/>
      <c r="Z92" s="4"/>
    </row>
    <row r="93" spans="1:26" ht="12.75" customHeight="1">
      <c r="A93" s="833" t="s">
        <v>724</v>
      </c>
      <c r="B93" s="825">
        <f>'Sources and Uses Budget'!$C92</f>
        <v>0</v>
      </c>
      <c r="C93" s="825">
        <f>'Sources and Uses Budget'!$C92</f>
        <v>0</v>
      </c>
      <c r="D93" s="826">
        <f t="shared" si="22"/>
        <v>0</v>
      </c>
      <c r="E93" s="827"/>
      <c r="F93" s="828"/>
      <c r="G93" s="4"/>
      <c r="H93" s="4"/>
      <c r="I93" s="4"/>
      <c r="J93" s="4"/>
      <c r="K93" s="4"/>
      <c r="L93" s="4"/>
      <c r="M93" s="4"/>
      <c r="N93" s="4"/>
      <c r="O93" s="4"/>
      <c r="P93" s="4"/>
      <c r="Q93" s="4"/>
      <c r="R93" s="4"/>
      <c r="S93" s="4"/>
      <c r="T93" s="4"/>
      <c r="U93" s="4"/>
      <c r="V93" s="4"/>
      <c r="W93" s="4"/>
      <c r="X93" s="4"/>
      <c r="Y93" s="4"/>
      <c r="Z93" s="4"/>
    </row>
    <row r="94" spans="1:26" ht="12.75" customHeight="1">
      <c r="A94" s="837" t="s">
        <v>551</v>
      </c>
      <c r="B94" s="825">
        <f>'Sources and Uses Budget'!$C93</f>
        <v>0</v>
      </c>
      <c r="C94" s="825">
        <f>'Sources and Uses Budget'!$C93</f>
        <v>0</v>
      </c>
      <c r="D94" s="826">
        <f t="shared" si="22"/>
        <v>0</v>
      </c>
      <c r="E94" s="827"/>
      <c r="F94" s="828"/>
      <c r="G94" s="4"/>
      <c r="H94" s="4"/>
      <c r="I94" s="4"/>
      <c r="J94" s="4"/>
      <c r="K94" s="4"/>
      <c r="L94" s="4"/>
      <c r="M94" s="4"/>
      <c r="N94" s="4"/>
      <c r="O94" s="4"/>
      <c r="P94" s="4"/>
      <c r="Q94" s="4"/>
      <c r="R94" s="4"/>
      <c r="S94" s="4"/>
      <c r="T94" s="4"/>
      <c r="U94" s="4"/>
      <c r="V94" s="4"/>
      <c r="W94" s="4"/>
      <c r="X94" s="4"/>
      <c r="Y94" s="4"/>
      <c r="Z94" s="4"/>
    </row>
    <row r="95" spans="1:26" ht="12.75" customHeight="1">
      <c r="A95" s="837" t="s">
        <v>551</v>
      </c>
      <c r="B95" s="825">
        <f>'Sources and Uses Budget'!$C94</f>
        <v>0</v>
      </c>
      <c r="C95" s="825">
        <f>'Sources and Uses Budget'!$C94</f>
        <v>0</v>
      </c>
      <c r="D95" s="826">
        <f t="shared" si="22"/>
        <v>0</v>
      </c>
      <c r="E95" s="827"/>
      <c r="F95" s="828"/>
      <c r="G95" s="4"/>
      <c r="H95" s="4"/>
      <c r="I95" s="4"/>
      <c r="J95" s="4"/>
      <c r="K95" s="4"/>
      <c r="L95" s="4"/>
      <c r="M95" s="4"/>
      <c r="N95" s="4"/>
      <c r="O95" s="4"/>
      <c r="P95" s="4"/>
      <c r="Q95" s="4"/>
      <c r="R95" s="4"/>
      <c r="S95" s="4"/>
      <c r="T95" s="4"/>
      <c r="U95" s="4"/>
      <c r="V95" s="4"/>
      <c r="W95" s="4"/>
      <c r="X95" s="4"/>
      <c r="Y95" s="4"/>
      <c r="Z95" s="4"/>
    </row>
    <row r="96" spans="1:26" ht="12.75" customHeight="1">
      <c r="A96" s="837" t="s">
        <v>551</v>
      </c>
      <c r="B96" s="825">
        <f>'Sources and Uses Budget'!$C95</f>
        <v>0</v>
      </c>
      <c r="C96" s="825">
        <f>'Sources and Uses Budget'!$C95</f>
        <v>0</v>
      </c>
      <c r="D96" s="826">
        <f t="shared" si="22"/>
        <v>0</v>
      </c>
      <c r="E96" s="827"/>
      <c r="F96" s="828"/>
      <c r="G96" s="4"/>
      <c r="H96" s="4"/>
      <c r="I96" s="4"/>
      <c r="J96" s="4"/>
      <c r="K96" s="4"/>
      <c r="L96" s="4"/>
      <c r="M96" s="4"/>
      <c r="N96" s="4"/>
      <c r="O96" s="4"/>
      <c r="P96" s="4"/>
      <c r="Q96" s="4"/>
      <c r="R96" s="4"/>
      <c r="S96" s="4"/>
      <c r="T96" s="4"/>
      <c r="U96" s="4"/>
      <c r="V96" s="4"/>
      <c r="W96" s="4"/>
      <c r="X96" s="4"/>
      <c r="Y96" s="4"/>
      <c r="Z96" s="4"/>
    </row>
    <row r="97" spans="1:26" ht="12.75" customHeight="1">
      <c r="A97" s="832" t="s">
        <v>732</v>
      </c>
      <c r="B97" s="826">
        <f t="shared" ref="B97:C97" si="23">SUM(B84:B96)</f>
        <v>451756</v>
      </c>
      <c r="C97" s="826">
        <f t="shared" si="23"/>
        <v>451756</v>
      </c>
      <c r="D97" s="826">
        <f t="shared" si="22"/>
        <v>0</v>
      </c>
      <c r="E97" s="827"/>
      <c r="F97" s="828"/>
      <c r="G97" s="4"/>
      <c r="H97" s="4"/>
      <c r="I97" s="4"/>
      <c r="J97" s="4"/>
      <c r="K97" s="4"/>
      <c r="L97" s="4"/>
      <c r="M97" s="4"/>
      <c r="N97" s="4"/>
      <c r="O97" s="4"/>
      <c r="P97" s="4"/>
      <c r="Q97" s="4"/>
      <c r="R97" s="4"/>
      <c r="S97" s="4"/>
      <c r="T97" s="4"/>
      <c r="U97" s="4"/>
      <c r="V97" s="4"/>
      <c r="W97" s="4"/>
      <c r="X97" s="4"/>
      <c r="Y97" s="4"/>
      <c r="Z97" s="4"/>
    </row>
    <row r="98" spans="1:26" ht="12.75" customHeight="1">
      <c r="A98" s="832" t="s">
        <v>738</v>
      </c>
      <c r="B98" s="826">
        <f t="shared" ref="B98:C98" si="24">SUM(B64+B71+B78+B82+B97)</f>
        <v>76137444</v>
      </c>
      <c r="C98" s="826">
        <f t="shared" si="24"/>
        <v>76137444</v>
      </c>
      <c r="D98" s="826">
        <f t="shared" si="22"/>
        <v>0</v>
      </c>
      <c r="E98" s="827"/>
      <c r="F98" s="828"/>
      <c r="G98" s="4"/>
      <c r="H98" s="4"/>
      <c r="I98" s="4"/>
      <c r="J98" s="4"/>
      <c r="K98" s="4"/>
      <c r="L98" s="4"/>
      <c r="M98" s="4"/>
      <c r="N98" s="4"/>
      <c r="O98" s="4"/>
      <c r="P98" s="4"/>
      <c r="Q98" s="4"/>
      <c r="R98" s="4"/>
      <c r="S98" s="4"/>
      <c r="T98" s="4"/>
      <c r="U98" s="4"/>
      <c r="V98" s="4"/>
      <c r="W98" s="4"/>
      <c r="X98" s="4"/>
      <c r="Y98" s="4"/>
      <c r="Z98" s="4"/>
    </row>
    <row r="99" spans="1:26" ht="12.75" customHeight="1">
      <c r="A99" s="824" t="s">
        <v>743</v>
      </c>
      <c r="B99" s="824"/>
      <c r="C99" s="824"/>
      <c r="D99" s="824"/>
      <c r="E99" s="824"/>
      <c r="F99" s="824"/>
      <c r="G99" s="4"/>
      <c r="H99" s="4"/>
      <c r="I99" s="4"/>
      <c r="J99" s="4"/>
      <c r="K99" s="4"/>
      <c r="L99" s="4"/>
      <c r="M99" s="4"/>
      <c r="N99" s="4"/>
      <c r="O99" s="4"/>
      <c r="P99" s="4"/>
      <c r="Q99" s="4"/>
      <c r="R99" s="4"/>
      <c r="S99" s="4"/>
      <c r="T99" s="4"/>
      <c r="U99" s="4"/>
      <c r="V99" s="4"/>
      <c r="W99" s="4"/>
      <c r="X99" s="4"/>
      <c r="Y99" s="4"/>
      <c r="Z99" s="4"/>
    </row>
    <row r="100" spans="1:26" ht="12.75" customHeight="1">
      <c r="A100" s="82" t="s">
        <v>744</v>
      </c>
      <c r="B100" s="825">
        <f>'Sources and Uses Budget'!$C99</f>
        <v>6802919</v>
      </c>
      <c r="C100" s="825">
        <f>'Sources and Uses Budget'!$C99</f>
        <v>6802919</v>
      </c>
      <c r="D100" s="826">
        <f t="shared" ref="D100:D106" si="25">C100-B100</f>
        <v>0</v>
      </c>
      <c r="E100" s="827"/>
      <c r="F100" s="828"/>
      <c r="G100" s="4"/>
      <c r="H100" s="4"/>
      <c r="I100" s="4"/>
      <c r="J100" s="4"/>
      <c r="K100" s="4"/>
      <c r="L100" s="4"/>
      <c r="M100" s="4"/>
      <c r="N100" s="4"/>
      <c r="O100" s="4"/>
      <c r="P100" s="4"/>
      <c r="Q100" s="4"/>
      <c r="R100" s="4"/>
      <c r="S100" s="4"/>
      <c r="T100" s="4"/>
      <c r="U100" s="4"/>
      <c r="V100" s="4"/>
      <c r="W100" s="4"/>
      <c r="X100" s="4"/>
      <c r="Y100" s="4"/>
      <c r="Z100" s="4"/>
    </row>
    <row r="101" spans="1:26" ht="12.75" customHeight="1">
      <c r="A101" s="82" t="s">
        <v>748</v>
      </c>
      <c r="B101" s="825">
        <f>'Sources and Uses Budget'!$C100</f>
        <v>0</v>
      </c>
      <c r="C101" s="825">
        <f>'Sources and Uses Budget'!$C100</f>
        <v>0</v>
      </c>
      <c r="D101" s="826">
        <f t="shared" si="25"/>
        <v>0</v>
      </c>
      <c r="E101" s="827"/>
      <c r="F101" s="828"/>
      <c r="G101" s="4"/>
      <c r="H101" s="4"/>
      <c r="I101" s="4"/>
      <c r="J101" s="4"/>
      <c r="K101" s="4"/>
      <c r="L101" s="4"/>
      <c r="M101" s="4"/>
      <c r="N101" s="4"/>
      <c r="O101" s="4"/>
      <c r="P101" s="4"/>
      <c r="Q101" s="4"/>
      <c r="R101" s="4"/>
      <c r="S101" s="4"/>
      <c r="T101" s="4"/>
      <c r="U101" s="4"/>
      <c r="V101" s="4"/>
      <c r="W101" s="4"/>
      <c r="X101" s="4"/>
      <c r="Y101" s="4"/>
      <c r="Z101" s="4"/>
    </row>
    <row r="102" spans="1:26" ht="12.75" customHeight="1">
      <c r="A102" s="82" t="s">
        <v>750</v>
      </c>
      <c r="B102" s="825">
        <f>'Sources and Uses Budget'!$C101</f>
        <v>0</v>
      </c>
      <c r="C102" s="825">
        <f>'Sources and Uses Budget'!$C101</f>
        <v>0</v>
      </c>
      <c r="D102" s="826">
        <f t="shared" si="25"/>
        <v>0</v>
      </c>
      <c r="E102" s="827"/>
      <c r="F102" s="828"/>
      <c r="G102" s="4"/>
      <c r="H102" s="4"/>
      <c r="I102" s="4"/>
      <c r="J102" s="4"/>
      <c r="K102" s="4"/>
      <c r="L102" s="4"/>
      <c r="M102" s="4"/>
      <c r="N102" s="4"/>
      <c r="O102" s="4"/>
      <c r="P102" s="4"/>
      <c r="Q102" s="4"/>
      <c r="R102" s="4"/>
      <c r="S102" s="4"/>
      <c r="T102" s="4"/>
      <c r="U102" s="4"/>
      <c r="V102" s="4"/>
      <c r="W102" s="4"/>
      <c r="X102" s="4"/>
      <c r="Y102" s="4"/>
      <c r="Z102" s="4"/>
    </row>
    <row r="103" spans="1:26" ht="12" customHeight="1">
      <c r="A103" s="82" t="s">
        <v>753</v>
      </c>
      <c r="B103" s="825">
        <f>'Sources and Uses Budget'!$C102</f>
        <v>0</v>
      </c>
      <c r="C103" s="825">
        <f>'Sources and Uses Budget'!$C102</f>
        <v>0</v>
      </c>
      <c r="D103" s="826">
        <f t="shared" si="25"/>
        <v>0</v>
      </c>
      <c r="E103" s="827"/>
      <c r="F103" s="828"/>
      <c r="G103" s="4"/>
      <c r="H103" s="4"/>
      <c r="I103" s="4"/>
      <c r="J103" s="4"/>
      <c r="K103" s="4"/>
      <c r="L103" s="4"/>
      <c r="M103" s="4"/>
      <c r="N103" s="4"/>
      <c r="O103" s="4"/>
      <c r="P103" s="4"/>
      <c r="Q103" s="4"/>
      <c r="R103" s="4"/>
      <c r="S103" s="4"/>
      <c r="T103" s="4"/>
      <c r="U103" s="4"/>
      <c r="V103" s="4"/>
      <c r="W103" s="4"/>
      <c r="X103" s="4"/>
      <c r="Y103" s="4"/>
      <c r="Z103" s="4"/>
    </row>
    <row r="104" spans="1:26" ht="12.75" customHeight="1">
      <c r="A104" s="833" t="str">
        <f>'Sources and Uses Budget'!A103</f>
        <v>Other: (Specify)</v>
      </c>
      <c r="B104" s="825">
        <f>'Sources and Uses Budget'!$C103</f>
        <v>0</v>
      </c>
      <c r="C104" s="825">
        <f>'Sources and Uses Budget'!$C103</f>
        <v>0</v>
      </c>
      <c r="D104" s="826">
        <f t="shared" si="25"/>
        <v>0</v>
      </c>
      <c r="E104" s="827"/>
      <c r="F104" s="828"/>
      <c r="G104" s="4"/>
      <c r="H104" s="4"/>
      <c r="I104" s="4"/>
      <c r="J104" s="4"/>
      <c r="K104" s="4"/>
      <c r="L104" s="4"/>
      <c r="M104" s="4"/>
      <c r="N104" s="4"/>
      <c r="O104" s="4"/>
      <c r="P104" s="4"/>
      <c r="Q104" s="4"/>
      <c r="R104" s="4"/>
      <c r="S104" s="4"/>
      <c r="T104" s="4"/>
      <c r="U104" s="4"/>
      <c r="V104" s="4"/>
      <c r="W104" s="4"/>
      <c r="X104" s="4"/>
      <c r="Y104" s="4"/>
      <c r="Z104" s="4"/>
    </row>
    <row r="105" spans="1:26" ht="12.75" customHeight="1">
      <c r="A105" s="832" t="s">
        <v>755</v>
      </c>
      <c r="B105" s="826">
        <f t="shared" ref="B105:C105" si="26">SUM(B100:B104)</f>
        <v>6802919</v>
      </c>
      <c r="C105" s="826">
        <f t="shared" si="26"/>
        <v>6802919</v>
      </c>
      <c r="D105" s="826">
        <f t="shared" si="25"/>
        <v>0</v>
      </c>
      <c r="E105" s="827"/>
      <c r="F105" s="828"/>
      <c r="G105" s="4"/>
      <c r="H105" s="4"/>
      <c r="I105" s="4"/>
      <c r="J105" s="4"/>
      <c r="K105" s="4"/>
      <c r="L105" s="4"/>
      <c r="M105" s="4"/>
      <c r="N105" s="4"/>
      <c r="O105" s="4"/>
      <c r="P105" s="4"/>
      <c r="Q105" s="4"/>
      <c r="R105" s="4"/>
      <c r="S105" s="4"/>
      <c r="T105" s="4"/>
      <c r="U105" s="4"/>
      <c r="V105" s="4"/>
      <c r="W105" s="4"/>
      <c r="X105" s="4"/>
      <c r="Y105" s="4"/>
      <c r="Z105" s="4"/>
    </row>
    <row r="106" spans="1:26" ht="12.75" customHeight="1">
      <c r="A106" s="832" t="s">
        <v>759</v>
      </c>
      <c r="B106" s="834">
        <f t="shared" ref="B106:C106" si="27">SUM(B98+B105)</f>
        <v>82940363</v>
      </c>
      <c r="C106" s="834">
        <f t="shared" si="27"/>
        <v>82940363</v>
      </c>
      <c r="D106" s="826">
        <f t="shared" si="25"/>
        <v>0</v>
      </c>
      <c r="E106" s="827"/>
      <c r="F106" s="828"/>
      <c r="G106" s="4"/>
      <c r="H106" s="4"/>
      <c r="I106" s="4"/>
      <c r="J106" s="4"/>
      <c r="K106" s="4"/>
      <c r="L106" s="4"/>
      <c r="M106" s="4"/>
      <c r="N106" s="4"/>
      <c r="O106" s="4"/>
      <c r="P106" s="4"/>
      <c r="Q106" s="4"/>
      <c r="R106" s="4"/>
      <c r="S106" s="4"/>
      <c r="T106" s="4"/>
      <c r="U106" s="4"/>
      <c r="V106" s="4"/>
      <c r="W106" s="4"/>
      <c r="X106" s="4"/>
      <c r="Y106" s="4"/>
      <c r="Z106" s="4"/>
    </row>
    <row r="107" spans="1:26" ht="12.75" customHeight="1">
      <c r="A107" s="821" t="s">
        <v>2707</v>
      </c>
      <c r="B107" s="561"/>
      <c r="C107" s="759"/>
      <c r="D107" s="759"/>
      <c r="E107" s="838"/>
      <c r="F107" s="839"/>
      <c r="G107" s="4"/>
      <c r="H107" s="4"/>
      <c r="I107" s="4"/>
      <c r="J107" s="4"/>
      <c r="K107" s="4"/>
      <c r="L107" s="4"/>
      <c r="M107" s="4"/>
      <c r="N107" s="4"/>
      <c r="O107" s="4"/>
      <c r="P107" s="4"/>
      <c r="Q107" s="4"/>
      <c r="R107" s="4"/>
      <c r="S107" s="4"/>
      <c r="T107" s="4"/>
      <c r="U107" s="4"/>
      <c r="V107" s="4"/>
      <c r="W107" s="4"/>
      <c r="X107" s="4"/>
      <c r="Y107" s="4"/>
      <c r="Z107" s="4"/>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portrait"/>
  <headerFooter>
    <oddFooter>&amp;C&amp;P&amp;R&amp;A&amp;D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32</vt:i4>
      </vt:variant>
    </vt:vector>
  </HeadingPairs>
  <TitlesOfParts>
    <vt:vector size="46"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'CalHFA Addendum'!TC_Rent</vt:lpstr>
      <vt:lpstr>TC_Rent</vt:lpstr>
      <vt:lpstr>'CalHFA Addendum'!TcacRents</vt:lpstr>
      <vt:lpstr>TcacRents</vt:lpstr>
      <vt:lpstr>'CalHFA Addendum'!UnitSizes</vt:lpstr>
      <vt:lpstr>UnitSizes</vt:lpstr>
      <vt:lpstr>'Basis &amp; Credits'!Z_48A1B9AA_9520_4513_968D_1FB22989E0AF_.wvu.Cols</vt:lpstr>
      <vt:lpstr>'Points System'!Z_48A1B9AA_9520_4513_968D_1FB22989E0AF_.wvu.Cols</vt:lpstr>
      <vt:lpstr>'Sources and Basis Breakdown'!Z_48A1B9AA_9520_4513_968D_1FB22989E0AF_.wvu.Cols</vt:lpstr>
      <vt:lpstr>'Basis &amp; Credits'!Z_48A1B9AA_9520_4513_968D_1FB22989E0AF_.wvu.PrintArea</vt:lpstr>
      <vt:lpstr>'Points System'!Z_48A1B9AA_9520_4513_968D_1FB22989E0AF_.wvu.PrintArea</vt:lpstr>
      <vt:lpstr>'Sources and Basis Breakdown'!Z_48A1B9AA_9520_4513_968D_1FB22989E0AF_.wvu.PrintArea</vt:lpstr>
      <vt:lpstr>'Sources and Basis Breakdown'!Z_48A1B9AA_9520_4513_968D_1FB22989E0AF_.wvu.PrintTitles</vt:lpstr>
      <vt:lpstr>Application!Z_ACB87C9A_02C3_4C83_BBE4_E2C44A4D81CD_.wvu.Cols</vt:lpstr>
      <vt:lpstr>'Application Checklist'!Z_ACB87C9A_02C3_4C83_BBE4_E2C44A4D81CD_.wvu.Cols</vt:lpstr>
      <vt:lpstr>'Instructions-App Completion '!Z_ACB87C9A_02C3_4C83_BBE4_E2C44A4D81CD_.wvu.Cols</vt:lpstr>
      <vt:lpstr>'Instructions-Electronic Submit'!Z_ACB87C9A_02C3_4C83_BBE4_E2C44A4D81CD_.wvu.Cols</vt:lpstr>
      <vt:lpstr>'Sources and Uses Budget'!Z_ACB87C9A_02C3_4C83_BBE4_E2C44A4D81CD_.wvu.Cols</vt:lpstr>
      <vt:lpstr>'15 Year Pro Forma'!Z_ACB87C9A_02C3_4C83_BBE4_E2C44A4D81CD_.wvu.PrintArea</vt:lpstr>
      <vt:lpstr>Application!Z_ACB87C9A_02C3_4C83_BBE4_E2C44A4D81CD_.wvu.PrintArea</vt:lpstr>
      <vt:lpstr>'Application Checklist'!Z_ACB87C9A_02C3_4C83_BBE4_E2C44A4D81CD_.wvu.PrintArea</vt:lpstr>
      <vt:lpstr>'Instructions-App Completion '!Z_ACB87C9A_02C3_4C83_BBE4_E2C44A4D81CD_.wvu.PrintArea</vt:lpstr>
      <vt:lpstr>'Post-award Project Cost Changes'!Z_ACB87C9A_02C3_4C83_BBE4_E2C44A4D81CD_.wvu.PrintArea</vt:lpstr>
      <vt:lpstr>'Sources and Uses Budget'!Z_ACB87C9A_02C3_4C83_BBE4_E2C44A4D81CD_.wvu.PrintArea</vt:lpstr>
      <vt:lpstr>'Sources and Uses Budget'!Z_ACB87C9A_02C3_4C83_BBE4_E2C44A4D81CD_.wvu.PrintTitles</vt:lpstr>
      <vt:lpstr>'Post-award Project Cost Changes'!Z_ACB87C9A_02C3_4C83_BBE4_E2C44A4D81CD_.wvu.Rows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Anand Kannan</dc:creator>
  <cp:lastModifiedBy>Anand Kannan</cp:lastModifiedBy>
  <dcterms:created xsi:type="dcterms:W3CDTF">2026-08-31T22:34:07Z</dcterms:created>
  <dcterms:modified xsi:type="dcterms:W3CDTF">2026-09-07T18:03:53Z</dcterms:modified>
</cp:coreProperties>
</file>